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Z:\ПЭО\СМЕТНЫЙ ОТДЕЛ\ВЫПОЛНЕНИЕ СМР\5 - 2021 год\47 Январь  2021 г\5-5 СМ2002-МИП1\779\сп\"/>
    </mc:Choice>
  </mc:AlternateContent>
  <bookViews>
    <workbookView xWindow="0" yWindow="0" windowWidth="25575" windowHeight="12360" activeTab="18"/>
  </bookViews>
  <sheets>
    <sheet name="КС-3 (2)" sheetId="96" r:id="rId1"/>
    <sheet name="Реестр январь" sheetId="1" r:id="rId2"/>
    <sheet name="17.55" sheetId="73" state="hidden" r:id="rId3"/>
    <sheet name="17.75" sheetId="77" state="hidden" r:id="rId4"/>
    <sheet name="17.86" sheetId="78" state="hidden" r:id="rId5"/>
    <sheet name="17.94" sheetId="80" state="hidden" r:id="rId6"/>
    <sheet name="17.95" sheetId="81" state="hidden" r:id="rId7"/>
    <sheet name="17.96" sheetId="82" state="hidden" r:id="rId8"/>
    <sheet name="17.98" sheetId="83" state="hidden" r:id="rId9"/>
    <sheet name="1_17.56" sheetId="93" r:id="rId10"/>
    <sheet name="2_17.63" sheetId="94" r:id="rId11"/>
    <sheet name="3_17.93" sheetId="95" r:id="rId12"/>
    <sheet name="4_21.10" sheetId="84" r:id="rId13"/>
    <sheet name="5_21.11" sheetId="85" r:id="rId14"/>
    <sheet name="6_21.12" sheetId="86" r:id="rId15"/>
    <sheet name="7_21.13" sheetId="87" r:id="rId16"/>
    <sheet name="21.14" sheetId="88" state="hidden" r:id="rId17"/>
    <sheet name="8_21.17" sheetId="92" r:id="rId18"/>
    <sheet name="9_11.6" sheetId="97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</externalReferences>
  <definedNames>
    <definedName name="_" localSheetId="18">#REF!</definedName>
    <definedName name="_" localSheetId="0">#REF!</definedName>
    <definedName name="_">#REF!</definedName>
    <definedName name="__" localSheetId="0">#REF!</definedName>
    <definedName name="__">#REF!</definedName>
    <definedName name="______________________________________________________________________________T17" localSheetId="0">#REF!</definedName>
    <definedName name="______________________________________________________________________________T17">#REF!</definedName>
    <definedName name="_____________________________________________________________________________T17" localSheetId="0">#REF!</definedName>
    <definedName name="_____________________________________________________________________________T17">#REF!</definedName>
    <definedName name="____________________________________________________________________________T17" localSheetId="0">#REF!</definedName>
    <definedName name="____________________________________________________________________________T17">#REF!</definedName>
    <definedName name="_________________________________________________________________T17" localSheetId="0">#REF!</definedName>
    <definedName name="_________________________________________________________________T17">#REF!</definedName>
    <definedName name="________________________________________________________________T17" localSheetId="0">#REF!</definedName>
    <definedName name="________________________________________________________________T17">#REF!</definedName>
    <definedName name="_______________________________________________________________T17" localSheetId="0">#REF!</definedName>
    <definedName name="_______________________________________________________________T17">#REF!</definedName>
    <definedName name="______________________________________________________________T17" localSheetId="0">#REF!</definedName>
    <definedName name="______________________________________________________________T17">#REF!</definedName>
    <definedName name="_____________________________________________________________T17" localSheetId="0">#REF!</definedName>
    <definedName name="_____________________________________________________________T17">#REF!</definedName>
    <definedName name="____________________________________________________________T17" localSheetId="0">#REF!</definedName>
    <definedName name="____________________________________________________________T17">#REF!</definedName>
    <definedName name="___________________________________________________________T17" localSheetId="0">#REF!</definedName>
    <definedName name="___________________________________________________________T17">#REF!</definedName>
    <definedName name="__________________________________________________________T17" localSheetId="0">#REF!</definedName>
    <definedName name="__________________________________________________________T17">#REF!</definedName>
    <definedName name="_________________________________________________________T17" localSheetId="0">#REF!</definedName>
    <definedName name="_________________________________________________________T17">#REF!</definedName>
    <definedName name="________________________________________________________T17" localSheetId="0">#REF!</definedName>
    <definedName name="________________________________________________________T17">#REF!</definedName>
    <definedName name="_______________________________________________________T17" localSheetId="0">#REF!</definedName>
    <definedName name="_______________________________________________________T17">#REF!</definedName>
    <definedName name="______________________________________________________T17" localSheetId="0">#REF!</definedName>
    <definedName name="______________________________________________________T17">#REF!</definedName>
    <definedName name="_____________________________________________________T17" localSheetId="0">#REF!</definedName>
    <definedName name="_____________________________________________________T17">#REF!</definedName>
    <definedName name="____________________________________________________T17" localSheetId="0">#REF!</definedName>
    <definedName name="____________________________________________________T17">#REF!</definedName>
    <definedName name="____________________________________________________TT17" localSheetId="0">#REF!</definedName>
    <definedName name="____________________________________________________TT17">#REF!</definedName>
    <definedName name="___________________________________________________T17" localSheetId="0">#REF!</definedName>
    <definedName name="___________________________________________________T17">#REF!</definedName>
    <definedName name="__________________________________________________T17" localSheetId="0">#REF!</definedName>
    <definedName name="__________________________________________________T17">#REF!</definedName>
    <definedName name="_________________________________________________T17" localSheetId="0">#REF!</definedName>
    <definedName name="_________________________________________________T17">#REF!</definedName>
    <definedName name="________________________________________________T17" localSheetId="0">#REF!</definedName>
    <definedName name="________________________________________________T17">#REF!</definedName>
    <definedName name="_______________________________________________T17" localSheetId="0">#REF!</definedName>
    <definedName name="_______________________________________________T17">#REF!</definedName>
    <definedName name="______________________________________________T17" localSheetId="0">#REF!</definedName>
    <definedName name="______________________________________________T17">#REF!</definedName>
    <definedName name="_____________________________________________T17" localSheetId="0">#REF!</definedName>
    <definedName name="_____________________________________________T17">#REF!</definedName>
    <definedName name="____________________________________________T17" localSheetId="0">#REF!</definedName>
    <definedName name="____________________________________________T17">#REF!</definedName>
    <definedName name="___________________________________________T17" localSheetId="0">#REF!</definedName>
    <definedName name="___________________________________________T17">#REF!</definedName>
    <definedName name="__________________________________________T17" localSheetId="0">#REF!</definedName>
    <definedName name="__________________________________________T17">#REF!</definedName>
    <definedName name="_________________________________________T17" localSheetId="0">#REF!</definedName>
    <definedName name="_________________________________________T17">#REF!</definedName>
    <definedName name="________________________________________T17" localSheetId="0">#REF!</definedName>
    <definedName name="________________________________________T17">#REF!</definedName>
    <definedName name="_______________________________________T17" localSheetId="0">#REF!</definedName>
    <definedName name="_______________________________________T17">#REF!</definedName>
    <definedName name="______________________________________T17" localSheetId="0">#REF!</definedName>
    <definedName name="______________________________________T17">#REF!</definedName>
    <definedName name="_____________________________________T17" localSheetId="0">#REF!</definedName>
    <definedName name="_____________________________________T17">#REF!</definedName>
    <definedName name="____________________________________T17" localSheetId="0">#REF!</definedName>
    <definedName name="____________________________________T17">#REF!</definedName>
    <definedName name="___________________________________T17" localSheetId="0">#REF!</definedName>
    <definedName name="___________________________________T17">#REF!</definedName>
    <definedName name="__________________________________T17" localSheetId="0">#REF!</definedName>
    <definedName name="__________________________________T17">#REF!</definedName>
    <definedName name="_________________________________T17" localSheetId="0">#REF!</definedName>
    <definedName name="_________________________________T17">#REF!</definedName>
    <definedName name="________________________________T17" localSheetId="0">#REF!</definedName>
    <definedName name="________________________________T17">#REF!</definedName>
    <definedName name="_______________________________T17" localSheetId="0">#REF!</definedName>
    <definedName name="_______________________________T17">#REF!</definedName>
    <definedName name="______________________________T17" localSheetId="0">#REF!</definedName>
    <definedName name="______________________________T17">#REF!</definedName>
    <definedName name="_____________________________T17" localSheetId="0">#REF!</definedName>
    <definedName name="_____________________________T17">#REF!</definedName>
    <definedName name="____________________________T17" localSheetId="0">#REF!</definedName>
    <definedName name="____________________________T17">#REF!</definedName>
    <definedName name="___________________________T17" localSheetId="0">#REF!</definedName>
    <definedName name="___________________________T17">#REF!</definedName>
    <definedName name="__________________________T17" localSheetId="0">#REF!</definedName>
    <definedName name="__________________________T17">#REF!</definedName>
    <definedName name="_________________________T17" localSheetId="0">#REF!</definedName>
    <definedName name="_________________________T17">#REF!</definedName>
    <definedName name="________________________T17" localSheetId="0">#REF!</definedName>
    <definedName name="________________________T17">#REF!</definedName>
    <definedName name="_______________________T17" localSheetId="0">#REF!</definedName>
    <definedName name="_______________________T17">#REF!</definedName>
    <definedName name="______________________T17" localSheetId="0">#REF!</definedName>
    <definedName name="______________________T17">#REF!</definedName>
    <definedName name="_____________________T17" localSheetId="0">#REF!</definedName>
    <definedName name="_____________________T17">#REF!</definedName>
    <definedName name="____________________T17" localSheetId="0">#REF!</definedName>
    <definedName name="____________________T17">#REF!</definedName>
    <definedName name="___________________T17" localSheetId="0">#REF!</definedName>
    <definedName name="___________________T17">#REF!</definedName>
    <definedName name="__________________T17" localSheetId="0">#REF!</definedName>
    <definedName name="__________________T17">#REF!</definedName>
    <definedName name="_________________T17" localSheetId="0">#REF!</definedName>
    <definedName name="_________________T17">#REF!</definedName>
    <definedName name="________________T17" localSheetId="0">#REF!</definedName>
    <definedName name="________________T17">#REF!</definedName>
    <definedName name="_______________T17" localSheetId="0">#REF!</definedName>
    <definedName name="_______________T17">#REF!</definedName>
    <definedName name="______________T17" localSheetId="0">#REF!</definedName>
    <definedName name="______________T17">#REF!</definedName>
    <definedName name="_____________T17" localSheetId="0">#REF!</definedName>
    <definedName name="_____________T17">#REF!</definedName>
    <definedName name="____________T17" localSheetId="0">#REF!</definedName>
    <definedName name="____________T17">#REF!</definedName>
    <definedName name="___________T17" localSheetId="0">#REF!</definedName>
    <definedName name="___________T17">#REF!</definedName>
    <definedName name="___________о" localSheetId="0">#REF!</definedName>
    <definedName name="___________о">#REF!</definedName>
    <definedName name="__________T17" localSheetId="0">#REF!</definedName>
    <definedName name="__________T17">#REF!</definedName>
    <definedName name="_________T17" localSheetId="0">#REF!</definedName>
    <definedName name="_________T17">#REF!</definedName>
    <definedName name="________T17" localSheetId="0">#REF!</definedName>
    <definedName name="________T17">#REF!</definedName>
    <definedName name="_______T17" localSheetId="0">#REF!</definedName>
    <definedName name="_______T17">#REF!</definedName>
    <definedName name="______T17" localSheetId="0">#REF!</definedName>
    <definedName name="______T17">#REF!</definedName>
    <definedName name="______о45" localSheetId="0">#REF!</definedName>
    <definedName name="______о45">#REF!</definedName>
    <definedName name="_____T17" localSheetId="0">#REF!</definedName>
    <definedName name="_____T17">#REF!</definedName>
    <definedName name="____T17" localSheetId="0">#REF!</definedName>
    <definedName name="____T17">#REF!</definedName>
    <definedName name="___H" localSheetId="0">#REF!</definedName>
    <definedName name="___H">#REF!</definedName>
    <definedName name="___T17" localSheetId="0">#REF!</definedName>
    <definedName name="___T17">#REF!</definedName>
    <definedName name="__1" localSheetId="0">#REF!</definedName>
    <definedName name="__1">#REF!</definedName>
    <definedName name="__1__" localSheetId="0">#REF!</definedName>
    <definedName name="__1__">#REF!</definedName>
    <definedName name="__T17" localSheetId="0">#REF!</definedName>
    <definedName name="__T17">#REF!</definedName>
    <definedName name="__xlnm.Print_Titles_1">#N/A</definedName>
    <definedName name="__а" localSheetId="18">#REF!</definedName>
    <definedName name="__а" localSheetId="0">#REF!</definedName>
    <definedName name="__а">#REF!</definedName>
    <definedName name="_1" localSheetId="18">#REF!</definedName>
    <definedName name="_1" localSheetId="0">#REF!</definedName>
    <definedName name="_1">#REF!</definedName>
    <definedName name="_125" localSheetId="18">#REF!</definedName>
    <definedName name="_125" localSheetId="0">#REF!</definedName>
    <definedName name="_125">#REF!</definedName>
    <definedName name="_K" localSheetId="0">#REF!</definedName>
    <definedName name="_K">#REF!</definedName>
    <definedName name="_T17" localSheetId="0">#REF!</definedName>
    <definedName name="_T17">#REF!</definedName>
    <definedName name="_ааа" localSheetId="0">#REF!</definedName>
    <definedName name="_ааа">#REF!</definedName>
    <definedName name="_ж1" localSheetId="0">#REF!</definedName>
    <definedName name="_ж1">#REF!</definedName>
    <definedName name="_у1" localSheetId="0">#REF!</definedName>
    <definedName name="_у1">#REF!</definedName>
    <definedName name="_xlnm._FilterDatabase" localSheetId="1" hidden="1">'Реестр январь'!#REF!</definedName>
    <definedName name="_Э" localSheetId="0">#REF!</definedName>
    <definedName name="_Э">#REF!</definedName>
    <definedName name="a" localSheetId="0">#REF!</definedName>
    <definedName name="a">#REF!</definedName>
    <definedName name="A_l_attention_de" localSheetId="0">#REF!</definedName>
    <definedName name="A_l_attention_de">#REF!</definedName>
    <definedName name="a01_СС_Титул_pre_rep" localSheetId="0">#REF!</definedName>
    <definedName name="a01_СС_Титул_pre_rep">#REF!</definedName>
    <definedName name="a02_СС_Шапка_pre_rep" localSheetId="0">#REF!</definedName>
    <definedName name="a02_СС_Шапка_pre_rep">#REF!</definedName>
    <definedName name="a06_СС_Лимитированные_pre_rep" localSheetId="18">'[1]КС-2'!#REF!</definedName>
    <definedName name="a06_СС_Лимитированные_pre_rep" localSheetId="0">'[1]КС-2'!#REF!</definedName>
    <definedName name="a06_СС_Лимитированные_pre_rep">'[1]КС-2'!#REF!</definedName>
    <definedName name="a08_СС_ЗаголовокЛимит_pre_rep" localSheetId="18">#REF!</definedName>
    <definedName name="a08_СС_ЗаголовокЛимит_pre_rep" localSheetId="0">#REF!</definedName>
    <definedName name="a08_СС_ЗаголовокЛимит_pre_rep">#REF!</definedName>
    <definedName name="a16_О_Лимитированные_pre_rep" localSheetId="18">#REF!</definedName>
    <definedName name="a16_О_Лимитированные_pre_rep" localSheetId="0">#REF!</definedName>
    <definedName name="a16_О_Лимитированные_pre_rep">#REF!</definedName>
    <definedName name="a17_О_Концовка_pre_rep" localSheetId="18">#REF!</definedName>
    <definedName name="a17_О_Концовка_pre_rep" localSheetId="0">#REF!</definedName>
    <definedName name="a17_О_Концовка_pre_rep">#REF!</definedName>
    <definedName name="a23_С_Заголовок_pre_rep" localSheetId="18">'[1]КС-2'!#REF!</definedName>
    <definedName name="a23_С_Заголовок_pre_rep" localSheetId="0">'[1]КС-2'!#REF!</definedName>
    <definedName name="a23_С_Заголовок_pre_rep">'[1]КС-2'!#REF!</definedName>
    <definedName name="a24_С_ИтогГрафы_pre_rep" localSheetId="18">'[1]КС-2'!#REF!</definedName>
    <definedName name="a24_С_ИтогГрафы_pre_rep" localSheetId="0">'[1]КС-2'!#REF!</definedName>
    <definedName name="a24_С_ИтогГрафы_pre_rep">'[1]КС-2'!#REF!</definedName>
    <definedName name="a27_С_Концовка_pre_rep" localSheetId="18">#REF!</definedName>
    <definedName name="a27_С_Концовка_pre_rep" localSheetId="0">#REF!</definedName>
    <definedName name="a27_С_Концовка_pre_rep">#REF!</definedName>
    <definedName name="a33_Р_Заголовок_pre_rep" localSheetId="18">#REF!</definedName>
    <definedName name="a33_Р_Заголовок_pre_rep" localSheetId="0">#REF!</definedName>
    <definedName name="a33_Р_Заголовок_pre_rep">#REF!</definedName>
    <definedName name="a34_Р_ИтогГрафы_pre_rep" localSheetId="18">#REF!</definedName>
    <definedName name="a34_Р_ИтогГрафы_pre_rep" localSheetId="0">#REF!</definedName>
    <definedName name="a34_Р_ИтогГрафы_pre_rep">#REF!</definedName>
    <definedName name="a43_ПР_Заголовок_pre_rep" localSheetId="0">#REF!</definedName>
    <definedName name="a43_ПР_Заголовок_pre_rep">#REF!</definedName>
    <definedName name="a44_ПР_ИтогГрафы_pre_rep" localSheetId="0">#REF!</definedName>
    <definedName name="a44_ПР_ИтогГрафы_pre_rep">#REF!</definedName>
    <definedName name="a51_Ст_Строка_pre_rep" localSheetId="0">#REF!</definedName>
    <definedName name="a51_Ст_Строка_pre_rep">#REF!</definedName>
    <definedName name="a54_Ст_НРиСП_pre_rep" localSheetId="0">#REF!</definedName>
    <definedName name="a54_Ст_НРиСП_pre_rep">#REF!</definedName>
    <definedName name="a61_ПСт_Подстрока_pre_rep" localSheetId="0">#REF!</definedName>
    <definedName name="a61_ПСт_Подстрока_pre_rep">#REF!</definedName>
    <definedName name="a64_ПСт_НРиСП_pre_rep" localSheetId="0">#REF!</definedName>
    <definedName name="a64_ПСт_НРиСП_pre_rep">#REF!</definedName>
    <definedName name="AA" localSheetId="0">#REF!</definedName>
    <definedName name="AA">#REF!</definedName>
    <definedName name="Adresse1_affaire" localSheetId="0">#REF!</definedName>
    <definedName name="Adresse1_affaire">#REF!</definedName>
    <definedName name="Adresse2_affaire" localSheetId="0">#REF!</definedName>
    <definedName name="Adresse2_affaire">#REF!</definedName>
    <definedName name="al" localSheetId="18" hidden="1">{#N/A,#N/A,TRUE,"Сводка балансов"}</definedName>
    <definedName name="al" localSheetId="0" hidden="1">{#N/A,#N/A,TRUE,"Сводка балансов"}</definedName>
    <definedName name="al" localSheetId="1" hidden="1">{#N/A,#N/A,TRUE,"Сводка балансов"}</definedName>
    <definedName name="al" hidden="1">{#N/A,#N/A,TRUE,"Сводка балансов"}</definedName>
    <definedName name="aqaa" localSheetId="18">#REF!</definedName>
    <definedName name="aqaa" localSheetId="0">#REF!</definedName>
    <definedName name="aqaa">#REF!</definedName>
    <definedName name="ata4ew4tgretw" localSheetId="18">[2]Эл.энергия!#REF!</definedName>
    <definedName name="ata4ew4tgretw" localSheetId="0">[2]Эл.энергия!#REF!</definedName>
    <definedName name="ata4ew4tgretw">[2]Эл.энергия!#REF!</definedName>
    <definedName name="B_1" localSheetId="18">#REF!</definedName>
    <definedName name="B_1" localSheetId="0">#REF!</definedName>
    <definedName name="B_1">#REF!</definedName>
    <definedName name="Catégories">[3]Catégories!$B$5:$B$986</definedName>
    <definedName name="Code_affaire" localSheetId="18">#REF!</definedName>
    <definedName name="Code_affaire" localSheetId="0">#REF!</definedName>
    <definedName name="Code_affaire">#REF!</definedName>
    <definedName name="Code_client" localSheetId="18">#REF!</definedName>
    <definedName name="Code_client" localSheetId="0">#REF!</definedName>
    <definedName name="Code_client">#REF!</definedName>
    <definedName name="Code_Dossier" localSheetId="18">#REF!</definedName>
    <definedName name="Code_Dossier" localSheetId="0">#REF!</definedName>
    <definedName name="Code_Dossier">#REF!</definedName>
    <definedName name="Code_post_ville_pays_Affaire" localSheetId="0">#REF!</definedName>
    <definedName name="Code_post_ville_pays_Affaire">#REF!</definedName>
    <definedName name="Code_post_ville_pays_Dossier" localSheetId="0">#REF!</definedName>
    <definedName name="Code_post_ville_pays_Dossier">#REF!</definedName>
    <definedName name="Const_1_1" localSheetId="0">#REF!</definedName>
    <definedName name="Const_1_1">#REF!</definedName>
    <definedName name="Constr_1" localSheetId="0">[4]ЭН1_БНС!#REF!</definedName>
    <definedName name="Constr_1">[4]ЭН1_БНС!#REF!</definedName>
    <definedName name="Constr_1_1" localSheetId="0">[2]Эл.энергия!#REF!</definedName>
    <definedName name="Constr_1_1">[2]Эл.энергия!#REF!</definedName>
    <definedName name="Constr_1_25" localSheetId="0">[2]Эл.энергия!#REF!</definedName>
    <definedName name="Constr_1_25">[2]Эл.энергия!#REF!</definedName>
    <definedName name="Constr_11" localSheetId="0">[4]М2_БНС!#REF!</definedName>
    <definedName name="Constr_11">[4]М2_БНС!#REF!</definedName>
    <definedName name="Constr_11_1" localSheetId="0">[5]М2_БНС!#REF!</definedName>
    <definedName name="Constr_11_1">[5]М2_БНС!#REF!</definedName>
    <definedName name="Constr_12" localSheetId="0">[4]ЭН14_Ростверк!#REF!</definedName>
    <definedName name="Constr_12">[4]ЭН14_Ростверк!#REF!</definedName>
    <definedName name="Constr_12_1" localSheetId="0">[5]ЭН14_Ростверк!#REF!</definedName>
    <definedName name="Constr_12_1">[5]ЭН14_Ростверк!#REF!</definedName>
    <definedName name="Constr_13" localSheetId="0">[4]ЭН14_СВСиУ!#REF!</definedName>
    <definedName name="Constr_13">[4]ЭН14_СВСиУ!#REF!</definedName>
    <definedName name="Constr_14" localSheetId="0">[4]ЭН15_БНС!#REF!</definedName>
    <definedName name="Constr_14">[4]ЭН15_БНС!#REF!</definedName>
    <definedName name="Constr_15" localSheetId="0">[4]ЭН13_БНС!#REF!</definedName>
    <definedName name="Constr_15">[4]ЭН13_БНС!#REF!</definedName>
    <definedName name="Constr_16" localSheetId="0">[4]ЭН13_СВСиУ!#REF!</definedName>
    <definedName name="Constr_16">[4]ЭН13_СВСиУ!#REF!</definedName>
    <definedName name="Constr_17" localSheetId="0">[4]ЭН3_БНС!#REF!</definedName>
    <definedName name="Constr_17">[4]ЭН3_БНС!#REF!</definedName>
    <definedName name="Constr_18" localSheetId="0">[4]ЭН16_БНС!#REF!</definedName>
    <definedName name="Constr_18">[4]ЭН16_БНС!#REF!</definedName>
    <definedName name="Constr_2" localSheetId="0">[4]ЭН2_БНС!#REF!</definedName>
    <definedName name="Constr_2">[4]ЭН2_БНС!#REF!</definedName>
    <definedName name="Constr_2_1" localSheetId="0">'[2]аренда флота'!#REF!</definedName>
    <definedName name="Constr_2_1">'[2]аренда флота'!#REF!</definedName>
    <definedName name="Constr_2_25" localSheetId="0">'[2]аренда флота'!#REF!</definedName>
    <definedName name="Constr_2_25">'[2]аренда флота'!#REF!</definedName>
    <definedName name="Constr_22" localSheetId="0">'[4]Аренда флота'!#REF!</definedName>
    <definedName name="Constr_22">'[4]Аренда флота'!#REF!</definedName>
    <definedName name="Constr_3" localSheetId="0">[4]ЭН14_БНС!#REF!</definedName>
    <definedName name="Constr_3">[4]ЭН14_БНС!#REF!</definedName>
    <definedName name="Constr_4" localSheetId="0">'[4]1-1-4'!#REF!</definedName>
    <definedName name="Constr_4">'[4]1-1-4'!#REF!</definedName>
    <definedName name="Constr_5" localSheetId="0">'[4]8-4_времен.дорога А-В'!#REF!</definedName>
    <definedName name="Constr_5">'[4]8-4_времен.дорога А-В'!#REF!</definedName>
    <definedName name="Constr_6" localSheetId="0">'[4]2-4-9_дорога 3'!#REF!</definedName>
    <definedName name="Constr_6">'[4]2-4-9_дорога 3'!#REF!</definedName>
    <definedName name="Constr_7" localSheetId="0">'[4]1-1-11_Зем.работы площадки'!#REF!</definedName>
    <definedName name="Constr_7">'[4]1-1-11_Зем.работы площадки'!#REF!</definedName>
    <definedName name="Constr_8" localSheetId="0">'[4]1-1-8_островки'!#REF!</definedName>
    <definedName name="Constr_8">'[4]1-1-8_островки'!#REF!</definedName>
    <definedName name="Constr_9" localSheetId="0">'[4]9 навМОСТОВИК'!#REF!</definedName>
    <definedName name="Constr_9">'[4]9 навМОСТОВИК'!#REF!</definedName>
    <definedName name="d_0" localSheetId="18">#REF!</definedName>
    <definedName name="d_0" localSheetId="0">#REF!</definedName>
    <definedName name="d_0">#REF!</definedName>
    <definedName name="d_01" localSheetId="18">#REF!</definedName>
    <definedName name="d_01" localSheetId="0">#REF!</definedName>
    <definedName name="d_01">#REF!</definedName>
    <definedName name="d_02" localSheetId="18">#REF!</definedName>
    <definedName name="d_02" localSheetId="0">#REF!</definedName>
    <definedName name="d_02">#REF!</definedName>
    <definedName name="Date_alpha" localSheetId="0">#REF!</definedName>
    <definedName name="Date_alpha">#REF!</definedName>
    <definedName name="Date_base_de_prix" localSheetId="0">#REF!</definedName>
    <definedName name="Date_base_de_prix">#REF!</definedName>
    <definedName name="Date_d_envoi" localSheetId="0">#REF!</definedName>
    <definedName name="Date_d_envoi">#REF!</definedName>
    <definedName name="Date_de_l_offre" localSheetId="0">#REF!</definedName>
    <definedName name="Date_de_l_offre">#REF!</definedName>
    <definedName name="Date_de_valeur_des_prix" localSheetId="0">#REF!</definedName>
    <definedName name="Date_de_valeur_des_prix">#REF!</definedName>
    <definedName name="Date_du_jour" localSheetId="0">#REF!</definedName>
    <definedName name="Date_du_jour">#REF!</definedName>
    <definedName name="Desi_Dossier" localSheetId="0">#REF!</definedName>
    <definedName name="Desi_Dossier">#REF!</definedName>
    <definedName name="Designation_1_pour_agence" localSheetId="0">#REF!</definedName>
    <definedName name="Designation_1_pour_agence">#REF!</definedName>
    <definedName name="Designation_2_pour_agence" localSheetId="0">#REF!</definedName>
    <definedName name="Designation_2_pour_agence">#REF!</definedName>
    <definedName name="Designation_affaire" localSheetId="0">#REF!</definedName>
    <definedName name="Designation_affaire">#REF!</definedName>
    <definedName name="Designation_client" localSheetId="0">#REF!</definedName>
    <definedName name="Designation_client">#REF!</definedName>
    <definedName name="Designation_devis" localSheetId="0">#REF!</definedName>
    <definedName name="Designation_devis">#REF!</definedName>
    <definedName name="Ds_2" localSheetId="0">#REF!</definedName>
    <definedName name="Ds_2">#REF!</definedName>
    <definedName name="EL_0" localSheetId="0">#REF!</definedName>
    <definedName name="EL_0">#REF!</definedName>
    <definedName name="Excel_BuiltIn_Print_Area" localSheetId="0">#REF!</definedName>
    <definedName name="Excel_BuiltIn_Print_Area">#REF!</definedName>
    <definedName name="Excel_BuiltIn_Print_Area_1">#N/A</definedName>
    <definedName name="Excel_BuiltIn_Print_Area_1_1">NA()</definedName>
    <definedName name="Excel_BuiltIn_Print_Area_4" localSheetId="18">#REF!</definedName>
    <definedName name="Excel_BuiltIn_Print_Area_4" localSheetId="0">#REF!</definedName>
    <definedName name="Excel_BuiltIn_Print_Area_4">#REF!</definedName>
    <definedName name="Excel_BuiltIn_Print_Titles" localSheetId="18">#REF!</definedName>
    <definedName name="Excel_BuiltIn_Print_Titles" localSheetId="0">#REF!</definedName>
    <definedName name="Excel_BuiltIn_Print_Titles">#REF!</definedName>
    <definedName name="Excel_BuiltIn_Print_Titles_1" localSheetId="18">#REF!</definedName>
    <definedName name="Excel_BuiltIn_Print_Titles_1" localSheetId="0">#REF!</definedName>
    <definedName name="Excel_BuiltIn_Print_Titles_1">#REF!</definedName>
    <definedName name="f" localSheetId="0">#REF!</definedName>
    <definedName name="f">#REF!</definedName>
    <definedName name="Fax" localSheetId="0">#REF!</definedName>
    <definedName name="Fax">#REF!</definedName>
    <definedName name="Fax_affaire" localSheetId="0">#REF!</definedName>
    <definedName name="Fax_affaire">#REF!</definedName>
    <definedName name="Fax_dossier" localSheetId="0">#REF!</definedName>
    <definedName name="Fax_dossier">#REF!</definedName>
    <definedName name="FOT_1" localSheetId="0">[4]ЭН1_БНС!#REF!</definedName>
    <definedName name="FOT_1">[4]ЭН1_БНС!#REF!</definedName>
    <definedName name="FOT_1_1" localSheetId="0">[2]Эл.энергия!#REF!</definedName>
    <definedName name="FOT_1_1">[2]Эл.энергия!#REF!</definedName>
    <definedName name="FOT_1_25" localSheetId="0">[2]Эл.энергия!#REF!</definedName>
    <definedName name="FOT_1_25">[2]Эл.энергия!#REF!</definedName>
    <definedName name="FOT_11" localSheetId="0">[4]М2_БНС!#REF!</definedName>
    <definedName name="FOT_11">[4]М2_БНС!#REF!</definedName>
    <definedName name="FOT_12" localSheetId="0">[4]ЭН14_Ростверк!#REF!</definedName>
    <definedName name="FOT_12">[4]ЭН14_Ростверк!#REF!</definedName>
    <definedName name="FOT_13" localSheetId="0">[4]ЭН14_СВСиУ!#REF!</definedName>
    <definedName name="FOT_13">[4]ЭН14_СВСиУ!#REF!</definedName>
    <definedName name="FOT_14" localSheetId="0">[4]ЭН15_БНС!#REF!</definedName>
    <definedName name="FOT_14">[4]ЭН15_БНС!#REF!</definedName>
    <definedName name="FOT_15" localSheetId="0">[4]ЭН13_БНС!#REF!</definedName>
    <definedName name="FOT_15">[4]ЭН13_БНС!#REF!</definedName>
    <definedName name="FOT_16" localSheetId="0">[4]ЭН13_СВСиУ!#REF!</definedName>
    <definedName name="FOT_16">[4]ЭН13_СВСиУ!#REF!</definedName>
    <definedName name="FOT_17" localSheetId="0">[4]ЭН3_БНС!#REF!</definedName>
    <definedName name="FOT_17">[4]ЭН3_БНС!#REF!</definedName>
    <definedName name="FOT_18" localSheetId="0">[4]ЭН16_БНС!#REF!</definedName>
    <definedName name="FOT_18">[4]ЭН16_БНС!#REF!</definedName>
    <definedName name="FOT_2" localSheetId="0">[4]ЭН2_БНС!#REF!</definedName>
    <definedName name="FOT_2">[4]ЭН2_БНС!#REF!</definedName>
    <definedName name="FOT_2_1" localSheetId="0">'[2]аренда флота'!#REF!</definedName>
    <definedName name="FOT_2_1">'[2]аренда флота'!#REF!</definedName>
    <definedName name="FOT_2_25" localSheetId="0">'[2]аренда флота'!#REF!</definedName>
    <definedName name="FOT_2_25">'[2]аренда флота'!#REF!</definedName>
    <definedName name="FOT_22" localSheetId="0">'[4]Аренда флота'!#REF!</definedName>
    <definedName name="FOT_22">'[4]Аренда флота'!#REF!</definedName>
    <definedName name="FOT_3" localSheetId="0">[4]ЭН14_БНС!#REF!</definedName>
    <definedName name="FOT_3">[4]ЭН14_БНС!#REF!</definedName>
    <definedName name="FOT_4" localSheetId="0">'[4]1-1-4'!#REF!</definedName>
    <definedName name="FOT_4">'[4]1-1-4'!#REF!</definedName>
    <definedName name="FOT_5" localSheetId="0">'[4]8-4_времен.дорога А-В'!#REF!</definedName>
    <definedName name="FOT_5">'[4]8-4_времен.дорога А-В'!#REF!</definedName>
    <definedName name="FOT_6" localSheetId="0">'[4]2-4-9_дорога 3'!#REF!</definedName>
    <definedName name="FOT_6">'[4]2-4-9_дорога 3'!#REF!</definedName>
    <definedName name="FOT_7" localSheetId="0">'[4]1-1-11_Зем.работы площадки'!#REF!</definedName>
    <definedName name="FOT_7">'[4]1-1-11_Зем.работы площадки'!#REF!</definedName>
    <definedName name="FOT_8" localSheetId="0">'[4]1-1-8_островки'!#REF!</definedName>
    <definedName name="FOT_8">'[4]1-1-8_островки'!#REF!</definedName>
    <definedName name="FOT_9" localSheetId="0">'[4]9 навМОСТОВИК'!#REF!</definedName>
    <definedName name="FOT_9">'[4]9 навМОСТОВИК'!#REF!</definedName>
    <definedName name="gjjj" localSheetId="18">#REF!</definedName>
    <definedName name="gjjj" localSheetId="0">#REF!</definedName>
    <definedName name="gjjj">#REF!</definedName>
    <definedName name="Ind_1" localSheetId="18">[4]ЭН1_БНС!#REF!</definedName>
    <definedName name="Ind_1" localSheetId="0">[4]ЭН1_БНС!#REF!</definedName>
    <definedName name="Ind_1">[4]ЭН1_БНС!#REF!</definedName>
    <definedName name="Ind_1_1" localSheetId="0">[2]Эл.энергия!#REF!</definedName>
    <definedName name="Ind_1_1">[2]Эл.энергия!#REF!</definedName>
    <definedName name="Ind_1_25" localSheetId="0">[2]Эл.энергия!#REF!</definedName>
    <definedName name="Ind_1_25">[2]Эл.энергия!#REF!</definedName>
    <definedName name="Ind_11" localSheetId="0">[4]М2_БНС!#REF!</definedName>
    <definedName name="Ind_11">[4]М2_БНС!#REF!</definedName>
    <definedName name="Ind_12" localSheetId="0">[4]ЭН14_Ростверк!#REF!</definedName>
    <definedName name="Ind_12">[4]ЭН14_Ростверк!#REF!</definedName>
    <definedName name="Ind_13" localSheetId="0">[4]ЭН14_СВСиУ!#REF!</definedName>
    <definedName name="Ind_13">[4]ЭН14_СВСиУ!#REF!</definedName>
    <definedName name="Ind_14" localSheetId="0">[4]ЭН15_БНС!#REF!</definedName>
    <definedName name="Ind_14">[4]ЭН15_БНС!#REF!</definedName>
    <definedName name="Ind_15" localSheetId="0">[4]ЭН13_БНС!#REF!</definedName>
    <definedName name="Ind_15">[4]ЭН13_БНС!#REF!</definedName>
    <definedName name="Ind_16" localSheetId="0">[4]ЭН13_СВСиУ!#REF!</definedName>
    <definedName name="Ind_16">[4]ЭН13_СВСиУ!#REF!</definedName>
    <definedName name="Ind_17" localSheetId="0">[4]ЭН3_БНС!#REF!</definedName>
    <definedName name="Ind_17">[4]ЭН3_БНС!#REF!</definedName>
    <definedName name="Ind_18" localSheetId="0">[4]ЭН16_БНС!#REF!</definedName>
    <definedName name="Ind_18">[4]ЭН16_БНС!#REF!</definedName>
    <definedName name="Ind_2" localSheetId="0">[4]ЭН2_БНС!#REF!</definedName>
    <definedName name="Ind_2">[4]ЭН2_БНС!#REF!</definedName>
    <definedName name="Ind_2_1" localSheetId="0">'[2]аренда флота'!#REF!</definedName>
    <definedName name="Ind_2_1">'[2]аренда флота'!#REF!</definedName>
    <definedName name="Ind_2_25" localSheetId="0">'[2]аренда флота'!#REF!</definedName>
    <definedName name="Ind_2_25">'[2]аренда флота'!#REF!</definedName>
    <definedName name="Ind_22" localSheetId="0">'[4]Аренда флота'!#REF!</definedName>
    <definedName name="Ind_22">'[4]Аренда флота'!#REF!</definedName>
    <definedName name="Ind_3" localSheetId="0">[4]ЭН14_БНС!#REF!</definedName>
    <definedName name="Ind_3">[4]ЭН14_БНС!#REF!</definedName>
    <definedName name="Ind_4" localSheetId="0">'[4]1-1-4'!#REF!</definedName>
    <definedName name="Ind_4">'[4]1-1-4'!#REF!</definedName>
    <definedName name="Ind_5" localSheetId="0">'[4]8-4_времен.дорога А-В'!#REF!</definedName>
    <definedName name="Ind_5">'[4]8-4_времен.дорога А-В'!#REF!</definedName>
    <definedName name="Ind_6" localSheetId="0">'[4]2-4-9_дорога 3'!#REF!</definedName>
    <definedName name="Ind_6">'[4]2-4-9_дорога 3'!#REF!</definedName>
    <definedName name="Ind_7" localSheetId="0">'[4]1-1-11_Зем.работы площадки'!#REF!</definedName>
    <definedName name="Ind_7">'[4]1-1-11_Зем.работы площадки'!#REF!</definedName>
    <definedName name="Ind_8" localSheetId="0">'[4]1-1-8_островки'!#REF!</definedName>
    <definedName name="Ind_8">'[4]1-1-8_островки'!#REF!</definedName>
    <definedName name="Ind_9" localSheetId="0">'[4]9 навМОСТОВИК'!#REF!</definedName>
    <definedName name="Ind_9">'[4]9 навМОСТОВИК'!#REF!</definedName>
    <definedName name="j" localSheetId="18">#REF!</definedName>
    <definedName name="j" localSheetId="0">#REF!</definedName>
    <definedName name="j">#REF!</definedName>
    <definedName name="jj" localSheetId="18">#REF!</definedName>
    <definedName name="jj" localSheetId="0">#REF!</definedName>
    <definedName name="jj">#REF!</definedName>
    <definedName name="K_012" localSheetId="18">#REF!</definedName>
    <definedName name="K_012" localSheetId="0">#REF!</definedName>
    <definedName name="K_012">#REF!</definedName>
    <definedName name="K_1" localSheetId="0">#REF!</definedName>
    <definedName name="K_1">#REF!</definedName>
    <definedName name="K_10" localSheetId="0">#REF!</definedName>
    <definedName name="K_10">#REF!</definedName>
    <definedName name="K_101">'[6]Тр.(пут)'!$P$20</definedName>
    <definedName name="K_102">'[6]Тр.(пут)'!$P$23</definedName>
    <definedName name="K_103">'[6]Тр.(пут)'!$P$26</definedName>
    <definedName name="K_104">'[6]Тр.(пут)'!$P$29</definedName>
    <definedName name="K_105">'[7]Тр.(пут)'!$P$32</definedName>
    <definedName name="K_106">'[6]Тр.(пут)'!$P$35</definedName>
    <definedName name="K_107">'[6]Тр.(пут)'!$P$38</definedName>
    <definedName name="K_108">'[6]Тр.(пут)'!$P$17</definedName>
    <definedName name="K_109">'[6]Тр.(пут)'!$P$41</definedName>
    <definedName name="K_11" localSheetId="18">#REF!</definedName>
    <definedName name="K_11" localSheetId="0">#REF!</definedName>
    <definedName name="K_11">#REF!</definedName>
    <definedName name="K_12" localSheetId="18">#REF!</definedName>
    <definedName name="K_12" localSheetId="0">#REF!</definedName>
    <definedName name="K_12">#REF!</definedName>
    <definedName name="K_122" localSheetId="18">#REF!</definedName>
    <definedName name="K_122" localSheetId="0">#REF!</definedName>
    <definedName name="K_122">#REF!</definedName>
    <definedName name="K_13" localSheetId="0">#REF!</definedName>
    <definedName name="K_13">#REF!</definedName>
    <definedName name="K_14" localSheetId="0">#REF!</definedName>
    <definedName name="K_14">#REF!</definedName>
    <definedName name="K_15" localSheetId="0">#REF!</definedName>
    <definedName name="K_15">#REF!</definedName>
    <definedName name="K_16" localSheetId="0">#REF!</definedName>
    <definedName name="K_16">#REF!</definedName>
    <definedName name="K_2" localSheetId="0">#REF!</definedName>
    <definedName name="K_2">#REF!</definedName>
    <definedName name="K_20" localSheetId="0">#REF!</definedName>
    <definedName name="K_20">#REF!</definedName>
    <definedName name="K_3" localSheetId="0">#REF!</definedName>
    <definedName name="K_3">#REF!</definedName>
    <definedName name="K_31" localSheetId="0">'[8]ТрМ. '!#REF!</definedName>
    <definedName name="K_31">'[8]ТрМ. '!#REF!</definedName>
    <definedName name="K_4" localSheetId="18">#REF!</definedName>
    <definedName name="K_4" localSheetId="0">#REF!</definedName>
    <definedName name="K_4">#REF!</definedName>
    <definedName name="K_400" localSheetId="18">#REF!</definedName>
    <definedName name="K_400" localSheetId="0">#REF!</definedName>
    <definedName name="K_400">#REF!</definedName>
    <definedName name="K_44" localSheetId="18">#REF!</definedName>
    <definedName name="K_44" localSheetId="0">#REF!</definedName>
    <definedName name="K_44">#REF!</definedName>
    <definedName name="K_48">'[9]Тр.(ж.д.)'!$F$43</definedName>
    <definedName name="K_49" localSheetId="18">#REF!</definedName>
    <definedName name="K_49" localSheetId="0">#REF!</definedName>
    <definedName name="K_49">#REF!</definedName>
    <definedName name="K_5">[10]Тр.!$H$36</definedName>
    <definedName name="K_55" localSheetId="18">#REF!</definedName>
    <definedName name="K_55" localSheetId="0">#REF!</definedName>
    <definedName name="K_55">#REF!</definedName>
    <definedName name="K_58">'[11]Тр.  (мост)'!$P$30</definedName>
    <definedName name="K_6" localSheetId="18">#REF!</definedName>
    <definedName name="K_6" localSheetId="0">#REF!</definedName>
    <definedName name="K_6">#REF!</definedName>
    <definedName name="K_6а" localSheetId="18">#REF!</definedName>
    <definedName name="K_6а" localSheetId="0">#REF!</definedName>
    <definedName name="K_6а">#REF!</definedName>
    <definedName name="K_7" localSheetId="18">#REF!</definedName>
    <definedName name="K_7" localSheetId="0">#REF!</definedName>
    <definedName name="K_7">#REF!</definedName>
    <definedName name="K_7а" localSheetId="18">'[8]ТрМ. '!#REF!</definedName>
    <definedName name="K_7а" localSheetId="0">'[8]ТрМ. '!#REF!</definedName>
    <definedName name="K_7а">'[8]ТрМ. '!#REF!</definedName>
    <definedName name="K_8" localSheetId="18">#REF!</definedName>
    <definedName name="K_8" localSheetId="0">#REF!</definedName>
    <definedName name="K_8">#REF!</definedName>
    <definedName name="K_80" localSheetId="18">#REF!</definedName>
    <definedName name="K_80" localSheetId="0">#REF!</definedName>
    <definedName name="K_80">#REF!</definedName>
    <definedName name="K_81" localSheetId="18">#REF!</definedName>
    <definedName name="K_81" localSheetId="0">#REF!</definedName>
    <definedName name="K_81">#REF!</definedName>
    <definedName name="K_85" localSheetId="18">'[12]тр '!#REF!</definedName>
    <definedName name="K_85" localSheetId="0">'[12]тр '!#REF!</definedName>
    <definedName name="K_85">'[12]тр '!#REF!</definedName>
    <definedName name="K_9" localSheetId="18">#REF!</definedName>
    <definedName name="K_9" localSheetId="0">#REF!</definedName>
    <definedName name="K_9">#REF!</definedName>
    <definedName name="K_91" localSheetId="18">#REF!</definedName>
    <definedName name="K_91" localSheetId="0">#REF!</definedName>
    <definedName name="K_91">#REF!</definedName>
    <definedName name="L_1" localSheetId="18">#REF!</definedName>
    <definedName name="L_1" localSheetId="0">#REF!</definedName>
    <definedName name="L_1">#REF!</definedName>
    <definedName name="L_2" localSheetId="0">#REF!</definedName>
    <definedName name="L_2">#REF!</definedName>
    <definedName name="lh" localSheetId="18" hidden="1">{#N/A,#N/A,TRUE,"Сводка балансов"}</definedName>
    <definedName name="lh" localSheetId="0" hidden="1">{#N/A,#N/A,TRUE,"Сводка балансов"}</definedName>
    <definedName name="lh" localSheetId="1" hidden="1">{#N/A,#N/A,TRUE,"Сводка балансов"}</definedName>
    <definedName name="lh" hidden="1">{#N/A,#N/A,TRUE,"Сводка балансов"}</definedName>
    <definedName name="Ligne_1_commentaire_entete" localSheetId="18">#REF!</definedName>
    <definedName name="Ligne_1_commentaire_entete" localSheetId="0">#REF!</definedName>
    <definedName name="Ligne_1_commentaire_entete">#REF!</definedName>
    <definedName name="Ligne_1_desi_client" localSheetId="18">#REF!</definedName>
    <definedName name="Ligne_1_desi_client" localSheetId="0">#REF!</definedName>
    <definedName name="Ligne_1_desi_client">#REF!</definedName>
    <definedName name="Ligne_1_reference" localSheetId="18">#REF!</definedName>
    <definedName name="Ligne_1_reference" localSheetId="0">#REF!</definedName>
    <definedName name="Ligne_1_reference">#REF!</definedName>
    <definedName name="Ligne_2_commentaire_entete" localSheetId="0">#REF!</definedName>
    <definedName name="Ligne_2_commentaire_entete">#REF!</definedName>
    <definedName name="Ligne_2_desi_client" localSheetId="0">#REF!</definedName>
    <definedName name="Ligne_2_desi_client">#REF!</definedName>
    <definedName name="Ligne_2_reference" localSheetId="0">#REF!</definedName>
    <definedName name="Ligne_2_reference">#REF!</definedName>
    <definedName name="Ligne_3_desi_client" localSheetId="0">#REF!</definedName>
    <definedName name="Ligne_3_desi_client">#REF!</definedName>
    <definedName name="Ligne_3_reference" localSheetId="0">#REF!</definedName>
    <definedName name="Ligne_3_reference">#REF!</definedName>
    <definedName name="M__1" localSheetId="0">#REF!</definedName>
    <definedName name="M__1">#REF!</definedName>
    <definedName name="M__66" localSheetId="0">#REF!</definedName>
    <definedName name="M__66">#REF!</definedName>
    <definedName name="M__92" localSheetId="0">#REF!</definedName>
    <definedName name="M__92">#REF!</definedName>
    <definedName name="M_1" localSheetId="0">#REF!</definedName>
    <definedName name="M_1">#REF!</definedName>
    <definedName name="M_10" localSheetId="0">#REF!</definedName>
    <definedName name="M_10">#REF!</definedName>
    <definedName name="M_100" localSheetId="0">[13]К.С.М.!#REF!</definedName>
    <definedName name="M_100">[13]К.С.М.!#REF!</definedName>
    <definedName name="M_101" localSheetId="18">#REF!</definedName>
    <definedName name="M_101" localSheetId="0">#REF!</definedName>
    <definedName name="M_101">#REF!</definedName>
    <definedName name="M_107" localSheetId="18">#REF!</definedName>
    <definedName name="M_107" localSheetId="0">#REF!</definedName>
    <definedName name="M_107">#REF!</definedName>
    <definedName name="M_11" localSheetId="18">#REF!</definedName>
    <definedName name="M_11" localSheetId="0">#REF!</definedName>
    <definedName name="M_11">#REF!</definedName>
    <definedName name="M_119" localSheetId="18">[14]К.С.М.!#REF!</definedName>
    <definedName name="M_119" localSheetId="0">[14]К.С.М.!#REF!</definedName>
    <definedName name="M_119">[14]К.С.М.!#REF!</definedName>
    <definedName name="M_12" localSheetId="18">#REF!</definedName>
    <definedName name="M_12" localSheetId="0">#REF!</definedName>
    <definedName name="M_12">#REF!</definedName>
    <definedName name="M_122">'[15]К.С.М. (2)'!$P$49</definedName>
    <definedName name="M_12а" localSheetId="18">#REF!</definedName>
    <definedName name="M_12а" localSheetId="0">#REF!</definedName>
    <definedName name="M_12а">#REF!</definedName>
    <definedName name="M_12б" localSheetId="18">#REF!</definedName>
    <definedName name="M_12б" localSheetId="0">#REF!</definedName>
    <definedName name="M_12б">#REF!</definedName>
    <definedName name="M_13" localSheetId="18">#REF!</definedName>
    <definedName name="M_13" localSheetId="0">#REF!</definedName>
    <definedName name="M_13">#REF!</definedName>
    <definedName name="M_13а" localSheetId="0">#REF!</definedName>
    <definedName name="M_13а">#REF!</definedName>
    <definedName name="M_14" localSheetId="0">#REF!</definedName>
    <definedName name="M_14">#REF!</definedName>
    <definedName name="M_15" localSheetId="0">#REF!</definedName>
    <definedName name="M_15">#REF!</definedName>
    <definedName name="M_152" localSheetId="0">[16]К.С.М.!#REF!</definedName>
    <definedName name="M_152">[16]К.С.М.!#REF!</definedName>
    <definedName name="M_16" localSheetId="18">#REF!</definedName>
    <definedName name="M_16" localSheetId="0">#REF!</definedName>
    <definedName name="M_16">#REF!</definedName>
    <definedName name="M_17" localSheetId="18">#REF!</definedName>
    <definedName name="M_17" localSheetId="0">#REF!</definedName>
    <definedName name="M_17">#REF!</definedName>
    <definedName name="M_17a" localSheetId="18">#REF!</definedName>
    <definedName name="M_17a" localSheetId="0">#REF!</definedName>
    <definedName name="M_17a">#REF!</definedName>
    <definedName name="M_17б" localSheetId="0">#REF!</definedName>
    <definedName name="M_17б">#REF!</definedName>
    <definedName name="M_18">[17]К.С.М.!$P$42</definedName>
    <definedName name="M_188" localSheetId="18">#REF!</definedName>
    <definedName name="M_188" localSheetId="0">#REF!</definedName>
    <definedName name="M_188">#REF!</definedName>
    <definedName name="M_19" localSheetId="18">#REF!</definedName>
    <definedName name="M_19" localSheetId="0">#REF!</definedName>
    <definedName name="M_19">#REF!</definedName>
    <definedName name="M_1д" localSheetId="18">#REF!</definedName>
    <definedName name="M_1д" localSheetId="0">#REF!</definedName>
    <definedName name="M_1д">#REF!</definedName>
    <definedName name="M_2" localSheetId="0">#REF!</definedName>
    <definedName name="M_2">#REF!</definedName>
    <definedName name="M_20" localSheetId="0">#REF!</definedName>
    <definedName name="M_20">#REF!</definedName>
    <definedName name="M_20a" localSheetId="0">#REF!</definedName>
    <definedName name="M_20a">#REF!</definedName>
    <definedName name="M_21" localSheetId="0">#REF!</definedName>
    <definedName name="M_21">#REF!</definedName>
    <definedName name="M_22" localSheetId="0">#REF!</definedName>
    <definedName name="M_22">#REF!</definedName>
    <definedName name="M_222" localSheetId="0">#REF!</definedName>
    <definedName name="M_222">#REF!</definedName>
    <definedName name="M_23" localSheetId="0">#REF!</definedName>
    <definedName name="M_23">#REF!</definedName>
    <definedName name="M_24" localSheetId="0">#REF!</definedName>
    <definedName name="M_24">#REF!</definedName>
    <definedName name="M_25" localSheetId="0">#REF!</definedName>
    <definedName name="M_25">#REF!</definedName>
    <definedName name="M_25а" localSheetId="0">[18]К.С.М.!#REF!</definedName>
    <definedName name="M_25а">[18]К.С.М.!#REF!</definedName>
    <definedName name="M_25Х" localSheetId="0">[13]К.С.М.!#REF!</definedName>
    <definedName name="M_25Х">[13]К.С.М.!#REF!</definedName>
    <definedName name="M_26" localSheetId="18">#REF!</definedName>
    <definedName name="M_26" localSheetId="0">#REF!</definedName>
    <definedName name="M_26">#REF!</definedName>
    <definedName name="M_27" localSheetId="18">#REF!</definedName>
    <definedName name="M_27" localSheetId="0">#REF!</definedName>
    <definedName name="M_27">#REF!</definedName>
    <definedName name="M_27а" localSheetId="18">#REF!</definedName>
    <definedName name="M_27а" localSheetId="0">#REF!</definedName>
    <definedName name="M_27а">#REF!</definedName>
    <definedName name="M_27б" localSheetId="18">'[8]К.С.М. м'!#REF!</definedName>
    <definedName name="M_27б" localSheetId="0">'[8]К.С.М. м'!#REF!</definedName>
    <definedName name="M_27б">'[8]К.С.М. м'!#REF!</definedName>
    <definedName name="M_28" localSheetId="18">#REF!</definedName>
    <definedName name="M_28" localSheetId="0">#REF!</definedName>
    <definedName name="M_28">#REF!</definedName>
    <definedName name="M_29" localSheetId="18">#REF!</definedName>
    <definedName name="M_29" localSheetId="0">#REF!</definedName>
    <definedName name="M_29">#REF!</definedName>
    <definedName name="M_2а" localSheetId="18">#REF!</definedName>
    <definedName name="M_2а" localSheetId="0">#REF!</definedName>
    <definedName name="M_2а">#REF!</definedName>
    <definedName name="M_2б" localSheetId="0">#REF!</definedName>
    <definedName name="M_2б">#REF!</definedName>
    <definedName name="M_2в" localSheetId="0">#REF!</definedName>
    <definedName name="M_2в">#REF!</definedName>
    <definedName name="M_2д" localSheetId="0">#REF!</definedName>
    <definedName name="M_2д">#REF!</definedName>
    <definedName name="M_3" localSheetId="0">#REF!</definedName>
    <definedName name="M_3">#REF!</definedName>
    <definedName name="M_30" localSheetId="0">#REF!</definedName>
    <definedName name="M_30">#REF!</definedName>
    <definedName name="M_308" localSheetId="0">#REF!</definedName>
    <definedName name="M_308">#REF!</definedName>
    <definedName name="M_31" localSheetId="0">#REF!</definedName>
    <definedName name="M_31">#REF!</definedName>
    <definedName name="M_37" localSheetId="0">[18]К.С.М.!#REF!</definedName>
    <definedName name="M_37">[18]К.С.М.!#REF!</definedName>
    <definedName name="M_37а" localSheetId="18">#REF!</definedName>
    <definedName name="M_37а" localSheetId="0">#REF!</definedName>
    <definedName name="M_37а">#REF!</definedName>
    <definedName name="M_3д" localSheetId="18">#REF!</definedName>
    <definedName name="M_3д" localSheetId="0">#REF!</definedName>
    <definedName name="M_3д">#REF!</definedName>
    <definedName name="M_4" localSheetId="18">#REF!</definedName>
    <definedName name="M_4" localSheetId="0">#REF!</definedName>
    <definedName name="M_4">#REF!</definedName>
    <definedName name="M_42" localSheetId="0">#REF!</definedName>
    <definedName name="M_42">#REF!</definedName>
    <definedName name="M_421">[19]К.С.М.!$P$18</definedName>
    <definedName name="M_4а" localSheetId="18">#REF!</definedName>
    <definedName name="M_4а" localSheetId="0">#REF!</definedName>
    <definedName name="M_4а">#REF!</definedName>
    <definedName name="M_4д" localSheetId="18">#REF!</definedName>
    <definedName name="M_4д" localSheetId="0">#REF!</definedName>
    <definedName name="M_4д">#REF!</definedName>
    <definedName name="M_5" localSheetId="18">#REF!</definedName>
    <definedName name="M_5" localSheetId="0">#REF!</definedName>
    <definedName name="M_5">#REF!</definedName>
    <definedName name="M_50" localSheetId="18">[16]К.С.М.!#REF!</definedName>
    <definedName name="M_50" localSheetId="0">[16]К.С.М.!#REF!</definedName>
    <definedName name="M_50">[16]К.С.М.!#REF!</definedName>
    <definedName name="M_6" localSheetId="18">#REF!</definedName>
    <definedName name="M_6" localSheetId="0">#REF!</definedName>
    <definedName name="M_6">#REF!</definedName>
    <definedName name="M_61" localSheetId="18">#REF!</definedName>
    <definedName name="M_61" localSheetId="0">#REF!</definedName>
    <definedName name="M_61">#REF!</definedName>
    <definedName name="M_62" localSheetId="18">#REF!</definedName>
    <definedName name="M_62" localSheetId="0">#REF!</definedName>
    <definedName name="M_62">#REF!</definedName>
    <definedName name="M_63" localSheetId="0">#REF!</definedName>
    <definedName name="M_63">#REF!</definedName>
    <definedName name="M_633" localSheetId="0">#REF!</definedName>
    <definedName name="M_633">#REF!</definedName>
    <definedName name="M_634" localSheetId="0">#REF!</definedName>
    <definedName name="M_634">#REF!</definedName>
    <definedName name="M_64" localSheetId="0">#REF!</definedName>
    <definedName name="M_64">#REF!</definedName>
    <definedName name="M_66" localSheetId="0">#REF!</definedName>
    <definedName name="M_66">#REF!</definedName>
    <definedName name="M_666" localSheetId="0">'[8]К.С.М. м'!#REF!</definedName>
    <definedName name="M_666">'[8]К.С.М. м'!#REF!</definedName>
    <definedName name="M_66б" localSheetId="0">[20]К.С.М.!#REF!</definedName>
    <definedName name="M_66б">[20]К.С.М.!#REF!</definedName>
    <definedName name="M_67" localSheetId="0">[18]К.С.М.!#REF!</definedName>
    <definedName name="M_67">[18]К.С.М.!#REF!</definedName>
    <definedName name="M_69" localSheetId="18">#REF!</definedName>
    <definedName name="M_69" localSheetId="0">#REF!</definedName>
    <definedName name="M_69">#REF!</definedName>
    <definedName name="M_6a" localSheetId="18">#REF!</definedName>
    <definedName name="M_6a" localSheetId="0">#REF!</definedName>
    <definedName name="M_6a">#REF!</definedName>
    <definedName name="M_6а">[21]К.С.М.!$P$113</definedName>
    <definedName name="M_6б">[22]К.С.М.!$P$192</definedName>
    <definedName name="M_6бс" localSheetId="18">#REF!</definedName>
    <definedName name="M_6бс" localSheetId="0">#REF!</definedName>
    <definedName name="M_6бс">#REF!</definedName>
    <definedName name="M_7" localSheetId="18">#REF!</definedName>
    <definedName name="M_7" localSheetId="0">#REF!</definedName>
    <definedName name="M_7">#REF!</definedName>
    <definedName name="M_76a" localSheetId="18">[18]К.С.М.!#REF!</definedName>
    <definedName name="M_76a" localSheetId="0">[18]К.С.М.!#REF!</definedName>
    <definedName name="M_76a">[18]К.С.М.!#REF!</definedName>
    <definedName name="M_77" localSheetId="18">#REF!</definedName>
    <definedName name="M_77" localSheetId="0">#REF!</definedName>
    <definedName name="M_77">#REF!</definedName>
    <definedName name="M_78" localSheetId="18">#REF!</definedName>
    <definedName name="M_78" localSheetId="0">#REF!</definedName>
    <definedName name="M_78">#REF!</definedName>
    <definedName name="M_7а" localSheetId="18">#REF!</definedName>
    <definedName name="M_7а" localSheetId="0">#REF!</definedName>
    <definedName name="M_7а">#REF!</definedName>
    <definedName name="M_7б" localSheetId="18">[18]К.С.М.!#REF!</definedName>
    <definedName name="M_7б" localSheetId="0">[18]К.С.М.!#REF!</definedName>
    <definedName name="M_7б">[18]К.С.М.!#REF!</definedName>
    <definedName name="M_7к" localSheetId="18">[23]К.С.М.!#REF!</definedName>
    <definedName name="M_7к" localSheetId="0">[23]К.С.М.!#REF!</definedName>
    <definedName name="M_7к">[23]К.С.М.!#REF!</definedName>
    <definedName name="M_8" localSheetId="18">#REF!</definedName>
    <definedName name="M_8" localSheetId="0">#REF!</definedName>
    <definedName name="M_8">#REF!</definedName>
    <definedName name="M_81" localSheetId="18">#REF!</definedName>
    <definedName name="M_81" localSheetId="0">#REF!</definedName>
    <definedName name="M_81">#REF!</definedName>
    <definedName name="M_87" localSheetId="18">#REF!</definedName>
    <definedName name="M_87" localSheetId="0">#REF!</definedName>
    <definedName name="M_87">#REF!</definedName>
    <definedName name="M_88" localSheetId="0">#REF!</definedName>
    <definedName name="M_88">#REF!</definedName>
    <definedName name="M_89" localSheetId="0">#REF!</definedName>
    <definedName name="M_89">#REF!</definedName>
    <definedName name="M_8а" localSheetId="0">[12]К.С.М.!#REF!</definedName>
    <definedName name="M_8а">[12]К.С.М.!#REF!</definedName>
    <definedName name="M_8б" localSheetId="18">#REF!</definedName>
    <definedName name="M_8б" localSheetId="0">#REF!</definedName>
    <definedName name="M_8б">#REF!</definedName>
    <definedName name="M_8в" localSheetId="18">[12]К.С.М.!#REF!</definedName>
    <definedName name="M_8в" localSheetId="0">[12]К.С.М.!#REF!</definedName>
    <definedName name="M_8в">[12]К.С.М.!#REF!</definedName>
    <definedName name="M_8г" localSheetId="0">[12]К.С.М.!#REF!</definedName>
    <definedName name="M_8г">[12]К.С.М.!#REF!</definedName>
    <definedName name="M_9" localSheetId="18">#REF!</definedName>
    <definedName name="M_9" localSheetId="0">#REF!</definedName>
    <definedName name="M_9">#REF!</definedName>
    <definedName name="M_90" localSheetId="18">[12]К.С.М.!#REF!</definedName>
    <definedName name="M_90" localSheetId="0">[12]К.С.М.!#REF!</definedName>
    <definedName name="M_90">[12]К.С.М.!#REF!</definedName>
    <definedName name="M_91" localSheetId="18">#REF!</definedName>
    <definedName name="M_91" localSheetId="0">#REF!</definedName>
    <definedName name="M_91">#REF!</definedName>
    <definedName name="M_92" localSheetId="18">#REF!</definedName>
    <definedName name="M_92" localSheetId="0">#REF!</definedName>
    <definedName name="M_92">#REF!</definedName>
    <definedName name="M_9a" localSheetId="18">#REF!</definedName>
    <definedName name="M_9a" localSheetId="0">#REF!</definedName>
    <definedName name="M_9a">#REF!</definedName>
    <definedName name="Monnaie" localSheetId="0">#REF!</definedName>
    <definedName name="Monnaie">#REF!</definedName>
    <definedName name="Montant_en_EURO_ligne_1" localSheetId="0">#REF!</definedName>
    <definedName name="Montant_en_EURO_ligne_1">#REF!</definedName>
    <definedName name="Montant_en_EURO_ligne_2" localSheetId="0">#REF!</definedName>
    <definedName name="Montant_en_EURO_ligne_2">#REF!</definedName>
    <definedName name="Montant_en_lettre_ligne_1" localSheetId="0">#REF!</definedName>
    <definedName name="Montant_en_lettre_ligne_1">#REF!</definedName>
    <definedName name="Montant_en_lettre_ligne_2" localSheetId="0">#REF!</definedName>
    <definedName name="Montant_en_lettre_ligne_2">#REF!</definedName>
    <definedName name="Montant_EURO_chiffres" localSheetId="0">#REF!</definedName>
    <definedName name="Montant_EURO_chiffres">#REF!</definedName>
    <definedName name="N_5">'[24]3'!$K$155</definedName>
    <definedName name="nnn" localSheetId="18">#REF!</definedName>
    <definedName name="nnn" localSheetId="0">#REF!</definedName>
    <definedName name="nnn">#REF!</definedName>
    <definedName name="Nom_du_responsable" localSheetId="18">#REF!</definedName>
    <definedName name="Nom_du_responsable" localSheetId="0">#REF!</definedName>
    <definedName name="Nom_du_responsable">#REF!</definedName>
    <definedName name="Nt_0" localSheetId="18">#REF!</definedName>
    <definedName name="Nt_0" localSheetId="0">#REF!</definedName>
    <definedName name="Nt_0">#REF!</definedName>
    <definedName name="Obj_1" localSheetId="18">[4]ЭН1_БНС!#REF!</definedName>
    <definedName name="Obj_1" localSheetId="0">[4]ЭН1_БНС!#REF!</definedName>
    <definedName name="Obj_1">[4]ЭН1_БНС!#REF!</definedName>
    <definedName name="Obj_1_1" localSheetId="18">[2]Эл.энергия!#REF!</definedName>
    <definedName name="Obj_1_1" localSheetId="0">[2]Эл.энергия!#REF!</definedName>
    <definedName name="Obj_1_1">[2]Эл.энергия!#REF!</definedName>
    <definedName name="Obj_1_25" localSheetId="18">[2]Эл.энергия!#REF!</definedName>
    <definedName name="Obj_1_25" localSheetId="0">[2]Эл.энергия!#REF!</definedName>
    <definedName name="Obj_1_25">[2]Эл.энергия!#REF!</definedName>
    <definedName name="Obj_11" localSheetId="18">[4]М2_БНС!#REF!</definedName>
    <definedName name="Obj_11" localSheetId="0">[4]М2_БНС!#REF!</definedName>
    <definedName name="Obj_11">[4]М2_БНС!#REF!</definedName>
    <definedName name="Obj_12" localSheetId="0">[4]ЭН14_Ростверк!#REF!</definedName>
    <definedName name="Obj_12">[4]ЭН14_Ростверк!#REF!</definedName>
    <definedName name="Obj_13" localSheetId="0">[4]ЭН14_СВСиУ!#REF!</definedName>
    <definedName name="Obj_13">[4]ЭН14_СВСиУ!#REF!</definedName>
    <definedName name="Obj_14" localSheetId="0">[4]ЭН15_БНС!#REF!</definedName>
    <definedName name="Obj_14">[4]ЭН15_БНС!#REF!</definedName>
    <definedName name="Obj_15" localSheetId="0">[4]ЭН13_БНС!#REF!</definedName>
    <definedName name="Obj_15">[4]ЭН13_БНС!#REF!</definedName>
    <definedName name="Obj_16" localSheetId="0">[4]ЭН13_СВСиУ!#REF!</definedName>
    <definedName name="Obj_16">[4]ЭН13_СВСиУ!#REF!</definedName>
    <definedName name="Obj_17" localSheetId="0">[4]ЭН3_БНС!#REF!</definedName>
    <definedName name="Obj_17">[4]ЭН3_БНС!#REF!</definedName>
    <definedName name="Obj_18" localSheetId="0">[4]ЭН16_БНС!#REF!</definedName>
    <definedName name="Obj_18">[4]ЭН16_БНС!#REF!</definedName>
    <definedName name="Obj_2" localSheetId="0">[4]ЭН2_БНС!#REF!</definedName>
    <definedName name="Obj_2">[4]ЭН2_БНС!#REF!</definedName>
    <definedName name="Obj_2_1" localSheetId="0">'[2]аренда флота'!#REF!</definedName>
    <definedName name="Obj_2_1">'[2]аренда флота'!#REF!</definedName>
    <definedName name="Obj_2_25" localSheetId="0">'[2]аренда флота'!#REF!</definedName>
    <definedName name="Obj_2_25">'[2]аренда флота'!#REF!</definedName>
    <definedName name="Obj_22" localSheetId="0">'[4]Аренда флота'!#REF!</definedName>
    <definedName name="Obj_22">'[4]Аренда флота'!#REF!</definedName>
    <definedName name="Obj_3" localSheetId="0">[4]ЭН14_БНС!#REF!</definedName>
    <definedName name="Obj_3">[4]ЭН14_БНС!#REF!</definedName>
    <definedName name="Obj_4" localSheetId="0">'[4]1-1-4'!#REF!</definedName>
    <definedName name="Obj_4">'[4]1-1-4'!#REF!</definedName>
    <definedName name="Obj_5" localSheetId="0">'[4]8-4_времен.дорога А-В'!#REF!</definedName>
    <definedName name="Obj_5">'[4]8-4_времен.дорога А-В'!#REF!</definedName>
    <definedName name="Obj_6" localSheetId="0">'[4]2-4-9_дорога 3'!#REF!</definedName>
    <definedName name="Obj_6">'[4]2-4-9_дорога 3'!#REF!</definedName>
    <definedName name="Obj_7" localSheetId="0">'[4]1-1-11_Зем.работы площадки'!#REF!</definedName>
    <definedName name="Obj_7">'[4]1-1-11_Зем.работы площадки'!#REF!</definedName>
    <definedName name="Obj_8" localSheetId="0">'[4]1-1-8_островки'!#REF!</definedName>
    <definedName name="Obj_8">'[4]1-1-8_островки'!#REF!</definedName>
    <definedName name="Obj_9" localSheetId="0">'[4]9 навМОСТОВИК'!#REF!</definedName>
    <definedName name="Obj_9">'[4]9 навМОСТОВИК'!#REF!</definedName>
    <definedName name="Objet_1" localSheetId="18">#REF!</definedName>
    <definedName name="Objet_1" localSheetId="0">#REF!</definedName>
    <definedName name="Objet_1">#REF!</definedName>
    <definedName name="Objet_2" localSheetId="18">#REF!</definedName>
    <definedName name="Objet_2" localSheetId="0">#REF!</definedName>
    <definedName name="Objet_2">#REF!</definedName>
    <definedName name="Objet_3" localSheetId="18">#REF!</definedName>
    <definedName name="Objet_3" localSheetId="0">#REF!</definedName>
    <definedName name="Objet_3">#REF!</definedName>
    <definedName name="Obosn_1" localSheetId="18">[4]ЭН1_БНС!#REF!</definedName>
    <definedName name="Obosn_1" localSheetId="0">[4]ЭН1_БНС!#REF!</definedName>
    <definedName name="Obosn_1">[4]ЭН1_БНС!#REF!</definedName>
    <definedName name="Obosn_1_1" localSheetId="18">[2]Эл.энергия!#REF!</definedName>
    <definedName name="Obosn_1_1" localSheetId="0">[2]Эл.энергия!#REF!</definedName>
    <definedName name="Obosn_1_1">[2]Эл.энергия!#REF!</definedName>
    <definedName name="Obosn_1_25" localSheetId="18">[2]Эл.энергия!#REF!</definedName>
    <definedName name="Obosn_1_25" localSheetId="0">[2]Эл.энергия!#REF!</definedName>
    <definedName name="Obosn_1_25">[2]Эл.энергия!#REF!</definedName>
    <definedName name="Obosn_11" localSheetId="18">[4]М2_БНС!#REF!</definedName>
    <definedName name="Obosn_11" localSheetId="0">[4]М2_БНС!#REF!</definedName>
    <definedName name="Obosn_11">[4]М2_БНС!#REF!</definedName>
    <definedName name="Obosn_12" localSheetId="0">[4]ЭН14_Ростверк!#REF!</definedName>
    <definedName name="Obosn_12">[4]ЭН14_Ростверк!#REF!</definedName>
    <definedName name="Obosn_13" localSheetId="0">[4]ЭН14_СВСиУ!#REF!</definedName>
    <definedName name="Obosn_13">[4]ЭН14_СВСиУ!#REF!</definedName>
    <definedName name="Obosn_14" localSheetId="0">[4]ЭН15_БНС!#REF!</definedName>
    <definedName name="Obosn_14">[4]ЭН15_БНС!#REF!</definedName>
    <definedName name="Obosn_15" localSheetId="0">[4]ЭН13_БНС!#REF!</definedName>
    <definedName name="Obosn_15">[4]ЭН13_БНС!#REF!</definedName>
    <definedName name="Obosn_16" localSheetId="0">[4]ЭН13_СВСиУ!#REF!</definedName>
    <definedName name="Obosn_16">[4]ЭН13_СВСиУ!#REF!</definedName>
    <definedName name="Obosn_17" localSheetId="0">[4]ЭН3_БНС!#REF!</definedName>
    <definedName name="Obosn_17">[4]ЭН3_БНС!#REF!</definedName>
    <definedName name="Obosn_18" localSheetId="0">[4]ЭН16_БНС!#REF!</definedName>
    <definedName name="Obosn_18">[4]ЭН16_БНС!#REF!</definedName>
    <definedName name="Obosn_2" localSheetId="0">[4]ЭН2_БНС!#REF!</definedName>
    <definedName name="Obosn_2">[4]ЭН2_БНС!#REF!</definedName>
    <definedName name="Obosn_2_1" localSheetId="0">'[2]аренда флота'!#REF!</definedName>
    <definedName name="Obosn_2_1">'[2]аренда флота'!#REF!</definedName>
    <definedName name="Obosn_2_25" localSheetId="0">'[2]аренда флота'!#REF!</definedName>
    <definedName name="Obosn_2_25">'[2]аренда флота'!#REF!</definedName>
    <definedName name="Obosn_22" localSheetId="0">'[4]Аренда флота'!#REF!</definedName>
    <definedName name="Obosn_22">'[4]Аренда флота'!#REF!</definedName>
    <definedName name="Obosn_3" localSheetId="0">[4]ЭН14_БНС!#REF!</definedName>
    <definedName name="Obosn_3">[4]ЭН14_БНС!#REF!</definedName>
    <definedName name="Obosn_4" localSheetId="0">'[4]1-1-4'!#REF!</definedName>
    <definedName name="Obosn_4">'[4]1-1-4'!#REF!</definedName>
    <definedName name="Obosn_5" localSheetId="0">'[4]8-4_времен.дорога А-В'!#REF!</definedName>
    <definedName name="Obosn_5">'[4]8-4_времен.дорога А-В'!#REF!</definedName>
    <definedName name="Obosn_6" localSheetId="0">'[4]2-4-9_дорога 3'!#REF!</definedName>
    <definedName name="Obosn_6">'[4]2-4-9_дорога 3'!#REF!</definedName>
    <definedName name="Obosn_7" localSheetId="0">'[4]1-1-11_Зем.работы площадки'!#REF!</definedName>
    <definedName name="Obosn_7">'[4]1-1-11_Зем.работы площадки'!#REF!</definedName>
    <definedName name="Obosn_8" localSheetId="0">'[4]1-1-8_островки'!#REF!</definedName>
    <definedName name="Obosn_8">'[4]1-1-8_островки'!#REF!</definedName>
    <definedName name="Obosn_9" localSheetId="0">'[4]9 навМОСТОВИК'!#REF!</definedName>
    <definedName name="Obosn_9">'[4]9 навМОСТОВИК'!#REF!</definedName>
    <definedName name="OnProcMacro">"UFW_Convertion"</definedName>
    <definedName name="P_03">[6]Фм!$H$24</definedName>
    <definedName name="P_04">[6]Фм!$H$26</definedName>
    <definedName name="P_05">[6]Фм!$H$28</definedName>
    <definedName name="P_06">[6]Фм!$H$30</definedName>
    <definedName name="P_07">[6]Фм!$H$32</definedName>
    <definedName name="P_08">[6]Фм!$H$34</definedName>
    <definedName name="P_09">[6]Фм!$H$36</definedName>
    <definedName name="P_091">[6]Фм!$H$38</definedName>
    <definedName name="P_092">[6]Фм!$H$40</definedName>
    <definedName name="P_093">[6]Фм!$H$42</definedName>
    <definedName name="P_1" localSheetId="18">#REF!</definedName>
    <definedName name="P_1" localSheetId="0">#REF!</definedName>
    <definedName name="P_1">#REF!</definedName>
    <definedName name="P_10" localSheetId="18">#REF!</definedName>
    <definedName name="P_10" localSheetId="0">#REF!</definedName>
    <definedName name="P_10">#REF!</definedName>
    <definedName name="P_100" localSheetId="18">#REF!</definedName>
    <definedName name="P_100" localSheetId="0">#REF!</definedName>
    <definedName name="P_100">#REF!</definedName>
    <definedName name="P_1000" localSheetId="0">#REF!</definedName>
    <definedName name="P_1000">#REF!</definedName>
    <definedName name="P_1001" localSheetId="0">#REF!</definedName>
    <definedName name="P_1001">#REF!</definedName>
    <definedName name="P_1002" localSheetId="0">#REF!</definedName>
    <definedName name="P_1002">#REF!</definedName>
    <definedName name="P_101" localSheetId="0">#REF!</definedName>
    <definedName name="P_101">#REF!</definedName>
    <definedName name="P_103" localSheetId="0">[23]Ф!#REF!</definedName>
    <definedName name="P_103">[23]Ф!#REF!</definedName>
    <definedName name="P_104" localSheetId="0">[23]Ф!#REF!</definedName>
    <definedName name="P_104">[23]Ф!#REF!</definedName>
    <definedName name="P_10а" localSheetId="18">#REF!</definedName>
    <definedName name="P_10а" localSheetId="0">#REF!</definedName>
    <definedName name="P_10а">#REF!</definedName>
    <definedName name="P_10б" localSheetId="18">#REF!</definedName>
    <definedName name="P_10б" localSheetId="0">#REF!</definedName>
    <definedName name="P_10б">#REF!</definedName>
    <definedName name="P_10в" localSheetId="18">#REF!</definedName>
    <definedName name="P_10в" localSheetId="0">#REF!</definedName>
    <definedName name="P_10в">#REF!</definedName>
    <definedName name="P_10г" localSheetId="0">#REF!</definedName>
    <definedName name="P_10г">#REF!</definedName>
    <definedName name="P_11" localSheetId="0">#REF!</definedName>
    <definedName name="P_11">#REF!</definedName>
    <definedName name="P_111" localSheetId="0">#REF!</definedName>
    <definedName name="P_111">#REF!</definedName>
    <definedName name="P_112" localSheetId="0">#REF!</definedName>
    <definedName name="P_112">#REF!</definedName>
    <definedName name="P_113" localSheetId="0">#REF!</definedName>
    <definedName name="P_113">#REF!</definedName>
    <definedName name="P_113а" localSheetId="0">#REF!</definedName>
    <definedName name="P_113а">#REF!</definedName>
    <definedName name="P_114" localSheetId="0">#REF!</definedName>
    <definedName name="P_114">#REF!</definedName>
    <definedName name="P_11а" localSheetId="0">#REF!</definedName>
    <definedName name="P_11а">#REF!</definedName>
    <definedName name="P_12" localSheetId="0">#REF!</definedName>
    <definedName name="P_12">#REF!</definedName>
    <definedName name="P_122" localSheetId="0">[25]Ф!#REF!</definedName>
    <definedName name="P_122">[25]Ф!#REF!</definedName>
    <definedName name="P_129" localSheetId="18">#REF!</definedName>
    <definedName name="P_129" localSheetId="0">#REF!</definedName>
    <definedName name="P_129">#REF!</definedName>
    <definedName name="P_129а" localSheetId="18">#REF!</definedName>
    <definedName name="P_129а" localSheetId="0">#REF!</definedName>
    <definedName name="P_129а">#REF!</definedName>
    <definedName name="P_129б" localSheetId="18">#REF!</definedName>
    <definedName name="P_129б" localSheetId="0">#REF!</definedName>
    <definedName name="P_129б">#REF!</definedName>
    <definedName name="P_129в" localSheetId="0">#REF!</definedName>
    <definedName name="P_129в">#REF!</definedName>
    <definedName name="P_12а" localSheetId="0">#REF!</definedName>
    <definedName name="P_12а">#REF!</definedName>
    <definedName name="P_13" localSheetId="0">#REF!</definedName>
    <definedName name="P_13">#REF!</definedName>
    <definedName name="P_133" localSheetId="0">#REF!</definedName>
    <definedName name="P_133">#REF!</definedName>
    <definedName name="P_133а" localSheetId="0">#REF!</definedName>
    <definedName name="P_133а">#REF!</definedName>
    <definedName name="P_137" localSheetId="0">[13]Ф!#REF!</definedName>
    <definedName name="P_137">[13]Ф!#REF!</definedName>
    <definedName name="P_13a" localSheetId="18">#REF!</definedName>
    <definedName name="P_13a" localSheetId="0">#REF!</definedName>
    <definedName name="P_13a">#REF!</definedName>
    <definedName name="P_14" localSheetId="18">#REF!</definedName>
    <definedName name="P_14" localSheetId="0">#REF!</definedName>
    <definedName name="P_14">#REF!</definedName>
    <definedName name="P_140" localSheetId="18">[20]Ф!#REF!</definedName>
    <definedName name="P_140" localSheetId="0">[20]Ф!#REF!</definedName>
    <definedName name="P_140">[20]Ф!#REF!</definedName>
    <definedName name="P_141" localSheetId="18">#REF!</definedName>
    <definedName name="P_141" localSheetId="0">#REF!</definedName>
    <definedName name="P_141">#REF!</definedName>
    <definedName name="P_144" localSheetId="18">#REF!</definedName>
    <definedName name="P_144" localSheetId="0">#REF!</definedName>
    <definedName name="P_144">#REF!</definedName>
    <definedName name="P_14а" localSheetId="18">#REF!</definedName>
    <definedName name="P_14а" localSheetId="0">#REF!</definedName>
    <definedName name="P_14а">#REF!</definedName>
    <definedName name="P_14б" localSheetId="0">#REF!</definedName>
    <definedName name="P_14б">#REF!</definedName>
    <definedName name="P_15" localSheetId="0">#REF!</definedName>
    <definedName name="P_15">#REF!</definedName>
    <definedName name="P_150" localSheetId="0">[23]Ф!#REF!</definedName>
    <definedName name="P_150">[23]Ф!#REF!</definedName>
    <definedName name="P_155" localSheetId="18">#REF!</definedName>
    <definedName name="P_155" localSheetId="0">#REF!</definedName>
    <definedName name="P_155">#REF!</definedName>
    <definedName name="P_157" localSheetId="18">[13]Ф!#REF!</definedName>
    <definedName name="P_157" localSheetId="0">[13]Ф!#REF!</definedName>
    <definedName name="P_157">[13]Ф!#REF!</definedName>
    <definedName name="P_159" localSheetId="18">#REF!</definedName>
    <definedName name="P_159" localSheetId="0">#REF!</definedName>
    <definedName name="P_159">#REF!</definedName>
    <definedName name="P_16" localSheetId="18">#REF!</definedName>
    <definedName name="P_16" localSheetId="0">#REF!</definedName>
    <definedName name="P_16">#REF!</definedName>
    <definedName name="P_17" localSheetId="18">#REF!</definedName>
    <definedName name="P_17" localSheetId="0">#REF!</definedName>
    <definedName name="P_17">#REF!</definedName>
    <definedName name="P_18" localSheetId="0">#REF!</definedName>
    <definedName name="P_18">#REF!</definedName>
    <definedName name="P_19" localSheetId="0">#REF!</definedName>
    <definedName name="P_19">#REF!</definedName>
    <definedName name="P_190" localSheetId="0">#REF!</definedName>
    <definedName name="P_190">#REF!</definedName>
    <definedName name="P_1а" localSheetId="0">#REF!</definedName>
    <definedName name="P_1а">#REF!</definedName>
    <definedName name="P_2" localSheetId="0">#REF!</definedName>
    <definedName name="P_2">#REF!</definedName>
    <definedName name="P_20" localSheetId="0">#REF!</definedName>
    <definedName name="P_20">#REF!</definedName>
    <definedName name="P_21" localSheetId="0">#REF!</definedName>
    <definedName name="P_21">#REF!</definedName>
    <definedName name="P_22" localSheetId="0">#REF!</definedName>
    <definedName name="P_22">#REF!</definedName>
    <definedName name="P_22а" localSheetId="0">[8]Ф!#REF!</definedName>
    <definedName name="P_22а">[8]Ф!#REF!</definedName>
    <definedName name="P_23" localSheetId="18">#REF!</definedName>
    <definedName name="P_23" localSheetId="0">#REF!</definedName>
    <definedName name="P_23">#REF!</definedName>
    <definedName name="P_23а" localSheetId="18">[8]Ф!#REF!</definedName>
    <definedName name="P_23а" localSheetId="0">[8]Ф!#REF!</definedName>
    <definedName name="P_23а">[8]Ф!#REF!</definedName>
    <definedName name="P_24" localSheetId="18">#REF!</definedName>
    <definedName name="P_24" localSheetId="0">#REF!</definedName>
    <definedName name="P_24">#REF!</definedName>
    <definedName name="P_24а" localSheetId="18">#REF!</definedName>
    <definedName name="P_24а" localSheetId="0">#REF!</definedName>
    <definedName name="P_24а">#REF!</definedName>
    <definedName name="P_25" localSheetId="18">[23]Ф!#REF!</definedName>
    <definedName name="P_25" localSheetId="0">[23]Ф!#REF!</definedName>
    <definedName name="P_25">[23]Ф!#REF!</definedName>
    <definedName name="P_26" localSheetId="18">#REF!</definedName>
    <definedName name="P_26" localSheetId="0">#REF!</definedName>
    <definedName name="P_26">#REF!</definedName>
    <definedName name="P_27" localSheetId="18">#REF!</definedName>
    <definedName name="P_27" localSheetId="0">#REF!</definedName>
    <definedName name="P_27">#REF!</definedName>
    <definedName name="P_28" localSheetId="18">#REF!</definedName>
    <definedName name="P_28" localSheetId="0">#REF!</definedName>
    <definedName name="P_28">#REF!</definedName>
    <definedName name="P_289" localSheetId="0">#REF!</definedName>
    <definedName name="P_289">#REF!</definedName>
    <definedName name="P_28а" localSheetId="0">#REF!</definedName>
    <definedName name="P_28а">#REF!</definedName>
    <definedName name="P_29" localSheetId="0">#REF!</definedName>
    <definedName name="P_29">#REF!</definedName>
    <definedName name="P_2a" localSheetId="0">#REF!</definedName>
    <definedName name="P_2a">#REF!</definedName>
    <definedName name="P_2ab">[26]Ф!$H$48</definedName>
    <definedName name="P_2aб" localSheetId="18">#REF!</definedName>
    <definedName name="P_2aб" localSheetId="0">#REF!</definedName>
    <definedName name="P_2aб">#REF!</definedName>
    <definedName name="P_2б" localSheetId="18">#REF!</definedName>
    <definedName name="P_2б" localSheetId="0">#REF!</definedName>
    <definedName name="P_2б">#REF!</definedName>
    <definedName name="P_3" localSheetId="18">#REF!</definedName>
    <definedName name="P_3" localSheetId="0">#REF!</definedName>
    <definedName name="P_3">#REF!</definedName>
    <definedName name="P_30" localSheetId="0">#REF!</definedName>
    <definedName name="P_30">#REF!</definedName>
    <definedName name="P_302" localSheetId="0">#REF!</definedName>
    <definedName name="P_302">#REF!</definedName>
    <definedName name="P_303" localSheetId="0">#REF!</definedName>
    <definedName name="P_303">#REF!</definedName>
    <definedName name="P_304" localSheetId="0">#REF!</definedName>
    <definedName name="P_304">#REF!</definedName>
    <definedName name="P_305" localSheetId="0">#REF!</definedName>
    <definedName name="P_305">#REF!</definedName>
    <definedName name="P_306" localSheetId="0">#REF!</definedName>
    <definedName name="P_306">#REF!</definedName>
    <definedName name="P_307" localSheetId="0">#REF!</definedName>
    <definedName name="P_307">#REF!</definedName>
    <definedName name="P_308" localSheetId="0">#REF!</definedName>
    <definedName name="P_308">#REF!</definedName>
    <definedName name="P_31" localSheetId="0">#REF!</definedName>
    <definedName name="P_31">#REF!</definedName>
    <definedName name="P_310" localSheetId="0">#REF!</definedName>
    <definedName name="P_310">#REF!</definedName>
    <definedName name="P_311" localSheetId="0">#REF!</definedName>
    <definedName name="P_311">#REF!</definedName>
    <definedName name="P_313" localSheetId="0">#REF!</definedName>
    <definedName name="P_313">#REF!</definedName>
    <definedName name="P_318" localSheetId="0">#REF!</definedName>
    <definedName name="P_318">#REF!</definedName>
    <definedName name="P_32" localSheetId="0">#REF!</definedName>
    <definedName name="P_32">#REF!</definedName>
    <definedName name="P_33" localSheetId="0">#REF!</definedName>
    <definedName name="P_33">#REF!</definedName>
    <definedName name="P_330" localSheetId="0">[27]Ф!#REF!</definedName>
    <definedName name="P_330">[27]Ф!#REF!</definedName>
    <definedName name="P_334" localSheetId="0">[28]Ф!#REF!</definedName>
    <definedName name="P_334">[28]Ф!#REF!</definedName>
    <definedName name="P_337" localSheetId="0">[29]Ф!#REF!</definedName>
    <definedName name="P_337">[29]Ф!#REF!</definedName>
    <definedName name="P_339" localSheetId="0">[29]Ф!#REF!</definedName>
    <definedName name="P_339">[29]Ф!#REF!</definedName>
    <definedName name="P_34" localSheetId="18">#REF!</definedName>
    <definedName name="P_34" localSheetId="0">#REF!</definedName>
    <definedName name="P_34">#REF!</definedName>
    <definedName name="P_342" localSheetId="18">[29]Ф!#REF!</definedName>
    <definedName name="P_342" localSheetId="0">[29]Ф!#REF!</definedName>
    <definedName name="P_342">[29]Ф!#REF!</definedName>
    <definedName name="P_344" localSheetId="0">[28]Ф!#REF!</definedName>
    <definedName name="P_344">[28]Ф!#REF!</definedName>
    <definedName name="P_346">[30]Ф!$H$97</definedName>
    <definedName name="P_347" localSheetId="18">[29]Ф!#REF!</definedName>
    <definedName name="P_347" localSheetId="0">[29]Ф!#REF!</definedName>
    <definedName name="P_347">[29]Ф!#REF!</definedName>
    <definedName name="P_35" localSheetId="18">#REF!</definedName>
    <definedName name="P_35" localSheetId="0">#REF!</definedName>
    <definedName name="P_35">#REF!</definedName>
    <definedName name="P_36" localSheetId="18">#REF!</definedName>
    <definedName name="P_36" localSheetId="0">#REF!</definedName>
    <definedName name="P_36">#REF!</definedName>
    <definedName name="P_366" localSheetId="18">[13]Ф!#REF!</definedName>
    <definedName name="P_366" localSheetId="0">[13]Ф!#REF!</definedName>
    <definedName name="P_366">[13]Ф!#REF!</definedName>
    <definedName name="P_3666" localSheetId="18">[20]Ф!#REF!</definedName>
    <definedName name="P_3666" localSheetId="0">[20]Ф!#REF!</definedName>
    <definedName name="P_3666">[20]Ф!#REF!</definedName>
    <definedName name="P_36а" localSheetId="18">#REF!</definedName>
    <definedName name="P_36а" localSheetId="0">#REF!</definedName>
    <definedName name="P_36а">#REF!</definedName>
    <definedName name="P_37" localSheetId="18">#REF!</definedName>
    <definedName name="P_37" localSheetId="0">#REF!</definedName>
    <definedName name="P_37">#REF!</definedName>
    <definedName name="P_37а" localSheetId="18">#REF!</definedName>
    <definedName name="P_37а" localSheetId="0">#REF!</definedName>
    <definedName name="P_37а">#REF!</definedName>
    <definedName name="P_37б" localSheetId="0">#REF!</definedName>
    <definedName name="P_37б">#REF!</definedName>
    <definedName name="P_38" localSheetId="0">#REF!</definedName>
    <definedName name="P_38">#REF!</definedName>
    <definedName name="P_39" localSheetId="0">#REF!</definedName>
    <definedName name="P_39">#REF!</definedName>
    <definedName name="P_4" localSheetId="0">#REF!</definedName>
    <definedName name="P_4">#REF!</definedName>
    <definedName name="P_40" localSheetId="0">#REF!</definedName>
    <definedName name="P_40">#REF!</definedName>
    <definedName name="P_40а" localSheetId="0">#REF!</definedName>
    <definedName name="P_40а">#REF!</definedName>
    <definedName name="P_41" localSheetId="0">#REF!</definedName>
    <definedName name="P_41">#REF!</definedName>
    <definedName name="P_418" localSheetId="0">[13]Ф!#REF!</definedName>
    <definedName name="P_418">[13]Ф!#REF!</definedName>
    <definedName name="P_419" localSheetId="0">[13]Ф!#REF!</definedName>
    <definedName name="P_419">[13]Ф!#REF!</definedName>
    <definedName name="P_42" localSheetId="18">#REF!</definedName>
    <definedName name="P_42" localSheetId="0">#REF!</definedName>
    <definedName name="P_42">#REF!</definedName>
    <definedName name="P_44" localSheetId="18">[23]Ф!#REF!</definedName>
    <definedName name="P_44" localSheetId="0">[23]Ф!#REF!</definedName>
    <definedName name="P_44">[23]Ф!#REF!</definedName>
    <definedName name="P_44а" localSheetId="0">[8]Ф!#REF!</definedName>
    <definedName name="P_44а">[8]Ф!#REF!</definedName>
    <definedName name="P_46" localSheetId="18">#REF!</definedName>
    <definedName name="P_46" localSheetId="0">#REF!</definedName>
    <definedName name="P_46">#REF!</definedName>
    <definedName name="P_460" localSheetId="18">[20]Ф!#REF!</definedName>
    <definedName name="P_460" localSheetId="0">[20]Ф!#REF!</definedName>
    <definedName name="P_460">[20]Ф!#REF!</definedName>
    <definedName name="P_461" localSheetId="0">[20]Ф!#REF!</definedName>
    <definedName name="P_461">[20]Ф!#REF!</definedName>
    <definedName name="P_462" localSheetId="0">[20]Ф!#REF!</definedName>
    <definedName name="P_462">[20]Ф!#REF!</definedName>
    <definedName name="P_463" localSheetId="0">[20]Ф!#REF!</definedName>
    <definedName name="P_463">[20]Ф!#REF!</definedName>
    <definedName name="P_466" localSheetId="18">#REF!</definedName>
    <definedName name="P_466" localSheetId="0">#REF!</definedName>
    <definedName name="P_466">#REF!</definedName>
    <definedName name="P_467" localSheetId="18">[20]Ф!#REF!</definedName>
    <definedName name="P_467" localSheetId="0">[20]Ф!#REF!</definedName>
    <definedName name="P_467">[20]Ф!#REF!</definedName>
    <definedName name="P_468" localSheetId="0">[20]Ф!#REF!</definedName>
    <definedName name="P_468">[20]Ф!#REF!</definedName>
    <definedName name="P_469" localSheetId="0">[13]Ф!#REF!</definedName>
    <definedName name="P_469">[13]Ф!#REF!</definedName>
    <definedName name="P_49" localSheetId="0">[13]Ф!#REF!</definedName>
    <definedName name="P_49">[13]Ф!#REF!</definedName>
    <definedName name="P_4a" localSheetId="18">#REF!</definedName>
    <definedName name="P_4a" localSheetId="0">#REF!</definedName>
    <definedName name="P_4a">#REF!</definedName>
    <definedName name="P_4b" localSheetId="18">#REF!</definedName>
    <definedName name="P_4b" localSheetId="0">#REF!</definedName>
    <definedName name="P_4b">#REF!</definedName>
    <definedName name="P_4а">[31]Ф!$H$28</definedName>
    <definedName name="P_4б" localSheetId="18">[8]Ф!#REF!</definedName>
    <definedName name="P_4б" localSheetId="0">[8]Ф!#REF!</definedName>
    <definedName name="P_4б">[8]Ф!#REF!</definedName>
    <definedName name="P_4к" localSheetId="18">[13]Ф!#REF!</definedName>
    <definedName name="P_4к" localSheetId="0">[13]Ф!#REF!</definedName>
    <definedName name="P_4к">[13]Ф!#REF!</definedName>
    <definedName name="P_5" localSheetId="18">#REF!</definedName>
    <definedName name="P_5" localSheetId="0">#REF!</definedName>
    <definedName name="P_5">#REF!</definedName>
    <definedName name="P_50" localSheetId="18">[13]Ф!#REF!</definedName>
    <definedName name="P_50" localSheetId="0">[13]Ф!#REF!</definedName>
    <definedName name="P_50">[13]Ф!#REF!</definedName>
    <definedName name="P_51" localSheetId="18">#REF!</definedName>
    <definedName name="P_51" localSheetId="0">#REF!</definedName>
    <definedName name="P_51">#REF!</definedName>
    <definedName name="P_533" localSheetId="18">[16]Ф!#REF!</definedName>
    <definedName name="P_533" localSheetId="0">[16]Ф!#REF!</definedName>
    <definedName name="P_533">[16]Ф!#REF!</definedName>
    <definedName name="P_55" localSheetId="18">[23]Ф!#REF!</definedName>
    <definedName name="P_55" localSheetId="0">[23]Ф!#REF!</definedName>
    <definedName name="P_55">[23]Ф!#REF!</definedName>
    <definedName name="P_55a" localSheetId="18">[13]Ф!#REF!</definedName>
    <definedName name="P_55a" localSheetId="0">[13]Ф!#REF!</definedName>
    <definedName name="P_55a">[13]Ф!#REF!</definedName>
    <definedName name="P_55а" localSheetId="18">[13]Ф!#REF!</definedName>
    <definedName name="P_55а" localSheetId="0">[13]Ф!#REF!</definedName>
    <definedName name="P_55а">[13]Ф!#REF!</definedName>
    <definedName name="P_56" localSheetId="18">[13]Ф!#REF!</definedName>
    <definedName name="P_56" localSheetId="0">[13]Ф!#REF!</definedName>
    <definedName name="P_56">[13]Ф!#REF!</definedName>
    <definedName name="P_569" localSheetId="0">[13]Ф!#REF!</definedName>
    <definedName name="P_569">[13]Ф!#REF!</definedName>
    <definedName name="P_57" localSheetId="0">[13]Ф!#REF!</definedName>
    <definedName name="P_57">[13]Ф!#REF!</definedName>
    <definedName name="P_57а" localSheetId="18">#REF!</definedName>
    <definedName name="P_57а" localSheetId="0">#REF!</definedName>
    <definedName name="P_57а">#REF!</definedName>
    <definedName name="P_5а" localSheetId="18">#REF!</definedName>
    <definedName name="P_5а" localSheetId="0">#REF!</definedName>
    <definedName name="P_5а">#REF!</definedName>
    <definedName name="P_6" localSheetId="18">#REF!</definedName>
    <definedName name="P_6" localSheetId="0">#REF!</definedName>
    <definedName name="P_6">#REF!</definedName>
    <definedName name="P_600" localSheetId="0">#REF!</definedName>
    <definedName name="P_600">#REF!</definedName>
    <definedName name="P_62" localSheetId="0">[13]Ф!#REF!</definedName>
    <definedName name="P_62">[13]Ф!#REF!</definedName>
    <definedName name="P_63" localSheetId="0">[13]Ф!#REF!</definedName>
    <definedName name="P_63">[13]Ф!#REF!</definedName>
    <definedName name="P_66" localSheetId="18">#REF!</definedName>
    <definedName name="P_66" localSheetId="0">#REF!</definedName>
    <definedName name="P_66">#REF!</definedName>
    <definedName name="P_6а" localSheetId="18">#REF!</definedName>
    <definedName name="P_6а" localSheetId="0">#REF!</definedName>
    <definedName name="P_6а">#REF!</definedName>
    <definedName name="P_7" localSheetId="18">#REF!</definedName>
    <definedName name="P_7" localSheetId="0">#REF!</definedName>
    <definedName name="P_7">#REF!</definedName>
    <definedName name="P_71" localSheetId="18">[13]Ф!#REF!</definedName>
    <definedName name="P_71" localSheetId="0">[13]Ф!#REF!</definedName>
    <definedName name="P_71">[13]Ф!#REF!</definedName>
    <definedName name="P_72" localSheetId="18">[14]Ф!#REF!</definedName>
    <definedName name="P_72" localSheetId="0">[14]Ф!#REF!</definedName>
    <definedName name="P_72">[14]Ф!#REF!</definedName>
    <definedName name="P_73" localSheetId="18">[14]Ф!#REF!</definedName>
    <definedName name="P_73" localSheetId="0">[14]Ф!#REF!</definedName>
    <definedName name="P_73">[14]Ф!#REF!</definedName>
    <definedName name="P_73а" localSheetId="18">[14]Ф!#REF!</definedName>
    <definedName name="P_73а" localSheetId="0">[14]Ф!#REF!</definedName>
    <definedName name="P_73а">[14]Ф!#REF!</definedName>
    <definedName name="P_74" localSheetId="0">[16]Ф!#REF!</definedName>
    <definedName name="P_74">[16]Ф!#REF!</definedName>
    <definedName name="P_76" localSheetId="18">#REF!</definedName>
    <definedName name="P_76" localSheetId="0">#REF!</definedName>
    <definedName name="P_76">#REF!</definedName>
    <definedName name="P_78" localSheetId="18">#REF!</definedName>
    <definedName name="P_78" localSheetId="0">#REF!</definedName>
    <definedName name="P_78">#REF!</definedName>
    <definedName name="P_8" localSheetId="18">#REF!</definedName>
    <definedName name="P_8" localSheetId="0">#REF!</definedName>
    <definedName name="P_8">#REF!</definedName>
    <definedName name="P_82" localSheetId="0">#REF!</definedName>
    <definedName name="P_82">#REF!</definedName>
    <definedName name="P_88" localSheetId="0">#REF!</definedName>
    <definedName name="P_88">#REF!</definedName>
    <definedName name="P_9" localSheetId="0">#REF!</definedName>
    <definedName name="P_9">#REF!</definedName>
    <definedName name="P_91" localSheetId="0">[13]Ф!#REF!</definedName>
    <definedName name="P_91">[13]Ф!#REF!</definedName>
    <definedName name="P_910" localSheetId="0">[13]Ф!#REF!</definedName>
    <definedName name="P_910">[13]Ф!#REF!</definedName>
    <definedName name="P_911" localSheetId="18">#REF!</definedName>
    <definedName name="P_911" localSheetId="0">#REF!</definedName>
    <definedName name="P_911">#REF!</definedName>
    <definedName name="P_91а" localSheetId="18">[12]Ф!#REF!</definedName>
    <definedName name="P_91а" localSheetId="0">[12]Ф!#REF!</definedName>
    <definedName name="P_91а">[12]Ф!#REF!</definedName>
    <definedName name="P_92" localSheetId="0">[13]Ф!#REF!</definedName>
    <definedName name="P_92">[13]Ф!#REF!</definedName>
    <definedName name="P_93">[32]Ф!$H$77</definedName>
    <definedName name="P_98" localSheetId="18">#REF!</definedName>
    <definedName name="P_98" localSheetId="0">#REF!</definedName>
    <definedName name="P_98">#REF!</definedName>
    <definedName name="P_98а" localSheetId="18">#REF!</definedName>
    <definedName name="P_98а" localSheetId="0">#REF!</definedName>
    <definedName name="P_98а">#REF!</definedName>
    <definedName name="P_9a" localSheetId="18">#REF!</definedName>
    <definedName name="P_9a" localSheetId="0">#REF!</definedName>
    <definedName name="P_9a">#REF!</definedName>
    <definedName name="Pasp" localSheetId="18" hidden="1">{#N/A,#N/A,TRUE,"Сводка балансов"}</definedName>
    <definedName name="Pasp" localSheetId="0" hidden="1">{#N/A,#N/A,TRUE,"Сводка балансов"}</definedName>
    <definedName name="Pasp" localSheetId="1" hidden="1">{#N/A,#N/A,TRUE,"Сводка балансов"}</definedName>
    <definedName name="Pasp" hidden="1">{#N/A,#N/A,TRUE,"Сводка балансов"}</definedName>
    <definedName name="qwert" localSheetId="18" hidden="1">{#N/A,#N/A,TRUE,"Сводка балансов"}</definedName>
    <definedName name="qwert" localSheetId="0" hidden="1">{#N/A,#N/A,TRUE,"Сводка балансов"}</definedName>
    <definedName name="qwert" localSheetId="1" hidden="1">{#N/A,#N/A,TRUE,"Сводка балансов"}</definedName>
    <definedName name="qwert" hidden="1">{#N/A,#N/A,TRUE,"Сводка балансов"}</definedName>
    <definedName name="R_1" localSheetId="18">#REF!</definedName>
    <definedName name="R_1" localSheetId="0">#REF!</definedName>
    <definedName name="R_1">#REF!</definedName>
    <definedName name="R_1a" localSheetId="18">#REF!</definedName>
    <definedName name="R_1a" localSheetId="0">#REF!</definedName>
    <definedName name="R_1a">#REF!</definedName>
    <definedName name="R_1b" localSheetId="18">#REF!</definedName>
    <definedName name="R_1b" localSheetId="0">#REF!</definedName>
    <definedName name="R_1b">#REF!</definedName>
    <definedName name="R_2" localSheetId="0">#REF!</definedName>
    <definedName name="R_2">#REF!</definedName>
    <definedName name="S_0" localSheetId="0">#REF!</definedName>
    <definedName name="S_0">#REF!</definedName>
    <definedName name="S_01" localSheetId="0">#REF!</definedName>
    <definedName name="S_01">#REF!</definedName>
    <definedName name="S_02" localSheetId="0">#REF!</definedName>
    <definedName name="S_02">#REF!</definedName>
    <definedName name="SDFGHJJ" localSheetId="0">#REF!</definedName>
    <definedName name="SDFGHJJ">#REF!</definedName>
    <definedName name="SmPr_1" localSheetId="0">[4]ЭН1_БНС!#REF!</definedName>
    <definedName name="SmPr_1">[4]ЭН1_БНС!#REF!</definedName>
    <definedName name="SmPr_1_1" localSheetId="0">[2]Эл.энергия!#REF!</definedName>
    <definedName name="SmPr_1_1">[2]Эл.энергия!#REF!</definedName>
    <definedName name="SmPr_1_25" localSheetId="0">[2]Эл.энергия!#REF!</definedName>
    <definedName name="SmPr_1_25">[2]Эл.энергия!#REF!</definedName>
    <definedName name="SmPr_11" localSheetId="0">[4]М2_БНС!#REF!</definedName>
    <definedName name="SmPr_11">[4]М2_БНС!#REF!</definedName>
    <definedName name="SmPr_12" localSheetId="0">[4]ЭН14_Ростверк!#REF!</definedName>
    <definedName name="SmPr_12">[4]ЭН14_Ростверк!#REF!</definedName>
    <definedName name="SmPr_13" localSheetId="0">[4]ЭН14_СВСиУ!#REF!</definedName>
    <definedName name="SmPr_13">[4]ЭН14_СВСиУ!#REF!</definedName>
    <definedName name="SmPr_14" localSheetId="0">[4]ЭН15_БНС!#REF!</definedName>
    <definedName name="SmPr_14">[4]ЭН15_БНС!#REF!</definedName>
    <definedName name="SmPr_15" localSheetId="0">[4]ЭН13_БНС!#REF!</definedName>
    <definedName name="SmPr_15">[4]ЭН13_БНС!#REF!</definedName>
    <definedName name="SmPr_16" localSheetId="0">[4]ЭН13_СВСиУ!#REF!</definedName>
    <definedName name="SmPr_16">[4]ЭН13_СВСиУ!#REF!</definedName>
    <definedName name="SmPr_17" localSheetId="0">[4]ЭН3_БНС!#REF!</definedName>
    <definedName name="SmPr_17">[4]ЭН3_БНС!#REF!</definedName>
    <definedName name="SmPr_18" localSheetId="0">[4]ЭН16_БНС!#REF!</definedName>
    <definedName name="SmPr_18">[4]ЭН16_БНС!#REF!</definedName>
    <definedName name="SmPr_2" localSheetId="0">[4]ЭН2_БНС!#REF!</definedName>
    <definedName name="SmPr_2">[4]ЭН2_БНС!#REF!</definedName>
    <definedName name="SmPr_2_1" localSheetId="0">'[2]аренда флота'!#REF!</definedName>
    <definedName name="SmPr_2_1">'[2]аренда флота'!#REF!</definedName>
    <definedName name="SmPr_2_25" localSheetId="0">'[2]аренда флота'!#REF!</definedName>
    <definedName name="SmPr_2_25">'[2]аренда флота'!#REF!</definedName>
    <definedName name="SmPr_22" localSheetId="0">'[4]Аренда флота'!#REF!</definedName>
    <definedName name="SmPr_22">'[4]Аренда флота'!#REF!</definedName>
    <definedName name="SmPr_3" localSheetId="0">[4]ЭН14_БНС!#REF!</definedName>
    <definedName name="SmPr_3">[4]ЭН14_БНС!#REF!</definedName>
    <definedName name="SmPr_4" localSheetId="0">'[4]1-1-4'!#REF!</definedName>
    <definedName name="SmPr_4">'[4]1-1-4'!#REF!</definedName>
    <definedName name="SmPr_5" localSheetId="0">'[4]8-4_времен.дорога А-В'!#REF!</definedName>
    <definedName name="SmPr_5">'[4]8-4_времен.дорога А-В'!#REF!</definedName>
    <definedName name="SmPr_6" localSheetId="0">'[4]2-4-9_дорога 3'!#REF!</definedName>
    <definedName name="SmPr_6">'[4]2-4-9_дорога 3'!#REF!</definedName>
    <definedName name="SmPr_7" localSheetId="0">'[4]1-1-11_Зем.работы площадки'!#REF!</definedName>
    <definedName name="SmPr_7">'[4]1-1-11_Зем.работы площадки'!#REF!</definedName>
    <definedName name="SmPr_8" localSheetId="0">'[4]1-1-8_островки'!#REF!</definedName>
    <definedName name="SmPr_8">'[4]1-1-8_островки'!#REF!</definedName>
    <definedName name="SmPr_9" localSheetId="0">'[4]9 навМОСТОВИК'!#REF!</definedName>
    <definedName name="SmPr_9">'[4]9 навМОСТОВИК'!#REF!</definedName>
    <definedName name="Sp_0" localSheetId="18">#REF!</definedName>
    <definedName name="Sp_0" localSheetId="0">#REF!</definedName>
    <definedName name="Sp_0">#REF!</definedName>
    <definedName name="Sp_01" localSheetId="18">#REF!</definedName>
    <definedName name="Sp_01" localSheetId="0">#REF!</definedName>
    <definedName name="Sp_01">#REF!</definedName>
    <definedName name="Sp_1" localSheetId="18">#REF!</definedName>
    <definedName name="Sp_1" localSheetId="0">#REF!</definedName>
    <definedName name="Sp_1">#REF!</definedName>
    <definedName name="Ss_0" localSheetId="0">#REF!</definedName>
    <definedName name="Ss_0">#REF!</definedName>
    <definedName name="st_0" localSheetId="0">#REF!</definedName>
    <definedName name="st_0">#REF!</definedName>
    <definedName name="st_01" localSheetId="0">#REF!</definedName>
    <definedName name="st_01">#REF!</definedName>
    <definedName name="st_02" localSheetId="0">#REF!</definedName>
    <definedName name="st_02">#REF!</definedName>
    <definedName name="t_0" localSheetId="0">#REF!</definedName>
    <definedName name="t_0">#REF!</definedName>
    <definedName name="T17_1" localSheetId="0">#REF!</definedName>
    <definedName name="T17_1">#REF!</definedName>
    <definedName name="Tel" localSheetId="0">#REF!</definedName>
    <definedName name="Tel">#REF!</definedName>
    <definedName name="Tel_affaire" localSheetId="0">#REF!</definedName>
    <definedName name="Tel_affaire">#REF!</definedName>
    <definedName name="Tel_Dossier" localSheetId="0">#REF!</definedName>
    <definedName name="Tel_Dossier">#REF!</definedName>
    <definedName name="Titre" localSheetId="0">#REF!</definedName>
    <definedName name="Titre">#REF!</definedName>
    <definedName name="TVA" localSheetId="0">#REF!</definedName>
    <definedName name="TVA">#REF!</definedName>
    <definedName name="v" localSheetId="0">#REF!</definedName>
    <definedName name="v">#REF!</definedName>
    <definedName name="v_0" localSheetId="0">#REF!</definedName>
    <definedName name="v_0">#REF!</definedName>
    <definedName name="Vers" localSheetId="0">#REF!</definedName>
    <definedName name="Vers">#REF!</definedName>
    <definedName name="Ville_d_envoi" localSheetId="0">#REF!</definedName>
    <definedName name="Ville_d_envoi">#REF!</definedName>
    <definedName name="Volgina" localSheetId="18" hidden="1">{#N/A,#N/A,TRUE,"Сводка балансов"}</definedName>
    <definedName name="Volgina" localSheetId="0" hidden="1">{#N/A,#N/A,TRUE,"Сводка балансов"}</definedName>
    <definedName name="Volgina" localSheetId="1" hidden="1">{#N/A,#N/A,TRUE,"Сводка балансов"}</definedName>
    <definedName name="Volgina" hidden="1">{#N/A,#N/A,TRUE,"Сводка балансов"}</definedName>
    <definedName name="VR_0" localSheetId="0">'[33]зим '!#REF!</definedName>
    <definedName name="VR_0">'[33]зим '!#REF!</definedName>
    <definedName name="Vr_1" localSheetId="18">#REF!</definedName>
    <definedName name="Vr_1" localSheetId="0">#REF!</definedName>
    <definedName name="Vr_1">#REF!</definedName>
    <definedName name="Vrt_1" localSheetId="18">#REF!</definedName>
    <definedName name="Vrt_1" localSheetId="0">#REF!</definedName>
    <definedName name="Vrt_1">#REF!</definedName>
    <definedName name="w_0" localSheetId="18">#REF!</definedName>
    <definedName name="w_0" localSheetId="0">#REF!</definedName>
    <definedName name="w_0">#REF!</definedName>
    <definedName name="wrn.Сводка." localSheetId="18" hidden="1">{#N/A,#N/A,TRUE,"Сводка балансов"}</definedName>
    <definedName name="wrn.Сводка." localSheetId="0" hidden="1">{#N/A,#N/A,TRUE,"Сводка балансов"}</definedName>
    <definedName name="wrn.Сводка." localSheetId="1" hidden="1">{#N/A,#N/A,TRUE,"Сводка балансов"}</definedName>
    <definedName name="wrn.Сводка." hidden="1">{#N/A,#N/A,TRUE,"Сводка балансов"}</definedName>
    <definedName name="www" localSheetId="18">#REF!</definedName>
    <definedName name="www" localSheetId="0">#REF!</definedName>
    <definedName name="www">#REF!</definedName>
    <definedName name="x" localSheetId="18">#REF!</definedName>
    <definedName name="x" localSheetId="0">#REF!</definedName>
    <definedName name="x">#REF!</definedName>
    <definedName name="Xcgg" localSheetId="18">#REF!</definedName>
    <definedName name="Xcgg" localSheetId="0">#REF!</definedName>
    <definedName name="Xcgg">#REF!</definedName>
    <definedName name="xx" localSheetId="0">#REF!</definedName>
    <definedName name="xx">#REF!</definedName>
    <definedName name="yty" localSheetId="18" hidden="1">{#N/A,#N/A,TRUE,"Сводка балансов"}</definedName>
    <definedName name="yty" localSheetId="0" hidden="1">{#N/A,#N/A,TRUE,"Сводка балансов"}</definedName>
    <definedName name="yty" localSheetId="1" hidden="1">{#N/A,#N/A,TRUE,"Сводка балансов"}</definedName>
    <definedName name="yty" hidden="1">{#N/A,#N/A,TRUE,"Сводка балансов"}</definedName>
    <definedName name="z_0" localSheetId="18">#REF!</definedName>
    <definedName name="z_0" localSheetId="0">#REF!</definedName>
    <definedName name="z_0">#REF!</definedName>
    <definedName name="z_01" localSheetId="18">#REF!</definedName>
    <definedName name="z_01" localSheetId="0">#REF!</definedName>
    <definedName name="z_01">#REF!</definedName>
    <definedName name="Z_069E6AE0_487C_4BFF_B5DA_4352A89670E8_.wvu.FilterData" localSheetId="1" hidden="1">'Реестр январь'!#REF!</definedName>
    <definedName name="Z_0E27566C_5E8B_411A_84C7_F161A069C119_.wvu.Cols" localSheetId="1" hidden="1">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</definedName>
    <definedName name="Z_0E27566C_5E8B_411A_84C7_F161A069C119_.wvu.FilterData" localSheetId="1" hidden="1">'Реестр январь'!#REF!</definedName>
    <definedName name="Z_0E27566C_5E8B_411A_84C7_F161A069C119_.wvu.PrintArea" localSheetId="1" hidden="1">'Реестр январь'!$A$1:$Q$29</definedName>
    <definedName name="Z_0E27566C_5E8B_411A_84C7_F161A069C119_.wvu.PrintTitles" localSheetId="1" hidden="1">'Реестр январь'!$8:$8</definedName>
    <definedName name="Z_0E27566C_5E8B_411A_84C7_F161A069C119_.wvu.Rows" localSheetId="1" hidden="1">'Реестр январь'!#REF!,'Реестр январь'!#REF!</definedName>
    <definedName name="Z_1" localSheetId="0">#REF!</definedName>
    <definedName name="Z_1">#REF!</definedName>
    <definedName name="Z_114FFFD1_CB48_4AB5_846E_68E811AA0B61_.wvu.Cols" localSheetId="1" hidden="1">'Реестр январь'!#REF!,'Реестр январь'!#REF!,'Реестр январь'!$O:$O,'Реестр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</definedName>
    <definedName name="Z_114FFFD1_CB48_4AB5_846E_68E811AA0B61_.wvu.FilterData" localSheetId="1" hidden="1">'Реестр январь'!#REF!</definedName>
    <definedName name="Z_114FFFD1_CB48_4AB5_846E_68E811AA0B61_.wvu.PrintArea" localSheetId="1" hidden="1">'Реестр январь'!$A$1:$Q$29</definedName>
    <definedName name="Z_114FFFD1_CB48_4AB5_846E_68E811AA0B61_.wvu.PrintTitles" localSheetId="1" hidden="1">'Реестр январь'!$8:$8</definedName>
    <definedName name="Z_1AE59EBF_2F11_4F24_BEC8_7EAD29277C74_.wvu.FilterData" localSheetId="1" hidden="1">'Реестр январь'!#REF!</definedName>
    <definedName name="Z_221CEEAD_CED1_4DAD_A481_D817FFA9B119_.wvu.FilterData" localSheetId="1" hidden="1">'Реестр январь'!#REF!</definedName>
    <definedName name="Z_22623F21_1EC6_4BA0_9ECF_0CD52925D28F_.wvu.FilterData" localSheetId="1" hidden="1">'Реестр январь'!#REF!</definedName>
    <definedName name="Z_289F678E_8A83_443C_A9F4_0155B4E2EF5D_.wvu.FilterData" localSheetId="1" hidden="1">'Реестр январь'!#REF!</definedName>
    <definedName name="Z_2B724DB7_78CD_4E05_BDEE_25CD46368A11_.wvu.FilterData" localSheetId="1" hidden="1">'Реестр январь'!#REF!</definedName>
    <definedName name="Z_3" localSheetId="0">#REF!</definedName>
    <definedName name="Z_3">#REF!</definedName>
    <definedName name="Z_375CA54E_07C4_42A8_B2DF_00F021A8A0AA_.wvu.Cols" localSheetId="1" hidden="1">'Реестр январь'!$H:$M,'Реестр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</definedName>
    <definedName name="Z_375CA54E_07C4_42A8_B2DF_00F021A8A0AA_.wvu.FilterData" localSheetId="1" hidden="1">'Реестр январь'!#REF!</definedName>
    <definedName name="Z_375CA54E_07C4_42A8_B2DF_00F021A8A0AA_.wvu.PrintArea" localSheetId="1" hidden="1">'Реестр январь'!$A$1:$Q$29</definedName>
    <definedName name="Z_375CA54E_07C4_42A8_B2DF_00F021A8A0AA_.wvu.PrintTitles" localSheetId="1" hidden="1">'Реестр январь'!$8:$8</definedName>
    <definedName name="Z_375CA54E_07C4_42A8_B2DF_00F021A8A0AA_.wvu.Rows" localSheetId="1" hidden="1">'Реестр январь'!#REF!,'Реестр январь'!#REF!</definedName>
    <definedName name="Z_4" localSheetId="0">#REF!</definedName>
    <definedName name="Z_4">#REF!</definedName>
    <definedName name="Z_456C3BF0_D5ED_41B0_8985_625BD76F41D5_.wvu.FilterData" localSheetId="1" hidden="1">'Реестр январь'!#REF!</definedName>
    <definedName name="Z_47D7BABB_0127_4063_8B34_D42A17294F38_.wvu.FilterData" localSheetId="1" hidden="1">'Реестр январь'!#REF!</definedName>
    <definedName name="Z_58192B53_4666_46EB_828A_F4DBA32A80AC_.wvu.FilterData" localSheetId="1" hidden="1">'Реестр январь'!#REF!</definedName>
    <definedName name="Z_5BB96728_4342_49A0_8F42_CF16609C7FA9_.wvu.FilterData" localSheetId="1" hidden="1">'Реестр январь'!#REF!</definedName>
    <definedName name="Z_6C0C8826_98FC_4A18_BF57_1D7E9CCF969C_.wvu.Cols" localSheetId="1" hidden="1">'Реестр январь'!#REF!,'Реестр январь'!#REF!,'Реестр январь'!$O:$O,'Реестр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</definedName>
    <definedName name="Z_6C0C8826_98FC_4A18_BF57_1D7E9CCF969C_.wvu.FilterData" localSheetId="1" hidden="1">'Реестр январь'!#REF!</definedName>
    <definedName name="Z_6C0C8826_98FC_4A18_BF57_1D7E9CCF969C_.wvu.PrintArea" localSheetId="1" hidden="1">'Реестр январь'!$A$1:$Q$29</definedName>
    <definedName name="Z_6C0C8826_98FC_4A18_BF57_1D7E9CCF969C_.wvu.PrintTitles" localSheetId="1" hidden="1">'Реестр январь'!$8:$8</definedName>
    <definedName name="Z_70C5F922_8B98_4033_AB89_E3DA26700780_.wvu.Cols" localSheetId="1" hidden="1">'Реестр январь'!#REF!,'Реестр январь'!#REF!,'Реестр январь'!$O:$O,'Реестр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январь'!#REF!,'Реестр январь'!#REF!</definedName>
    <definedName name="Z_70C5F922_8B98_4033_AB89_E3DA26700780_.wvu.FilterData" localSheetId="1" hidden="1">'Реестр январь'!#REF!</definedName>
    <definedName name="Z_70C5F922_8B98_4033_AB89_E3DA26700780_.wvu.PrintArea" localSheetId="1" hidden="1">'Реестр январь'!$A$1:$Q$29</definedName>
    <definedName name="Z_70C5F922_8B98_4033_AB89_E3DA26700780_.wvu.PrintTitles" localSheetId="1" hidden="1">'Реестр январь'!$8:$8</definedName>
    <definedName name="Z_72BE3A03_06B3_4528_B0F5_B8C44516F991_.wvu.FilterData" localSheetId="1" hidden="1">'Реестр январь'!#REF!</definedName>
    <definedName name="Z_923DCFA4_5487_40CB_A369_1176615B6A04_.wvu.FilterData" localSheetId="1" hidden="1">'Реестр январь'!#REF!</definedName>
    <definedName name="Z_A7820E9D_4379_4208_B7C0_DA206317A6E0_.wvu.FilterData" localSheetId="1" hidden="1">'Реестр январь'!#REF!</definedName>
    <definedName name="Z_C84B96A8_C08F_4F20_851C_F658B8426FAD_.wvu.FilterData" localSheetId="1" hidden="1">'Реестр январь'!#REF!</definedName>
    <definedName name="Z_C92E35CB_8925_42DD_A2D3_3CBEC5D9901F_.wvu.FilterData" localSheetId="1" hidden="1">'Реестр январь'!#REF!</definedName>
    <definedName name="Z_DA15861C_BBDD_4696_BD8D_A121DB72EF2C_.wvu.FilterData" localSheetId="1" hidden="1">'Реестр январь'!#REF!</definedName>
    <definedName name="Z_E2877B35_16E2_4F8D_811A_018821AF2E40_.wvu.FilterData" localSheetId="1" hidden="1">'Реестр январь'!#REF!</definedName>
    <definedName name="Z_F63B893E_8923_422F_A17A_257EB67FC341_.wvu.FilterData" localSheetId="1" hidden="1">'Реестр январь'!#REF!</definedName>
    <definedName name="Z_FC2D9AFE_FBD9_49F9_B4AA_707A9987925E_.wvu.FilterData" localSheetId="1" hidden="1">'Реестр январь'!#REF!</definedName>
    <definedName name="Z_FC7F1F74_CC62_47B7_8325_A92ABF74F933_.wvu.FilterData" localSheetId="1" hidden="1">'Реестр январь'!#REF!</definedName>
    <definedName name="Z_FDA8F10B_83EE_47EB_9964_89D5D4227347_.wvu.FilterData" localSheetId="1" hidden="1">'Реестр январь'!#REF!</definedName>
    <definedName name="Z_FF361F67_07BD_4928_95E7_F3DC90D8EBF1_.wvu.FilterData" localSheetId="1" hidden="1">'Реестр январь'!#REF!</definedName>
    <definedName name="ZIM_0">'[34]зим '!$F$31</definedName>
    <definedName name="ZIM_03">'[34]зим '!$F$31</definedName>
    <definedName name="ZIM_1" localSheetId="0">#REF!</definedName>
    <definedName name="ZIM_1">#REF!</definedName>
    <definedName name="Zm_1" localSheetId="18">[35]Зима!#REF!</definedName>
    <definedName name="Zm_1" localSheetId="0">[35]Зима!#REF!</definedName>
    <definedName name="Zm_1">[35]Зима!#REF!</definedName>
    <definedName name="Zmt_1" localSheetId="18">#REF!</definedName>
    <definedName name="Zmt_1" localSheetId="0">#REF!</definedName>
    <definedName name="Zmt_1">#REF!</definedName>
    <definedName name="А" localSheetId="0">#REF!</definedName>
    <definedName name="А">#REF!</definedName>
    <definedName name="А_1" localSheetId="0">#REF!</definedName>
    <definedName name="А_1">#REF!</definedName>
    <definedName name="а1" localSheetId="0">#REF!</definedName>
    <definedName name="а1">#REF!</definedName>
    <definedName name="а111" localSheetId="0">#REF!</definedName>
    <definedName name="а111">#REF!</definedName>
    <definedName name="а123" localSheetId="0">#REF!</definedName>
    <definedName name="а123">#REF!</definedName>
    <definedName name="а24_С_Заголовок_pre_rep" localSheetId="0">[36]Лист1!#REF!</definedName>
    <definedName name="а24_С_Заголовок_pre_rep">[36]Лист1!#REF!</definedName>
    <definedName name="а45" localSheetId="0">[37]Лист1!#REF!</definedName>
    <definedName name="а45">[37]Лист1!#REF!</definedName>
    <definedName name="а54_и" localSheetId="0">#REF!</definedName>
    <definedName name="а54_и">#REF!</definedName>
    <definedName name="аа" localSheetId="0">#REF!</definedName>
    <definedName name="аа">#REF!</definedName>
    <definedName name="ааа" localSheetId="0">#REF!</definedName>
    <definedName name="ааа">#REF!</definedName>
    <definedName name="аааа" localSheetId="0">#REF!</definedName>
    <definedName name="аааа">#REF!</definedName>
    <definedName name="аааааа" localSheetId="0">#REF!</definedName>
    <definedName name="аааааа">#REF!</definedName>
    <definedName name="ааааааа" localSheetId="0">#REF!</definedName>
    <definedName name="ааааааа">#REF!</definedName>
    <definedName name="ааааааааааа" localSheetId="0">#REF!</definedName>
    <definedName name="ааааааааааа">#REF!</definedName>
    <definedName name="ааааааааааааа" localSheetId="0">#REF!</definedName>
    <definedName name="ааааааааааааа">#REF!</definedName>
    <definedName name="аааааааааааааааа" localSheetId="0">#REF!</definedName>
    <definedName name="аааааааааааааааа">#REF!</definedName>
    <definedName name="аб">'[38]C.с '!$D$52</definedName>
    <definedName name="абв" localSheetId="0">#REF!</definedName>
    <definedName name="абв">#REF!</definedName>
    <definedName name="абс">'[39]C.с  (2)'!$H$44</definedName>
    <definedName name="ав" localSheetId="0">#REF!</definedName>
    <definedName name="ав">#REF!</definedName>
    <definedName name="Автоб.ост.">'[40]Обстановка дороги'!$AJ$103</definedName>
    <definedName name="Автопав.">[40]Автопавильон!$AJ$133</definedName>
    <definedName name="авторск" localSheetId="0">#REF!</definedName>
    <definedName name="авторск">#REF!</definedName>
    <definedName name="аепапапа" localSheetId="0">#REF!</definedName>
    <definedName name="аепапапа">#REF!</definedName>
    <definedName name="аммммммммммм" localSheetId="0">#REF!</definedName>
    <definedName name="аммммммммммм">#REF!</definedName>
    <definedName name="анна_крА" localSheetId="0">#REF!</definedName>
    <definedName name="анна_крА">#REF!</definedName>
    <definedName name="анна_крБ" localSheetId="0">#REF!</definedName>
    <definedName name="анна_крБ">#REF!</definedName>
    <definedName name="анна_крВ" localSheetId="0">#REF!</definedName>
    <definedName name="анна_крВ">#REF!</definedName>
    <definedName name="анна_крГ" localSheetId="0">#REF!</definedName>
    <definedName name="анна_крГ">#REF!</definedName>
    <definedName name="анна_крД" localSheetId="0">#REF!</definedName>
    <definedName name="анна_крД">#REF!</definedName>
    <definedName name="анна_крЕ" localSheetId="0">#REF!</definedName>
    <definedName name="анна_крЕ">#REF!</definedName>
    <definedName name="анна_крЖ" localSheetId="0">#REF!</definedName>
    <definedName name="анна_крЖ">#REF!</definedName>
    <definedName name="ап" localSheetId="0">#REF!</definedName>
    <definedName name="ап">#REF!</definedName>
    <definedName name="апапаап" localSheetId="0">#REF!</definedName>
    <definedName name="апапаап">#REF!</definedName>
    <definedName name="АПАПАПА" localSheetId="0">#REF!</definedName>
    <definedName name="АПАПАПА">#REF!</definedName>
    <definedName name="апапапп" localSheetId="0">'[8]К.С.М. м'!#REF!</definedName>
    <definedName name="апапапп">'[8]К.С.М. м'!#REF!</definedName>
    <definedName name="АПАПВАПАПВ" localSheetId="18">#REF!</definedName>
    <definedName name="АПАПВАПАПВ" localSheetId="0">#REF!</definedName>
    <definedName name="АПАПВАПАПВ">#REF!</definedName>
    <definedName name="апапп" localSheetId="18">#REF!</definedName>
    <definedName name="апапп" localSheetId="0">#REF!</definedName>
    <definedName name="апапп">#REF!</definedName>
    <definedName name="апаппрп" localSheetId="18">#REF!</definedName>
    <definedName name="апаппрп" localSheetId="0">#REF!</definedName>
    <definedName name="апаппрп">#REF!</definedName>
    <definedName name="апекеаорпр" localSheetId="0">#REF!</definedName>
    <definedName name="апекеаорпр">#REF!</definedName>
    <definedName name="апоапоапдол" localSheetId="0">#REF!</definedName>
    <definedName name="апоапоапдол">#REF!</definedName>
    <definedName name="апорп" localSheetId="0">#REF!</definedName>
    <definedName name="апорп">#REF!</definedName>
    <definedName name="АПППППППППППП" localSheetId="0">#REF!</definedName>
    <definedName name="АПППППППППППП">#REF!</definedName>
    <definedName name="АППППППППППППППППППП" localSheetId="0">#REF!</definedName>
    <definedName name="АППППППППППППППППППП">#REF!</definedName>
    <definedName name="аппппппппппппппппппппп" localSheetId="0">#REF!</definedName>
    <definedName name="аппппппппппппппппппппп">#REF!</definedName>
    <definedName name="апр" localSheetId="0">#REF!</definedName>
    <definedName name="апр">#REF!</definedName>
    <definedName name="апрель">[41]Лист1!$C$418:$H$704</definedName>
    <definedName name="апро" localSheetId="0">#REF!</definedName>
    <definedName name="апро">#REF!</definedName>
    <definedName name="ара" localSheetId="0">#REF!</definedName>
    <definedName name="ара">#REF!</definedName>
    <definedName name="арара" localSheetId="0">#REF!</definedName>
    <definedName name="арара">#REF!</definedName>
    <definedName name="аренд" localSheetId="0">#REF!</definedName>
    <definedName name="аренд">#REF!</definedName>
    <definedName name="Асф.покр.">'[40]Дорожная одежда'!$AJ$30</definedName>
    <definedName name="б" localSheetId="0">#REF!</definedName>
    <definedName name="б">#REF!</definedName>
    <definedName name="Б_1" localSheetId="0">#REF!</definedName>
    <definedName name="Б_1">#REF!</definedName>
    <definedName name="_xlnm.Database" localSheetId="0">#REF!</definedName>
    <definedName name="_xlnm.Database">#REF!</definedName>
    <definedName name="бб" localSheetId="0">#REF!</definedName>
    <definedName name="бб">#REF!</definedName>
    <definedName name="ббб" localSheetId="0">#REF!</definedName>
    <definedName name="ббб">#REF!</definedName>
    <definedName name="Блаблабла" localSheetId="0">#REF!</definedName>
    <definedName name="Блаблабла">#REF!</definedName>
    <definedName name="бласть_печати1" localSheetId="0">#REF!</definedName>
    <definedName name="бласть_печати1">#REF!</definedName>
    <definedName name="бобров_крА" localSheetId="0">#REF!</definedName>
    <definedName name="бобров_крА">#REF!</definedName>
    <definedName name="бобров_крБ" localSheetId="0">#REF!</definedName>
    <definedName name="бобров_крБ">#REF!</definedName>
    <definedName name="бобров_крВ" localSheetId="0">#REF!</definedName>
    <definedName name="бобров_крВ">#REF!</definedName>
    <definedName name="бобров_крГ" localSheetId="0">#REF!</definedName>
    <definedName name="бобров_крГ">#REF!</definedName>
    <definedName name="бобров_крД" localSheetId="0">#REF!</definedName>
    <definedName name="бобров_крД">#REF!</definedName>
    <definedName name="бобров_крЕ" localSheetId="0">#REF!</definedName>
    <definedName name="бобров_крЕ">#REF!</definedName>
    <definedName name="бобров_крЖ" localSheetId="0">#REF!</definedName>
    <definedName name="бобров_крЖ">#REF!</definedName>
    <definedName name="богучар_крА" localSheetId="0">#REF!</definedName>
    <definedName name="богучар_крА">#REF!</definedName>
    <definedName name="богучар_крБ" localSheetId="0">#REF!</definedName>
    <definedName name="богучар_крБ">#REF!</definedName>
    <definedName name="богучар_крВ" localSheetId="0">#REF!</definedName>
    <definedName name="богучар_крВ">#REF!</definedName>
    <definedName name="богучар_крГ" localSheetId="0">#REF!</definedName>
    <definedName name="богучар_крГ">#REF!</definedName>
    <definedName name="богучар_крД" localSheetId="0">#REF!</definedName>
    <definedName name="богучар_крД">#REF!</definedName>
    <definedName name="богучар_крЕ" localSheetId="0">#REF!</definedName>
    <definedName name="богучар_крЕ">#REF!</definedName>
    <definedName name="богучар_крЖ" localSheetId="0">#REF!</definedName>
    <definedName name="богучар_крЖ">#REF!</definedName>
    <definedName name="борис_крА" localSheetId="0">#REF!</definedName>
    <definedName name="борис_крА">#REF!</definedName>
    <definedName name="борис_крБ" localSheetId="0">#REF!</definedName>
    <definedName name="борис_крБ">#REF!</definedName>
    <definedName name="борис_крВ" localSheetId="0">#REF!</definedName>
    <definedName name="борис_крВ">#REF!</definedName>
    <definedName name="борис_крГ" localSheetId="0">#REF!</definedName>
    <definedName name="борис_крГ">#REF!</definedName>
    <definedName name="борис_крД" localSheetId="0">#REF!</definedName>
    <definedName name="борис_крД">#REF!</definedName>
    <definedName name="борис_крЕ" localSheetId="0">#REF!</definedName>
    <definedName name="борис_крЕ">#REF!</definedName>
    <definedName name="борис_крЖ" localSheetId="0">#REF!</definedName>
    <definedName name="борис_крЖ">#REF!</definedName>
    <definedName name="бутур_крА" localSheetId="0">#REF!</definedName>
    <definedName name="бутур_крА">#REF!</definedName>
    <definedName name="бутур_крБ" localSheetId="0">#REF!</definedName>
    <definedName name="бутур_крБ">#REF!</definedName>
    <definedName name="бутур_крВ" localSheetId="0">#REF!</definedName>
    <definedName name="бутур_крВ">#REF!</definedName>
    <definedName name="бутур_крГ" localSheetId="0">#REF!</definedName>
    <definedName name="бутур_крГ">#REF!</definedName>
    <definedName name="бутур_крД" localSheetId="0">#REF!</definedName>
    <definedName name="бутур_крД">#REF!</definedName>
    <definedName name="бутур_крЕ" localSheetId="0">#REF!</definedName>
    <definedName name="бутур_крЕ">#REF!</definedName>
    <definedName name="бутур_крЖ" localSheetId="0">#REF!</definedName>
    <definedName name="бутур_крЖ">#REF!</definedName>
    <definedName name="в" localSheetId="0">#REF!</definedName>
    <definedName name="в">#REF!</definedName>
    <definedName name="В_1" localSheetId="0">#REF!</definedName>
    <definedName name="В_1">#REF!</definedName>
    <definedName name="ВА" localSheetId="0">#REF!</definedName>
    <definedName name="ВА">#REF!</definedName>
    <definedName name="вааааааааааа" localSheetId="0">[23]К.С.М.!#REF!</definedName>
    <definedName name="вааааааааааа">[23]К.С.М.!#REF!</definedName>
    <definedName name="ваааааааааааааа" localSheetId="18">#REF!</definedName>
    <definedName name="ваааааааааааааа" localSheetId="0">#REF!</definedName>
    <definedName name="ваааааааааааааа">#REF!</definedName>
    <definedName name="ваапцуу" localSheetId="18">#REF!</definedName>
    <definedName name="ваапцуу" localSheetId="0">#REF!</definedName>
    <definedName name="ваапцуу">#REF!</definedName>
    <definedName name="вававава" localSheetId="18">#REF!</definedName>
    <definedName name="вававава" localSheetId="0">#REF!</definedName>
    <definedName name="вававава">#REF!</definedName>
    <definedName name="вавыпаа" localSheetId="18" hidden="1">{#N/A,#N/A,TRUE,"Сводка балансов"}</definedName>
    <definedName name="вавыпаа" localSheetId="0" hidden="1">{#N/A,#N/A,TRUE,"Сводка балансов"}</definedName>
    <definedName name="вавыпаа" localSheetId="1" hidden="1">{#N/A,#N/A,TRUE,"Сводка балансов"}</definedName>
    <definedName name="вавыпаа" hidden="1">{#N/A,#N/A,TRUE,"Сводка балансов"}</definedName>
    <definedName name="ВАПАИИВ" localSheetId="18">#REF!</definedName>
    <definedName name="ВАПАИИВ" localSheetId="0">#REF!</definedName>
    <definedName name="ВАПАИИВ">#REF!</definedName>
    <definedName name="ВАПВАП" localSheetId="18">#REF!</definedName>
    <definedName name="ВАПВАП" localSheetId="0">#REF!</definedName>
    <definedName name="ВАПВАП">#REF!</definedName>
    <definedName name="ВАППППППППППППППППППППП" localSheetId="18">#REF!</definedName>
    <definedName name="ВАППППППППППППППППППППП" localSheetId="0">#REF!</definedName>
    <definedName name="ВАППППППППППППППППППППП">#REF!</definedName>
    <definedName name="ВАППППППППППППППППППППППП" localSheetId="0">#REF!</definedName>
    <definedName name="ВАППППППППППППППППППППППП">#REF!</definedName>
    <definedName name="вапр" localSheetId="0">#REF!</definedName>
    <definedName name="вапр">#REF!</definedName>
    <definedName name="вах">[16]вах!$F$17</definedName>
    <definedName name="вах.т.">'[42]вах(б)'!$E$37</definedName>
    <definedName name="вахт" localSheetId="0">#REF!</definedName>
    <definedName name="вахт">#REF!</definedName>
    <definedName name="ВАЫВАЫАФ" localSheetId="0">#REF!</definedName>
    <definedName name="ВАЫВАЫАФ">#REF!</definedName>
    <definedName name="вв\" localSheetId="0">#REF!</definedName>
    <definedName name="вв\">#REF!</definedName>
    <definedName name="ВВ_1" localSheetId="0">#REF!</definedName>
    <definedName name="ВВ_1">#REF!</definedName>
    <definedName name="вва" localSheetId="0">#REF!</definedName>
    <definedName name="вва">#REF!</definedName>
    <definedName name="ввв" localSheetId="0">#REF!</definedName>
    <definedName name="ввв">#REF!</definedName>
    <definedName name="вввв" localSheetId="18" hidden="1">{#N/A,#N/A,TRUE,"Сводка балансов"}</definedName>
    <definedName name="вввв" localSheetId="0" hidden="1">{#N/A,#N/A,TRUE,"Сводка балансов"}</definedName>
    <definedName name="вввв" localSheetId="1" hidden="1">{#N/A,#N/A,TRUE,"Сводка балансов"}</definedName>
    <definedName name="вввв" hidden="1">{#N/A,#N/A,TRUE,"Сводка балансов"}</definedName>
    <definedName name="ввввв" localSheetId="18">#REF!</definedName>
    <definedName name="ввввв" localSheetId="0">#REF!</definedName>
    <definedName name="ввввв">#REF!</definedName>
    <definedName name="ВВВВВВВВВВВВВВВВВ" localSheetId="18">#REF!</definedName>
    <definedName name="ВВВВВВВВВВВВВВВВВ" localSheetId="0">#REF!</definedName>
    <definedName name="ВВВВВВВВВВВВВВВВВ">#REF!</definedName>
    <definedName name="ВВВВВВВВВВВВВВВВВАААААААААААААААА" localSheetId="18">#REF!</definedName>
    <definedName name="ВВВВВВВВВВВВВВВВВАААААААААААААААА" localSheetId="0">#REF!</definedName>
    <definedName name="ВВВВВВВВВВВВВВВВВАААААААААААААААА">#REF!</definedName>
    <definedName name="вввввввввввввввввввввв" localSheetId="0">#REF!</definedName>
    <definedName name="вввввввввввввввввввввв">#REF!</definedName>
    <definedName name="ввод" localSheetId="0">#REF!</definedName>
    <definedName name="ввод">#REF!</definedName>
    <definedName name="вентк111" localSheetId="0">#REF!</definedName>
    <definedName name="вентк111">#REF!</definedName>
    <definedName name="Верт.план.">[40]Вертик.планировка!$AJ$32</definedName>
    <definedName name="Вест" localSheetId="0">#REF!</definedName>
    <definedName name="Вест">#REF!</definedName>
    <definedName name="вестибюль" localSheetId="0">#REF!</definedName>
    <definedName name="вестибюль">#REF!</definedName>
    <definedName name="вид_сметы">[43]база!$G$1:$G$65536</definedName>
    <definedName name="ВКПВАПВППЫПЫ" localSheetId="0">#REF!</definedName>
    <definedName name="ВКПВАПВППЫПЫ">#REF!</definedName>
    <definedName name="вкпвв" localSheetId="0">#REF!</definedName>
    <definedName name="вкпвв">#REF!</definedName>
    <definedName name="Вмамон_крА" localSheetId="0">#REF!</definedName>
    <definedName name="Вмамон_крА">#REF!</definedName>
    <definedName name="Вмамон_крБ" localSheetId="0">#REF!</definedName>
    <definedName name="Вмамон_крБ">#REF!</definedName>
    <definedName name="Вмамон_крВ" localSheetId="0">#REF!</definedName>
    <definedName name="Вмамон_крВ">#REF!</definedName>
    <definedName name="Вмамон_крГ" localSheetId="0">#REF!</definedName>
    <definedName name="Вмамон_крГ">#REF!</definedName>
    <definedName name="Вмамон_крД" localSheetId="0">#REF!</definedName>
    <definedName name="Вмамон_крД">#REF!</definedName>
    <definedName name="Вмамон_крЕ" localSheetId="0">#REF!</definedName>
    <definedName name="Вмамон_крЕ">#REF!</definedName>
    <definedName name="Вмамон_крЖ" localSheetId="0">#REF!</definedName>
    <definedName name="Вмамон_крЖ">#REF!</definedName>
    <definedName name="во" localSheetId="0">'[44]C.с '!#REF!</definedName>
    <definedName name="во">'[44]C.с '!#REF!</definedName>
    <definedName name="Водоотвод">'[40]Дорожная одежда'!$AJ$75</definedName>
    <definedName name="Возм.убытков">'[40] Подготовительные работы'!$AJ$26</definedName>
    <definedName name="вороб_крА" localSheetId="0">#REF!</definedName>
    <definedName name="вороб_крА">#REF!</definedName>
    <definedName name="вороб_крБ" localSheetId="0">#REF!</definedName>
    <definedName name="вороб_крБ">#REF!</definedName>
    <definedName name="вороб_крВ" localSheetId="0">#REF!</definedName>
    <definedName name="вороб_крВ">#REF!</definedName>
    <definedName name="вороб_крГ" localSheetId="0">#REF!</definedName>
    <definedName name="вороб_крГ">#REF!</definedName>
    <definedName name="вороб_крД" localSheetId="0">#REF!</definedName>
    <definedName name="вороб_крД">#REF!</definedName>
    <definedName name="вороб_крЕ" localSheetId="0">#REF!</definedName>
    <definedName name="вороб_крЕ">#REF!</definedName>
    <definedName name="вороб_крЖ" localSheetId="0">#REF!</definedName>
    <definedName name="вороб_крЖ">#REF!</definedName>
    <definedName name="Восст.трассы">'[40] Подготовительные работы'!$AJ$15</definedName>
    <definedName name="ВППППППППППППППП" localSheetId="0">#REF!</definedName>
    <definedName name="ВППППППППППППППП">#REF!</definedName>
    <definedName name="впрва" localSheetId="18">'[1]КС-2'!#REF!</definedName>
    <definedName name="впрва" localSheetId="0">'[1]КС-2'!#REF!</definedName>
    <definedName name="впрва">'[1]КС-2'!#REF!</definedName>
    <definedName name="ВПЫВП" localSheetId="18">#REF!</definedName>
    <definedName name="ВПЫВП" localSheetId="0">#REF!</definedName>
    <definedName name="ВПЫВП">#REF!</definedName>
    <definedName name="вр">[45]зим!$H$48</definedName>
    <definedName name="врем" localSheetId="0">#REF!</definedName>
    <definedName name="врем">#REF!</definedName>
    <definedName name="Врем.здан.">[40]Врем.здания!$G$11</definedName>
    <definedName name="времянка2" localSheetId="0">#REF!</definedName>
    <definedName name="времянка2">#REF!</definedName>
    <definedName name="вррр" localSheetId="0">#REF!</definedName>
    <definedName name="вррр">#REF!</definedName>
    <definedName name="вс" localSheetId="0">#REF!</definedName>
    <definedName name="вс">#REF!</definedName>
    <definedName name="Вхава_крА" localSheetId="0">#REF!</definedName>
    <definedName name="Вхава_крА">#REF!</definedName>
    <definedName name="Вхава_крБ" localSheetId="0">#REF!</definedName>
    <definedName name="Вхава_крБ">#REF!</definedName>
    <definedName name="Вхава_крВ" localSheetId="0">#REF!</definedName>
    <definedName name="Вхава_крВ">#REF!</definedName>
    <definedName name="Вхава_крГ" localSheetId="0">#REF!</definedName>
    <definedName name="Вхава_крГ">#REF!</definedName>
    <definedName name="Вхава_крД" localSheetId="0">#REF!</definedName>
    <definedName name="Вхава_крД">#REF!</definedName>
    <definedName name="Вхава_крЕ" localSheetId="0">#REF!</definedName>
    <definedName name="Вхава_крЕ">#REF!</definedName>
    <definedName name="Вхава_крЖ" localSheetId="0">#REF!</definedName>
    <definedName name="Вхава_крЖ">#REF!</definedName>
    <definedName name="выдал">[43]база!$E$1:$E$65536</definedName>
    <definedName name="г" localSheetId="0">#REF!</definedName>
    <definedName name="г">#REF!</definedName>
    <definedName name="ггшгшгшшш" localSheetId="0">#REF!</definedName>
    <definedName name="ггшгшгшшш">#REF!</definedName>
    <definedName name="гнгнгкенкукцуфцуыувыв" localSheetId="0">#REF!</definedName>
    <definedName name="гнгнгкенкукцуфцуыувыв">#REF!</definedName>
    <definedName name="гриб_крА" localSheetId="0">#REF!</definedName>
    <definedName name="гриб_крА">#REF!</definedName>
    <definedName name="гриб_крБ" localSheetId="0">#REF!</definedName>
    <definedName name="гриб_крБ">#REF!</definedName>
    <definedName name="гриб_крВ" localSheetId="0">#REF!</definedName>
    <definedName name="гриб_крВ">#REF!</definedName>
    <definedName name="гриб_крГ" localSheetId="0">#REF!</definedName>
    <definedName name="гриб_крГ">#REF!</definedName>
    <definedName name="гриб_крД" localSheetId="0">#REF!</definedName>
    <definedName name="гриб_крД">#REF!</definedName>
    <definedName name="гриб_крЕ" localSheetId="0">#REF!</definedName>
    <definedName name="гриб_крЕ">#REF!</definedName>
    <definedName name="гриб_крЖ" localSheetId="0">#REF!</definedName>
    <definedName name="гриб_крЖ">#REF!</definedName>
    <definedName name="гшгшгш" localSheetId="0">#REF!</definedName>
    <definedName name="гшгшгш">#REF!</definedName>
    <definedName name="д" localSheetId="0">#REF!</definedName>
    <definedName name="д">#REF!</definedName>
    <definedName name="Д.ДЖ.ЖЭЛДЖЭ" localSheetId="0">#REF!</definedName>
    <definedName name="Д.ДЖ.ЖЭЛДЖЭ">#REF!</definedName>
    <definedName name="Д_1" localSheetId="0">#REF!</definedName>
    <definedName name="Д_1">#REF!</definedName>
    <definedName name="даша" localSheetId="18" hidden="1">{#N/A,#N/A,TRUE,"Сводка балансов"}</definedName>
    <definedName name="даша" localSheetId="0" hidden="1">{#N/A,#N/A,TRUE,"Сводка балансов"}</definedName>
    <definedName name="даша" localSheetId="1" hidden="1">{#N/A,#N/A,TRUE,"Сводка балансов"}</definedName>
    <definedName name="даша" hidden="1">{#N/A,#N/A,TRUE,"Сводка балансов"}</definedName>
    <definedName name="дд" localSheetId="18">#REF!</definedName>
    <definedName name="дд" localSheetId="0">#REF!</definedName>
    <definedName name="дд">#REF!</definedName>
    <definedName name="дддд" localSheetId="18">#REF!</definedName>
    <definedName name="дддд" localSheetId="0">#REF!</definedName>
    <definedName name="дддд">#REF!</definedName>
    <definedName name="ддддд" localSheetId="18">#REF!</definedName>
    <definedName name="ддддд" localSheetId="0">#REF!</definedName>
    <definedName name="ддддд">#REF!</definedName>
    <definedName name="ддддддддддддддддд" localSheetId="0">#REF!</definedName>
    <definedName name="ддддддддддддддддд">#REF!</definedName>
    <definedName name="Дем" localSheetId="0">#REF!</definedName>
    <definedName name="Дем">#REF!</definedName>
    <definedName name="ДЖДЖЛДЖ" localSheetId="0">#REF!</definedName>
    <definedName name="ДЖДЖЛДЖ">#REF!</definedName>
    <definedName name="Диапазон">'[46]КС-3'!$M$3:$M$3</definedName>
    <definedName name="дирекц" localSheetId="0">#REF!</definedName>
    <definedName name="дирекц">#REF!</definedName>
    <definedName name="длдлдддддддд" localSheetId="0">#REF!</definedName>
    <definedName name="длдлдддддддд">#REF!</definedName>
    <definedName name="длдлдл" localSheetId="0">#REF!</definedName>
    <definedName name="длдлдл">#REF!</definedName>
    <definedName name="длш" localSheetId="0">#REF!</definedName>
    <definedName name="длш">#REF!</definedName>
    <definedName name="для" localSheetId="0">#REF!</definedName>
    <definedName name="для">#REF!</definedName>
    <definedName name="до" localSheetId="0">#REF!</definedName>
    <definedName name="до">#REF!</definedName>
    <definedName name="Дор.знаки">'[40]Обстановка дороги'!$AJ$42</definedName>
    <definedName name="дщшл" localSheetId="0">#REF!</definedName>
    <definedName name="дщшл">#REF!</definedName>
    <definedName name="е" localSheetId="0">#REF!</definedName>
    <definedName name="е">#REF!</definedName>
    <definedName name="ё" localSheetId="0">#REF!</definedName>
    <definedName name="ё">#REF!</definedName>
    <definedName name="Е_1" localSheetId="0">#REF!</definedName>
    <definedName name="Е_1">#REF!</definedName>
    <definedName name="Е_2" localSheetId="0">#REF!</definedName>
    <definedName name="Е_2">#REF!</definedName>
    <definedName name="Е_3">[16]вр!$G$33</definedName>
    <definedName name="еанен" localSheetId="0">#REF!</definedName>
    <definedName name="еанен">#REF!</definedName>
    <definedName name="еееееееее" localSheetId="0">#REF!</definedName>
    <definedName name="еееееееее">#REF!</definedName>
    <definedName name="екг" localSheetId="0">#REF!</definedName>
    <definedName name="екг">#REF!</definedName>
    <definedName name="еноооооооооооооооооооооооооооооо" localSheetId="0">#REF!</definedName>
    <definedName name="еноооооооооооооооооооооооооооооо">#REF!</definedName>
    <definedName name="енрррррррррррррр" localSheetId="0">#REF!</definedName>
    <definedName name="енрррррррррррррр">#REF!</definedName>
    <definedName name="енррррррррррррррррррр" localSheetId="0">#REF!</definedName>
    <definedName name="енррррррррррррррррррр">#REF!</definedName>
    <definedName name="енррррррррррррррррррррррр" localSheetId="0">#REF!</definedName>
    <definedName name="енррррррррррррррррррррррр">#REF!</definedName>
    <definedName name="енрррррррррррррррррррррррррррр" localSheetId="0">#REF!</definedName>
    <definedName name="енрррррррррррррррррррррррррррр">#REF!</definedName>
    <definedName name="еп" localSheetId="0">'[1]КС-2'!#REF!</definedName>
    <definedName name="еп">'[1]КС-2'!#REF!</definedName>
    <definedName name="еркгкшдик" localSheetId="18">#REF!</definedName>
    <definedName name="еркгкшдик" localSheetId="0">#REF!</definedName>
    <definedName name="еркгкшдик">#REF!</definedName>
    <definedName name="ерррррррррррррррррррр" localSheetId="18">#REF!</definedName>
    <definedName name="ерррррррррррррррррррр" localSheetId="0">#REF!</definedName>
    <definedName name="ерррррррррррррррррррр">#REF!</definedName>
    <definedName name="ж" localSheetId="18">#REF!</definedName>
    <definedName name="ж" localSheetId="0">#REF!</definedName>
    <definedName name="ж">#REF!</definedName>
    <definedName name="ж1" localSheetId="0">#REF!</definedName>
    <definedName name="ж1">#REF!</definedName>
    <definedName name="ждлэдж" localSheetId="0">#REF!</definedName>
    <definedName name="ждлэдж">#REF!</definedName>
    <definedName name="жж" localSheetId="0">#REF!</definedName>
    <definedName name="жж">#REF!</definedName>
    <definedName name="жжжжж" localSheetId="0">#REF!</definedName>
    <definedName name="жжжжж">#REF!</definedName>
    <definedName name="жжжжжжжж" localSheetId="0">#REF!</definedName>
    <definedName name="жжжжжжжж">#REF!</definedName>
    <definedName name="жжжжжжжжжжжжжж" localSheetId="0">[16]К.С.М.!#REF!</definedName>
    <definedName name="жжжжжжжжжжжжжж">[16]К.С.М.!#REF!</definedName>
    <definedName name="з" localSheetId="18">#REF!</definedName>
    <definedName name="з" localSheetId="0">#REF!</definedName>
    <definedName name="з">#REF!</definedName>
    <definedName name="з_1" localSheetId="18">#REF!</definedName>
    <definedName name="з_1" localSheetId="0">#REF!</definedName>
    <definedName name="з_1">#REF!</definedName>
    <definedName name="за">'[47]12'!$G$1</definedName>
    <definedName name="заказчики">[43]база!$A$1:$A$65536</definedName>
    <definedName name="Земработы">'[40]Земляное полотно'!$AJ$49</definedName>
    <definedName name="зим" localSheetId="0">#REF!</definedName>
    <definedName name="зим">#REF!</definedName>
    <definedName name="Зима">[40]Зима!$E$16</definedName>
    <definedName name="и" localSheetId="0">#REF!</definedName>
    <definedName name="и">#REF!</definedName>
    <definedName name="и1" localSheetId="0">#REF!</definedName>
    <definedName name="и1">#REF!</definedName>
    <definedName name="и123" localSheetId="0">#REF!</definedName>
    <definedName name="и123">#REF!</definedName>
    <definedName name="изыск" localSheetId="0">#REF!</definedName>
    <definedName name="изыск">#REF!</definedName>
    <definedName name="ии" localSheetId="0">#REF!</definedName>
    <definedName name="ии">#REF!</definedName>
    <definedName name="ИНД" localSheetId="0">#REF!</definedName>
    <definedName name="ИНД">#REF!</definedName>
    <definedName name="ИНД_1" localSheetId="0">#REF!</definedName>
    <definedName name="ИНД_1">#REF!</definedName>
    <definedName name="ИНД_4" localSheetId="0">#REF!</definedName>
    <definedName name="ИНД_4">#REF!</definedName>
    <definedName name="инж" localSheetId="0">#REF!</definedName>
    <definedName name="инж">#REF!</definedName>
    <definedName name="иоршпргшршщзщгзъшщхщъх" localSheetId="0">#REF!</definedName>
    <definedName name="иоршпргшршщзщгзъшщхщъх">#REF!</definedName>
    <definedName name="иртрр" localSheetId="0">#REF!</definedName>
    <definedName name="иртрр">#REF!</definedName>
    <definedName name="ис">'[48]C.с'!$D$92</definedName>
    <definedName name="испрпрапр" localSheetId="0">#REF!</definedName>
    <definedName name="испрпрапр">#REF!</definedName>
    <definedName name="ИТОГИ_РI_ССР">'[49]Расчет стоимости'!$J$910:$O$910</definedName>
    <definedName name="итттттттттт" localSheetId="0">#REF!</definedName>
    <definedName name="итттттттттт">#REF!</definedName>
    <definedName name="ить" localSheetId="0">#REF!</definedName>
    <definedName name="ить">#REF!</definedName>
    <definedName name="иьбл" localSheetId="0">#REF!</definedName>
    <definedName name="иьбл">#REF!</definedName>
    <definedName name="й" localSheetId="0">#REF!</definedName>
    <definedName name="й">#REF!</definedName>
    <definedName name="й1" localSheetId="0">#REF!</definedName>
    <definedName name="й1">#REF!</definedName>
    <definedName name="й2" localSheetId="0">#REF!</definedName>
    <definedName name="й2">#REF!</definedName>
    <definedName name="й3" localSheetId="0">#REF!</definedName>
    <definedName name="й3">#REF!</definedName>
    <definedName name="й4" localSheetId="0">#REF!</definedName>
    <definedName name="й4">#REF!</definedName>
    <definedName name="йй" localSheetId="0">#REF!</definedName>
    <definedName name="йй">#REF!</definedName>
    <definedName name="ййй" localSheetId="0">#REF!</definedName>
    <definedName name="ййй">#REF!</definedName>
    <definedName name="йййй" localSheetId="0">#REF!</definedName>
    <definedName name="йййй">#REF!</definedName>
    <definedName name="йййййййййййййййййууууууууууу" localSheetId="0">#REF!</definedName>
    <definedName name="йййййййййййййййййууууууууууу">#REF!</definedName>
    <definedName name="ЙУВ" localSheetId="0">#REF!</definedName>
    <definedName name="ЙУВ">#REF!</definedName>
    <definedName name="йуцуйцуйцу" localSheetId="0">#REF!</definedName>
    <definedName name="йуцуйцуйцу">#REF!</definedName>
    <definedName name="йццццццццццццццццццццццццццццц" localSheetId="0">#REF!</definedName>
    <definedName name="йццццццццццццццццццццццццццццц">#REF!</definedName>
    <definedName name="к" localSheetId="0">#REF!</definedName>
    <definedName name="к">#REF!</definedName>
    <definedName name="К_1" localSheetId="0">#REF!</definedName>
    <definedName name="К_1">#REF!</definedName>
    <definedName name="К_10" localSheetId="0">#REF!</definedName>
    <definedName name="К_10">#REF!</definedName>
    <definedName name="К_13" localSheetId="0">#REF!</definedName>
    <definedName name="К_13">#REF!</definedName>
    <definedName name="К_15" localSheetId="0">#REF!</definedName>
    <definedName name="К_15">#REF!</definedName>
    <definedName name="К_16" localSheetId="0">#REF!</definedName>
    <definedName name="К_16">#REF!</definedName>
    <definedName name="К_17">[50]Тр.!$H$35</definedName>
    <definedName name="К_19" localSheetId="0">#REF!</definedName>
    <definedName name="К_19">#REF!</definedName>
    <definedName name="К_2">[51]Тр.!$H$18</definedName>
    <definedName name="к_200" localSheetId="18">'[52]Тр. (2)'!#REF!</definedName>
    <definedName name="к_200" localSheetId="0">'[52]Тр. (2)'!#REF!</definedName>
    <definedName name="к_200">'[52]Тр. (2)'!#REF!</definedName>
    <definedName name="К_21" localSheetId="0">#REF!</definedName>
    <definedName name="К_21">#REF!</definedName>
    <definedName name="К_22" localSheetId="0">#REF!</definedName>
    <definedName name="К_22">#REF!</definedName>
    <definedName name="К_221" localSheetId="0">#REF!</definedName>
    <definedName name="К_221">#REF!</definedName>
    <definedName name="К_23">[9]Тр.!$H$39</definedName>
    <definedName name="К_24" localSheetId="0">#REF!</definedName>
    <definedName name="К_24">#REF!</definedName>
    <definedName name="К_25" localSheetId="0">#REF!</definedName>
    <definedName name="К_25">#REF!</definedName>
    <definedName name="К_26">[9]Тр.!$H$42</definedName>
    <definedName name="К_27" localSheetId="0">#REF!</definedName>
    <definedName name="К_27">#REF!</definedName>
    <definedName name="К_28" localSheetId="0">#REF!</definedName>
    <definedName name="К_28">#REF!</definedName>
    <definedName name="К_29">[9]Тр.!$H$47</definedName>
    <definedName name="К_3">[51]Тр.!$H$21</definedName>
    <definedName name="К_31" localSheetId="0">#REF!</definedName>
    <definedName name="К_31">#REF!</definedName>
    <definedName name="К_32">[9]Тр.!$H$50</definedName>
    <definedName name="К_34" localSheetId="0">#REF!</definedName>
    <definedName name="К_34">#REF!</definedName>
    <definedName name="К_344" localSheetId="0">#REF!</definedName>
    <definedName name="К_344">#REF!</definedName>
    <definedName name="К_35">[9]Тр.!$H$53</definedName>
    <definedName name="К_37" localSheetId="0">#REF!</definedName>
    <definedName name="К_37">#REF!</definedName>
    <definedName name="К_38">[9]Тр.!$H$56</definedName>
    <definedName name="К_39" localSheetId="0">#REF!</definedName>
    <definedName name="К_39">#REF!</definedName>
    <definedName name="К_4" localSheetId="0">#REF!</definedName>
    <definedName name="К_4">#REF!</definedName>
    <definedName name="К_40" localSheetId="0">#REF!</definedName>
    <definedName name="К_40">#REF!</definedName>
    <definedName name="К_41">[9]Тр.!$H$59</definedName>
    <definedName name="К_44">[9]Тр.!$H$62</definedName>
    <definedName name="К_47">[9]Тр.!$H$65</definedName>
    <definedName name="К_5">[51]Тр.!$H$27</definedName>
    <definedName name="К_6">[51]Тр.!$H$30</definedName>
    <definedName name="К_7" localSheetId="0">#REF!</definedName>
    <definedName name="К_7">#REF!</definedName>
    <definedName name="К_78">[53]Тр.!$H$27</definedName>
    <definedName name="К_8" localSheetId="0">#REF!</definedName>
    <definedName name="К_8">#REF!</definedName>
    <definedName name="К_88" localSheetId="0">#REF!</definedName>
    <definedName name="К_88">#REF!</definedName>
    <definedName name="К_89" localSheetId="0">[54]Тр.!#REF!</definedName>
    <definedName name="К_89">[54]Тр.!#REF!</definedName>
    <definedName name="К_9">[51]Тр.!$H$39</definedName>
    <definedName name="К_91">[55]Тр.!$H$31</definedName>
    <definedName name="какакак" localSheetId="0">#REF!</definedName>
    <definedName name="какакак">#REF!</definedName>
    <definedName name="калач_крА" localSheetId="0">#REF!</definedName>
    <definedName name="калач_крА">#REF!</definedName>
    <definedName name="калач_крБ" localSheetId="0">#REF!</definedName>
    <definedName name="калач_крБ">#REF!</definedName>
    <definedName name="калач_крВ" localSheetId="0">#REF!</definedName>
    <definedName name="калач_крВ">#REF!</definedName>
    <definedName name="калач_крГ" localSheetId="0">#REF!</definedName>
    <definedName name="калач_крГ">#REF!</definedName>
    <definedName name="калач_крД" localSheetId="0">#REF!</definedName>
    <definedName name="калач_крД">#REF!</definedName>
    <definedName name="калач_крЕ" localSheetId="0">#REF!</definedName>
    <definedName name="калач_крЕ">#REF!</definedName>
    <definedName name="калач_крЖ" localSheetId="0">#REF!</definedName>
    <definedName name="калач_крЖ">#REF!</definedName>
    <definedName name="камен_крА" localSheetId="0">#REF!</definedName>
    <definedName name="камен_крА">#REF!</definedName>
    <definedName name="камен_крБ" localSheetId="0">#REF!</definedName>
    <definedName name="камен_крБ">#REF!</definedName>
    <definedName name="камен_крВ" localSheetId="0">#REF!</definedName>
    <definedName name="камен_крВ">#REF!</definedName>
    <definedName name="камен_крГ" localSheetId="0">#REF!</definedName>
    <definedName name="камен_крГ">#REF!</definedName>
    <definedName name="камен_крД" localSheetId="0">#REF!</definedName>
    <definedName name="камен_крД">#REF!</definedName>
    <definedName name="камен_крЕ" localSheetId="0">#REF!</definedName>
    <definedName name="камен_крЕ">#REF!</definedName>
    <definedName name="камен_крЖ" localSheetId="0">#REF!</definedName>
    <definedName name="камен_крЖ">#REF!</definedName>
    <definedName name="кантем_крА" localSheetId="0">#REF!</definedName>
    <definedName name="кантем_крА">#REF!</definedName>
    <definedName name="кантем_крБ" localSheetId="0">#REF!</definedName>
    <definedName name="кантем_крБ">#REF!</definedName>
    <definedName name="кантем_крВ" localSheetId="0">#REF!</definedName>
    <definedName name="кантем_крВ">#REF!</definedName>
    <definedName name="кантем_крГ" localSheetId="0">#REF!</definedName>
    <definedName name="кантем_крГ">#REF!</definedName>
    <definedName name="кантем_крД" localSheetId="0">#REF!</definedName>
    <definedName name="кантем_крД">#REF!</definedName>
    <definedName name="кантем_крЕ" localSheetId="0">#REF!</definedName>
    <definedName name="кантем_крЕ">#REF!</definedName>
    <definedName name="кантем_крЖ" localSheetId="0">#REF!</definedName>
    <definedName name="кантем_крЖ">#REF!</definedName>
    <definedName name="капстр" localSheetId="0">#REF!</definedName>
    <definedName name="капстр">#REF!</definedName>
    <definedName name="кашира_крА" localSheetId="0">#REF!</definedName>
    <definedName name="кашира_крА">#REF!</definedName>
    <definedName name="кашира_крБ" localSheetId="0">#REF!</definedName>
    <definedName name="кашира_крБ">#REF!</definedName>
    <definedName name="кашира_крВ" localSheetId="0">#REF!</definedName>
    <definedName name="кашира_крВ">#REF!</definedName>
    <definedName name="кашира_крГ" localSheetId="0">#REF!</definedName>
    <definedName name="кашира_крГ">#REF!</definedName>
    <definedName name="кашира_крД" localSheetId="0">#REF!</definedName>
    <definedName name="кашира_крД">#REF!</definedName>
    <definedName name="кашира_крЕ" localSheetId="0">#REF!</definedName>
    <definedName name="кашира_крЕ">#REF!</definedName>
    <definedName name="кашира_крЖ" localSheetId="0">#REF!</definedName>
    <definedName name="кашира_крЖ">#REF!</definedName>
    <definedName name="кенррррррррррр" localSheetId="0">#REF!</definedName>
    <definedName name="кенррррррррррр">#REF!</definedName>
    <definedName name="кккк" localSheetId="0">#REF!</definedName>
    <definedName name="кккк">#REF!</definedName>
    <definedName name="ККККККККККККК" localSheetId="0">#REF!</definedName>
    <definedName name="ККККККККККККК">#REF!</definedName>
    <definedName name="кккккккккккккккккккк" localSheetId="0">#REF!</definedName>
    <definedName name="кккккккккккккккккккк">#REF!</definedName>
    <definedName name="книга8" localSheetId="0">#REF!</definedName>
    <definedName name="книга8">#REF!</definedName>
    <definedName name="комп1" localSheetId="18" hidden="1">{#N/A,#N/A,TRUE,"Сводка балансов"}</definedName>
    <definedName name="комп1" localSheetId="0" hidden="1">{#N/A,#N/A,TRUE,"Сводка балансов"}</definedName>
    <definedName name="комп1" localSheetId="1" hidden="1">{#N/A,#N/A,TRUE,"Сводка балансов"}</definedName>
    <definedName name="комп1" hidden="1">{#N/A,#N/A,TRUE,"Сводка балансов"}</definedName>
    <definedName name="Контруклон" localSheetId="18" hidden="1">{#N/A,#N/A,TRUE,"Сводка балансов"}</definedName>
    <definedName name="Контруклон" localSheetId="0" hidden="1">{#N/A,#N/A,TRUE,"Сводка балансов"}</definedName>
    <definedName name="Контруклон" localSheetId="1" hidden="1">{#N/A,#N/A,TRUE,"Сводка балансов"}</definedName>
    <definedName name="Контруклон" hidden="1">{#N/A,#N/A,TRUE,"Сводка балансов"}</definedName>
    <definedName name="Коэф._перевода_в_цены_1991_г." localSheetId="18">#REF!</definedName>
    <definedName name="Коэф._перевода_в_цены_1991_г." localSheetId="0">#REF!</definedName>
    <definedName name="Коэф._перевода_в_цены_1991_г.">#REF!</definedName>
    <definedName name="Коэф.1_на_ремонт" localSheetId="18">#REF!</definedName>
    <definedName name="Коэф.1_на_ремонт" localSheetId="0">#REF!</definedName>
    <definedName name="Коэф.1_на_ремонт">#REF!</definedName>
    <definedName name="Коэф.2_на_ремонт" localSheetId="18">#REF!</definedName>
    <definedName name="Коэф.2_на_ремонт" localSheetId="0">#REF!</definedName>
    <definedName name="Коэф.2_на_ремонт">#REF!</definedName>
    <definedName name="КоэфИнф">1.1075</definedName>
    <definedName name="КПВКАП" localSheetId="18">#REF!</definedName>
    <definedName name="КПВКАП" localSheetId="0">#REF!</definedName>
    <definedName name="КПВКАП">#REF!</definedName>
    <definedName name="кпппппппппппппппппп" localSheetId="18">#REF!</definedName>
    <definedName name="кпппппппппппппппппп" localSheetId="0">#REF!</definedName>
    <definedName name="кпппппппппппппппппп">#REF!</definedName>
    <definedName name="кпппппппппппппппппппп" localSheetId="18">#REF!</definedName>
    <definedName name="кпппппппппппппппппппп" localSheetId="0">#REF!</definedName>
    <definedName name="кпппппппппппппппппппп">#REF!</definedName>
    <definedName name="крппппппппппппппук" localSheetId="0">#REF!</definedName>
    <definedName name="крппппппппппппппук">#REF!</definedName>
    <definedName name="кс333" localSheetId="0">#REF!</definedName>
    <definedName name="кс333">#REF!</definedName>
    <definedName name="кс3333" localSheetId="0">#REF!</definedName>
    <definedName name="кс3333">#REF!</definedName>
    <definedName name="КУ">'[56]КС-3'!$M$3:$M$3</definedName>
    <definedName name="куед" localSheetId="0">#REF!</definedName>
    <definedName name="куед">#REF!</definedName>
    <definedName name="л" localSheetId="0">#REF!</definedName>
    <definedName name="л">#REF!</definedName>
    <definedName name="лд">[57]Лист1!$A$414:$O$414</definedName>
    <definedName name="ЛДЖЛДЖЛЖЛДЖ" localSheetId="0">#REF!</definedName>
    <definedName name="ЛДЖЛДЖЛЖЛДЖ">#REF!</definedName>
    <definedName name="ЛЖОЖОЖО" localSheetId="0">#REF!</definedName>
    <definedName name="ЛЖОЖОЖО">#REF!</definedName>
    <definedName name="ЛЖОЛЖОЖ" localSheetId="0">#REF!</definedName>
    <definedName name="ЛЖОЛЖОЖ">#REF!</definedName>
    <definedName name="лиски_крА" localSheetId="0">#REF!</definedName>
    <definedName name="лиски_крА">#REF!</definedName>
    <definedName name="лиски_крБ" localSheetId="0">#REF!</definedName>
    <definedName name="лиски_крБ">#REF!</definedName>
    <definedName name="лиски_крВ" localSheetId="0">#REF!</definedName>
    <definedName name="лиски_крВ">#REF!</definedName>
    <definedName name="лиски_крГ" localSheetId="0">#REF!</definedName>
    <definedName name="лиски_крГ">#REF!</definedName>
    <definedName name="лиски_крД" localSheetId="0">#REF!</definedName>
    <definedName name="лиски_крД">#REF!</definedName>
    <definedName name="лиски_крЕ" localSheetId="0">#REF!</definedName>
    <definedName name="лиски_крЕ">#REF!</definedName>
    <definedName name="лиски_крЖ" localSheetId="0">#REF!</definedName>
    <definedName name="лиски_крЖ">#REF!</definedName>
    <definedName name="лл" localSheetId="0">#REF!</definedName>
    <definedName name="лл">#REF!</definedName>
    <definedName name="лллл" localSheetId="0">#REF!</definedName>
    <definedName name="лллл">#REF!</definedName>
    <definedName name="лллллллллллллллл" localSheetId="0">#REF!</definedName>
    <definedName name="лллллллллллллллл">#REF!</definedName>
    <definedName name="лллллллллллллллллл" localSheetId="0">#REF!</definedName>
    <definedName name="лллллллллллллллллл">#REF!</definedName>
    <definedName name="ллллллллллллллллллллллл" localSheetId="0">#REF!</definedName>
    <definedName name="ллллллллллллллллллллллл">#REF!</definedName>
    <definedName name="лю" localSheetId="0">#REF!</definedName>
    <definedName name="лю">#REF!</definedName>
    <definedName name="м" localSheetId="0">#REF!</definedName>
    <definedName name="м">#REF!</definedName>
    <definedName name="М_01">'[6]К.С.М. (ПУТ)'!$P$106</definedName>
    <definedName name="М_02">'[6]К.С.М. (ПУТ)'!$P$110</definedName>
    <definedName name="М_03">'[6]К.С.М. (ПУТ)'!$P$113</definedName>
    <definedName name="М_04">'[6]К.С.М. (ПУТ)'!$P$86</definedName>
    <definedName name="М_05">'[6]К.С.М. (ПУТ)'!$P$90</definedName>
    <definedName name="М_06">'[6]К.С.М. (ПУТ)'!$P$94</definedName>
    <definedName name="М_07">'[6]К.С.М. (ПУТ)'!$P$98</definedName>
    <definedName name="М_08">'[6]К.С.М. (ПУТ)'!$P$102</definedName>
    <definedName name="М_1" localSheetId="0">#REF!</definedName>
    <definedName name="М_1">#REF!</definedName>
    <definedName name="М_10" localSheetId="0">#REF!</definedName>
    <definedName name="М_10">#REF!</definedName>
    <definedName name="М_100" localSheetId="0">#REF!</definedName>
    <definedName name="М_100">#REF!</definedName>
    <definedName name="М_101" localSheetId="0">#REF!</definedName>
    <definedName name="М_101">#REF!</definedName>
    <definedName name="М_102" localSheetId="0">'[58]К.С.М. (ПУТ)'!#REF!</definedName>
    <definedName name="М_102">'[58]К.С.М. (ПУТ)'!#REF!</definedName>
    <definedName name="М_103" localSheetId="0">#REF!</definedName>
    <definedName name="М_103">#REF!</definedName>
    <definedName name="М_1033" localSheetId="0">#REF!</definedName>
    <definedName name="М_1033">#REF!</definedName>
    <definedName name="М_105" localSheetId="0">#REF!</definedName>
    <definedName name="М_105">#REF!</definedName>
    <definedName name="М_106" localSheetId="0">#REF!</definedName>
    <definedName name="М_106">#REF!</definedName>
    <definedName name="М_108" localSheetId="0">'[58]К.С.М. (ПУТ)'!#REF!</definedName>
    <definedName name="М_108">'[58]К.С.М. (ПУТ)'!#REF!</definedName>
    <definedName name="М_10а" localSheetId="0">[54]К.С.М.!#REF!</definedName>
    <definedName name="М_10а">[54]К.С.М.!#REF!</definedName>
    <definedName name="М_11" localSheetId="0">#REF!</definedName>
    <definedName name="М_11">#REF!</definedName>
    <definedName name="М_110" localSheetId="0">#REF!</definedName>
    <definedName name="М_110">#REF!</definedName>
    <definedName name="М_112" localSheetId="0">'[58]К.С.М. (ПУТ)'!#REF!</definedName>
    <definedName name="М_112">'[58]К.С.М. (ПУТ)'!#REF!</definedName>
    <definedName name="М_114" localSheetId="0">#REF!</definedName>
    <definedName name="М_114">#REF!</definedName>
    <definedName name="М_116" localSheetId="0">'[58]К.С.М. (ПУТ)'!#REF!</definedName>
    <definedName name="М_116">'[58]К.С.М. (ПУТ)'!#REF!</definedName>
    <definedName name="М_119" localSheetId="0">#REF!</definedName>
    <definedName name="М_119">#REF!</definedName>
    <definedName name="М_120" localSheetId="0">#REF!</definedName>
    <definedName name="М_120">#REF!</definedName>
    <definedName name="М_121" localSheetId="0">#REF!</definedName>
    <definedName name="М_121">#REF!</definedName>
    <definedName name="М_122" localSheetId="0">#REF!</definedName>
    <definedName name="М_122">#REF!</definedName>
    <definedName name="М_123" localSheetId="0">#REF!</definedName>
    <definedName name="М_123">#REF!</definedName>
    <definedName name="М_124" localSheetId="0">#REF!</definedName>
    <definedName name="М_124">#REF!</definedName>
    <definedName name="М_126" localSheetId="0">#REF!</definedName>
    <definedName name="М_126">#REF!</definedName>
    <definedName name="М_127" localSheetId="0">#REF!</definedName>
    <definedName name="М_127">#REF!</definedName>
    <definedName name="М_13" localSheetId="0">#REF!</definedName>
    <definedName name="М_13">#REF!</definedName>
    <definedName name="М_131" localSheetId="0">#REF!</definedName>
    <definedName name="М_131">#REF!</definedName>
    <definedName name="М_136" localSheetId="0">'[58]К.С.М. (ПУТ)'!#REF!</definedName>
    <definedName name="М_136">'[58]К.С.М. (ПУТ)'!#REF!</definedName>
    <definedName name="М_14" localSheetId="0">#REF!</definedName>
    <definedName name="М_14">#REF!</definedName>
    <definedName name="М_140" localSheetId="0">#REF!</definedName>
    <definedName name="М_140">#REF!</definedName>
    <definedName name="М_144" localSheetId="0">#REF!</definedName>
    <definedName name="М_144">#REF!</definedName>
    <definedName name="М_149" localSheetId="0">#REF!</definedName>
    <definedName name="М_149">#REF!</definedName>
    <definedName name="М_15" localSheetId="0">#REF!</definedName>
    <definedName name="М_15">#REF!</definedName>
    <definedName name="М_153" localSheetId="0">#REF!</definedName>
    <definedName name="М_153">#REF!</definedName>
    <definedName name="М_154" localSheetId="0">'[58]К.С.М. (ПУТ)'!#REF!</definedName>
    <definedName name="М_154">'[58]К.С.М. (ПУТ)'!#REF!</definedName>
    <definedName name="М_155">[59]К.С.М.!$P$159</definedName>
    <definedName name="М_156">[59]К.С.М.!$P$163</definedName>
    <definedName name="М_157">[59]К.С.М.!$P$167</definedName>
    <definedName name="М_158" localSheetId="18">'[58]К.С.М. (ПУТ)'!#REF!</definedName>
    <definedName name="М_158" localSheetId="0">'[58]К.С.М. (ПУТ)'!#REF!</definedName>
    <definedName name="М_158">'[58]К.С.М. (ПУТ)'!#REF!</definedName>
    <definedName name="М_16" localSheetId="0">#REF!</definedName>
    <definedName name="М_16">#REF!</definedName>
    <definedName name="М_161" localSheetId="0">#REF!</definedName>
    <definedName name="М_161">#REF!</definedName>
    <definedName name="М_162" localSheetId="0">'[58]К.С.М. (ПУТ)'!#REF!</definedName>
    <definedName name="М_162">'[58]К.С.М. (ПУТ)'!#REF!</definedName>
    <definedName name="М_165" localSheetId="0">#REF!</definedName>
    <definedName name="М_165">#REF!</definedName>
    <definedName name="М_166" localSheetId="0">'[58]К.С.М. (ПУТ)'!#REF!</definedName>
    <definedName name="М_166">'[58]К.С.М. (ПУТ)'!#REF!</definedName>
    <definedName name="М_169" localSheetId="0">#REF!</definedName>
    <definedName name="М_169">#REF!</definedName>
    <definedName name="М_1691" localSheetId="0">#REF!</definedName>
    <definedName name="М_1691">#REF!</definedName>
    <definedName name="М_17" localSheetId="0">'[58]К.С.М. (ПУТ)'!#REF!</definedName>
    <definedName name="М_17">'[58]К.С.М. (ПУТ)'!#REF!</definedName>
    <definedName name="М_170" localSheetId="0">'[58]К.С.М. (ПУТ)'!#REF!</definedName>
    <definedName name="М_170">'[58]К.С.М. (ПУТ)'!#REF!</definedName>
    <definedName name="М_173" localSheetId="0">#REF!</definedName>
    <definedName name="М_173">#REF!</definedName>
    <definedName name="М_174" localSheetId="0">'[58]К.С.М. (ПУТ)'!#REF!</definedName>
    <definedName name="М_174">'[58]К.С.М. (ПУТ)'!#REF!</definedName>
    <definedName name="М_177" localSheetId="0">#REF!</definedName>
    <definedName name="М_177">#REF!</definedName>
    <definedName name="М_178" localSheetId="0">'[58]К.С.М. (ПУТ)'!#REF!</definedName>
    <definedName name="М_178">'[58]К.С.М. (ПУТ)'!#REF!</definedName>
    <definedName name="М_18">[60]К.С.М.!$P$33</definedName>
    <definedName name="М_181" localSheetId="0">#REF!</definedName>
    <definedName name="М_181">#REF!</definedName>
    <definedName name="М_182" localSheetId="18">'[58]К.С.М. (ПУТ)'!#REF!</definedName>
    <definedName name="М_182" localSheetId="0">'[58]К.С.М. (ПУТ)'!#REF!</definedName>
    <definedName name="М_182">'[58]К.С.М. (ПУТ)'!#REF!</definedName>
    <definedName name="М_185" localSheetId="18">#REF!</definedName>
    <definedName name="М_185" localSheetId="0">#REF!</definedName>
    <definedName name="М_185">#REF!</definedName>
    <definedName name="М_186" localSheetId="18">'[58]К.С.М. (ПУТ)'!#REF!</definedName>
    <definedName name="М_186" localSheetId="0">'[58]К.С.М. (ПУТ)'!#REF!</definedName>
    <definedName name="М_186">'[58]К.С.М. (ПУТ)'!#REF!</definedName>
    <definedName name="М_19" localSheetId="18">#REF!</definedName>
    <definedName name="М_19" localSheetId="0">#REF!</definedName>
    <definedName name="М_19">#REF!</definedName>
    <definedName name="М_190" localSheetId="18">'[58]К.С.М. (ПУТ)'!#REF!</definedName>
    <definedName name="М_190" localSheetId="0">'[58]К.С.М. (ПУТ)'!#REF!</definedName>
    <definedName name="М_190">'[58]К.С.М. (ПУТ)'!#REF!</definedName>
    <definedName name="М_195" localSheetId="18">'[58]К.С.М. (ПУТ)'!#REF!</definedName>
    <definedName name="М_195" localSheetId="0">'[58]К.С.М. (ПУТ)'!#REF!</definedName>
    <definedName name="М_195">'[58]К.С.М. (ПУТ)'!#REF!</definedName>
    <definedName name="М_196" localSheetId="0">#REF!</definedName>
    <definedName name="М_196">#REF!</definedName>
    <definedName name="М_2" localSheetId="0">#REF!</definedName>
    <definedName name="М_2">#REF!</definedName>
    <definedName name="М_20" localSheetId="0">#REF!</definedName>
    <definedName name="М_20">#REF!</definedName>
    <definedName name="М_200" localSheetId="0">'[58]К.С.М. (ПУТ)'!#REF!</definedName>
    <definedName name="М_200">'[58]К.С.М. (ПУТ)'!#REF!</definedName>
    <definedName name="М_202" localSheetId="0">[18]К.С.М.!#REF!</definedName>
    <definedName name="М_202">[18]К.С.М.!#REF!</definedName>
    <definedName name="М_203" localSheetId="0">[18]К.С.М.!#REF!</definedName>
    <definedName name="М_203">[18]К.С.М.!#REF!</definedName>
    <definedName name="М_204" localSheetId="0">[18]К.С.М.!#REF!</definedName>
    <definedName name="М_204">[18]К.С.М.!#REF!</definedName>
    <definedName name="М_205" localSheetId="0">'[58]К.С.М. (ПУТ)'!#REF!</definedName>
    <definedName name="М_205">'[58]К.С.М. (ПУТ)'!#REF!</definedName>
    <definedName name="М_208" localSheetId="0">#REF!</definedName>
    <definedName name="М_208">#REF!</definedName>
    <definedName name="М_209" localSheetId="18">'[58]К.С.М. (ПУТ)'!#REF!</definedName>
    <definedName name="М_209" localSheetId="0">'[58]К.С.М. (ПУТ)'!#REF!</definedName>
    <definedName name="М_209">'[58]К.С.М. (ПУТ)'!#REF!</definedName>
    <definedName name="М_21" localSheetId="18">#REF!</definedName>
    <definedName name="М_21" localSheetId="0">#REF!</definedName>
    <definedName name="М_21">#REF!</definedName>
    <definedName name="М_212" localSheetId="0">#REF!</definedName>
    <definedName name="М_212">#REF!</definedName>
    <definedName name="М_213" localSheetId="0">'[58]К.С.М. (ПУТ)'!#REF!</definedName>
    <definedName name="М_213">'[58]К.С.М. (ПУТ)'!#REF!</definedName>
    <definedName name="М_216" localSheetId="0">#REF!</definedName>
    <definedName name="М_216">#REF!</definedName>
    <definedName name="М_217" localSheetId="0">'[58]К.С.М. (ПУТ)'!#REF!</definedName>
    <definedName name="М_217">'[58]К.С.М. (ПУТ)'!#REF!</definedName>
    <definedName name="М_22" localSheetId="0">#REF!</definedName>
    <definedName name="М_22">#REF!</definedName>
    <definedName name="М_221" localSheetId="0">'[58]К.С.М. (ПУТ)'!#REF!</definedName>
    <definedName name="М_221">'[58]К.С.М. (ПУТ)'!#REF!</definedName>
    <definedName name="М_222" localSheetId="0">#REF!</definedName>
    <definedName name="М_222">#REF!</definedName>
    <definedName name="М_225" localSheetId="0">'[58]К.С.М. (ПУТ)'!#REF!</definedName>
    <definedName name="М_225">'[58]К.С.М. (ПУТ)'!#REF!</definedName>
    <definedName name="М_226" localSheetId="0">#REF!</definedName>
    <definedName name="М_226">#REF!</definedName>
    <definedName name="М_227" localSheetId="0">#REF!</definedName>
    <definedName name="М_227">#REF!</definedName>
    <definedName name="М_228" localSheetId="0">#REF!</definedName>
    <definedName name="М_228">#REF!</definedName>
    <definedName name="М_229" localSheetId="0">'[58]К.С.М. (ПУТ)'!#REF!</definedName>
    <definedName name="М_229">'[58]К.С.М. (ПУТ)'!#REF!</definedName>
    <definedName name="М_230" localSheetId="0">#REF!</definedName>
    <definedName name="М_230">#REF!</definedName>
    <definedName name="М_231" localSheetId="0">#REF!</definedName>
    <definedName name="М_231">#REF!</definedName>
    <definedName name="М_233" localSheetId="0">'[58]К.С.М. (ПУТ)'!#REF!</definedName>
    <definedName name="М_233">'[58]К.С.М. (ПУТ)'!#REF!</definedName>
    <definedName name="М_237" localSheetId="0">'[58]К.С.М. (ПУТ)'!#REF!</definedName>
    <definedName name="М_237">'[58]К.С.М. (ПУТ)'!#REF!</definedName>
    <definedName name="М_24" localSheetId="0">#REF!</definedName>
    <definedName name="М_24">#REF!</definedName>
    <definedName name="М_241" localSheetId="0">'[58]К.С.М. (ПУТ)'!#REF!</definedName>
    <definedName name="М_241">'[58]К.С.М. (ПУТ)'!#REF!</definedName>
    <definedName name="М_245" localSheetId="0">'[58]К.С.М. (ПУТ)'!#REF!</definedName>
    <definedName name="М_245">'[58]К.С.М. (ПУТ)'!#REF!</definedName>
    <definedName name="М_249" localSheetId="0">'[58]К.С.М. (ПУТ)'!#REF!</definedName>
    <definedName name="М_249">'[58]К.С.М. (ПУТ)'!#REF!</definedName>
    <definedName name="М_25" localSheetId="0">#REF!</definedName>
    <definedName name="М_25">#REF!</definedName>
    <definedName name="М_253" localSheetId="18">'[58]К.С.М. (ПУТ)'!#REF!</definedName>
    <definedName name="М_253" localSheetId="0">'[58]К.С.М. (ПУТ)'!#REF!</definedName>
    <definedName name="М_253">'[58]К.С.М. (ПУТ)'!#REF!</definedName>
    <definedName name="М_257" localSheetId="18">'[58]К.С.М. (ПУТ)'!#REF!</definedName>
    <definedName name="М_257" localSheetId="0">'[58]К.С.М. (ПУТ)'!#REF!</definedName>
    <definedName name="М_257">'[58]К.С.М. (ПУТ)'!#REF!</definedName>
    <definedName name="М_25ш" localSheetId="18">#REF!</definedName>
    <definedName name="М_25ш" localSheetId="0">#REF!</definedName>
    <definedName name="М_25ш">#REF!</definedName>
    <definedName name="М_261" localSheetId="18">'[58]К.С.М. (ПУТ)'!#REF!</definedName>
    <definedName name="М_261" localSheetId="0">'[58]К.С.М. (ПУТ)'!#REF!</definedName>
    <definedName name="М_261">'[58]К.С.М. (ПУТ)'!#REF!</definedName>
    <definedName name="М_265" localSheetId="18">'[58]К.С.М. (ПУТ)'!#REF!</definedName>
    <definedName name="М_265" localSheetId="0">'[58]К.С.М. (ПУТ)'!#REF!</definedName>
    <definedName name="М_265">'[58]К.С.М. (ПУТ)'!#REF!</definedName>
    <definedName name="М_269" localSheetId="18">'[58]К.С.М. (ПУТ)'!#REF!</definedName>
    <definedName name="М_269" localSheetId="0">'[58]К.С.М. (ПУТ)'!#REF!</definedName>
    <definedName name="М_269">'[58]К.С.М. (ПУТ)'!#REF!</definedName>
    <definedName name="М_27" localSheetId="18">[61]К.С.М.!#REF!</definedName>
    <definedName name="М_27" localSheetId="0">[61]К.С.М.!#REF!</definedName>
    <definedName name="М_27">[61]К.С.М.!#REF!</definedName>
    <definedName name="М_273" localSheetId="0">'[58]К.С.М. (ПУТ)'!#REF!</definedName>
    <definedName name="М_273">'[58]К.С.М. (ПУТ)'!#REF!</definedName>
    <definedName name="М_277" localSheetId="0">'[58]К.С.М. (ПУТ)'!#REF!</definedName>
    <definedName name="М_277">'[58]К.С.М. (ПУТ)'!#REF!</definedName>
    <definedName name="М_281" localSheetId="0">#REF!</definedName>
    <definedName name="М_281">#REF!</definedName>
    <definedName name="М_282" localSheetId="18">'[58]К.С.М. (ПУТ)'!#REF!</definedName>
    <definedName name="М_282" localSheetId="0">'[58]К.С.М. (ПУТ)'!#REF!</definedName>
    <definedName name="М_282">'[58]К.С.М. (ПУТ)'!#REF!</definedName>
    <definedName name="М_282а" localSheetId="18">'[58]К.С.М. (ПУТ)'!#REF!</definedName>
    <definedName name="М_282а" localSheetId="0">'[58]К.С.М. (ПУТ)'!#REF!</definedName>
    <definedName name="М_282а">'[58]К.С.М. (ПУТ)'!#REF!</definedName>
    <definedName name="М_285" localSheetId="0">'[58]К.С.М. (ПУТ)'!#REF!</definedName>
    <definedName name="М_285">'[58]К.С.М. (ПУТ)'!#REF!</definedName>
    <definedName name="М_289" localSheetId="0">#REF!</definedName>
    <definedName name="М_289">#REF!</definedName>
    <definedName name="М_29" localSheetId="0">#REF!</definedName>
    <definedName name="М_29">#REF!</definedName>
    <definedName name="М_293" localSheetId="0">'[58]К.С.М. (ПУТ)'!#REF!</definedName>
    <definedName name="М_293">'[58]К.С.М. (ПУТ)'!#REF!</definedName>
    <definedName name="М_297">[62]К.С.М.!$P$319</definedName>
    <definedName name="М_3" localSheetId="18">[63]К.С.М.!#REF!</definedName>
    <definedName name="М_3" localSheetId="0">[63]К.С.М.!#REF!</definedName>
    <definedName name="М_3">[63]К.С.М.!#REF!</definedName>
    <definedName name="М_30" localSheetId="18">#REF!</definedName>
    <definedName name="М_30" localSheetId="0">#REF!</definedName>
    <definedName name="М_30">#REF!</definedName>
    <definedName name="М_301" localSheetId="18">'[58]К.С.М. (ПУТ)'!#REF!</definedName>
    <definedName name="М_301" localSheetId="0">'[58]К.С.М. (ПУТ)'!#REF!</definedName>
    <definedName name="М_301">'[58]К.С.М. (ПУТ)'!#REF!</definedName>
    <definedName name="М_305" localSheetId="18">'[58]К.С.М. (ПУТ)'!#REF!</definedName>
    <definedName name="М_305" localSheetId="0">'[58]К.С.М. (ПУТ)'!#REF!</definedName>
    <definedName name="М_305">'[58]К.С.М. (ПУТ)'!#REF!</definedName>
    <definedName name="М_309" localSheetId="18">'[58]К.С.М. (ПУТ)'!#REF!</definedName>
    <definedName name="М_309" localSheetId="0">'[58]К.С.М. (ПУТ)'!#REF!</definedName>
    <definedName name="М_309">'[58]К.С.М. (ПУТ)'!#REF!</definedName>
    <definedName name="М_31" localSheetId="18">#REF!</definedName>
    <definedName name="М_31" localSheetId="0">#REF!</definedName>
    <definedName name="М_31">#REF!</definedName>
    <definedName name="М_313" localSheetId="18">'[58]К.С.М. (ПУТ)'!#REF!</definedName>
    <definedName name="М_313" localSheetId="0">'[58]К.С.М. (ПУТ)'!#REF!</definedName>
    <definedName name="М_313">'[58]К.С.М. (ПУТ)'!#REF!</definedName>
    <definedName name="М_317" localSheetId="18">'[58]К.С.М. (ПУТ)'!#REF!</definedName>
    <definedName name="М_317" localSheetId="0">'[58]К.С.М. (ПУТ)'!#REF!</definedName>
    <definedName name="М_317">'[58]К.С.М. (ПУТ)'!#REF!</definedName>
    <definedName name="М_32" localSheetId="18">[61]К.С.М.!#REF!</definedName>
    <definedName name="М_32" localSheetId="0">[61]К.С.М.!#REF!</definedName>
    <definedName name="М_32">[61]К.С.М.!#REF!</definedName>
    <definedName name="М_320" localSheetId="18">'[58]К.С.М. (ПУТ)'!#REF!</definedName>
    <definedName name="М_320" localSheetId="0">'[58]К.С.М. (ПУТ)'!#REF!</definedName>
    <definedName name="М_320">'[58]К.С.М. (ПУТ)'!#REF!</definedName>
    <definedName name="М_323" localSheetId="18">'[58]К.С.М. (ПУТ)'!#REF!</definedName>
    <definedName name="М_323" localSheetId="0">'[58]К.С.М. (ПУТ)'!#REF!</definedName>
    <definedName name="М_323">'[58]К.С.М. (ПУТ)'!#REF!</definedName>
    <definedName name="М_326" localSheetId="0">'[58]К.С.М. (ПУТ)'!#REF!</definedName>
    <definedName name="М_326">'[58]К.С.М. (ПУТ)'!#REF!</definedName>
    <definedName name="М_33" localSheetId="0">#REF!</definedName>
    <definedName name="М_33">#REF!</definedName>
    <definedName name="М_330">[64]К.С.М.!$P$354</definedName>
    <definedName name="М_334" localSheetId="18">'[58]К.С.М. (ПУТ)'!#REF!</definedName>
    <definedName name="М_334" localSheetId="0">'[58]К.С.М. (ПУТ)'!#REF!</definedName>
    <definedName name="М_334">'[58]К.С.М. (ПУТ)'!#REF!</definedName>
    <definedName name="М_33Б" localSheetId="18">#REF!</definedName>
    <definedName name="М_33Б" localSheetId="0">#REF!</definedName>
    <definedName name="М_33Б">#REF!</definedName>
    <definedName name="М_34" localSheetId="0">#REF!</definedName>
    <definedName name="М_34">#REF!</definedName>
    <definedName name="М_35" localSheetId="0">#REF!</definedName>
    <definedName name="М_35">#REF!</definedName>
    <definedName name="М_36" localSheetId="0">[61]К.С.М.!#REF!</definedName>
    <definedName name="М_36">[61]К.С.М.!#REF!</definedName>
    <definedName name="М_37">[65]К.С.М.!$P$51</definedName>
    <definedName name="М_38" localSheetId="0">#REF!</definedName>
    <definedName name="М_38">#REF!</definedName>
    <definedName name="М_4" localSheetId="0">#REF!</definedName>
    <definedName name="М_4">#REF!</definedName>
    <definedName name="М_40" localSheetId="0">#REF!</definedName>
    <definedName name="М_40">#REF!</definedName>
    <definedName name="М_41" localSheetId="0">#REF!</definedName>
    <definedName name="М_41">#REF!</definedName>
    <definedName name="М_42" localSheetId="0">#REF!</definedName>
    <definedName name="М_42">#REF!</definedName>
    <definedName name="М_45" localSheetId="0">[66]ф9!#REF!</definedName>
    <definedName name="М_45">[66]ф9!#REF!</definedName>
    <definedName name="М_46" localSheetId="0">#REF!</definedName>
    <definedName name="М_46">#REF!</definedName>
    <definedName name="М_47" localSheetId="18">'[58]К.С.М. (ПУТ)'!#REF!</definedName>
    <definedName name="М_47" localSheetId="0">'[58]К.С.М. (ПУТ)'!#REF!</definedName>
    <definedName name="М_47">'[58]К.С.М. (ПУТ)'!#REF!</definedName>
    <definedName name="М_49">[60]К.С.М.!$P$64</definedName>
    <definedName name="М_4д" localSheetId="0">#REF!</definedName>
    <definedName name="М_4д">#REF!</definedName>
    <definedName name="М_5" localSheetId="0">#REF!</definedName>
    <definedName name="М_5">#REF!</definedName>
    <definedName name="М_50" localSheetId="0">#REF!</definedName>
    <definedName name="М_50">#REF!</definedName>
    <definedName name="М_51" localSheetId="0">#REF!</definedName>
    <definedName name="М_51">#REF!</definedName>
    <definedName name="М_52" localSheetId="0">#REF!</definedName>
    <definedName name="М_52">#REF!</definedName>
    <definedName name="М_522" localSheetId="0">[27]К.С.М.!#REF!</definedName>
    <definedName name="М_522">[27]К.С.М.!#REF!</definedName>
    <definedName name="М_53">[60]К.С.М.!$P$68</definedName>
    <definedName name="М_54" localSheetId="0">#REF!</definedName>
    <definedName name="М_54">#REF!</definedName>
    <definedName name="М_55" localSheetId="18">[67]К.С.М.!#REF!</definedName>
    <definedName name="М_55" localSheetId="0">[67]К.С.М.!#REF!</definedName>
    <definedName name="М_55">[67]К.С.М.!#REF!</definedName>
    <definedName name="М_57" localSheetId="18">#REF!</definedName>
    <definedName name="М_57" localSheetId="0">#REF!</definedName>
    <definedName name="М_57">#REF!</definedName>
    <definedName name="М_577" localSheetId="0">#REF!</definedName>
    <definedName name="М_577">#REF!</definedName>
    <definedName name="М_6" localSheetId="0">#REF!</definedName>
    <definedName name="М_6">#REF!</definedName>
    <definedName name="М_60" localSheetId="0">[67]К.С.М.!#REF!</definedName>
    <definedName name="М_60">[67]К.С.М.!#REF!</definedName>
    <definedName name="М_61" localSheetId="0">#REF!</definedName>
    <definedName name="М_61">#REF!</definedName>
    <definedName name="М_62" localSheetId="0">#REF!</definedName>
    <definedName name="М_62">#REF!</definedName>
    <definedName name="М_63" localSheetId="0">'[58]К.С.М. (ПУТ)'!#REF!</definedName>
    <definedName name="М_63">'[58]К.С.М. (ПУТ)'!#REF!</definedName>
    <definedName name="М_64">[65]К.С.М.!$P$78</definedName>
    <definedName name="М_65" localSheetId="18">[44]К.С.М.!#REF!</definedName>
    <definedName name="М_65" localSheetId="0">[44]К.С.М.!#REF!</definedName>
    <definedName name="М_65">[44]К.С.М.!#REF!</definedName>
    <definedName name="М_69" localSheetId="18">[44]К.С.М.!#REF!</definedName>
    <definedName name="М_69" localSheetId="0">[44]К.С.М.!#REF!</definedName>
    <definedName name="М_69">[44]К.С.М.!#REF!</definedName>
    <definedName name="М_7" localSheetId="18">#REF!</definedName>
    <definedName name="М_7" localSheetId="0">#REF!</definedName>
    <definedName name="М_7">#REF!</definedName>
    <definedName name="М_70" localSheetId="0">#REF!</definedName>
    <definedName name="М_70">#REF!</definedName>
    <definedName name="М_71" localSheetId="0">#REF!</definedName>
    <definedName name="М_71">#REF!</definedName>
    <definedName name="М_72" localSheetId="0">#REF!</definedName>
    <definedName name="М_72">#REF!</definedName>
    <definedName name="М_73" localSheetId="0">[44]К.С.М.!#REF!</definedName>
    <definedName name="М_73">[44]К.С.М.!#REF!</definedName>
    <definedName name="М_74" localSheetId="0">#REF!</definedName>
    <definedName name="М_74">#REF!</definedName>
    <definedName name="М_75" localSheetId="18">'[58]К.С.М. (ПУТ)'!#REF!</definedName>
    <definedName name="М_75" localSheetId="0">'[58]К.С.М. (ПУТ)'!#REF!</definedName>
    <definedName name="М_75">'[58]К.С.М. (ПУТ)'!#REF!</definedName>
    <definedName name="М_77" localSheetId="18">#REF!</definedName>
    <definedName name="М_77" localSheetId="0">#REF!</definedName>
    <definedName name="М_77">#REF!</definedName>
    <definedName name="М_771" localSheetId="0">#REF!</definedName>
    <definedName name="М_771">#REF!</definedName>
    <definedName name="М_78" localSheetId="0">[67]К.С.М.!#REF!</definedName>
    <definedName name="М_78">[67]К.С.М.!#REF!</definedName>
    <definedName name="М_79" localSheetId="0">#REF!</definedName>
    <definedName name="М_79">#REF!</definedName>
    <definedName name="М_80">[60]К.С.М.!$P$83</definedName>
    <definedName name="М_81" localSheetId="0">#REF!</definedName>
    <definedName name="М_81">#REF!</definedName>
    <definedName name="М_83" localSheetId="0">#REF!</definedName>
    <definedName name="М_83">#REF!</definedName>
    <definedName name="М_84">[60]К.С.М.!$P$87</definedName>
    <definedName name="М_85" localSheetId="0">#REF!</definedName>
    <definedName name="М_85">#REF!</definedName>
    <definedName name="М_86" localSheetId="18">'[58]К.С.М. (ПУТ)'!#REF!</definedName>
    <definedName name="М_86" localSheetId="0">'[58]К.С.М. (ПУТ)'!#REF!</definedName>
    <definedName name="М_86">'[58]К.С.М. (ПУТ)'!#REF!</definedName>
    <definedName name="М_87" localSheetId="18">#REF!</definedName>
    <definedName name="М_87" localSheetId="0">#REF!</definedName>
    <definedName name="М_87">#REF!</definedName>
    <definedName name="М_88">[60]К.С.М.!$P$91</definedName>
    <definedName name="М_89" localSheetId="0">#REF!</definedName>
    <definedName name="М_89">#REF!</definedName>
    <definedName name="М_9" localSheetId="0">#REF!</definedName>
    <definedName name="М_9">#REF!</definedName>
    <definedName name="М_91" localSheetId="0">'[58]К.С.М. (ПУТ)'!#REF!</definedName>
    <definedName name="М_91">'[58]К.С.М. (ПУТ)'!#REF!</definedName>
    <definedName name="М_93" localSheetId="0">#REF!</definedName>
    <definedName name="М_93">#REF!</definedName>
    <definedName name="М_97" localSheetId="0">#REF!</definedName>
    <definedName name="М_97">#REF!</definedName>
    <definedName name="М12" localSheetId="0">#REF!</definedName>
    <definedName name="М12">#REF!</definedName>
    <definedName name="май">[41]Лист1!$C$936:$H$1175</definedName>
    <definedName name="маша" localSheetId="18" hidden="1">{#N/A,#N/A,TRUE,"Сводка балансов"}</definedName>
    <definedName name="маша" localSheetId="0" hidden="1">{#N/A,#N/A,TRUE,"Сводка балансов"}</definedName>
    <definedName name="маша" localSheetId="1" hidden="1">{#N/A,#N/A,TRUE,"Сводка балансов"}</definedName>
    <definedName name="маша" hidden="1">{#N/A,#N/A,TRUE,"Сводка балансов"}</definedName>
    <definedName name="метро" localSheetId="18" hidden="1">{#N/A,#N/A,TRUE,"Сводка балансов"}</definedName>
    <definedName name="метро" localSheetId="0" hidden="1">{#N/A,#N/A,TRUE,"Сводка балансов"}</definedName>
    <definedName name="метро" localSheetId="1" hidden="1">{#N/A,#N/A,TRUE,"Сводка балансов"}</definedName>
    <definedName name="метро" hidden="1">{#N/A,#N/A,TRUE,"Сводка балансов"}</definedName>
    <definedName name="ми" localSheetId="0">[37]Лист1!#REF!</definedName>
    <definedName name="ми">[37]Лист1!#REF!</definedName>
    <definedName name="миииииииии" localSheetId="0">#REF!</definedName>
    <definedName name="миииииииии">#REF!</definedName>
    <definedName name="митьбьотрипма" localSheetId="0">#REF!</definedName>
    <definedName name="митьбьотрипма">#REF!</definedName>
    <definedName name="млол" localSheetId="0">#REF!</definedName>
    <definedName name="млол">#REF!</definedName>
    <definedName name="мм" localSheetId="0">#REF!</definedName>
    <definedName name="мм">#REF!</definedName>
    <definedName name="мо" localSheetId="0">#REF!</definedName>
    <definedName name="мо">#REF!</definedName>
    <definedName name="монтаж" localSheetId="0">#REF!</definedName>
    <definedName name="монтаж">#REF!</definedName>
    <definedName name="мост" localSheetId="0">#REF!</definedName>
    <definedName name="мост">#REF!</definedName>
    <definedName name="мп">'[38]C.с '!$D$21</definedName>
    <definedName name="н" localSheetId="0">#REF!</definedName>
    <definedName name="н">#REF!</definedName>
    <definedName name="Названия">'[46]КС-3'!$N$3:$N$3</definedName>
    <definedName name="Наименование_объекта" localSheetId="0">#REF!</definedName>
    <definedName name="Наименование_объекта">#REF!</definedName>
    <definedName name="Накладные_расходы_1" localSheetId="0">#REF!</definedName>
    <definedName name="Накладные_расходы_1">#REF!</definedName>
    <definedName name="Накладные_расходы_2" localSheetId="0">#REF!</definedName>
    <definedName name="Накладные_расходы_2">#REF!</definedName>
    <definedName name="налпольз" localSheetId="0">#REF!</definedName>
    <definedName name="налпольз">#REF!</definedName>
    <definedName name="Ндевицк_крА" localSheetId="0">#REF!</definedName>
    <definedName name="Ндевицк_крА">#REF!</definedName>
    <definedName name="Ндевицк_крБ" localSheetId="0">#REF!</definedName>
    <definedName name="Ндевицк_крБ">#REF!</definedName>
    <definedName name="Ндевицк_крВ" localSheetId="0">#REF!</definedName>
    <definedName name="Ндевицк_крВ">#REF!</definedName>
    <definedName name="Ндевицк_крГ" localSheetId="0">#REF!</definedName>
    <definedName name="Ндевицк_крГ">#REF!</definedName>
    <definedName name="Ндевицк_крД" localSheetId="0">#REF!</definedName>
    <definedName name="Ндевицк_крД">#REF!</definedName>
    <definedName name="Ндевицк_крЕ" localSheetId="0">#REF!</definedName>
    <definedName name="Ндевицк_крЕ">#REF!</definedName>
    <definedName name="Ндевицк_крЖ" localSheetId="0">#REF!</definedName>
    <definedName name="Ндевицк_крЖ">#REF!</definedName>
    <definedName name="НДС">'[46]КС-3'!$J$1</definedName>
    <definedName name="не" localSheetId="18">[37]Лист1!#REF!</definedName>
    <definedName name="не" localSheetId="0">[37]Лист1!#REF!</definedName>
    <definedName name="не">[37]Лист1!#REF!</definedName>
    <definedName name="неет" localSheetId="0">#REF!</definedName>
    <definedName name="неет">#REF!</definedName>
    <definedName name="неошл" localSheetId="0">#REF!</definedName>
    <definedName name="неошл">#REF!</definedName>
    <definedName name="нет" localSheetId="0">#REF!</definedName>
    <definedName name="нет">#REF!</definedName>
    <definedName name="нн45ни" localSheetId="0">#REF!</definedName>
    <definedName name="нн45ни">#REF!</definedName>
    <definedName name="ннннннннннннн" localSheetId="0">#REF!</definedName>
    <definedName name="ннннннннннннн">#REF!</definedName>
    <definedName name="нннннннннннннннннннннннннннннннн" localSheetId="0">#REF!</definedName>
    <definedName name="нннннннннннннннннннннннннннннннн">#REF!</definedName>
    <definedName name="нннннннннннт" localSheetId="0">#REF!</definedName>
    <definedName name="нннннннннннт">#REF!</definedName>
    <definedName name="ноооооооооооооооооооо" localSheetId="0">#REF!</definedName>
    <definedName name="ноооооооооооооооооооо">#REF!</definedName>
    <definedName name="нрогнлгн" localSheetId="0">[68]Лист1!#REF!</definedName>
    <definedName name="нрогнлгн">[68]Лист1!#REF!</definedName>
    <definedName name="НТС">[49]Лист1!$M$138</definedName>
    <definedName name="НУ">'[56]КС-3'!$N$3:$N$3</definedName>
    <definedName name="Нусмань_крА" localSheetId="0">#REF!</definedName>
    <definedName name="Нусмань_крА">#REF!</definedName>
    <definedName name="Нусмань_крБ" localSheetId="0">#REF!</definedName>
    <definedName name="Нусмань_крБ">#REF!</definedName>
    <definedName name="Нусмань_крВ" localSheetId="0">#REF!</definedName>
    <definedName name="Нусмань_крВ">#REF!</definedName>
    <definedName name="Нусмань_крГ" localSheetId="0">#REF!</definedName>
    <definedName name="Нусмань_крГ">#REF!</definedName>
    <definedName name="Нусмань_крД" localSheetId="0">#REF!</definedName>
    <definedName name="Нусмань_крД">#REF!</definedName>
    <definedName name="Нусмань_крЕ" localSheetId="0">#REF!</definedName>
    <definedName name="Нусмань_крЕ">#REF!</definedName>
    <definedName name="Нусмань_крЖ" localSheetId="0">#REF!</definedName>
    <definedName name="Нусмань_крЖ">#REF!</definedName>
    <definedName name="Нхопер_крА" localSheetId="0">#REF!</definedName>
    <definedName name="Нхопер_крА">#REF!</definedName>
    <definedName name="Нхопер_крБ" localSheetId="0">#REF!</definedName>
    <definedName name="Нхопер_крБ">#REF!</definedName>
    <definedName name="Нхопер_крВ" localSheetId="0">#REF!</definedName>
    <definedName name="Нхопер_крВ">#REF!</definedName>
    <definedName name="Нхопер_крГ" localSheetId="0">#REF!</definedName>
    <definedName name="Нхопер_крГ">#REF!</definedName>
    <definedName name="Нхопер_крД" localSheetId="0">#REF!</definedName>
    <definedName name="Нхопер_крД">#REF!</definedName>
    <definedName name="Нхопер_крЕ" localSheetId="0">#REF!</definedName>
    <definedName name="Нхопер_крЕ">#REF!</definedName>
    <definedName name="Нхопер_крЖ" localSheetId="0">#REF!</definedName>
    <definedName name="Нхопер_крЖ">#REF!</definedName>
    <definedName name="о" localSheetId="0">#REF!</definedName>
    <definedName name="о">#REF!</definedName>
    <definedName name="О_1" localSheetId="0">#REF!</definedName>
    <definedName name="О_1">#REF!</definedName>
    <definedName name="об">'[38]C.с '!$F$36</definedName>
    <definedName name="обл" localSheetId="0">#REF!</definedName>
    <definedName name="обл">#REF!</definedName>
    <definedName name="_xlnm.Print_Area" localSheetId="9">'1_17.56'!$A$1:$L$757</definedName>
    <definedName name="_xlnm.Print_Area" localSheetId="2">'17.55'!$A$1:$L$216</definedName>
    <definedName name="_xlnm.Print_Area" localSheetId="3">'17.75'!$A$1:$L$181</definedName>
    <definedName name="_xlnm.Print_Area" localSheetId="10">'2_17.63'!$A$1:$L$398</definedName>
    <definedName name="_xlnm.Print_Area" localSheetId="16">'21.14'!$A$1:$L$143</definedName>
    <definedName name="_xlnm.Print_Area" localSheetId="11">'3_17.93'!$A$1:$L$205</definedName>
    <definedName name="_xlnm.Print_Area" localSheetId="12">'4_21.10'!$A$26:$L$88</definedName>
    <definedName name="_xlnm.Print_Area" localSheetId="13">'5_21.11'!$A$26:$L$111</definedName>
    <definedName name="_xlnm.Print_Area" localSheetId="14">'6_21.12'!$A$26:$L$129</definedName>
    <definedName name="_xlnm.Print_Area" localSheetId="15">'7_21.13'!$A$26:$L$198</definedName>
    <definedName name="_xlnm.Print_Area" localSheetId="17">'8_21.17'!$A$26:$L$149</definedName>
    <definedName name="_xlnm.Print_Area" localSheetId="18">'9_11.6'!$A$1:$L$137</definedName>
    <definedName name="_xlnm.Print_Area" localSheetId="0">'КС-3 (2)'!$A$1:$H$79</definedName>
    <definedName name="_xlnm.Print_Area" localSheetId="1">'Реестр январь'!$A$1:$Q$43</definedName>
    <definedName name="_xlnm.Print_Area">#REF!</definedName>
    <definedName name="обс" localSheetId="18">#REF!</definedName>
    <definedName name="обс" localSheetId="0">#REF!</definedName>
    <definedName name="обс">#REF!</definedName>
    <definedName name="обсл" localSheetId="18">#REF!</definedName>
    <definedName name="обсл" localSheetId="0">#REF!</definedName>
    <definedName name="обсл">#REF!</definedName>
    <definedName name="обслуга" localSheetId="0">#REF!</definedName>
    <definedName name="обслуга">#REF!</definedName>
    <definedName name="обслуж" localSheetId="0">#REF!</definedName>
    <definedName name="обслуж">#REF!</definedName>
    <definedName name="Объездн.дор.">'[40]Объездные дороги'!$AJ$41</definedName>
    <definedName name="объем" localSheetId="0">#REF!</definedName>
    <definedName name="объем">#REF!</definedName>
    <definedName name="оз" localSheetId="0">#REF!</definedName>
    <definedName name="оз">#REF!</definedName>
    <definedName name="Озел.">[40]Озеленение!$AJ$40</definedName>
    <definedName name="окно.б." localSheetId="0">#REF!</definedName>
    <definedName name="окно.б.">#REF!</definedName>
    <definedName name="ол" localSheetId="0">#REF!</definedName>
    <definedName name="ол">#REF!</definedName>
    <definedName name="ОЛЖОЛЖО" localSheetId="0">#REF!</definedName>
    <definedName name="ОЛЖОЛЖО">#REF!</definedName>
    <definedName name="ололо" localSheetId="0">#REF!</definedName>
    <definedName name="ололо">#REF!</definedName>
    <definedName name="ольхов_крА" localSheetId="0">#REF!</definedName>
    <definedName name="ольхов_крА">#REF!</definedName>
    <definedName name="ольхов_крБ" localSheetId="0">#REF!</definedName>
    <definedName name="ольхов_крБ">#REF!</definedName>
    <definedName name="ольхов_крВ" localSheetId="0">#REF!</definedName>
    <definedName name="ольхов_крВ">#REF!</definedName>
    <definedName name="ольхов_крГ" localSheetId="0">#REF!</definedName>
    <definedName name="ольхов_крГ">#REF!</definedName>
    <definedName name="ольхов_крД" localSheetId="0">#REF!</definedName>
    <definedName name="ольхов_крД">#REF!</definedName>
    <definedName name="ольхов_крЕ" localSheetId="0">#REF!</definedName>
    <definedName name="ольхов_крЕ">#REF!</definedName>
    <definedName name="ольхов_крЖ" localSheetId="0">#REF!</definedName>
    <definedName name="ольхов_крЖ">#REF!</definedName>
    <definedName name="оо" localSheetId="0">#REF!</definedName>
    <definedName name="оо">#REF!</definedName>
    <definedName name="ооо" localSheetId="0">#REF!</definedName>
    <definedName name="ооо">#REF!</definedName>
    <definedName name="оооо" localSheetId="0">#REF!</definedName>
    <definedName name="оооо">#REF!</definedName>
    <definedName name="ооооо" localSheetId="0">#REF!</definedName>
    <definedName name="ооооо">#REF!</definedName>
    <definedName name="оооооо" localSheetId="0">#REF!</definedName>
    <definedName name="оооооо">#REF!</definedName>
    <definedName name="ОП1" localSheetId="0">#REF!</definedName>
    <definedName name="ОП1">#REF!</definedName>
    <definedName name="ор" localSheetId="0">'[44]C.с '!#REF!</definedName>
    <definedName name="ор">'[44]C.с '!#REF!</definedName>
    <definedName name="орпророо" localSheetId="0">#REF!</definedName>
    <definedName name="орпророо">#REF!</definedName>
    <definedName name="орь" localSheetId="0">#REF!</definedName>
    <definedName name="орь">#REF!</definedName>
    <definedName name="острог_крА" localSheetId="0">#REF!</definedName>
    <definedName name="острог_крА">#REF!</definedName>
    <definedName name="острог_крБ" localSheetId="0">#REF!</definedName>
    <definedName name="острог_крБ">#REF!</definedName>
    <definedName name="острог_крВ" localSheetId="0">#REF!</definedName>
    <definedName name="острог_крВ">#REF!</definedName>
    <definedName name="острог_крГ" localSheetId="0">#REF!</definedName>
    <definedName name="острог_крГ">#REF!</definedName>
    <definedName name="острог_крД" localSheetId="0">#REF!</definedName>
    <definedName name="острог_крД">#REF!</definedName>
    <definedName name="острог_крЕ" localSheetId="0">#REF!</definedName>
    <definedName name="острог_крЕ">#REF!</definedName>
    <definedName name="острог_крЖ" localSheetId="0">#REF!</definedName>
    <definedName name="острог_крЖ">#REF!</definedName>
    <definedName name="Отделы" localSheetId="0">#REF!</definedName>
    <definedName name="Отделы">#REF!</definedName>
    <definedName name="Оформл.отвода">'[40] Подготовительные работы'!$AJ$20</definedName>
    <definedName name="охот_клуб" localSheetId="18" hidden="1">{#N/A,#N/A,TRUE,"Сводка балансов"}</definedName>
    <definedName name="охот_клуб" localSheetId="0" hidden="1">{#N/A,#N/A,TRUE,"Сводка балансов"}</definedName>
    <definedName name="охот_клуб" localSheetId="1" hidden="1">{#N/A,#N/A,TRUE,"Сводка балансов"}</definedName>
    <definedName name="охот_клуб" hidden="1">{#N/A,#N/A,TRUE,"Сводка балансов"}</definedName>
    <definedName name="охр" localSheetId="18">#REF!</definedName>
    <definedName name="охр" localSheetId="0">#REF!</definedName>
    <definedName name="охр">#REF!</definedName>
    <definedName name="охрана" localSheetId="18">#REF!</definedName>
    <definedName name="охрана" localSheetId="0">#REF!</definedName>
    <definedName name="охрана">#REF!</definedName>
    <definedName name="охрана2" localSheetId="18">#REF!</definedName>
    <definedName name="охрана2" localSheetId="0">#REF!</definedName>
    <definedName name="охрана2">#REF!</definedName>
    <definedName name="п" localSheetId="0">#REF!</definedName>
    <definedName name="п">#REF!</definedName>
    <definedName name="П_1" localSheetId="0">#REF!</definedName>
    <definedName name="П_1">#REF!</definedName>
    <definedName name="П1" localSheetId="0">#REF!</definedName>
    <definedName name="П1">#REF!</definedName>
    <definedName name="паапа" localSheetId="0">#REF!</definedName>
    <definedName name="паапа">#REF!</definedName>
    <definedName name="павлов_крА" localSheetId="0">#REF!</definedName>
    <definedName name="павлов_крА">#REF!</definedName>
    <definedName name="павлов_крБ" localSheetId="0">#REF!</definedName>
    <definedName name="павлов_крБ">#REF!</definedName>
    <definedName name="павлов_крВ" localSheetId="0">#REF!</definedName>
    <definedName name="павлов_крВ">#REF!</definedName>
    <definedName name="павлов_крГ" localSheetId="0">#REF!</definedName>
    <definedName name="павлов_крГ">#REF!</definedName>
    <definedName name="павлов_крД" localSheetId="0">#REF!</definedName>
    <definedName name="павлов_крД">#REF!</definedName>
    <definedName name="павлов_крЕ" localSheetId="0">#REF!</definedName>
    <definedName name="павлов_крЕ">#REF!</definedName>
    <definedName name="павлов_крЖ" localSheetId="0">#REF!</definedName>
    <definedName name="павлов_крЖ">#REF!</definedName>
    <definedName name="павод" localSheetId="0">#REF!</definedName>
    <definedName name="павод">#REF!</definedName>
    <definedName name="панино_крА" localSheetId="0">#REF!</definedName>
    <definedName name="панино_крА">#REF!</definedName>
    <definedName name="панино_крБ" localSheetId="0">#REF!</definedName>
    <definedName name="панино_крБ">#REF!</definedName>
    <definedName name="панино_крВ" localSheetId="0">#REF!</definedName>
    <definedName name="панино_крВ">#REF!</definedName>
    <definedName name="панино_крГ" localSheetId="0">#REF!</definedName>
    <definedName name="панино_крГ">#REF!</definedName>
    <definedName name="панино_крД" localSheetId="0">#REF!</definedName>
    <definedName name="панино_крД">#REF!</definedName>
    <definedName name="панино_крЕ" localSheetId="0">#REF!</definedName>
    <definedName name="панино_крЕ">#REF!</definedName>
    <definedName name="панино_крЖ" localSheetId="0">#REF!</definedName>
    <definedName name="панино_крЖ">#REF!</definedName>
    <definedName name="ПАПАИПАПА" localSheetId="0">#REF!</definedName>
    <definedName name="ПАПАИПАПА">#REF!</definedName>
    <definedName name="папап" localSheetId="0">#REF!</definedName>
    <definedName name="папап">#REF!</definedName>
    <definedName name="папвуу" localSheetId="0">#REF!</definedName>
    <definedName name="папвуу">#REF!</definedName>
    <definedName name="пар" localSheetId="0">#REF!</definedName>
    <definedName name="пар">#REF!</definedName>
    <definedName name="параша" localSheetId="18" hidden="1">{#N/A,#N/A,TRUE,"Сводка балансов"}</definedName>
    <definedName name="параша" localSheetId="0" hidden="1">{#N/A,#N/A,TRUE,"Сводка балансов"}</definedName>
    <definedName name="параша" localSheetId="1" hidden="1">{#N/A,#N/A,TRUE,"Сводка балансов"}</definedName>
    <definedName name="параша" hidden="1">{#N/A,#N/A,TRUE,"Сводка балансов"}</definedName>
    <definedName name="партия2" localSheetId="18">#REF!</definedName>
    <definedName name="партия2" localSheetId="0">#REF!</definedName>
    <definedName name="партия2">#REF!</definedName>
    <definedName name="паша" localSheetId="18" hidden="1">{#N/A,#N/A,TRUE,"Сводка балансов"}</definedName>
    <definedName name="паша" localSheetId="0" hidden="1">{#N/A,#N/A,TRUE,"Сводка балансов"}</definedName>
    <definedName name="паша" localSheetId="1" hidden="1">{#N/A,#N/A,TRUE,"Сводка балансов"}</definedName>
    <definedName name="паша" hidden="1">{#N/A,#N/A,TRUE,"Сводка балансов"}</definedName>
    <definedName name="пв" localSheetId="0">[37]Лист1!#REF!</definedName>
    <definedName name="пв">[37]Лист1!#REF!</definedName>
    <definedName name="пд">'[48]C.с'!$D$123</definedName>
    <definedName name="перевозка" localSheetId="0">#REF!</definedName>
    <definedName name="перевозка">#REF!</definedName>
    <definedName name="Пересеч.">'[40]Пересечения и примыкания'!$AJ$58</definedName>
    <definedName name="петроп_крА" localSheetId="0">#REF!</definedName>
    <definedName name="петроп_крА">#REF!</definedName>
    <definedName name="петроп_крБ" localSheetId="0">#REF!</definedName>
    <definedName name="петроп_крБ">#REF!</definedName>
    <definedName name="петроп_крВ" localSheetId="0">#REF!</definedName>
    <definedName name="петроп_крВ">#REF!</definedName>
    <definedName name="петроп_крГ" localSheetId="0">#REF!</definedName>
    <definedName name="петроп_крГ">#REF!</definedName>
    <definedName name="петроп_крД" localSheetId="0">#REF!</definedName>
    <definedName name="петроп_крД">#REF!</definedName>
    <definedName name="петроп_крЕ" localSheetId="0">#REF!</definedName>
    <definedName name="петроп_крЕ">#REF!</definedName>
    <definedName name="петроп_крЖ" localSheetId="0">#REF!</definedName>
    <definedName name="петроп_крЖ">#REF!</definedName>
    <definedName name="пеш" localSheetId="0">#REF!</definedName>
    <definedName name="пеш">#REF!</definedName>
    <definedName name="Пеш.дорожки">'[40]Обстановка дороги'!$AJ$66</definedName>
    <definedName name="ПИР">[69]ПИР!$F$20</definedName>
    <definedName name="пкапв" localSheetId="0">#REF!</definedName>
    <definedName name="пкапв">#REF!</definedName>
    <definedName name="пквпппппппппппп" localSheetId="0">#REF!</definedName>
    <definedName name="пквпппппппппппп">#REF!</definedName>
    <definedName name="плрайдшогкуп" localSheetId="0">#REF!</definedName>
    <definedName name="плрайдшогкуп">#REF!</definedName>
    <definedName name="плс" localSheetId="0">'[44]C.с '!#REF!</definedName>
    <definedName name="плс">'[44]C.с '!#REF!</definedName>
    <definedName name="пм">'[48]C.с'!$D$39</definedName>
    <definedName name="пмрпрпрр" localSheetId="0">#REF!</definedName>
    <definedName name="пмрпрпрр">#REF!</definedName>
    <definedName name="ПНР" localSheetId="18">#REF!,#REF!,#REF!,#REF!,#REF!,#REF!,#REF!</definedName>
    <definedName name="ПНР" localSheetId="0">#REF!,#REF!,#REF!,#REF!,#REF!,#REF!,#REF!</definedName>
    <definedName name="ПНР">#REF!,#REF!,#REF!,#REF!,#REF!,#REF!,#REF!</definedName>
    <definedName name="ПНР_О_И" localSheetId="0">#REF!,#REF!,#REF!,#REF!,#REF!,#REF!,#REF!</definedName>
    <definedName name="ПНР_О_И">#REF!,#REF!,#REF!,#REF!,#REF!,#REF!,#REF!</definedName>
    <definedName name="повор_крА" localSheetId="18">#REF!</definedName>
    <definedName name="повор_крА" localSheetId="0">#REF!</definedName>
    <definedName name="повор_крА">#REF!</definedName>
    <definedName name="повор_крБ" localSheetId="18">#REF!</definedName>
    <definedName name="повор_крБ" localSheetId="0">#REF!</definedName>
    <definedName name="повор_крБ">#REF!</definedName>
    <definedName name="повор_крВ" localSheetId="18">#REF!</definedName>
    <definedName name="повор_крВ" localSheetId="0">#REF!</definedName>
    <definedName name="повор_крВ">#REF!</definedName>
    <definedName name="повор_крГ" localSheetId="0">#REF!</definedName>
    <definedName name="повор_крГ">#REF!</definedName>
    <definedName name="повор_крД" localSheetId="0">#REF!</definedName>
    <definedName name="повор_крД">#REF!</definedName>
    <definedName name="повор_крЕ" localSheetId="0">#REF!</definedName>
    <definedName name="повор_крЕ">#REF!</definedName>
    <definedName name="повор_крЖ" localSheetId="0">#REF!</definedName>
    <definedName name="повор_крЖ">#REF!</definedName>
    <definedName name="под" localSheetId="0">#REF!</definedName>
    <definedName name="под">#REF!</definedName>
    <definedName name="подгор_крА" localSheetId="0">#REF!</definedName>
    <definedName name="подгор_крА">#REF!</definedName>
    <definedName name="подгор_крБ" localSheetId="0">#REF!</definedName>
    <definedName name="подгор_крБ">#REF!</definedName>
    <definedName name="подгор_крВ" localSheetId="0">#REF!</definedName>
    <definedName name="подгор_крВ">#REF!</definedName>
    <definedName name="подгор_крГ" localSheetId="0">#REF!</definedName>
    <definedName name="подгор_крГ">#REF!</definedName>
    <definedName name="подгор_крД" localSheetId="0">#REF!</definedName>
    <definedName name="подгор_крД">#REF!</definedName>
    <definedName name="подгор_крЕ" localSheetId="0">#REF!</definedName>
    <definedName name="подгор_крЕ">#REF!</definedName>
    <definedName name="подгор_крЖ" localSheetId="0">#REF!</definedName>
    <definedName name="подгор_крЖ">#REF!</definedName>
    <definedName name="пожар" localSheetId="0">#REF!</definedName>
    <definedName name="пожар">#REF!</definedName>
    <definedName name="понпш" localSheetId="0">#REF!</definedName>
    <definedName name="понпш">#REF!</definedName>
    <definedName name="попопоппп" localSheetId="0">#REF!</definedName>
    <definedName name="попопоппп">#REF!</definedName>
    <definedName name="пор" localSheetId="0">#REF!</definedName>
    <definedName name="пор">#REF!</definedName>
    <definedName name="ПОРЛ" localSheetId="0">#REF!</definedName>
    <definedName name="ПОРЛ">#REF!</definedName>
    <definedName name="Посад.площ.">'[40]Обстановка дороги'!$AJ$121</definedName>
    <definedName name="пп" localSheetId="0">#REF!</definedName>
    <definedName name="пп">#REF!</definedName>
    <definedName name="ппп" localSheetId="0">#REF!</definedName>
    <definedName name="ппп">#REF!</definedName>
    <definedName name="ппп." localSheetId="0">#REF!</definedName>
    <definedName name="ппп.">#REF!</definedName>
    <definedName name="пппп" localSheetId="0">#REF!</definedName>
    <definedName name="пппп">#REF!</definedName>
    <definedName name="ппппппппппп" localSheetId="0">#REF!</definedName>
    <definedName name="ппппппппппп">#REF!</definedName>
    <definedName name="пппппппппппп" localSheetId="0">#REF!</definedName>
    <definedName name="пппппппппппп">#REF!</definedName>
    <definedName name="ппппппппппппп" localSheetId="0">#REF!</definedName>
    <definedName name="ппппппппппппп">#REF!</definedName>
    <definedName name="пппппппппппппппппппва" localSheetId="0">#REF!</definedName>
    <definedName name="пппппппппппппппппппва">#REF!</definedName>
    <definedName name="ппппппппппппппппппппп" localSheetId="0">#REF!</definedName>
    <definedName name="ппппппппппппппппппппп">#REF!</definedName>
    <definedName name="пппрр" localSheetId="0">#REF!</definedName>
    <definedName name="пппрр">#REF!</definedName>
    <definedName name="пр">'[38]C.с '!$D$69</definedName>
    <definedName name="пр1">'[16]C.с'!$E$58</definedName>
    <definedName name="преапреапрар" localSheetId="0">#REF!</definedName>
    <definedName name="преапреапрар">#REF!</definedName>
    <definedName name="прно">[70]Лист1!$A$316:$O$318</definedName>
    <definedName name="про" localSheetId="18">[36]Лист1!#REF!</definedName>
    <definedName name="про" localSheetId="0">[36]Лист1!#REF!</definedName>
    <definedName name="про">[36]Лист1!#REF!</definedName>
    <definedName name="проект" localSheetId="18">#REF!</definedName>
    <definedName name="проект" localSheetId="0">#REF!</definedName>
    <definedName name="проект">#REF!</definedName>
    <definedName name="прол">'[39]C.с  (2)'!$I$80</definedName>
    <definedName name="пролл" localSheetId="0">#REF!</definedName>
    <definedName name="пролл">#REF!</definedName>
    <definedName name="ПРОТОКОЛ_ИТОГИ_БНДС">'[49]Протокол ДЦ'!$E$11,'[49]Протокол ДЦ'!$E$22</definedName>
    <definedName name="прп" localSheetId="0">#REF!</definedName>
    <definedName name="прп">#REF!</definedName>
    <definedName name="ПРППОРЛОРЛО" localSheetId="0">#REF!</definedName>
    <definedName name="ПРППОРЛОРЛО">#REF!</definedName>
    <definedName name="прпр.эж" localSheetId="0">#REF!</definedName>
    <definedName name="прпр.эж">#REF!</definedName>
    <definedName name="ПРПРП" localSheetId="0">#REF!</definedName>
    <definedName name="ПРПРП">#REF!</definedName>
    <definedName name="прпрпрп" localSheetId="0">#REF!</definedName>
    <definedName name="прпрпрп">#REF!</definedName>
    <definedName name="ПРРР" localSheetId="0">#REF!</definedName>
    <definedName name="ПРРР">#REF!</definedName>
    <definedName name="прррррррр" localSheetId="0">#REF!</definedName>
    <definedName name="прррррррр">#REF!</definedName>
    <definedName name="р" localSheetId="0">#REF!</definedName>
    <definedName name="р">#REF!</definedName>
    <definedName name="Р_01">[6]Фм!$H$17</definedName>
    <definedName name="Р_02">[6]Фм!$H$22</definedName>
    <definedName name="Р_1" localSheetId="18">#REF!</definedName>
    <definedName name="Р_1" localSheetId="0">#REF!</definedName>
    <definedName name="Р_1">#REF!</definedName>
    <definedName name="Р_10" localSheetId="18">#REF!</definedName>
    <definedName name="Р_10" localSheetId="0">#REF!</definedName>
    <definedName name="Р_10">#REF!</definedName>
    <definedName name="Р_100" localSheetId="18">[20]Ф!#REF!</definedName>
    <definedName name="Р_100" localSheetId="0">[20]Ф!#REF!</definedName>
    <definedName name="Р_100">[20]Ф!#REF!</definedName>
    <definedName name="Р_101" localSheetId="18">#REF!</definedName>
    <definedName name="Р_101" localSheetId="0">#REF!</definedName>
    <definedName name="Р_101">#REF!</definedName>
    <definedName name="Р_11" localSheetId="18">#REF!</definedName>
    <definedName name="Р_11" localSheetId="0">#REF!</definedName>
    <definedName name="Р_11">#REF!</definedName>
    <definedName name="Р_111" localSheetId="18">[27]Ф!#REF!</definedName>
    <definedName name="Р_111" localSheetId="0">[27]Ф!#REF!</definedName>
    <definedName name="Р_111">[27]Ф!#REF!</definedName>
    <definedName name="Р_11а" localSheetId="18">[13]Ф!#REF!</definedName>
    <definedName name="Р_11а" localSheetId="0">[13]Ф!#REF!</definedName>
    <definedName name="Р_11а">[13]Ф!#REF!</definedName>
    <definedName name="Р_13" localSheetId="18">#REF!</definedName>
    <definedName name="Р_13" localSheetId="0">#REF!</definedName>
    <definedName name="Р_13">#REF!</definedName>
    <definedName name="Р_14" localSheetId="18">#REF!</definedName>
    <definedName name="Р_14" localSheetId="0">#REF!</definedName>
    <definedName name="Р_14">#REF!</definedName>
    <definedName name="Р_15" localSheetId="18">[71]Ф!#REF!</definedName>
    <definedName name="Р_15" localSheetId="0">[71]Ф!#REF!</definedName>
    <definedName name="Р_15">[71]Ф!#REF!</definedName>
    <definedName name="Р_150" localSheetId="18">[13]Ф!#REF!</definedName>
    <definedName name="Р_150" localSheetId="0">[13]Ф!#REF!</definedName>
    <definedName name="Р_150">[13]Ф!#REF!</definedName>
    <definedName name="Р_151" localSheetId="18">#REF!</definedName>
    <definedName name="Р_151" localSheetId="0">#REF!</definedName>
    <definedName name="Р_151">#REF!</definedName>
    <definedName name="Р_152" localSheetId="18">#REF!</definedName>
    <definedName name="Р_152" localSheetId="0">#REF!</definedName>
    <definedName name="Р_152">#REF!</definedName>
    <definedName name="Р_153" localSheetId="18">#REF!</definedName>
    <definedName name="Р_153" localSheetId="0">#REF!</definedName>
    <definedName name="Р_153">#REF!</definedName>
    <definedName name="Р_154" localSheetId="0">#REF!</definedName>
    <definedName name="Р_154">#REF!</definedName>
    <definedName name="Р_15а" localSheetId="0">[20]Ф!#REF!</definedName>
    <definedName name="Р_15а">[20]Ф!#REF!</definedName>
    <definedName name="Р_16" localSheetId="18">#REF!</definedName>
    <definedName name="Р_16" localSheetId="0">#REF!</definedName>
    <definedName name="Р_16">#REF!</definedName>
    <definedName name="Р_17" localSheetId="18">[71]Ф!#REF!</definedName>
    <definedName name="Р_17" localSheetId="0">[71]Ф!#REF!</definedName>
    <definedName name="Р_17">[71]Ф!#REF!</definedName>
    <definedName name="Р_17а" localSheetId="0">[20]Ф!#REF!</definedName>
    <definedName name="Р_17а">[20]Ф!#REF!</definedName>
    <definedName name="Р_18" localSheetId="0">[61]Ф!#REF!</definedName>
    <definedName name="Р_18">[61]Ф!#REF!</definedName>
    <definedName name="Р_19" localSheetId="0">#REF!</definedName>
    <definedName name="Р_19">#REF!</definedName>
    <definedName name="Р_190" localSheetId="0">#REF!</definedName>
    <definedName name="Р_190">#REF!</definedName>
    <definedName name="Р_2" localSheetId="0">#REF!</definedName>
    <definedName name="Р_2">#REF!</definedName>
    <definedName name="Р_20" localSheetId="0">#REF!</definedName>
    <definedName name="Р_20">#REF!</definedName>
    <definedName name="Р_21" localSheetId="0">#REF!</definedName>
    <definedName name="Р_21">#REF!</definedName>
    <definedName name="Р_210" localSheetId="0">#REF!</definedName>
    <definedName name="Р_210">#REF!</definedName>
    <definedName name="Р_211" localSheetId="0">[12]Ф!#REF!</definedName>
    <definedName name="Р_211">[12]Ф!#REF!</definedName>
    <definedName name="Р_211а" localSheetId="0">[12]Ф!#REF!</definedName>
    <definedName name="Р_211а">[12]Ф!#REF!</definedName>
    <definedName name="Р_212" localSheetId="0">[12]Ф!#REF!</definedName>
    <definedName name="Р_212">[12]Ф!#REF!</definedName>
    <definedName name="Р_22" localSheetId="18">#REF!</definedName>
    <definedName name="Р_22" localSheetId="0">#REF!</definedName>
    <definedName name="Р_22">#REF!</definedName>
    <definedName name="Р_23" localSheetId="18">#REF!</definedName>
    <definedName name="Р_23" localSheetId="0">#REF!</definedName>
    <definedName name="Р_23">#REF!</definedName>
    <definedName name="Р_233" localSheetId="18">#REF!</definedName>
    <definedName name="Р_233" localSheetId="0">#REF!</definedName>
    <definedName name="Р_233">#REF!</definedName>
    <definedName name="Р_24" localSheetId="0">#REF!</definedName>
    <definedName name="Р_24">#REF!</definedName>
    <definedName name="Р_241" localSheetId="0">#REF!</definedName>
    <definedName name="Р_241">#REF!</definedName>
    <definedName name="Р_25" localSheetId="0">#REF!</definedName>
    <definedName name="Р_25">#REF!</definedName>
    <definedName name="Р_26" localSheetId="0">#REF!</definedName>
    <definedName name="Р_26">#REF!</definedName>
    <definedName name="Р_29" localSheetId="0">#REF!</definedName>
    <definedName name="Р_29">#REF!</definedName>
    <definedName name="Р_3" localSheetId="0">#REF!</definedName>
    <definedName name="Р_3">#REF!</definedName>
    <definedName name="Р_300" localSheetId="0">#REF!</definedName>
    <definedName name="Р_300">#REF!</definedName>
    <definedName name="Р_301" localSheetId="0">#REF!</definedName>
    <definedName name="Р_301">#REF!</definedName>
    <definedName name="Р_31" localSheetId="0">[67]Ф!#REF!</definedName>
    <definedName name="Р_31">[67]Ф!#REF!</definedName>
    <definedName name="Р_311" localSheetId="0">#REF!</definedName>
    <definedName name="Р_311">#REF!</definedName>
    <definedName name="Р_32" localSheetId="18">[71]Ф!#REF!</definedName>
    <definedName name="Р_32" localSheetId="0">[71]Ф!#REF!</definedName>
    <definedName name="Р_32">[71]Ф!#REF!</definedName>
    <definedName name="Р_33" localSheetId="18">#REF!</definedName>
    <definedName name="Р_33" localSheetId="0">#REF!</definedName>
    <definedName name="Р_33">#REF!</definedName>
    <definedName name="Р_333" localSheetId="0">#REF!</definedName>
    <definedName name="Р_333">#REF!</definedName>
    <definedName name="Р_34" localSheetId="0">[67]Ф!#REF!</definedName>
    <definedName name="Р_34">[67]Ф!#REF!</definedName>
    <definedName name="Р_35" localSheetId="0">[71]Ф!#REF!</definedName>
    <definedName name="Р_35">[71]Ф!#REF!</definedName>
    <definedName name="Р_36" localSheetId="0">#REF!</definedName>
    <definedName name="Р_36">#REF!</definedName>
    <definedName name="Р_37" localSheetId="0">#REF!</definedName>
    <definedName name="Р_37">#REF!</definedName>
    <definedName name="Р_38" localSheetId="0">#REF!</definedName>
    <definedName name="Р_38">#REF!</definedName>
    <definedName name="Р_39">[50]Ф!$H$52</definedName>
    <definedName name="Р_4" localSheetId="0">#REF!</definedName>
    <definedName name="Р_4">#REF!</definedName>
    <definedName name="Р_40" localSheetId="0">#REF!</definedName>
    <definedName name="Р_40">#REF!</definedName>
    <definedName name="Р_401" localSheetId="0">#REF!</definedName>
    <definedName name="Р_401">#REF!</definedName>
    <definedName name="Р_402" localSheetId="0">#REF!</definedName>
    <definedName name="Р_402">#REF!</definedName>
    <definedName name="Р_41">[62]Ф!$H$57</definedName>
    <definedName name="Р_411" localSheetId="0">#REF!</definedName>
    <definedName name="Р_411">#REF!</definedName>
    <definedName name="Р_43" localSheetId="18">[67]Ф!#REF!</definedName>
    <definedName name="Р_43" localSheetId="0">[67]Ф!#REF!</definedName>
    <definedName name="Р_43">[67]Ф!#REF!</definedName>
    <definedName name="Р_44" localSheetId="18">[71]Ф!#REF!</definedName>
    <definedName name="Р_44" localSheetId="0">[71]Ф!#REF!</definedName>
    <definedName name="Р_44">[71]Ф!#REF!</definedName>
    <definedName name="Р_44а" localSheetId="18">[12]Ф!#REF!</definedName>
    <definedName name="Р_44а" localSheetId="0">[12]Ф!#REF!</definedName>
    <definedName name="Р_44а">[12]Ф!#REF!</definedName>
    <definedName name="Р_45" localSheetId="18">#REF!</definedName>
    <definedName name="Р_45" localSheetId="0">#REF!</definedName>
    <definedName name="Р_45">#REF!</definedName>
    <definedName name="Р_46" localSheetId="18">#REF!</definedName>
    <definedName name="Р_46" localSheetId="0">#REF!</definedName>
    <definedName name="Р_46">#REF!</definedName>
    <definedName name="Р_47" localSheetId="18">#REF!</definedName>
    <definedName name="Р_47" localSheetId="0">#REF!</definedName>
    <definedName name="Р_47">#REF!</definedName>
    <definedName name="Р_48" localSheetId="0">#REF!</definedName>
    <definedName name="Р_48">#REF!</definedName>
    <definedName name="Р_49" localSheetId="0">[71]Ф!#REF!</definedName>
    <definedName name="Р_49">[71]Ф!#REF!</definedName>
    <definedName name="Р_49а" localSheetId="0">[71]Ф!#REF!</definedName>
    <definedName name="Р_49а">[71]Ф!#REF!</definedName>
    <definedName name="Р_5" localSheetId="0">#REF!</definedName>
    <definedName name="Р_5">#REF!</definedName>
    <definedName name="Р_50" localSheetId="0">#REF!</definedName>
    <definedName name="Р_50">#REF!</definedName>
    <definedName name="Р_51" localSheetId="0">#REF!</definedName>
    <definedName name="Р_51">#REF!</definedName>
    <definedName name="Р_52" localSheetId="0">#REF!</definedName>
    <definedName name="Р_52">#REF!</definedName>
    <definedName name="Р_53" localSheetId="0">[71]Ф!#REF!</definedName>
    <definedName name="Р_53">[71]Ф!#REF!</definedName>
    <definedName name="Р_532" localSheetId="0">[63]Ф!#REF!</definedName>
    <definedName name="Р_532">[63]Ф!#REF!</definedName>
    <definedName name="Р_54" localSheetId="0">#REF!</definedName>
    <definedName name="Р_54">#REF!</definedName>
    <definedName name="Р_55" localSheetId="0">#REF!</definedName>
    <definedName name="Р_55">#REF!</definedName>
    <definedName name="Р_57" localSheetId="0">#REF!</definedName>
    <definedName name="Р_57">#REF!</definedName>
    <definedName name="Р_58" localSheetId="0">#REF!</definedName>
    <definedName name="Р_58">#REF!</definedName>
    <definedName name="Р_59" localSheetId="0">#REF!</definedName>
    <definedName name="Р_59">#REF!</definedName>
    <definedName name="Р_59а" localSheetId="0">[71]Ф!#REF!</definedName>
    <definedName name="Р_59а">[71]Ф!#REF!</definedName>
    <definedName name="Р_6" localSheetId="0">[72]Ф!#REF!</definedName>
    <definedName name="Р_6">[72]Ф!#REF!</definedName>
    <definedName name="Р_60" localSheetId="0">#REF!</definedName>
    <definedName name="Р_60">#REF!</definedName>
    <definedName name="Р_63" localSheetId="0">#REF!</definedName>
    <definedName name="Р_63">#REF!</definedName>
    <definedName name="Р_64" localSheetId="0">#REF!</definedName>
    <definedName name="Р_64">#REF!</definedName>
    <definedName name="Р_68" localSheetId="0">#REF!</definedName>
    <definedName name="Р_68">#REF!</definedName>
    <definedName name="Р_69" localSheetId="0">#REF!</definedName>
    <definedName name="Р_69">#REF!</definedName>
    <definedName name="Р_69а" localSheetId="0">[13]Ф!#REF!</definedName>
    <definedName name="Р_69а">[13]Ф!#REF!</definedName>
    <definedName name="Р_7" localSheetId="18">#REF!</definedName>
    <definedName name="Р_7" localSheetId="0">#REF!</definedName>
    <definedName name="Р_7">#REF!</definedName>
    <definedName name="Р_72" localSheetId="18">#REF!</definedName>
    <definedName name="Р_72" localSheetId="0">#REF!</definedName>
    <definedName name="Р_72">#REF!</definedName>
    <definedName name="Р_720" localSheetId="18">#REF!</definedName>
    <definedName name="Р_720" localSheetId="0">#REF!</definedName>
    <definedName name="Р_720">#REF!</definedName>
    <definedName name="Р_74" localSheetId="0">#REF!</definedName>
    <definedName name="Р_74">#REF!</definedName>
    <definedName name="Р_79" localSheetId="0">#REF!</definedName>
    <definedName name="Р_79">#REF!</definedName>
    <definedName name="Р_790" localSheetId="0">#REF!</definedName>
    <definedName name="Р_790">#REF!</definedName>
    <definedName name="Р_791" localSheetId="0">#REF!</definedName>
    <definedName name="Р_791">#REF!</definedName>
    <definedName name="Р_8" localSheetId="0">#REF!</definedName>
    <definedName name="Р_8">#REF!</definedName>
    <definedName name="Р_83" localSheetId="0">#REF!</definedName>
    <definedName name="Р_83">#REF!</definedName>
    <definedName name="Р_88" localSheetId="0">#REF!</definedName>
    <definedName name="Р_88">#REF!</definedName>
    <definedName name="Р_9" localSheetId="0">#REF!</definedName>
    <definedName name="Р_9">#REF!</definedName>
    <definedName name="Р_900" localSheetId="0">[13]Ф!#REF!</definedName>
    <definedName name="Р_900">[13]Ф!#REF!</definedName>
    <definedName name="Р_901" localSheetId="0">[13]Ф!#REF!</definedName>
    <definedName name="Р_901">[13]Ф!#REF!</definedName>
    <definedName name="Р_9а" localSheetId="0">[13]Ф!#REF!</definedName>
    <definedName name="Р_9а">[13]Ф!#REF!</definedName>
    <definedName name="р1" localSheetId="18">#REF!</definedName>
    <definedName name="р1" localSheetId="0">#REF!</definedName>
    <definedName name="р1">#REF!</definedName>
    <definedName name="раа" localSheetId="18">#REF!</definedName>
    <definedName name="раа" localSheetId="0">#REF!</definedName>
    <definedName name="раа">#REF!</definedName>
    <definedName name="разборка" localSheetId="18">#REF!</definedName>
    <definedName name="разборка" localSheetId="0">#REF!</definedName>
    <definedName name="разборка">#REF!</definedName>
    <definedName name="рамонь_крА" localSheetId="0">#REF!</definedName>
    <definedName name="рамонь_крА">#REF!</definedName>
    <definedName name="рамонь_крБ" localSheetId="0">#REF!</definedName>
    <definedName name="рамонь_крБ">#REF!</definedName>
    <definedName name="рамонь_крВ" localSheetId="0">#REF!</definedName>
    <definedName name="рамонь_крВ">#REF!</definedName>
    <definedName name="рамонь_крГ" localSheetId="0">#REF!</definedName>
    <definedName name="рамонь_крГ">#REF!</definedName>
    <definedName name="рамонь_крД" localSheetId="0">#REF!</definedName>
    <definedName name="рамонь_крД">#REF!</definedName>
    <definedName name="рамонь_крЕ" localSheetId="0">#REF!</definedName>
    <definedName name="рамонь_крЕ">#REF!</definedName>
    <definedName name="рамонь_крЖ" localSheetId="0">#REF!</definedName>
    <definedName name="рамонь_крЖ">#REF!</definedName>
    <definedName name="рарарар" localSheetId="0">#REF!</definedName>
    <definedName name="рарарар">#REF!</definedName>
    <definedName name="рвпар" localSheetId="0">#REF!</definedName>
    <definedName name="рвпар">#REF!</definedName>
    <definedName name="регцентр" localSheetId="0">#REF!</definedName>
    <definedName name="регцентр">#REF!</definedName>
    <definedName name="Реес" localSheetId="0">#REF!</definedName>
    <definedName name="Реес">#REF!</definedName>
    <definedName name="реест1" localSheetId="0">#REF!</definedName>
    <definedName name="реест1">#REF!</definedName>
    <definedName name="реестр" localSheetId="0">#REF!</definedName>
    <definedName name="реестр">#REF!</definedName>
    <definedName name="реестр1" localSheetId="0">#REF!</definedName>
    <definedName name="реестр1">#REF!</definedName>
    <definedName name="реестр11" localSheetId="0">#REF!</definedName>
    <definedName name="реестр11">#REF!</definedName>
    <definedName name="реестртаблица" localSheetId="0">#REF!</definedName>
    <definedName name="реестртаблица">#REF!</definedName>
    <definedName name="Рекульт.БЭ">[40]Рекультивация!$AJ$51</definedName>
    <definedName name="Рекульт.ТЭ">[40]Рекультивация!$AJ$24</definedName>
    <definedName name="рено" localSheetId="18" hidden="1">{#N/A,#N/A,TRUE,"Сводка балансов"}</definedName>
    <definedName name="рено" localSheetId="0" hidden="1">{#N/A,#N/A,TRUE,"Сводка балансов"}</definedName>
    <definedName name="рено" localSheetId="1" hidden="1">{#N/A,#N/A,TRUE,"Сводка балансов"}</definedName>
    <definedName name="рено" hidden="1">{#N/A,#N/A,TRUE,"Сводка балансов"}</definedName>
    <definedName name="репьев_крА" localSheetId="18">#REF!</definedName>
    <definedName name="репьев_крА" localSheetId="0">#REF!</definedName>
    <definedName name="репьев_крА">#REF!</definedName>
    <definedName name="репьев_крБ" localSheetId="18">#REF!</definedName>
    <definedName name="репьев_крБ" localSheetId="0">#REF!</definedName>
    <definedName name="репьев_крБ">#REF!</definedName>
    <definedName name="репьев_крВ" localSheetId="18">#REF!</definedName>
    <definedName name="репьев_крВ" localSheetId="0">#REF!</definedName>
    <definedName name="репьев_крВ">#REF!</definedName>
    <definedName name="репьев_крГ" localSheetId="0">#REF!</definedName>
    <definedName name="репьев_крГ">#REF!</definedName>
    <definedName name="репьев_крД" localSheetId="0">#REF!</definedName>
    <definedName name="репьев_крД">#REF!</definedName>
    <definedName name="репьев_крЕ" localSheetId="0">#REF!</definedName>
    <definedName name="репьев_крЕ">#REF!</definedName>
    <definedName name="репьев_крЖ" localSheetId="0">#REF!</definedName>
    <definedName name="репьев_крЖ">#REF!</definedName>
    <definedName name="рзщр" localSheetId="0">#REF!</definedName>
    <definedName name="рзщр">#REF!</definedName>
    <definedName name="рм">'[38]C.с '!$D$28</definedName>
    <definedName name="рмп">'[38]C.с '!$D$25</definedName>
    <definedName name="ро" localSheetId="18">[73]Лист1!#REF!</definedName>
    <definedName name="ро" localSheetId="0">[73]Лист1!#REF!</definedName>
    <definedName name="ро">[73]Лист1!#REF!</definedName>
    <definedName name="РОЛРОЛР" localSheetId="0">#REF!</definedName>
    <definedName name="РОЛРОЛР">#REF!</definedName>
    <definedName name="рооооооооо" localSheetId="0">#REF!</definedName>
    <definedName name="рооооооооо">#REF!</definedName>
    <definedName name="рооооооооооооо" localSheetId="0">#REF!</definedName>
    <definedName name="рооооооооооооо">#REF!</definedName>
    <definedName name="рор" localSheetId="0">#REF!</definedName>
    <definedName name="рор">#REF!</definedName>
    <definedName name="россошь_крА" localSheetId="0">#REF!</definedName>
    <definedName name="россошь_крА">#REF!</definedName>
    <definedName name="россошь_крБ" localSheetId="0">#REF!</definedName>
    <definedName name="россошь_крБ">#REF!</definedName>
    <definedName name="россошь_крВ" localSheetId="0">#REF!</definedName>
    <definedName name="россошь_крВ">#REF!</definedName>
    <definedName name="россошь_крГ" localSheetId="0">#REF!</definedName>
    <definedName name="россошь_крГ">#REF!</definedName>
    <definedName name="россошь_крД" localSheetId="0">#REF!</definedName>
    <definedName name="россошь_крД">#REF!</definedName>
    <definedName name="россошь_крЕ" localSheetId="0">#REF!</definedName>
    <definedName name="россошь_крЕ">#REF!</definedName>
    <definedName name="россошь_крЖ" localSheetId="0">#REF!</definedName>
    <definedName name="россошь_крЖ">#REF!</definedName>
    <definedName name="рпа" localSheetId="0">#REF!</definedName>
    <definedName name="рпа">#REF!</definedName>
    <definedName name="рпп">'[38]C.с '!$D$49</definedName>
    <definedName name="рпрпрррпрпрпр" localSheetId="0">#REF!</definedName>
    <definedName name="рпрпрррпрпрпр">#REF!</definedName>
    <definedName name="РПТ" localSheetId="18" hidden="1">{#N/A,#N/A,TRUE,"Сводка балансов"}</definedName>
    <definedName name="РПТ" localSheetId="0" hidden="1">{#N/A,#N/A,TRUE,"Сводка балансов"}</definedName>
    <definedName name="РПТ" localSheetId="1" hidden="1">{#N/A,#N/A,TRUE,"Сводка балансов"}</definedName>
    <definedName name="РПТ" hidden="1">{#N/A,#N/A,TRUE,"Сводка балансов"}</definedName>
    <definedName name="рпуп" localSheetId="18">#REF!</definedName>
    <definedName name="рпуп" localSheetId="0">#REF!</definedName>
    <definedName name="рпуп">#REF!</definedName>
    <definedName name="рр" localSheetId="18">#REF!</definedName>
    <definedName name="рр" localSheetId="0">#REF!</definedName>
    <definedName name="рр">#REF!</definedName>
    <definedName name="Рр_1" localSheetId="18">#REF!</definedName>
    <definedName name="Рр_1" localSheetId="0">#REF!</definedName>
    <definedName name="Рр_1">#REF!</definedName>
    <definedName name="ррп" localSheetId="18">'[44]C.с '!#REF!</definedName>
    <definedName name="ррп" localSheetId="0">'[44]C.с '!#REF!</definedName>
    <definedName name="ррп">'[44]C.с '!#REF!</definedName>
    <definedName name="ррр" localSheetId="0">#REF!</definedName>
    <definedName name="ррр">#REF!</definedName>
    <definedName name="рррпр" localSheetId="0">#REF!</definedName>
    <definedName name="рррпр">#REF!</definedName>
    <definedName name="рррр" localSheetId="0">#REF!</definedName>
    <definedName name="рррр">#REF!</definedName>
    <definedName name="ррррр" localSheetId="0">#REF!</definedName>
    <definedName name="ррррр">#REF!</definedName>
    <definedName name="рррррр" localSheetId="0">#REF!</definedName>
    <definedName name="рррррр">#REF!</definedName>
    <definedName name="рррррррррррр" localSheetId="0">[18]К.С.М.!#REF!</definedName>
    <definedName name="рррррррррррр">[18]К.С.М.!#REF!</definedName>
    <definedName name="ррррррррррррр" localSheetId="18">#REF!</definedName>
    <definedName name="ррррррррррррр" localSheetId="0">#REF!</definedName>
    <definedName name="ррррррррррррр">#REF!</definedName>
    <definedName name="рррррррррррррр" localSheetId="18">#REF!</definedName>
    <definedName name="рррррррррррррр" localSheetId="0">#REF!</definedName>
    <definedName name="рррррррррррррр">#REF!</definedName>
    <definedName name="ррррррррррррррррр" localSheetId="18">#REF!</definedName>
    <definedName name="ррррррррррррррррр" localSheetId="0">#REF!</definedName>
    <definedName name="ррррррррррррррррр">#REF!</definedName>
    <definedName name="ррррррррррррррррррррр" localSheetId="0">#REF!</definedName>
    <definedName name="ррррррррррррррррррррр">#REF!</definedName>
    <definedName name="рррррррррррррррррррррррррррррр" localSheetId="0">#REF!</definedName>
    <definedName name="рррррррррррррррррррррррррррррр">#REF!</definedName>
    <definedName name="рсп" localSheetId="0">'[44]C.с '!#REF!</definedName>
    <definedName name="рсп">'[44]C.с '!#REF!</definedName>
    <definedName name="Рубка_леса">'[40] Подготовительные работы'!$AJ$71</definedName>
    <definedName name="с" localSheetId="0">#REF!</definedName>
    <definedName name="с">#REF!</definedName>
    <definedName name="С112" localSheetId="0">#REF!</definedName>
    <definedName name="С112">#REF!</definedName>
    <definedName name="С113" localSheetId="0">#REF!</definedName>
    <definedName name="С113">#REF!</definedName>
    <definedName name="С120" localSheetId="0">#REF!</definedName>
    <definedName name="С120">#REF!</definedName>
    <definedName name="сапрсапр" localSheetId="0">#REF!</definedName>
    <definedName name="сапрсапр">#REF!</definedName>
    <definedName name="сваи" localSheetId="0">#REF!</definedName>
    <definedName name="сваи">#REF!</definedName>
    <definedName name="семил_крА" localSheetId="0">#REF!</definedName>
    <definedName name="семил_крА">#REF!</definedName>
    <definedName name="семил_крБ" localSheetId="0">#REF!</definedName>
    <definedName name="семил_крБ">#REF!</definedName>
    <definedName name="семил_крВ" localSheetId="0">#REF!</definedName>
    <definedName name="семил_крВ">#REF!</definedName>
    <definedName name="семил_крГ" localSheetId="0">#REF!</definedName>
    <definedName name="семил_крГ">#REF!</definedName>
    <definedName name="семил_крД" localSheetId="0">#REF!</definedName>
    <definedName name="семил_крД">#REF!</definedName>
    <definedName name="семил_крЕ" localSheetId="0">#REF!</definedName>
    <definedName name="семил_крЕ">#REF!</definedName>
    <definedName name="семил_крЖ" localSheetId="0">#REF!</definedName>
    <definedName name="семил_крЖ">#REF!</definedName>
    <definedName name="си">'[16]C.с'!$I$28</definedName>
    <definedName name="Сигн.столбики">'[40]Обстановка дороги'!$AJ$24</definedName>
    <definedName name="см.158нов" localSheetId="0">#REF!</definedName>
    <definedName name="см.158нов">#REF!</definedName>
    <definedName name="см110нов" localSheetId="0">#REF!</definedName>
    <definedName name="см110нов">#REF!</definedName>
    <definedName name="см129нов" localSheetId="0">#REF!</definedName>
    <definedName name="см129нов">#REF!</definedName>
    <definedName name="смммммммммм" localSheetId="0">[18]К.С.М.!#REF!</definedName>
    <definedName name="смммммммммм">[18]К.С.М.!#REF!</definedName>
    <definedName name="смр" localSheetId="0">#REF!</definedName>
    <definedName name="смр">#REF!</definedName>
    <definedName name="Снятие" localSheetId="18">#REF!</definedName>
    <definedName name="Снятие" localSheetId="0">#REF!</definedName>
    <definedName name="Снятие">#REF!</definedName>
    <definedName name="сп2" localSheetId="0">#REF!</definedName>
    <definedName name="сп2">#REF!</definedName>
    <definedName name="спр2" localSheetId="0">#REF!</definedName>
    <definedName name="спр2">#REF!</definedName>
    <definedName name="спр22" localSheetId="0">#REF!</definedName>
    <definedName name="спр22">#REF!</definedName>
    <definedName name="спр33" localSheetId="0">#REF!</definedName>
    <definedName name="спр33">#REF!</definedName>
    <definedName name="сроки">[43]Коэффициенты!$A$1:$A$65536</definedName>
    <definedName name="сс" localSheetId="0">#REF!</definedName>
    <definedName name="сс">#REF!</definedName>
    <definedName name="стадия_П">[43]база!$J$1:$J$65536</definedName>
    <definedName name="стд" localSheetId="0">#REF!</definedName>
    <definedName name="стд">#REF!</definedName>
    <definedName name="страх" localSheetId="0">#REF!</definedName>
    <definedName name="страх">#REF!</definedName>
    <definedName name="сттт" localSheetId="0">#REF!</definedName>
    <definedName name="сттт">#REF!</definedName>
    <definedName name="т" localSheetId="0">#REF!</definedName>
    <definedName name="т">#REF!</definedName>
    <definedName name="Т.а." localSheetId="0">#REF!</definedName>
    <definedName name="Т.а.">#REF!</definedName>
    <definedName name="Т_1" localSheetId="0">#REF!</definedName>
    <definedName name="Т_1">#REF!</definedName>
    <definedName name="Т_10" localSheetId="0">#REF!</definedName>
    <definedName name="Т_10">#REF!</definedName>
    <definedName name="Т_13" localSheetId="0">#REF!</definedName>
    <definedName name="Т_13">#REF!</definedName>
    <definedName name="Т_16" localSheetId="0">#REF!</definedName>
    <definedName name="Т_16">#REF!</definedName>
    <definedName name="Т_25" localSheetId="0">#REF!</definedName>
    <definedName name="Т_25">#REF!</definedName>
    <definedName name="Т_28" localSheetId="0">#REF!</definedName>
    <definedName name="Т_28">#REF!</definedName>
    <definedName name="Т_31" localSheetId="0">#REF!</definedName>
    <definedName name="Т_31">#REF!</definedName>
    <definedName name="Т_35" localSheetId="0">#REF!</definedName>
    <definedName name="Т_35">#REF!</definedName>
    <definedName name="Т_351" localSheetId="0">#REF!</definedName>
    <definedName name="Т_351">#REF!</definedName>
    <definedName name="Т_352" localSheetId="0">#REF!</definedName>
    <definedName name="Т_352">#REF!</definedName>
    <definedName name="Т_353" localSheetId="0">#REF!</definedName>
    <definedName name="Т_353">#REF!</definedName>
    <definedName name="Т_354" localSheetId="0">#REF!</definedName>
    <definedName name="Т_354">#REF!</definedName>
    <definedName name="Т_355" localSheetId="0">#REF!</definedName>
    <definedName name="Т_355">#REF!</definedName>
    <definedName name="Т_372" localSheetId="0">#REF!</definedName>
    <definedName name="Т_372">#REF!</definedName>
    <definedName name="Т_39" localSheetId="0">#REF!</definedName>
    <definedName name="Т_39">#REF!</definedName>
    <definedName name="Т_4" localSheetId="0">#REF!</definedName>
    <definedName name="Т_4">#REF!</definedName>
    <definedName name="Т_40" localSheetId="0">#REF!</definedName>
    <definedName name="Т_40">#REF!</definedName>
    <definedName name="Т_43" localSheetId="0">#REF!</definedName>
    <definedName name="Т_43">#REF!</definedName>
    <definedName name="Т_44" localSheetId="0">#REF!</definedName>
    <definedName name="Т_44">#REF!</definedName>
    <definedName name="Т_46" localSheetId="0">#REF!</definedName>
    <definedName name="Т_46">#REF!</definedName>
    <definedName name="Т_461" localSheetId="0">#REF!</definedName>
    <definedName name="Т_461">#REF!</definedName>
    <definedName name="Т_49" localSheetId="0">#REF!</definedName>
    <definedName name="Т_49">#REF!</definedName>
    <definedName name="Т_52" localSheetId="0">#REF!</definedName>
    <definedName name="Т_52">#REF!</definedName>
    <definedName name="Т_56" localSheetId="0">#REF!</definedName>
    <definedName name="Т_56">#REF!</definedName>
    <definedName name="Т_59" localSheetId="0">#REF!</definedName>
    <definedName name="Т_59">#REF!</definedName>
    <definedName name="Т_590" localSheetId="0">#REF!</definedName>
    <definedName name="Т_590">#REF!</definedName>
    <definedName name="Т_5901" localSheetId="0">#REF!</definedName>
    <definedName name="Т_5901">#REF!</definedName>
    <definedName name="Т_63" localSheetId="0">#REF!</definedName>
    <definedName name="Т_63">#REF!</definedName>
    <definedName name="Т_67" localSheetId="0">#REF!</definedName>
    <definedName name="Т_67">#REF!</definedName>
    <definedName name="Т_7" localSheetId="0">#REF!</definedName>
    <definedName name="Т_7">#REF!</definedName>
    <definedName name="Т_70" localSheetId="0">#REF!</definedName>
    <definedName name="Т_70">#REF!</definedName>
    <definedName name="Т_72" localSheetId="0">#REF!</definedName>
    <definedName name="Т_72">#REF!</definedName>
    <definedName name="Т_74" localSheetId="0">#REF!</definedName>
    <definedName name="Т_74">#REF!</definedName>
    <definedName name="Т12" localSheetId="0">#REF!</definedName>
    <definedName name="Т12">#REF!</definedName>
    <definedName name="Т12_1" localSheetId="0">#REF!</definedName>
    <definedName name="Т12_1">#REF!</definedName>
    <definedName name="Т12_4" localSheetId="0">#REF!</definedName>
    <definedName name="Т12_4">#REF!</definedName>
    <definedName name="Т13" localSheetId="0">#REF!</definedName>
    <definedName name="Т13">#REF!</definedName>
    <definedName name="Т14" localSheetId="0">#REF!</definedName>
    <definedName name="Т14">#REF!</definedName>
    <definedName name="Т14_1" localSheetId="0">#REF!</definedName>
    <definedName name="Т14_1">#REF!</definedName>
    <definedName name="Т14_4" localSheetId="0">#REF!</definedName>
    <definedName name="Т14_4">#REF!</definedName>
    <definedName name="Т14_6" localSheetId="0">#REF!</definedName>
    <definedName name="Т14_6">#REF!</definedName>
    <definedName name="Т14_7" localSheetId="0">#REF!</definedName>
    <definedName name="Т14_7">#REF!</definedName>
    <definedName name="т17" localSheetId="0">#REF!</definedName>
    <definedName name="т17">#REF!</definedName>
    <definedName name="Т18" localSheetId="0">#REF!</definedName>
    <definedName name="Т18">#REF!</definedName>
    <definedName name="Т200" localSheetId="0">#REF!</definedName>
    <definedName name="Т200">#REF!</definedName>
    <definedName name="Т25" localSheetId="0">#REF!</definedName>
    <definedName name="Т25">#REF!</definedName>
    <definedName name="талов_крА" localSheetId="0">#REF!</definedName>
    <definedName name="талов_крА">#REF!</definedName>
    <definedName name="талов_крБ" localSheetId="0">#REF!</definedName>
    <definedName name="талов_крБ">#REF!</definedName>
    <definedName name="талов_крВ" localSheetId="0">#REF!</definedName>
    <definedName name="талов_крВ">#REF!</definedName>
    <definedName name="талов_крГ" localSheetId="0">#REF!</definedName>
    <definedName name="талов_крГ">#REF!</definedName>
    <definedName name="талов_крД" localSheetId="0">#REF!</definedName>
    <definedName name="талов_крД">#REF!</definedName>
    <definedName name="талов_крЕ" localSheetId="0">#REF!</definedName>
    <definedName name="талов_крЕ">#REF!</definedName>
    <definedName name="талов_крЖ" localSheetId="0">#REF!</definedName>
    <definedName name="талов_крЖ">#REF!</definedName>
    <definedName name="ТендСниж">0.985</definedName>
    <definedName name="тернов_крА" localSheetId="18">#REF!</definedName>
    <definedName name="тернов_крА" localSheetId="0">#REF!</definedName>
    <definedName name="тернов_крА">#REF!</definedName>
    <definedName name="тернов_крБ" localSheetId="18">#REF!</definedName>
    <definedName name="тернов_крБ" localSheetId="0">#REF!</definedName>
    <definedName name="тернов_крБ">#REF!</definedName>
    <definedName name="тернов_крВ" localSheetId="18">#REF!</definedName>
    <definedName name="тернов_крВ" localSheetId="0">#REF!</definedName>
    <definedName name="тернов_крВ">#REF!</definedName>
    <definedName name="тернов_крГ" localSheetId="0">#REF!</definedName>
    <definedName name="тернов_крГ">#REF!</definedName>
    <definedName name="тернов_крД" localSheetId="0">#REF!</definedName>
    <definedName name="тернов_крД">#REF!</definedName>
    <definedName name="тернов_крЕ" localSheetId="0">#REF!</definedName>
    <definedName name="тернов_крЕ">#REF!</definedName>
    <definedName name="тернов_крЖ" localSheetId="0">#REF!</definedName>
    <definedName name="тернов_крЖ">#REF!</definedName>
    <definedName name="тз" localSheetId="0">#REF!</definedName>
    <definedName name="тз">#REF!</definedName>
    <definedName name="тимс" localSheetId="18" hidden="1">{#N/A,#N/A,TRUE,"Сводка балансов"}</definedName>
    <definedName name="тимс" localSheetId="0" hidden="1">{#N/A,#N/A,TRUE,"Сводка балансов"}</definedName>
    <definedName name="тимс" localSheetId="1" hidden="1">{#N/A,#N/A,TRUE,"Сводка балансов"}</definedName>
    <definedName name="тимс" hidden="1">{#N/A,#N/A,TRUE,"Сводка балансов"}</definedName>
    <definedName name="тип2" localSheetId="18">#REF!</definedName>
    <definedName name="тип2" localSheetId="0">#REF!</definedName>
    <definedName name="тип2">#REF!</definedName>
    <definedName name="торг" localSheetId="18">#REF!</definedName>
    <definedName name="торг" localSheetId="0">#REF!</definedName>
    <definedName name="торг">#REF!</definedName>
    <definedName name="Тощ.бет." localSheetId="18">#REF!</definedName>
    <definedName name="Тощ.бет." localSheetId="0">#REF!</definedName>
    <definedName name="Тощ.бет.">#REF!</definedName>
    <definedName name="трог" localSheetId="18" hidden="1">{#N/A,#N/A,TRUE,"Сводка балансов"}</definedName>
    <definedName name="трог" localSheetId="0" hidden="1">{#N/A,#N/A,TRUE,"Сводка балансов"}</definedName>
    <definedName name="трог" localSheetId="1" hidden="1">{#N/A,#N/A,TRUE,"Сводка балансов"}</definedName>
    <definedName name="трог" hidden="1">{#N/A,#N/A,TRUE,"Сводка балансов"}</definedName>
    <definedName name="тррррррртрт" localSheetId="18">#REF!</definedName>
    <definedName name="тррррррртрт" localSheetId="0">#REF!</definedName>
    <definedName name="тррррррртрт">#REF!</definedName>
    <definedName name="Трубы">'[40]Искусственные сооружения'!$AJ$182</definedName>
    <definedName name="тт" localSheetId="0">#REF!</definedName>
    <definedName name="тт">#REF!</definedName>
    <definedName name="тт45ни" localSheetId="0">#REF!</definedName>
    <definedName name="тт45ни">#REF!</definedName>
    <definedName name="ттт" localSheetId="0">#REF!</definedName>
    <definedName name="ттт">#REF!</definedName>
    <definedName name="тттт" localSheetId="0">#REF!</definedName>
    <definedName name="тттт">#REF!</definedName>
    <definedName name="тттттттттттттттттттттттттттт" localSheetId="0">#REF!</definedName>
    <definedName name="тттттттттттттттттттттттттттт">#REF!</definedName>
    <definedName name="тьтььььььььььььььььььь" localSheetId="0">#REF!</definedName>
    <definedName name="тьтььььььььььььььььььь">#REF!</definedName>
    <definedName name="у" localSheetId="0">#REF!</definedName>
    <definedName name="у">#REF!</definedName>
    <definedName name="у1" localSheetId="0">#REF!</definedName>
    <definedName name="у1">#REF!</definedName>
    <definedName name="у2" localSheetId="0">#REF!</definedName>
    <definedName name="у2">#REF!</definedName>
    <definedName name="уке" localSheetId="0">#REF!</definedName>
    <definedName name="уке">#REF!</definedName>
    <definedName name="укккккккккккккккккккккккк" localSheetId="0">#REF!</definedName>
    <definedName name="укккккккккккккккккккккккк">#REF!</definedName>
    <definedName name="Укр.обочин">'[40]Дорожная одежда'!$AJ$51</definedName>
    <definedName name="Укреп.оаботы">'[40]Земляное полотно'!$AJ$70</definedName>
    <definedName name="укук" localSheetId="0">#REF!</definedName>
    <definedName name="укук">#REF!</definedName>
    <definedName name="УМ1" localSheetId="0">#REF!</definedName>
    <definedName name="УМ1">#REF!</definedName>
    <definedName name="умгкр" localSheetId="0">#REF!</definedName>
    <definedName name="умгкр">#REF!</definedName>
    <definedName name="умгкр1" localSheetId="0">#REF!</definedName>
    <definedName name="умгкр1">#REF!</definedName>
    <definedName name="УПВКАП" localSheetId="0">#REF!</definedName>
    <definedName name="УПВКАП">#REF!</definedName>
    <definedName name="уперп" localSheetId="0">#REF!</definedName>
    <definedName name="уперп">#REF!</definedName>
    <definedName name="ууу" localSheetId="0">#REF!</definedName>
    <definedName name="ууу">#REF!</definedName>
    <definedName name="уууууууууав" localSheetId="0">#REF!</definedName>
    <definedName name="уууууууууав">#REF!</definedName>
    <definedName name="уууууууууук" localSheetId="0">#REF!</definedName>
    <definedName name="уууууууууук">#REF!</definedName>
    <definedName name="уууууууууууу" localSheetId="0">#REF!</definedName>
    <definedName name="уууууууууууу">#REF!</definedName>
    <definedName name="ууууууууууууууууу" localSheetId="0">#REF!</definedName>
    <definedName name="ууууууууууууууууу">#REF!</definedName>
    <definedName name="уууууууууууууууууууу" localSheetId="0">#REF!</definedName>
    <definedName name="уууууууууууууууууууу">#REF!</definedName>
    <definedName name="УЦ" localSheetId="0">#REF!</definedName>
    <definedName name="УЦ">#REF!</definedName>
    <definedName name="уыпыыыыыыыыыыыыыыыыыыы" localSheetId="0">#REF!</definedName>
    <definedName name="уыпыыыыыыыыыыыыыыыыыыы">#REF!</definedName>
    <definedName name="ф" localSheetId="0">#REF!</definedName>
    <definedName name="ф">#REF!</definedName>
    <definedName name="Ф_10" localSheetId="0">[66]ф10!#REF!</definedName>
    <definedName name="Ф_10">[66]ф10!#REF!</definedName>
    <definedName name="Ф_11" localSheetId="0">[66]ф10!#REF!</definedName>
    <definedName name="Ф_11">[66]ф10!#REF!</definedName>
    <definedName name="Ф_12" localSheetId="0">[66]ф10!#REF!</definedName>
    <definedName name="Ф_12">[66]ф10!#REF!</definedName>
    <definedName name="Ф_13" localSheetId="0">[66]ф10!#REF!</definedName>
    <definedName name="Ф_13">[66]ф10!#REF!</definedName>
    <definedName name="Ф_14" localSheetId="0">[66]ф10!#REF!</definedName>
    <definedName name="Ф_14">[66]ф10!#REF!</definedName>
    <definedName name="Ф_15" localSheetId="0">[66]ф10!#REF!</definedName>
    <definedName name="Ф_15">[66]ф10!#REF!</definedName>
    <definedName name="Ф_16" localSheetId="0">[66]ф10!#REF!</definedName>
    <definedName name="Ф_16">[66]ф10!#REF!</definedName>
    <definedName name="Ф_160" localSheetId="0">[74]ф10!#REF!</definedName>
    <definedName name="Ф_160">[74]ф10!#REF!</definedName>
    <definedName name="Ф_193" localSheetId="0">[74]ф10!#REF!</definedName>
    <definedName name="Ф_193">[74]ф10!#REF!</definedName>
    <definedName name="Ф_2" localSheetId="0">[66]ф10!#REF!</definedName>
    <definedName name="Ф_2">[66]ф10!#REF!</definedName>
    <definedName name="Ф_3" localSheetId="0">[66]ф10!#REF!</definedName>
    <definedName name="Ф_3">[66]ф10!#REF!</definedName>
    <definedName name="Ф_31" localSheetId="0">[66]ф10!#REF!</definedName>
    <definedName name="Ф_31">[66]ф10!#REF!</definedName>
    <definedName name="Ф_32" localSheetId="0">[66]ф10!#REF!</definedName>
    <definedName name="Ф_32">[66]ф10!#REF!</definedName>
    <definedName name="Ф_38" localSheetId="0">[74]ф10!#REF!</definedName>
    <definedName name="Ф_38">[74]ф10!#REF!</definedName>
    <definedName name="Ф_4" localSheetId="0">[66]ф10!#REF!</definedName>
    <definedName name="Ф_4">[66]ф10!#REF!</definedName>
    <definedName name="Ф_5" localSheetId="0">[66]ф10!#REF!</definedName>
    <definedName name="Ф_5">[66]ф10!#REF!</definedName>
    <definedName name="Ф_6" localSheetId="0">[66]ф10!#REF!</definedName>
    <definedName name="Ф_6">[66]ф10!#REF!</definedName>
    <definedName name="Ф_7" localSheetId="0">[66]ф10!#REF!</definedName>
    <definedName name="Ф_7">[66]ф10!#REF!</definedName>
    <definedName name="Ф_8" localSheetId="0">[66]ф10!#REF!</definedName>
    <definedName name="Ф_8">[66]ф10!#REF!</definedName>
    <definedName name="Ф_83" localSheetId="0">[66]ф10!#REF!</definedName>
    <definedName name="Ф_83">[66]ф10!#REF!</definedName>
    <definedName name="Ф_9" localSheetId="0">[66]ф10!#REF!</definedName>
    <definedName name="Ф_9">[66]ф10!#REF!</definedName>
    <definedName name="Ф_98" localSheetId="0">[74]ф10!#REF!</definedName>
    <definedName name="Ф_98">[74]ф10!#REF!</definedName>
    <definedName name="ф1" localSheetId="0">#REF!</definedName>
    <definedName name="ф1">#REF!</definedName>
    <definedName name="ф2">'[75]C.с '!$H$86</definedName>
    <definedName name="ф4" localSheetId="0">#REF!</definedName>
    <definedName name="ф4">#REF!</definedName>
    <definedName name="ФААААААААААААААА" localSheetId="0">#REF!</definedName>
    <definedName name="ФААААААААААААААА">#REF!</definedName>
    <definedName name="фввввввввв" localSheetId="0">#REF!</definedName>
    <definedName name="фввввввввв">#REF!</definedName>
    <definedName name="фвввввввввввввввввввв" localSheetId="0">#REF!</definedName>
    <definedName name="фвввввввввввввввввввв">#REF!</definedName>
    <definedName name="фвввввввввуууууууууууп" localSheetId="0">#REF!</definedName>
    <definedName name="фвввввввввуууууууууууп">#REF!</definedName>
    <definedName name="февраль" localSheetId="0">#REF!</definedName>
    <definedName name="февраль">#REF!</definedName>
    <definedName name="фф" localSheetId="0">#REF!</definedName>
    <definedName name="фф">#REF!</definedName>
    <definedName name="ффф" localSheetId="0">#REF!</definedName>
    <definedName name="ффф">#REF!</definedName>
    <definedName name="фффф" localSheetId="0">#REF!</definedName>
    <definedName name="фффф">#REF!</definedName>
    <definedName name="ффффффффвасссссссссссссс" localSheetId="0">#REF!</definedName>
    <definedName name="ффффффффвасссссссссссссс">#REF!</definedName>
    <definedName name="ФФФФФФФФФФФФФФФ" localSheetId="0">#REF!</definedName>
    <definedName name="ФФФФФФФФФФФФФФФ">#REF!</definedName>
    <definedName name="ФФФФФФФФФФФЫЫЫЫЫЫЫ" localSheetId="0">#REF!</definedName>
    <definedName name="ФФФФФФФФФФФЫЫЫЫЫЫЫ">#REF!</definedName>
    <definedName name="фцыв" localSheetId="0">#REF!</definedName>
    <definedName name="фцыв">#REF!</definedName>
    <definedName name="ФЫАЫАВЫ" localSheetId="0">#REF!</definedName>
    <definedName name="ФЫАЫАВЫ">#REF!</definedName>
    <definedName name="ФЫВВВВВ" localSheetId="0">#REF!</definedName>
    <definedName name="ФЫВВВВВ">#REF!</definedName>
    <definedName name="фыыыыыыыыыыыыыа" localSheetId="0">#REF!</definedName>
    <definedName name="фыыыыыыыыыыыыыа">#REF!</definedName>
    <definedName name="х" localSheetId="0">#REF!</definedName>
    <definedName name="х">#REF!</definedName>
    <definedName name="хзщ" localSheetId="0">#REF!</definedName>
    <definedName name="хзщ">#REF!</definedName>
    <definedName name="хохол_крА" localSheetId="0">#REF!</definedName>
    <definedName name="хохол_крА">#REF!</definedName>
    <definedName name="хохол_крБ" localSheetId="0">#REF!</definedName>
    <definedName name="хохол_крБ">#REF!</definedName>
    <definedName name="хохол_крВ" localSheetId="0">#REF!</definedName>
    <definedName name="хохол_крВ">#REF!</definedName>
    <definedName name="хохол_крГ" localSheetId="0">#REF!</definedName>
    <definedName name="хохол_крГ">#REF!</definedName>
    <definedName name="хохол_крД" localSheetId="0">#REF!</definedName>
    <definedName name="хохол_крД">#REF!</definedName>
    <definedName name="хохол_крЕ" localSheetId="0">#REF!</definedName>
    <definedName name="хохол_крЕ">#REF!</definedName>
    <definedName name="хохол_крЖ" localSheetId="0">#REF!</definedName>
    <definedName name="хохол_крЖ">#REF!</definedName>
    <definedName name="хххх" localSheetId="0">#REF!</definedName>
    <definedName name="хххх">#REF!</definedName>
    <definedName name="хшнир" localSheetId="0">#REF!</definedName>
    <definedName name="хшнир">#REF!</definedName>
    <definedName name="ц" localSheetId="0">#REF!</definedName>
    <definedName name="ц">#REF!</definedName>
    <definedName name="цкеен" localSheetId="0">#REF!</definedName>
    <definedName name="цкеен">#REF!</definedName>
    <definedName name="цкрт" localSheetId="0">#REF!</definedName>
    <definedName name="цкрт">#REF!</definedName>
    <definedName name="цол" localSheetId="0">#REF!</definedName>
    <definedName name="цол">#REF!</definedName>
    <definedName name="цуауыыыыыыыыыыыыыыыыы" localSheetId="0">#REF!</definedName>
    <definedName name="цуауыыыыыыыыыыыыыыыыы">#REF!</definedName>
    <definedName name="цуенгш" localSheetId="0">#REF!</definedName>
    <definedName name="цуенгш">#REF!</definedName>
    <definedName name="цуецкуе" localSheetId="18" hidden="1">{#N/A,#N/A,TRUE,"Сводка балансов"}</definedName>
    <definedName name="цуецкуе" localSheetId="0" hidden="1">{#N/A,#N/A,TRUE,"Сводка балансов"}</definedName>
    <definedName name="цуецкуе" localSheetId="1" hidden="1">{#N/A,#N/A,TRUE,"Сводка балансов"}</definedName>
    <definedName name="цуецкуе" hidden="1">{#N/A,#N/A,TRUE,"Сводка балансов"}</definedName>
    <definedName name="цуккккккккккккккккккк" localSheetId="18">#REF!</definedName>
    <definedName name="цуккккккккккккккккккк" localSheetId="0">#REF!</definedName>
    <definedName name="цуккккккккккккккккккк">#REF!</definedName>
    <definedName name="цукчфффффффффффф" localSheetId="18">#REF!</definedName>
    <definedName name="цукчфффффффффффф" localSheetId="0">#REF!</definedName>
    <definedName name="цукчфффффффффффф">#REF!</definedName>
    <definedName name="цууууууууууууууууууууу" localSheetId="18">#REF!</definedName>
    <definedName name="цууууууууууууууууууууу" localSheetId="0">#REF!</definedName>
    <definedName name="цууууууууууууууууууууу">#REF!</definedName>
    <definedName name="цфввввввввввввввв" localSheetId="0">#REF!</definedName>
    <definedName name="цфввввввввввввввв">#REF!</definedName>
    <definedName name="цц" localSheetId="0">#REF!</definedName>
    <definedName name="цц">#REF!</definedName>
    <definedName name="цццц" localSheetId="0">#REF!</definedName>
    <definedName name="цццц">#REF!</definedName>
    <definedName name="ццццц" localSheetId="0">#REF!</definedName>
    <definedName name="ццццц">#REF!</definedName>
    <definedName name="ццццццццццццууууууууууууууууу" localSheetId="0">#REF!</definedName>
    <definedName name="ццццццццццццууууууууууууууууу">#REF!</definedName>
    <definedName name="ццццццццццццццццц" localSheetId="0">#REF!</definedName>
    <definedName name="ццццццццццццццццц">#REF!</definedName>
    <definedName name="ч" localSheetId="0">#REF!</definedName>
    <definedName name="ч">#REF!</definedName>
    <definedName name="Ч_Щ_1" localSheetId="0">#REF!</definedName>
    <definedName name="Ч_Щ_1">#REF!</definedName>
    <definedName name="Ч_Щ_2">'[9]ч. щ. 2'!$F$29</definedName>
    <definedName name="чапр" localSheetId="0">#REF!</definedName>
    <definedName name="чапр">#REF!</definedName>
    <definedName name="Чспп" localSheetId="0">#REF!</definedName>
    <definedName name="Чспп">#REF!</definedName>
    <definedName name="чсссссссссс" localSheetId="0">#REF!</definedName>
    <definedName name="чсссссссссс">#REF!</definedName>
    <definedName name="чч" localSheetId="0">#REF!</definedName>
    <definedName name="чч">#REF!</definedName>
    <definedName name="ччч" localSheetId="0">#REF!</definedName>
    <definedName name="ччч">#REF!</definedName>
    <definedName name="ш" localSheetId="0">#REF!</definedName>
    <definedName name="ш">#REF!</definedName>
    <definedName name="шзшзхх" localSheetId="0">#REF!</definedName>
    <definedName name="шзшзхх">#REF!</definedName>
    <definedName name="ШЛЮЖОЛО" localSheetId="0">#REF!</definedName>
    <definedName name="ШЛЮЖОЛО">#REF!</definedName>
    <definedName name="шшщз" localSheetId="0">#REF!</definedName>
    <definedName name="шшщз">#REF!</definedName>
    <definedName name="щ" localSheetId="0">#REF!</definedName>
    <definedName name="щ">#REF!</definedName>
    <definedName name="щшг" localSheetId="0">#REF!</definedName>
    <definedName name="щшг">#REF!</definedName>
    <definedName name="ъ" localSheetId="0">#REF!</definedName>
    <definedName name="ъ">#REF!</definedName>
    <definedName name="ъъъъ" localSheetId="0">#REF!</definedName>
    <definedName name="ъъъъ">#REF!</definedName>
    <definedName name="ы" localSheetId="0">#REF!</definedName>
    <definedName name="ы">#REF!</definedName>
    <definedName name="ыаааааааааааа" localSheetId="0">#REF!</definedName>
    <definedName name="ыаааааааааааа">#REF!</definedName>
    <definedName name="ыаааыыыыыыыыыыыыыыыыыы" localSheetId="0">#REF!</definedName>
    <definedName name="ыаааыыыыыыыыыыыыыыыыыы">#REF!</definedName>
    <definedName name="ыаов">[76]hx_abc4!$A$20:$IV$20</definedName>
    <definedName name="ыаов_1">[77]hx_abc4!$20:$20</definedName>
    <definedName name="ыасяавааааааааааааааааааа" localSheetId="0">#REF!</definedName>
    <definedName name="ыасяавааааааааааааааааааа">#REF!</definedName>
    <definedName name="ыв" localSheetId="0">#REF!</definedName>
    <definedName name="ыв">#REF!</definedName>
    <definedName name="ывааааааа" localSheetId="0">#REF!</definedName>
    <definedName name="ывааааааа">#REF!</definedName>
    <definedName name="ывапроорпавыываппавывапрпа" localSheetId="0">#REF!</definedName>
    <definedName name="ывапроорпавыываппавывапрпа">#REF!</definedName>
    <definedName name="ываы" localSheetId="0">#REF!</definedName>
    <definedName name="ываы">#REF!</definedName>
    <definedName name="ыввыфвфвф" localSheetId="0">#REF!</definedName>
    <definedName name="ыввыфвфвф">#REF!</definedName>
    <definedName name="ЫВПАПАПАПАПАПАПАПАПАПАПАПАПАПАПА" localSheetId="0">#REF!</definedName>
    <definedName name="ЫВПАПАПАПАПАПАПАПАПАПАПАПАПАПАПА">#REF!</definedName>
    <definedName name="ЫВПВПЫВП" localSheetId="0">#REF!</definedName>
    <definedName name="ЫВПВПЫВП">#REF!</definedName>
    <definedName name="ЫВППЫВП" localSheetId="0">#REF!</definedName>
    <definedName name="ЫВППЫВП">#REF!</definedName>
    <definedName name="ЫПВВПВАП" localSheetId="0">#REF!</definedName>
    <definedName name="ЫПВВПВАП">#REF!</definedName>
    <definedName name="ыуааауаааааааааааааа" localSheetId="0">#REF!</definedName>
    <definedName name="ыуааауаааааааааааааа">#REF!</definedName>
    <definedName name="ЫУВКП" localSheetId="0">#REF!</definedName>
    <definedName name="ЫУВКП">#REF!</definedName>
    <definedName name="ыупаааааааааааааааа" localSheetId="0">#REF!</definedName>
    <definedName name="ыупаааааааааааааааа">#REF!</definedName>
    <definedName name="ыфввввввввввввввввв" localSheetId="0">#REF!</definedName>
    <definedName name="ыфввввввввввввввввв">#REF!</definedName>
    <definedName name="ыцвввввввввввв" localSheetId="0">#REF!</definedName>
    <definedName name="ыцвввввввввввв">#REF!</definedName>
    <definedName name="ыы" localSheetId="0">#REF!</definedName>
    <definedName name="ыы">#REF!</definedName>
    <definedName name="ыыы" localSheetId="0">#REF!</definedName>
    <definedName name="ыыы">#REF!</definedName>
    <definedName name="ь" localSheetId="0">#REF!</definedName>
    <definedName name="ь">#REF!</definedName>
    <definedName name="ьлдщгрш7нш" localSheetId="0">#REF!</definedName>
    <definedName name="ьлдщгрш7нш">#REF!</definedName>
    <definedName name="ьтьть" localSheetId="0">#REF!</definedName>
    <definedName name="ьтьть">#REF!</definedName>
    <definedName name="ьь" localSheetId="0">#REF!</definedName>
    <definedName name="ьь">#REF!</definedName>
    <definedName name="ьььь" localSheetId="0">#REF!</definedName>
    <definedName name="ьььь">#REF!</definedName>
    <definedName name="ььььь" localSheetId="0">#REF!</definedName>
    <definedName name="ььььь">#REF!</definedName>
    <definedName name="ьььььь" localSheetId="0">#REF!</definedName>
    <definedName name="ьььььь">#REF!</definedName>
    <definedName name="ьььььььь" localSheetId="0">#REF!</definedName>
    <definedName name="ьььььььь">#REF!</definedName>
    <definedName name="ььььььььььььььььь" localSheetId="0">#REF!</definedName>
    <definedName name="ььььььььььььььььь">#REF!</definedName>
    <definedName name="ьььььььььььььььььь" localSheetId="0">#REF!</definedName>
    <definedName name="ьььььььььььььььььь">#REF!</definedName>
    <definedName name="э" localSheetId="0">#REF!</definedName>
    <definedName name="э">#REF!</definedName>
    <definedName name="эксперт" localSheetId="0">#REF!</definedName>
    <definedName name="эксперт">#REF!</definedName>
    <definedName name="эл">'[38]C.с '!$I$39</definedName>
    <definedName name="элт" localSheetId="0">#REF!</definedName>
    <definedName name="элт">#REF!</definedName>
    <definedName name="эртиль_крА" localSheetId="0">#REF!</definedName>
    <definedName name="эртиль_крА">#REF!</definedName>
    <definedName name="эртиль_крБ" localSheetId="0">#REF!</definedName>
    <definedName name="эртиль_крБ">#REF!</definedName>
    <definedName name="эртиль_крВ" localSheetId="0">#REF!</definedName>
    <definedName name="эртиль_крВ">#REF!</definedName>
    <definedName name="эртиль_крГ" localSheetId="0">#REF!</definedName>
    <definedName name="эртиль_крГ">#REF!</definedName>
    <definedName name="эртиль_крД" localSheetId="0">#REF!</definedName>
    <definedName name="эртиль_крД">#REF!</definedName>
    <definedName name="эртиль_крЕ" localSheetId="0">#REF!</definedName>
    <definedName name="эртиль_крЕ">#REF!</definedName>
    <definedName name="эртиль_крЖ" localSheetId="0">#REF!</definedName>
    <definedName name="эртиль_крЖ">#REF!</definedName>
    <definedName name="ээ" localSheetId="0">#REF!</definedName>
    <definedName name="ээ">#REF!</definedName>
    <definedName name="ю" localSheetId="0">#REF!</definedName>
    <definedName name="ю">#REF!</definedName>
    <definedName name="юж" localSheetId="0">#REF!</definedName>
    <definedName name="юж">#REF!</definedName>
    <definedName name="юля" localSheetId="0">#REF!</definedName>
    <definedName name="юля">#REF!</definedName>
    <definedName name="юю" localSheetId="0">#REF!</definedName>
    <definedName name="юю">#REF!</definedName>
    <definedName name="ююююю" localSheetId="0">#REF!</definedName>
    <definedName name="ююююю">#REF!</definedName>
    <definedName name="я" localSheetId="0">#REF!</definedName>
    <definedName name="я">#REF!</definedName>
    <definedName name="яччччччччч" localSheetId="0">#REF!</definedName>
    <definedName name="яччччччччч">#REF!</definedName>
    <definedName name="яя" localSheetId="0">#REF!</definedName>
    <definedName name="яя">#REF!</definedName>
    <definedName name="яяя" localSheetId="0">#REF!</definedName>
    <definedName name="яяя">#REF!</definedName>
  </definedNames>
  <calcPr calcId="162913" fullPrecision="0"/>
  <customWorkbookViews>
    <customWorkbookView name="Нестерова Жанна Борисовна - Личное представление" guid="{375CA54E-07C4-42A8-B2DF-00F021A8A0AA}" mergeInterval="0" personalView="1" xWindow="33" yWindow="11" windowWidth="1227" windowHeight="975" tabRatio="899" activeSheetId="17"/>
    <customWorkbookView name="Игнатьева Елена Валентиновна - Личное представление" guid="{6C0C8826-98FC-4A18-BF57-1D7E9CCF969C}" mergeInterval="0" personalView="1" windowWidth="960" windowHeight="1040" tabRatio="890" activeSheetId="12"/>
    <customWorkbookView name="Римша Татьяна Михайловна - Личное представление" guid="{114FFFD1-CB48-4AB5-846E-68E811AA0B61}" mergeInterval="0" personalView="1" maximized="1" xWindow="-8" yWindow="-8" windowWidth="1936" windowHeight="1056" tabRatio="890" activeSheetId="12"/>
    <customWorkbookView name="Панина Ольга Ивановна - Личное представление" guid="{70C5F922-8B98-4033-AB89-E3DA26700780}" mergeInterval="0" personalView="1" maximized="1" xWindow="-8" yWindow="-8" windowWidth="1936" windowHeight="1056" tabRatio="890" activeSheetId="12"/>
    <customWorkbookView name="Сулима Анатолий Владимирович - Личное представление" guid="{0E27566C-5E8B-411A-84C7-F161A069C119}" mergeInterval="0" personalView="1" windowWidth="1280" windowHeight="1040" tabRatio="899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H23" i="1"/>
  <c r="I23" i="1"/>
  <c r="J23" i="1"/>
  <c r="K23" i="1"/>
  <c r="L23" i="1"/>
  <c r="M23" i="1"/>
  <c r="N23" i="1"/>
  <c r="O23" i="1"/>
  <c r="P23" i="1"/>
  <c r="F23" i="1"/>
  <c r="L22" i="1"/>
  <c r="M22" i="1"/>
  <c r="N22" i="1"/>
  <c r="K22" i="1"/>
  <c r="J22" i="1"/>
  <c r="I22" i="1"/>
  <c r="H22" i="1"/>
  <c r="G22" i="1"/>
  <c r="F22" i="1"/>
  <c r="L114" i="97" l="1"/>
  <c r="K95" i="97"/>
  <c r="J95" i="97"/>
  <c r="K94" i="97"/>
  <c r="J94" i="97"/>
  <c r="K91" i="97"/>
  <c r="I91" i="97"/>
  <c r="D91" i="97"/>
  <c r="K90" i="97"/>
  <c r="I90" i="97"/>
  <c r="D90" i="97"/>
  <c r="K89" i="97"/>
  <c r="I89" i="97"/>
  <c r="D89" i="97"/>
  <c r="K88" i="97"/>
  <c r="I88" i="97"/>
  <c r="D88" i="97"/>
  <c r="K87" i="97"/>
  <c r="I87" i="97"/>
  <c r="D87" i="97"/>
  <c r="K86" i="97"/>
  <c r="J86" i="97"/>
  <c r="K85" i="97"/>
  <c r="J85" i="97"/>
  <c r="AF84" i="97"/>
  <c r="A84" i="97"/>
  <c r="K82" i="97"/>
  <c r="J82" i="97"/>
  <c r="K81" i="97"/>
  <c r="J81" i="97"/>
  <c r="A80" i="97"/>
  <c r="K76" i="97"/>
  <c r="F76" i="97"/>
  <c r="K75" i="97"/>
  <c r="K74" i="97" s="1"/>
  <c r="I75" i="97"/>
  <c r="G75" i="97"/>
  <c r="I74" i="97"/>
  <c r="H74" i="97"/>
  <c r="G74" i="97"/>
  <c r="F73" i="97"/>
  <c r="E73" i="97"/>
  <c r="C73" i="97"/>
  <c r="B73" i="97"/>
  <c r="J70" i="97"/>
  <c r="I70" i="97"/>
  <c r="H70" i="97"/>
  <c r="F70" i="97"/>
  <c r="K69" i="97"/>
  <c r="F69" i="97"/>
  <c r="K68" i="97"/>
  <c r="F68" i="97"/>
  <c r="K67" i="97"/>
  <c r="J67" i="97"/>
  <c r="F67" i="97"/>
  <c r="V66" i="97"/>
  <c r="U66" i="97"/>
  <c r="T66" i="97"/>
  <c r="S66" i="97"/>
  <c r="R66" i="97"/>
  <c r="Q66" i="97"/>
  <c r="L66" i="97"/>
  <c r="K66" i="97"/>
  <c r="J66" i="97"/>
  <c r="I66" i="97"/>
  <c r="G66" i="97"/>
  <c r="F66" i="97"/>
  <c r="E66" i="97"/>
  <c r="C66" i="97"/>
  <c r="B66" i="97"/>
  <c r="L65" i="97"/>
  <c r="K65" i="97"/>
  <c r="J65" i="97"/>
  <c r="I65" i="97"/>
  <c r="H65" i="97"/>
  <c r="G65" i="97"/>
  <c r="K64" i="97"/>
  <c r="I64" i="97"/>
  <c r="H64" i="97"/>
  <c r="G64" i="97"/>
  <c r="K63" i="97"/>
  <c r="I63" i="97"/>
  <c r="H63" i="97"/>
  <c r="G63" i="97"/>
  <c r="L62" i="97"/>
  <c r="K98" i="97" s="1"/>
  <c r="K62" i="97"/>
  <c r="J62" i="97"/>
  <c r="I98" i="97" s="1"/>
  <c r="I62" i="97"/>
  <c r="H62" i="97"/>
  <c r="G62" i="97"/>
  <c r="V61" i="97"/>
  <c r="U61" i="97"/>
  <c r="T61" i="97"/>
  <c r="L68" i="97" s="1"/>
  <c r="S61" i="97"/>
  <c r="R61" i="97"/>
  <c r="L67" i="97" s="1"/>
  <c r="Q61" i="97"/>
  <c r="F61" i="97"/>
  <c r="E61" i="97"/>
  <c r="C61" i="97"/>
  <c r="B61" i="97"/>
  <c r="O59" i="97"/>
  <c r="V58" i="97"/>
  <c r="U58" i="97"/>
  <c r="T58" i="97"/>
  <c r="S58" i="97"/>
  <c r="R58" i="97"/>
  <c r="Q58" i="97"/>
  <c r="L58" i="97"/>
  <c r="K59" i="97" s="1"/>
  <c r="K58" i="97"/>
  <c r="J58" i="97"/>
  <c r="I59" i="97" s="1"/>
  <c r="I58" i="97"/>
  <c r="H58" i="97"/>
  <c r="G58" i="97"/>
  <c r="F58" i="97"/>
  <c r="E58" i="97"/>
  <c r="C58" i="97"/>
  <c r="B58" i="97"/>
  <c r="V55" i="97"/>
  <c r="U55" i="97"/>
  <c r="T55" i="97"/>
  <c r="S55" i="97"/>
  <c r="R55" i="97"/>
  <c r="Q55" i="97"/>
  <c r="L55" i="97"/>
  <c r="P56" i="97" s="1"/>
  <c r="K55" i="97"/>
  <c r="J55" i="97"/>
  <c r="I56" i="97" s="1"/>
  <c r="I55" i="97"/>
  <c r="H55" i="97"/>
  <c r="G55" i="97"/>
  <c r="F55" i="97"/>
  <c r="E55" i="97"/>
  <c r="C55" i="97"/>
  <c r="B55" i="97"/>
  <c r="V52" i="97"/>
  <c r="U52" i="97"/>
  <c r="T52" i="97"/>
  <c r="S52" i="97"/>
  <c r="R52" i="97"/>
  <c r="Q52" i="97"/>
  <c r="L52" i="97"/>
  <c r="P53" i="97" s="1"/>
  <c r="K52" i="97"/>
  <c r="J52" i="97"/>
  <c r="I53" i="97" s="1"/>
  <c r="I52" i="97"/>
  <c r="H52" i="97"/>
  <c r="G52" i="97"/>
  <c r="F52" i="97"/>
  <c r="E52" i="97"/>
  <c r="C52" i="97"/>
  <c r="B52" i="97"/>
  <c r="O50" i="97"/>
  <c r="V49" i="97"/>
  <c r="U49" i="97"/>
  <c r="T49" i="97"/>
  <c r="S49" i="97"/>
  <c r="R49" i="97"/>
  <c r="Q49" i="97"/>
  <c r="L49" i="97"/>
  <c r="P50" i="97" s="1"/>
  <c r="K49" i="97"/>
  <c r="J49" i="97"/>
  <c r="I49" i="97"/>
  <c r="H49" i="97"/>
  <c r="G49" i="97"/>
  <c r="F49" i="97"/>
  <c r="E49" i="97"/>
  <c r="C49" i="97"/>
  <c r="B49" i="97"/>
  <c r="A48" i="97"/>
  <c r="AE46" i="97"/>
  <c r="A46" i="97"/>
  <c r="I96" i="97" l="1"/>
  <c r="J103" i="97" s="1"/>
  <c r="L75" i="97"/>
  <c r="L74" i="97" s="1"/>
  <c r="L63" i="97" s="1"/>
  <c r="J75" i="97"/>
  <c r="J76" i="97" s="1"/>
  <c r="O53" i="97"/>
  <c r="O56" i="97"/>
  <c r="J68" i="97"/>
  <c r="K50" i="97"/>
  <c r="K53" i="97"/>
  <c r="K56" i="97"/>
  <c r="K96" i="97"/>
  <c r="L103" i="97" s="1"/>
  <c r="L113" i="97" s="1"/>
  <c r="P59" i="97"/>
  <c r="I50" i="97"/>
  <c r="L64" i="97" l="1"/>
  <c r="K97" i="97" s="1"/>
  <c r="L102" i="97" s="1"/>
  <c r="L112" i="97" s="1"/>
  <c r="L76" i="97"/>
  <c r="K77" i="97" s="1"/>
  <c r="P77" i="97" s="1"/>
  <c r="J74" i="97"/>
  <c r="J63" i="97" s="1"/>
  <c r="J64" i="97"/>
  <c r="I97" i="97" s="1"/>
  <c r="J102" i="97" s="1"/>
  <c r="J107" i="97" s="1"/>
  <c r="I77" i="97"/>
  <c r="O77" i="97" s="1"/>
  <c r="J69" i="97"/>
  <c r="L96" i="86"/>
  <c r="L93" i="86"/>
  <c r="L113" i="86" s="1"/>
  <c r="O19" i="1" s="1"/>
  <c r="K94" i="86"/>
  <c r="L102" i="92"/>
  <c r="L141" i="87"/>
  <c r="L69" i="97" l="1"/>
  <c r="P71" i="97" s="1"/>
  <c r="K93" i="97" s="1"/>
  <c r="L100" i="97" s="1"/>
  <c r="L107" i="97"/>
  <c r="L117" i="97" s="1"/>
  <c r="J93" i="86"/>
  <c r="J96" i="86"/>
  <c r="K97" i="86"/>
  <c r="K99" i="86" s="1"/>
  <c r="K71" i="97"/>
  <c r="O71" i="97"/>
  <c r="I71" i="97"/>
  <c r="I94" i="86"/>
  <c r="C60" i="96"/>
  <c r="D60" i="96"/>
  <c r="D49" i="96"/>
  <c r="F60" i="96"/>
  <c r="F49" i="96"/>
  <c r="F53" i="96"/>
  <c r="F54" i="96"/>
  <c r="F55" i="96"/>
  <c r="E62" i="96"/>
  <c r="E47" i="96"/>
  <c r="E48" i="96"/>
  <c r="E49" i="96"/>
  <c r="E51" i="96"/>
  <c r="E52" i="96"/>
  <c r="E53" i="96"/>
  <c r="E54" i="96"/>
  <c r="E55" i="96"/>
  <c r="E56" i="96"/>
  <c r="E57" i="96"/>
  <c r="E58" i="96"/>
  <c r="E59" i="96"/>
  <c r="E60" i="96"/>
  <c r="C62" i="96"/>
  <c r="C47" i="96"/>
  <c r="C48" i="96"/>
  <c r="C49" i="96"/>
  <c r="C51" i="96"/>
  <c r="C52" i="96"/>
  <c r="C53" i="96"/>
  <c r="C54" i="96"/>
  <c r="C55" i="96"/>
  <c r="C56" i="96"/>
  <c r="C57" i="96"/>
  <c r="C58" i="96"/>
  <c r="C59" i="96"/>
  <c r="H31" i="96"/>
  <c r="D53" i="96"/>
  <c r="H54" i="96"/>
  <c r="D54" i="96" s="1"/>
  <c r="G63" i="96"/>
  <c r="C63" i="96" s="1"/>
  <c r="G65" i="96"/>
  <c r="G68" i="96" s="1"/>
  <c r="G66" i="96"/>
  <c r="G69" i="96" s="1"/>
  <c r="E69" i="96" s="1"/>
  <c r="G70" i="96" l="1"/>
  <c r="E68" i="96"/>
  <c r="C68" i="96"/>
  <c r="G64" i="96"/>
  <c r="C69" i="96"/>
  <c r="E63" i="96"/>
  <c r="K84" i="97"/>
  <c r="K80" i="97"/>
  <c r="E65" i="96"/>
  <c r="E66" i="96"/>
  <c r="C65" i="96"/>
  <c r="G96" i="86"/>
  <c r="I97" i="86"/>
  <c r="I99" i="86" s="1"/>
  <c r="C66" i="96"/>
  <c r="G93" i="86"/>
  <c r="J113" i="86"/>
  <c r="I80" i="97"/>
  <c r="I84" i="97"/>
  <c r="I93" i="97"/>
  <c r="J100" i="97" s="1"/>
  <c r="J101" i="97" s="1"/>
  <c r="L110" i="97"/>
  <c r="L101" i="97"/>
  <c r="H55" i="96"/>
  <c r="G67" i="96" l="1"/>
  <c r="C64" i="96"/>
  <c r="E64" i="96"/>
  <c r="C70" i="96"/>
  <c r="E70" i="96"/>
  <c r="J105" i="97"/>
  <c r="J106" i="97" s="1"/>
  <c r="J108" i="97" s="1"/>
  <c r="L111" i="97"/>
  <c r="L105" i="97"/>
  <c r="L115" i="97" s="1"/>
  <c r="D55" i="96"/>
  <c r="E67" i="96" l="1"/>
  <c r="C67" i="96"/>
  <c r="L106" i="97"/>
  <c r="L108" i="97" s="1"/>
  <c r="L116" i="97"/>
  <c r="L118" i="97" s="1"/>
  <c r="AD17" i="95"/>
  <c r="H28" i="95"/>
  <c r="J41" i="95"/>
  <c r="K41" i="95"/>
  <c r="J42" i="95"/>
  <c r="K42" i="95"/>
  <c r="A45" i="95"/>
  <c r="B46" i="95"/>
  <c r="E46" i="95"/>
  <c r="F46" i="95"/>
  <c r="Q46" i="95"/>
  <c r="R46" i="95"/>
  <c r="S46" i="95"/>
  <c r="T46" i="95"/>
  <c r="U46" i="95"/>
  <c r="V46" i="95"/>
  <c r="G47" i="95"/>
  <c r="H47" i="95"/>
  <c r="I47" i="95"/>
  <c r="J47" i="95"/>
  <c r="K47" i="95"/>
  <c r="L47" i="95"/>
  <c r="G48" i="95"/>
  <c r="H48" i="95"/>
  <c r="I48" i="95"/>
  <c r="K48" i="95"/>
  <c r="G49" i="95"/>
  <c r="H49" i="95"/>
  <c r="I49" i="95"/>
  <c r="K49" i="95"/>
  <c r="G50" i="95"/>
  <c r="H50" i="95"/>
  <c r="I50" i="95"/>
  <c r="J50" i="95"/>
  <c r="K50" i="95"/>
  <c r="L50" i="95"/>
  <c r="B51" i="95"/>
  <c r="C51" i="95"/>
  <c r="E51" i="95"/>
  <c r="F51" i="95"/>
  <c r="G51" i="95"/>
  <c r="I51" i="95"/>
  <c r="J51" i="95"/>
  <c r="K51" i="95"/>
  <c r="L51" i="95"/>
  <c r="Q51" i="95"/>
  <c r="R51" i="95"/>
  <c r="S51" i="95"/>
  <c r="T51" i="95"/>
  <c r="U51" i="95"/>
  <c r="V51" i="95"/>
  <c r="F52" i="95"/>
  <c r="K52" i="95"/>
  <c r="F53" i="95"/>
  <c r="K53" i="95"/>
  <c r="F54" i="95"/>
  <c r="K54" i="95"/>
  <c r="F55" i="95"/>
  <c r="H55" i="95"/>
  <c r="I55" i="95"/>
  <c r="J55" i="95"/>
  <c r="B58" i="95"/>
  <c r="E58" i="95"/>
  <c r="F58" i="95"/>
  <c r="H59" i="95"/>
  <c r="G60" i="95"/>
  <c r="G59" i="95" s="1"/>
  <c r="I60" i="95"/>
  <c r="I59" i="95" s="1"/>
  <c r="K60" i="95"/>
  <c r="F61" i="95"/>
  <c r="K61" i="95"/>
  <c r="B64" i="95"/>
  <c r="E64" i="95"/>
  <c r="F64" i="95"/>
  <c r="Q64" i="95"/>
  <c r="R64" i="95"/>
  <c r="S64" i="95"/>
  <c r="T64" i="95"/>
  <c r="U64" i="95"/>
  <c r="V64" i="95"/>
  <c r="G65" i="95"/>
  <c r="H65" i="95"/>
  <c r="I65" i="95"/>
  <c r="J65" i="95"/>
  <c r="K65" i="95"/>
  <c r="L65" i="95"/>
  <c r="G66" i="95"/>
  <c r="H66" i="95"/>
  <c r="I66" i="95"/>
  <c r="K66" i="95"/>
  <c r="G67" i="95"/>
  <c r="H67" i="95"/>
  <c r="I67" i="95"/>
  <c r="K67" i="95"/>
  <c r="G68" i="95"/>
  <c r="H68" i="95"/>
  <c r="I68" i="95"/>
  <c r="J68" i="95"/>
  <c r="K68" i="95"/>
  <c r="L68" i="95"/>
  <c r="B69" i="95"/>
  <c r="C69" i="95"/>
  <c r="E69" i="95"/>
  <c r="F69" i="95"/>
  <c r="G69" i="95"/>
  <c r="I69" i="95"/>
  <c r="J69" i="95"/>
  <c r="K69" i="95"/>
  <c r="L69" i="95"/>
  <c r="Q69" i="95"/>
  <c r="R69" i="95"/>
  <c r="S69" i="95"/>
  <c r="T69" i="95"/>
  <c r="U69" i="95"/>
  <c r="V69" i="95"/>
  <c r="F70" i="95"/>
  <c r="K70" i="95"/>
  <c r="F71" i="95"/>
  <c r="K71" i="95"/>
  <c r="F72" i="95"/>
  <c r="K72" i="95"/>
  <c r="F73" i="95"/>
  <c r="H73" i="95"/>
  <c r="I73" i="95"/>
  <c r="J73" i="95"/>
  <c r="B76" i="95"/>
  <c r="E76" i="95"/>
  <c r="F76" i="95"/>
  <c r="H77" i="95"/>
  <c r="G78" i="95"/>
  <c r="G77" i="95" s="1"/>
  <c r="I78" i="95"/>
  <c r="I77" i="95" s="1"/>
  <c r="K78" i="95"/>
  <c r="K77" i="95" s="1"/>
  <c r="F79" i="95"/>
  <c r="K79" i="95"/>
  <c r="B82" i="95"/>
  <c r="C82" i="95"/>
  <c r="E82" i="95"/>
  <c r="F82" i="95"/>
  <c r="L82" i="95" s="1"/>
  <c r="K83" i="95" s="1"/>
  <c r="H82" i="95"/>
  <c r="I82" i="95"/>
  <c r="K82" i="95"/>
  <c r="Q82" i="95"/>
  <c r="R82" i="95"/>
  <c r="S82" i="95"/>
  <c r="T82" i="95"/>
  <c r="U82" i="95"/>
  <c r="V82" i="95"/>
  <c r="B85" i="95"/>
  <c r="C85" i="95"/>
  <c r="E85" i="95"/>
  <c r="F85" i="95"/>
  <c r="G85" i="95"/>
  <c r="H85" i="95"/>
  <c r="I85" i="95"/>
  <c r="J85" i="95"/>
  <c r="O86" i="95" s="1"/>
  <c r="K85" i="95"/>
  <c r="L85" i="95"/>
  <c r="P86" i="95" s="1"/>
  <c r="Q85" i="95"/>
  <c r="R85" i="95"/>
  <c r="S85" i="95"/>
  <c r="T85" i="95"/>
  <c r="U85" i="95"/>
  <c r="V85" i="95"/>
  <c r="I86" i="95"/>
  <c r="B88" i="95"/>
  <c r="C88" i="95"/>
  <c r="E88" i="95"/>
  <c r="F88" i="95"/>
  <c r="G88" i="95"/>
  <c r="H88" i="95"/>
  <c r="I88" i="95"/>
  <c r="J88" i="95"/>
  <c r="O89" i="95" s="1"/>
  <c r="K88" i="95"/>
  <c r="L88" i="95"/>
  <c r="P89" i="95" s="1"/>
  <c r="Q88" i="95"/>
  <c r="R88" i="95"/>
  <c r="S88" i="95"/>
  <c r="T88" i="95"/>
  <c r="U88" i="95"/>
  <c r="V88" i="95"/>
  <c r="B91" i="95"/>
  <c r="C91" i="95"/>
  <c r="E91" i="95"/>
  <c r="F91" i="95"/>
  <c r="G91" i="95"/>
  <c r="H91" i="95"/>
  <c r="I91" i="95"/>
  <c r="J91" i="95"/>
  <c r="O93" i="95" s="1"/>
  <c r="K91" i="95"/>
  <c r="L91" i="95"/>
  <c r="Q91" i="95"/>
  <c r="R91" i="95"/>
  <c r="S91" i="95"/>
  <c r="T91" i="95"/>
  <c r="U91" i="95"/>
  <c r="V91" i="95"/>
  <c r="D92" i="95"/>
  <c r="B95" i="95"/>
  <c r="C95" i="95"/>
  <c r="E95" i="95"/>
  <c r="F95" i="95"/>
  <c r="G95" i="95"/>
  <c r="H95" i="95"/>
  <c r="I95" i="95"/>
  <c r="J95" i="95"/>
  <c r="I96" i="95" s="1"/>
  <c r="K95" i="95"/>
  <c r="L95" i="95"/>
  <c r="K96" i="95" s="1"/>
  <c r="Q95" i="95"/>
  <c r="R95" i="95"/>
  <c r="S95" i="95"/>
  <c r="T95" i="95"/>
  <c r="U95" i="95"/>
  <c r="V95" i="95"/>
  <c r="B98" i="95"/>
  <c r="C98" i="95"/>
  <c r="E98" i="95"/>
  <c r="F98" i="95"/>
  <c r="G98" i="95"/>
  <c r="H98" i="95"/>
  <c r="I98" i="95"/>
  <c r="J98" i="95"/>
  <c r="I99" i="95" s="1"/>
  <c r="K98" i="95"/>
  <c r="L98" i="95"/>
  <c r="K99" i="95" s="1"/>
  <c r="Q98" i="95"/>
  <c r="R98" i="95"/>
  <c r="S98" i="95"/>
  <c r="T98" i="95"/>
  <c r="U98" i="95"/>
  <c r="V98" i="95"/>
  <c r="A102" i="95"/>
  <c r="AF102" i="95"/>
  <c r="J103" i="95"/>
  <c r="K103" i="95"/>
  <c r="J104" i="95"/>
  <c r="K104" i="95"/>
  <c r="J106" i="95"/>
  <c r="K106" i="95"/>
  <c r="J107" i="95"/>
  <c r="K107" i="95"/>
  <c r="J109" i="95"/>
  <c r="K109" i="95"/>
  <c r="J110" i="95"/>
  <c r="K110" i="95"/>
  <c r="A112" i="95"/>
  <c r="B113" i="95"/>
  <c r="E113" i="95"/>
  <c r="F113" i="95"/>
  <c r="Q113" i="95"/>
  <c r="R113" i="95"/>
  <c r="S113" i="95"/>
  <c r="T113" i="95"/>
  <c r="U113" i="95"/>
  <c r="V113" i="95"/>
  <c r="G114" i="95"/>
  <c r="H114" i="95"/>
  <c r="I114" i="95"/>
  <c r="J114" i="95"/>
  <c r="K114" i="95"/>
  <c r="L114" i="95"/>
  <c r="G115" i="95"/>
  <c r="H115" i="95"/>
  <c r="I115" i="95"/>
  <c r="K115" i="95"/>
  <c r="G116" i="95"/>
  <c r="H116" i="95"/>
  <c r="I116" i="95"/>
  <c r="K116" i="95"/>
  <c r="G117" i="95"/>
  <c r="H117" i="95"/>
  <c r="I117" i="95"/>
  <c r="J117" i="95"/>
  <c r="K117" i="95"/>
  <c r="L117" i="95"/>
  <c r="B118" i="95"/>
  <c r="C118" i="95"/>
  <c r="E118" i="95"/>
  <c r="F118" i="95"/>
  <c r="G118" i="95"/>
  <c r="I118" i="95"/>
  <c r="J118" i="95"/>
  <c r="K118" i="95"/>
  <c r="L118" i="95"/>
  <c r="Q118" i="95"/>
  <c r="R118" i="95"/>
  <c r="S118" i="95"/>
  <c r="T118" i="95"/>
  <c r="U118" i="95"/>
  <c r="V118" i="95"/>
  <c r="F119" i="95"/>
  <c r="K119" i="95"/>
  <c r="F120" i="95"/>
  <c r="K120" i="95"/>
  <c r="F121" i="95"/>
  <c r="K121" i="95"/>
  <c r="F122" i="95"/>
  <c r="H122" i="95"/>
  <c r="I122" i="95"/>
  <c r="J122" i="95"/>
  <c r="B125" i="95"/>
  <c r="E125" i="95"/>
  <c r="F125" i="95"/>
  <c r="H126" i="95"/>
  <c r="G127" i="95"/>
  <c r="G126" i="95" s="1"/>
  <c r="I127" i="95"/>
  <c r="I126" i="95" s="1"/>
  <c r="K127" i="95"/>
  <c r="K126" i="95" s="1"/>
  <c r="F128" i="95"/>
  <c r="K128" i="95"/>
  <c r="B131" i="95"/>
  <c r="C131" i="95"/>
  <c r="E131" i="95"/>
  <c r="F131" i="95"/>
  <c r="G131" i="95"/>
  <c r="H131" i="95"/>
  <c r="I131" i="95"/>
  <c r="J131" i="95"/>
  <c r="O132" i="95" s="1"/>
  <c r="K131" i="95"/>
  <c r="L131" i="95"/>
  <c r="P132" i="95" s="1"/>
  <c r="Q131" i="95"/>
  <c r="R131" i="95"/>
  <c r="S131" i="95"/>
  <c r="T131" i="95"/>
  <c r="U131" i="95"/>
  <c r="V131" i="95"/>
  <c r="I132" i="95"/>
  <c r="B134" i="95"/>
  <c r="C134" i="95"/>
  <c r="E134" i="95"/>
  <c r="F134" i="95"/>
  <c r="G134" i="95"/>
  <c r="H134" i="95"/>
  <c r="I134" i="95"/>
  <c r="J134" i="95"/>
  <c r="O135" i="95" s="1"/>
  <c r="K134" i="95"/>
  <c r="L134" i="95"/>
  <c r="P135" i="95" s="1"/>
  <c r="Q134" i="95"/>
  <c r="R134" i="95"/>
  <c r="S134" i="95"/>
  <c r="T134" i="95"/>
  <c r="U134" i="95"/>
  <c r="V134" i="95"/>
  <c r="B137" i="95"/>
  <c r="C137" i="95"/>
  <c r="E137" i="95"/>
  <c r="F137" i="95"/>
  <c r="G137" i="95"/>
  <c r="H137" i="95"/>
  <c r="I137" i="95"/>
  <c r="J137" i="95"/>
  <c r="O138" i="95" s="1"/>
  <c r="K137" i="95"/>
  <c r="L137" i="95"/>
  <c r="P138" i="95" s="1"/>
  <c r="Q137" i="95"/>
  <c r="R137" i="95"/>
  <c r="S137" i="95"/>
  <c r="T137" i="95"/>
  <c r="U137" i="95"/>
  <c r="V137" i="95"/>
  <c r="B140" i="95"/>
  <c r="C140" i="95"/>
  <c r="E140" i="95"/>
  <c r="F140" i="95"/>
  <c r="G140" i="95"/>
  <c r="H140" i="95"/>
  <c r="I140" i="95"/>
  <c r="J140" i="95"/>
  <c r="I141" i="95" s="1"/>
  <c r="K140" i="95"/>
  <c r="L140" i="95"/>
  <c r="P141" i="95" s="1"/>
  <c r="Q140" i="95"/>
  <c r="R140" i="95"/>
  <c r="S140" i="95"/>
  <c r="T140" i="95"/>
  <c r="U140" i="95"/>
  <c r="V140" i="95"/>
  <c r="A144" i="95"/>
  <c r="J145" i="95"/>
  <c r="K145" i="95"/>
  <c r="J146" i="95"/>
  <c r="K146" i="95"/>
  <c r="A148" i="95"/>
  <c r="B149" i="95"/>
  <c r="E149" i="95"/>
  <c r="F149" i="95"/>
  <c r="Q149" i="95"/>
  <c r="R149" i="95"/>
  <c r="S149" i="95"/>
  <c r="T149" i="95"/>
  <c r="U149" i="95"/>
  <c r="V149" i="95"/>
  <c r="G150" i="95"/>
  <c r="H150" i="95"/>
  <c r="I150" i="95"/>
  <c r="J150" i="95"/>
  <c r="K150" i="95"/>
  <c r="L150" i="95"/>
  <c r="G151" i="95"/>
  <c r="H151" i="95"/>
  <c r="I151" i="95"/>
  <c r="K151" i="95"/>
  <c r="G152" i="95"/>
  <c r="H152" i="95"/>
  <c r="I152" i="95"/>
  <c r="K152" i="95"/>
  <c r="G153" i="95"/>
  <c r="H153" i="95"/>
  <c r="I153" i="95"/>
  <c r="J153" i="95"/>
  <c r="K153" i="95"/>
  <c r="L153" i="95"/>
  <c r="B154" i="95"/>
  <c r="C154" i="95"/>
  <c r="E154" i="95"/>
  <c r="F154" i="95"/>
  <c r="G154" i="95"/>
  <c r="I154" i="95"/>
  <c r="J154" i="95"/>
  <c r="K154" i="95"/>
  <c r="L154" i="95"/>
  <c r="Q154" i="95"/>
  <c r="R154" i="95"/>
  <c r="S154" i="95"/>
  <c r="T154" i="95"/>
  <c r="U154" i="95"/>
  <c r="V154" i="95"/>
  <c r="F155" i="95"/>
  <c r="K155" i="95"/>
  <c r="F156" i="95"/>
  <c r="K156" i="95"/>
  <c r="F157" i="95"/>
  <c r="K157" i="95"/>
  <c r="F158" i="95"/>
  <c r="H158" i="95"/>
  <c r="I158" i="95"/>
  <c r="J158" i="95"/>
  <c r="B161" i="95"/>
  <c r="E161" i="95"/>
  <c r="F161" i="95"/>
  <c r="H162" i="95"/>
  <c r="G163" i="95"/>
  <c r="G162" i="95" s="1"/>
  <c r="I163" i="95"/>
  <c r="I162" i="95" s="1"/>
  <c r="K163" i="95"/>
  <c r="F164" i="95"/>
  <c r="K164" i="95"/>
  <c r="A168" i="95"/>
  <c r="J169" i="95"/>
  <c r="K169" i="95"/>
  <c r="J170" i="95"/>
  <c r="K170" i="95"/>
  <c r="J172" i="95"/>
  <c r="K172" i="95"/>
  <c r="J173" i="95"/>
  <c r="K173" i="95"/>
  <c r="AF174" i="95"/>
  <c r="J175" i="95"/>
  <c r="K175" i="95"/>
  <c r="J176" i="95"/>
  <c r="K176" i="95"/>
  <c r="D177" i="95"/>
  <c r="I177" i="95"/>
  <c r="K177" i="95"/>
  <c r="D178" i="95"/>
  <c r="I178" i="95"/>
  <c r="K178" i="95"/>
  <c r="D179" i="95"/>
  <c r="I179" i="95"/>
  <c r="K179" i="95"/>
  <c r="J185" i="95"/>
  <c r="L185" i="95"/>
  <c r="L193" i="95" s="1"/>
  <c r="J186" i="95"/>
  <c r="L186" i="95"/>
  <c r="L203" i="95"/>
  <c r="H28" i="94"/>
  <c r="AE42" i="94"/>
  <c r="A44" i="94"/>
  <c r="A46" i="94"/>
  <c r="I46" i="94"/>
  <c r="K46" i="94"/>
  <c r="J47" i="94"/>
  <c r="K47" i="94"/>
  <c r="J48" i="94"/>
  <c r="K48" i="94"/>
  <c r="A50" i="94"/>
  <c r="A52" i="94"/>
  <c r="A54" i="94"/>
  <c r="I54" i="94"/>
  <c r="K54" i="94"/>
  <c r="J55" i="94"/>
  <c r="K55" i="94"/>
  <c r="J56" i="94"/>
  <c r="K56" i="94"/>
  <c r="A58" i="94"/>
  <c r="A60" i="94"/>
  <c r="I60" i="94"/>
  <c r="K60" i="94"/>
  <c r="J61" i="94"/>
  <c r="K61" i="94"/>
  <c r="J62" i="94"/>
  <c r="K62" i="94"/>
  <c r="A65" i="94"/>
  <c r="B66" i="94"/>
  <c r="E66" i="94"/>
  <c r="F66" i="94"/>
  <c r="Q66" i="94"/>
  <c r="J71" i="94" s="1"/>
  <c r="R66" i="94"/>
  <c r="L71" i="94" s="1"/>
  <c r="S66" i="94"/>
  <c r="T66" i="94"/>
  <c r="L72" i="94" s="1"/>
  <c r="U66" i="94"/>
  <c r="V66" i="94"/>
  <c r="G67" i="94"/>
  <c r="H67" i="94"/>
  <c r="I67" i="94"/>
  <c r="J67" i="94"/>
  <c r="K67" i="94"/>
  <c r="L67" i="94"/>
  <c r="G68" i="94"/>
  <c r="H68" i="94"/>
  <c r="I68" i="94"/>
  <c r="K68" i="94"/>
  <c r="G69" i="94"/>
  <c r="H69" i="94"/>
  <c r="I69" i="94"/>
  <c r="K69" i="94"/>
  <c r="G70" i="94"/>
  <c r="H70" i="94"/>
  <c r="I70" i="94"/>
  <c r="J70" i="94"/>
  <c r="K70" i="94"/>
  <c r="L70" i="94"/>
  <c r="F71" i="94"/>
  <c r="K71" i="94"/>
  <c r="F72" i="94"/>
  <c r="J72" i="94"/>
  <c r="K72" i="94"/>
  <c r="F73" i="94"/>
  <c r="K73" i="94"/>
  <c r="F74" i="94"/>
  <c r="H74" i="94"/>
  <c r="I74" i="94"/>
  <c r="J74" i="94"/>
  <c r="B77" i="94"/>
  <c r="E77" i="94"/>
  <c r="F77" i="94"/>
  <c r="H78" i="94"/>
  <c r="G79" i="94"/>
  <c r="G78" i="94" s="1"/>
  <c r="I79" i="94"/>
  <c r="K79" i="94"/>
  <c r="K78" i="94" s="1"/>
  <c r="F80" i="94"/>
  <c r="K80" i="94"/>
  <c r="B83" i="94"/>
  <c r="C83" i="94"/>
  <c r="E83" i="94"/>
  <c r="F83" i="94"/>
  <c r="G83" i="94"/>
  <c r="H83" i="94"/>
  <c r="I83" i="94"/>
  <c r="J83" i="94"/>
  <c r="O84" i="94" s="1"/>
  <c r="K83" i="94"/>
  <c r="L83" i="94"/>
  <c r="P84" i="94" s="1"/>
  <c r="Q83" i="94"/>
  <c r="R83" i="94"/>
  <c r="S83" i="94"/>
  <c r="T83" i="94"/>
  <c r="U83" i="94"/>
  <c r="V83" i="94"/>
  <c r="A87" i="94"/>
  <c r="J88" i="94"/>
  <c r="K88" i="94"/>
  <c r="J89" i="94"/>
  <c r="K89" i="94"/>
  <c r="A91" i="94"/>
  <c r="B92" i="94"/>
  <c r="E92" i="94"/>
  <c r="F92" i="94"/>
  <c r="Q92" i="94"/>
  <c r="J97" i="94" s="1"/>
  <c r="R92" i="94"/>
  <c r="L97" i="94" s="1"/>
  <c r="S92" i="94"/>
  <c r="J98" i="94" s="1"/>
  <c r="T92" i="94"/>
  <c r="L98" i="94" s="1"/>
  <c r="U92" i="94"/>
  <c r="V92" i="94"/>
  <c r="G93" i="94"/>
  <c r="H93" i="94"/>
  <c r="I93" i="94"/>
  <c r="J93" i="94"/>
  <c r="K93" i="94"/>
  <c r="L93" i="94"/>
  <c r="G94" i="94"/>
  <c r="H94" i="94"/>
  <c r="I94" i="94"/>
  <c r="K94" i="94"/>
  <c r="G95" i="94"/>
  <c r="H95" i="94"/>
  <c r="I95" i="94"/>
  <c r="K95" i="94"/>
  <c r="G96" i="94"/>
  <c r="H96" i="94"/>
  <c r="I96" i="94"/>
  <c r="J96" i="94"/>
  <c r="K96" i="94"/>
  <c r="L96" i="94"/>
  <c r="F97" i="94"/>
  <c r="K97" i="94"/>
  <c r="F98" i="94"/>
  <c r="K98" i="94"/>
  <c r="F99" i="94"/>
  <c r="K99" i="94"/>
  <c r="F100" i="94"/>
  <c r="H100" i="94"/>
  <c r="I100" i="94"/>
  <c r="J100" i="94"/>
  <c r="B103" i="94"/>
  <c r="E103" i="94"/>
  <c r="F103" i="94"/>
  <c r="H104" i="94"/>
  <c r="G105" i="94"/>
  <c r="G104" i="94" s="1"/>
  <c r="I105" i="94"/>
  <c r="I104" i="94" s="1"/>
  <c r="K105" i="94"/>
  <c r="F106" i="94"/>
  <c r="K106" i="94"/>
  <c r="B109" i="94"/>
  <c r="C109" i="94"/>
  <c r="E109" i="94"/>
  <c r="F109" i="94"/>
  <c r="G109" i="94"/>
  <c r="H109" i="94"/>
  <c r="I109" i="94"/>
  <c r="J109" i="94"/>
  <c r="O110" i="94" s="1"/>
  <c r="K109" i="94"/>
  <c r="L109" i="94"/>
  <c r="P110" i="94" s="1"/>
  <c r="Q109" i="94"/>
  <c r="R109" i="94"/>
  <c r="S109" i="94"/>
  <c r="T109" i="94"/>
  <c r="U109" i="94"/>
  <c r="V109" i="94"/>
  <c r="A113" i="94"/>
  <c r="J114" i="94"/>
  <c r="K114" i="94"/>
  <c r="J115" i="94"/>
  <c r="K115" i="94"/>
  <c r="A117" i="94"/>
  <c r="A119" i="94"/>
  <c r="I119" i="94"/>
  <c r="K119" i="94"/>
  <c r="J120" i="94"/>
  <c r="K120" i="94"/>
  <c r="J121" i="94"/>
  <c r="K121" i="94"/>
  <c r="A123" i="94"/>
  <c r="A125" i="94"/>
  <c r="I125" i="94"/>
  <c r="K125" i="94"/>
  <c r="J126" i="94"/>
  <c r="K126" i="94"/>
  <c r="J127" i="94"/>
  <c r="K127" i="94"/>
  <c r="A129" i="94"/>
  <c r="A131" i="94"/>
  <c r="I131" i="94"/>
  <c r="K131" i="94"/>
  <c r="J132" i="94"/>
  <c r="K132" i="94"/>
  <c r="J133" i="94"/>
  <c r="K133" i="94"/>
  <c r="A135" i="94"/>
  <c r="A137" i="94"/>
  <c r="I137" i="94"/>
  <c r="K137" i="94"/>
  <c r="J138" i="94"/>
  <c r="K138" i="94"/>
  <c r="J139" i="94"/>
  <c r="K139" i="94"/>
  <c r="A141" i="94"/>
  <c r="A143" i="94"/>
  <c r="I143" i="94"/>
  <c r="K143" i="94"/>
  <c r="J144" i="94"/>
  <c r="K144" i="94"/>
  <c r="J145" i="94"/>
  <c r="K145" i="94"/>
  <c r="A147" i="94"/>
  <c r="A149" i="94"/>
  <c r="I149" i="94"/>
  <c r="K149" i="94"/>
  <c r="J150" i="94"/>
  <c r="K150" i="94"/>
  <c r="J151" i="94"/>
  <c r="K151" i="94"/>
  <c r="A153" i="94"/>
  <c r="A155" i="94"/>
  <c r="I155" i="94"/>
  <c r="K155" i="94"/>
  <c r="J156" i="94"/>
  <c r="K156" i="94"/>
  <c r="J157" i="94"/>
  <c r="K157" i="94"/>
  <c r="A159" i="94"/>
  <c r="A161" i="94"/>
  <c r="I161" i="94"/>
  <c r="K161" i="94"/>
  <c r="J162" i="94"/>
  <c r="K162" i="94"/>
  <c r="J163" i="94"/>
  <c r="K163" i="94"/>
  <c r="A165" i="94"/>
  <c r="A167" i="94"/>
  <c r="I167" i="94"/>
  <c r="K167" i="94"/>
  <c r="J168" i="94"/>
  <c r="K168" i="94"/>
  <c r="J169" i="94"/>
  <c r="K169" i="94"/>
  <c r="A171" i="94"/>
  <c r="B172" i="94"/>
  <c r="E172" i="94"/>
  <c r="F172" i="94"/>
  <c r="Q172" i="94"/>
  <c r="J177" i="94" s="1"/>
  <c r="R172" i="94"/>
  <c r="L177" i="94" s="1"/>
  <c r="S172" i="94"/>
  <c r="J178" i="94" s="1"/>
  <c r="T172" i="94"/>
  <c r="L178" i="94" s="1"/>
  <c r="U172" i="94"/>
  <c r="V172" i="94"/>
  <c r="G173" i="94"/>
  <c r="H173" i="94"/>
  <c r="I173" i="94"/>
  <c r="J173" i="94"/>
  <c r="K173" i="94"/>
  <c r="L173" i="94"/>
  <c r="G174" i="94"/>
  <c r="H174" i="94"/>
  <c r="I174" i="94"/>
  <c r="K174" i="94"/>
  <c r="G175" i="94"/>
  <c r="H175" i="94"/>
  <c r="I175" i="94"/>
  <c r="K175" i="94"/>
  <c r="G176" i="94"/>
  <c r="H176" i="94"/>
  <c r="I176" i="94"/>
  <c r="J176" i="94"/>
  <c r="K176" i="94"/>
  <c r="L176" i="94"/>
  <c r="F177" i="94"/>
  <c r="K177" i="94"/>
  <c r="F178" i="94"/>
  <c r="K178" i="94"/>
  <c r="F179" i="94"/>
  <c r="K179" i="94"/>
  <c r="F180" i="94"/>
  <c r="H180" i="94"/>
  <c r="I180" i="94"/>
  <c r="J180" i="94"/>
  <c r="B183" i="94"/>
  <c r="E183" i="94"/>
  <c r="F183" i="94"/>
  <c r="H184" i="94"/>
  <c r="G185" i="94"/>
  <c r="G184" i="94" s="1"/>
  <c r="I185" i="94"/>
  <c r="I184" i="94" s="1"/>
  <c r="K185" i="94"/>
  <c r="F186" i="94"/>
  <c r="K186" i="94"/>
  <c r="B189" i="94"/>
  <c r="C189" i="94"/>
  <c r="E189" i="94"/>
  <c r="F189" i="94"/>
  <c r="G189" i="94"/>
  <c r="H189" i="94"/>
  <c r="I189" i="94"/>
  <c r="J189" i="94"/>
  <c r="I190" i="94" s="1"/>
  <c r="K189" i="94"/>
  <c r="L189" i="94"/>
  <c r="P190" i="94" s="1"/>
  <c r="Q189" i="94"/>
  <c r="R189" i="94"/>
  <c r="S189" i="94"/>
  <c r="T189" i="94"/>
  <c r="U189" i="94"/>
  <c r="V189" i="94"/>
  <c r="A193" i="94"/>
  <c r="J194" i="94"/>
  <c r="K194" i="94"/>
  <c r="J195" i="94"/>
  <c r="K195" i="94"/>
  <c r="A197" i="94"/>
  <c r="A199" i="94"/>
  <c r="I199" i="94"/>
  <c r="K199" i="94"/>
  <c r="J200" i="94"/>
  <c r="K200" i="94"/>
  <c r="J201" i="94"/>
  <c r="K201" i="94"/>
  <c r="A203" i="94"/>
  <c r="A205" i="94"/>
  <c r="I205" i="94"/>
  <c r="K205" i="94"/>
  <c r="J206" i="94"/>
  <c r="K206" i="94"/>
  <c r="J207" i="94"/>
  <c r="K207" i="94"/>
  <c r="A209" i="94"/>
  <c r="A211" i="94"/>
  <c r="I211" i="94"/>
  <c r="K211" i="94"/>
  <c r="J212" i="94"/>
  <c r="K212" i="94"/>
  <c r="J213" i="94"/>
  <c r="K213" i="94"/>
  <c r="A215" i="94"/>
  <c r="A217" i="94"/>
  <c r="I217" i="94"/>
  <c r="K217" i="94"/>
  <c r="J218" i="94"/>
  <c r="K218" i="94"/>
  <c r="J219" i="94"/>
  <c r="K219" i="94"/>
  <c r="A221" i="94"/>
  <c r="A223" i="94"/>
  <c r="I223" i="94"/>
  <c r="K223" i="94"/>
  <c r="J224" i="94"/>
  <c r="K224" i="94"/>
  <c r="J225" i="94"/>
  <c r="K225" i="94"/>
  <c r="A227" i="94"/>
  <c r="A229" i="94"/>
  <c r="I229" i="94"/>
  <c r="K229" i="94"/>
  <c r="J230" i="94"/>
  <c r="K230" i="94"/>
  <c r="J231" i="94"/>
  <c r="K231" i="94"/>
  <c r="A233" i="94"/>
  <c r="A235" i="94"/>
  <c r="I235" i="94"/>
  <c r="K235" i="94"/>
  <c r="J236" i="94"/>
  <c r="K236" i="94"/>
  <c r="J237" i="94"/>
  <c r="K237" i="94"/>
  <c r="A239" i="94"/>
  <c r="A241" i="94"/>
  <c r="I241" i="94"/>
  <c r="K241" i="94"/>
  <c r="J242" i="94"/>
  <c r="K242" i="94"/>
  <c r="J243" i="94"/>
  <c r="K243" i="94"/>
  <c r="A245" i="94"/>
  <c r="B246" i="94"/>
  <c r="E246" i="94"/>
  <c r="F246" i="94"/>
  <c r="Q246" i="94"/>
  <c r="R246" i="94"/>
  <c r="S246" i="94"/>
  <c r="T246" i="94"/>
  <c r="U246" i="94"/>
  <c r="V246" i="94"/>
  <c r="G247" i="94"/>
  <c r="H247" i="94"/>
  <c r="I247" i="94"/>
  <c r="J247" i="94"/>
  <c r="K247" i="94"/>
  <c r="L247" i="94"/>
  <c r="G248" i="94"/>
  <c r="H248" i="94"/>
  <c r="I248" i="94"/>
  <c r="K248" i="94"/>
  <c r="G249" i="94"/>
  <c r="H249" i="94"/>
  <c r="I249" i="94"/>
  <c r="K249" i="94"/>
  <c r="G250" i="94"/>
  <c r="H250" i="94"/>
  <c r="I250" i="94"/>
  <c r="J250" i="94"/>
  <c r="K250" i="94"/>
  <c r="L250" i="94"/>
  <c r="B251" i="94"/>
  <c r="C251" i="94"/>
  <c r="E251" i="94"/>
  <c r="F251" i="94"/>
  <c r="G251" i="94"/>
  <c r="I251" i="94"/>
  <c r="J251" i="94"/>
  <c r="K251" i="94"/>
  <c r="L251" i="94"/>
  <c r="Q251" i="94"/>
  <c r="R251" i="94"/>
  <c r="S251" i="94"/>
  <c r="T251" i="94"/>
  <c r="U251" i="94"/>
  <c r="V251" i="94"/>
  <c r="F252" i="94"/>
  <c r="K252" i="94"/>
  <c r="F253" i="94"/>
  <c r="K253" i="94"/>
  <c r="F254" i="94"/>
  <c r="K254" i="94"/>
  <c r="F255" i="94"/>
  <c r="H255" i="94"/>
  <c r="I255" i="94"/>
  <c r="J255" i="94"/>
  <c r="B258" i="94"/>
  <c r="E258" i="94"/>
  <c r="F258" i="94"/>
  <c r="H259" i="94"/>
  <c r="G260" i="94"/>
  <c r="G259" i="94" s="1"/>
  <c r="I260" i="94"/>
  <c r="I259" i="94" s="1"/>
  <c r="K260" i="94"/>
  <c r="K259" i="94" s="1"/>
  <c r="F261" i="94"/>
  <c r="K261" i="94"/>
  <c r="B264" i="94"/>
  <c r="E264" i="94"/>
  <c r="F264" i="94"/>
  <c r="Q264" i="94"/>
  <c r="R264" i="94"/>
  <c r="S264" i="94"/>
  <c r="T264" i="94"/>
  <c r="U264" i="94"/>
  <c r="V264" i="94"/>
  <c r="G265" i="94"/>
  <c r="H265" i="94"/>
  <c r="I265" i="94"/>
  <c r="J265" i="94"/>
  <c r="K265" i="94"/>
  <c r="L265" i="94"/>
  <c r="G266" i="94"/>
  <c r="H266" i="94"/>
  <c r="I266" i="94"/>
  <c r="K266" i="94"/>
  <c r="G267" i="94"/>
  <c r="H267" i="94"/>
  <c r="I267" i="94"/>
  <c r="K267" i="94"/>
  <c r="G268" i="94"/>
  <c r="H268" i="94"/>
  <c r="I268" i="94"/>
  <c r="J268" i="94"/>
  <c r="K268" i="94"/>
  <c r="L268" i="94"/>
  <c r="B269" i="94"/>
  <c r="C269" i="94"/>
  <c r="E269" i="94"/>
  <c r="F269" i="94"/>
  <c r="G269" i="94"/>
  <c r="I269" i="94"/>
  <c r="J269" i="94"/>
  <c r="K269" i="94"/>
  <c r="L269" i="94"/>
  <c r="Q269" i="94"/>
  <c r="R269" i="94"/>
  <c r="S269" i="94"/>
  <c r="T269" i="94"/>
  <c r="U269" i="94"/>
  <c r="V269" i="94"/>
  <c r="F270" i="94"/>
  <c r="K270" i="94"/>
  <c r="F271" i="94"/>
  <c r="K271" i="94"/>
  <c r="F272" i="94"/>
  <c r="K272" i="94"/>
  <c r="F273" i="94"/>
  <c r="H273" i="94"/>
  <c r="I273" i="94"/>
  <c r="J273" i="94"/>
  <c r="B276" i="94"/>
  <c r="E276" i="94"/>
  <c r="F276" i="94"/>
  <c r="H277" i="94"/>
  <c r="G278" i="94"/>
  <c r="G277" i="94" s="1"/>
  <c r="I278" i="94"/>
  <c r="I277" i="94" s="1"/>
  <c r="K278" i="94"/>
  <c r="F279" i="94"/>
  <c r="K279" i="94"/>
  <c r="A283" i="94"/>
  <c r="J284" i="94"/>
  <c r="K284" i="94"/>
  <c r="J285" i="94"/>
  <c r="K285" i="94"/>
  <c r="A287" i="94"/>
  <c r="A289" i="94"/>
  <c r="I289" i="94"/>
  <c r="K289" i="94"/>
  <c r="J290" i="94"/>
  <c r="K290" i="94"/>
  <c r="J291" i="94"/>
  <c r="K291" i="94"/>
  <c r="A293" i="94"/>
  <c r="A295" i="94"/>
  <c r="I295" i="94"/>
  <c r="K295" i="94"/>
  <c r="AF295" i="94"/>
  <c r="J296" i="94"/>
  <c r="K296" i="94"/>
  <c r="J297" i="94"/>
  <c r="K297" i="94"/>
  <c r="A299" i="94"/>
  <c r="A301" i="94"/>
  <c r="I301" i="94"/>
  <c r="K301" i="94"/>
  <c r="J302" i="94"/>
  <c r="K302" i="94"/>
  <c r="J303" i="94"/>
  <c r="K303" i="94"/>
  <c r="A305" i="94"/>
  <c r="J306" i="94"/>
  <c r="K306" i="94"/>
  <c r="J307" i="94"/>
  <c r="K307" i="94"/>
  <c r="A309" i="94"/>
  <c r="A311" i="94"/>
  <c r="A313" i="94"/>
  <c r="I313" i="94"/>
  <c r="K313" i="94"/>
  <c r="J314" i="94"/>
  <c r="K314" i="94"/>
  <c r="J315" i="94"/>
  <c r="K315" i="94"/>
  <c r="A317" i="94"/>
  <c r="A319" i="94"/>
  <c r="I319" i="94"/>
  <c r="K319" i="94"/>
  <c r="J320" i="94"/>
  <c r="K320" i="94"/>
  <c r="J321" i="94"/>
  <c r="K321" i="94"/>
  <c r="A323" i="94"/>
  <c r="A325" i="94"/>
  <c r="I325" i="94"/>
  <c r="K325" i="94"/>
  <c r="J326" i="94"/>
  <c r="K326" i="94"/>
  <c r="J327" i="94"/>
  <c r="K327" i="94"/>
  <c r="A329" i="94"/>
  <c r="I329" i="94"/>
  <c r="K329" i="94"/>
  <c r="J330" i="94"/>
  <c r="K330" i="94"/>
  <c r="J331" i="94"/>
  <c r="K331" i="94"/>
  <c r="A333" i="94"/>
  <c r="A335" i="94"/>
  <c r="A337" i="94"/>
  <c r="I337" i="94"/>
  <c r="K337" i="94"/>
  <c r="J338" i="94"/>
  <c r="K338" i="94"/>
  <c r="J339" i="94"/>
  <c r="K339" i="94"/>
  <c r="A341" i="94"/>
  <c r="A343" i="94"/>
  <c r="I343" i="94"/>
  <c r="K343" i="94"/>
  <c r="J344" i="94"/>
  <c r="K344" i="94"/>
  <c r="J345" i="94"/>
  <c r="K345" i="94"/>
  <c r="A347" i="94"/>
  <c r="A349" i="94"/>
  <c r="I349" i="94"/>
  <c r="K349" i="94"/>
  <c r="J350" i="94"/>
  <c r="K350" i="94"/>
  <c r="J351" i="94"/>
  <c r="K351" i="94"/>
  <c r="A353" i="94"/>
  <c r="A355" i="94"/>
  <c r="I355" i="94"/>
  <c r="K355" i="94"/>
  <c r="J356" i="94"/>
  <c r="K356" i="94"/>
  <c r="J357" i="94"/>
  <c r="K357" i="94"/>
  <c r="A359" i="94"/>
  <c r="A361" i="94"/>
  <c r="I361" i="94"/>
  <c r="K361" i="94"/>
  <c r="J362" i="94"/>
  <c r="K362" i="94"/>
  <c r="J363" i="94"/>
  <c r="K363" i="94"/>
  <c r="A365" i="94"/>
  <c r="I365" i="94"/>
  <c r="K365" i="94"/>
  <c r="J366" i="94"/>
  <c r="K366" i="94"/>
  <c r="J367" i="94"/>
  <c r="K367" i="94"/>
  <c r="AF369" i="94"/>
  <c r="J370" i="94"/>
  <c r="K370" i="94"/>
  <c r="J371" i="94"/>
  <c r="K371" i="94"/>
  <c r="D372" i="94"/>
  <c r="I372" i="94"/>
  <c r="J380" i="94" s="1"/>
  <c r="K372" i="94"/>
  <c r="L380" i="94" s="1"/>
  <c r="L388" i="94" s="1"/>
  <c r="D373" i="94"/>
  <c r="I373" i="94"/>
  <c r="K373" i="94"/>
  <c r="D374" i="94"/>
  <c r="I374" i="94"/>
  <c r="K374" i="94"/>
  <c r="D375" i="94"/>
  <c r="I375" i="94"/>
  <c r="J381" i="94" s="1"/>
  <c r="K375" i="94"/>
  <c r="L381" i="94" s="1"/>
  <c r="L398" i="94"/>
  <c r="AJ19" i="93"/>
  <c r="L26" i="93"/>
  <c r="A45" i="93"/>
  <c r="A47" i="93"/>
  <c r="B48" i="93"/>
  <c r="E48" i="93"/>
  <c r="F48" i="93"/>
  <c r="Q48" i="93"/>
  <c r="J53" i="93" s="1"/>
  <c r="R48" i="93"/>
  <c r="L53" i="93" s="1"/>
  <c r="S48" i="93"/>
  <c r="J54" i="93" s="1"/>
  <c r="T48" i="93"/>
  <c r="L54" i="93" s="1"/>
  <c r="U48" i="93"/>
  <c r="V48" i="93"/>
  <c r="G49" i="93"/>
  <c r="H49" i="93"/>
  <c r="I49" i="93"/>
  <c r="J49" i="93"/>
  <c r="K49" i="93"/>
  <c r="L49" i="93"/>
  <c r="G50" i="93"/>
  <c r="H50" i="93"/>
  <c r="I50" i="93"/>
  <c r="K50" i="93"/>
  <c r="G51" i="93"/>
  <c r="H51" i="93"/>
  <c r="I51" i="93"/>
  <c r="K51" i="93"/>
  <c r="G52" i="93"/>
  <c r="H52" i="93"/>
  <c r="I52" i="93"/>
  <c r="J52" i="93"/>
  <c r="K52" i="93"/>
  <c r="L52" i="93"/>
  <c r="F53" i="93"/>
  <c r="K53" i="93"/>
  <c r="F54" i="93"/>
  <c r="K54" i="93"/>
  <c r="F55" i="93"/>
  <c r="K55" i="93"/>
  <c r="F56" i="93"/>
  <c r="H56" i="93"/>
  <c r="I56" i="93"/>
  <c r="J56" i="93"/>
  <c r="B59" i="93"/>
  <c r="E59" i="93"/>
  <c r="F59" i="93"/>
  <c r="H60" i="93"/>
  <c r="G61" i="93"/>
  <c r="G60" i="93" s="1"/>
  <c r="I61" i="93"/>
  <c r="K61" i="93"/>
  <c r="K60" i="93" s="1"/>
  <c r="F62" i="93"/>
  <c r="K62" i="93"/>
  <c r="B65" i="93"/>
  <c r="C65" i="93"/>
  <c r="E65" i="93"/>
  <c r="F65" i="93"/>
  <c r="G65" i="93"/>
  <c r="H65" i="93"/>
  <c r="I65" i="93"/>
  <c r="J65" i="93"/>
  <c r="O66" i="93" s="1"/>
  <c r="K65" i="93"/>
  <c r="Q65" i="93"/>
  <c r="R65" i="93"/>
  <c r="S65" i="93"/>
  <c r="T65" i="93"/>
  <c r="U65" i="93"/>
  <c r="V65" i="93"/>
  <c r="I66" i="93"/>
  <c r="K66" i="93"/>
  <c r="P66" i="93"/>
  <c r="A69" i="93"/>
  <c r="J70" i="93"/>
  <c r="K70" i="93"/>
  <c r="J71" i="93"/>
  <c r="K71" i="93"/>
  <c r="J73" i="93"/>
  <c r="K73" i="93"/>
  <c r="J74" i="93"/>
  <c r="K74" i="93"/>
  <c r="A76" i="93"/>
  <c r="E77" i="93"/>
  <c r="F77" i="93"/>
  <c r="Q77" i="93"/>
  <c r="J82" i="93" s="1"/>
  <c r="R77" i="93"/>
  <c r="L82" i="93" s="1"/>
  <c r="S77" i="93"/>
  <c r="T77" i="93"/>
  <c r="L83" i="93" s="1"/>
  <c r="U77" i="93"/>
  <c r="V77" i="93"/>
  <c r="G78" i="93"/>
  <c r="H78" i="93"/>
  <c r="I78" i="93"/>
  <c r="J78" i="93"/>
  <c r="K78" i="93"/>
  <c r="L78" i="93"/>
  <c r="G79" i="93"/>
  <c r="H79" i="93"/>
  <c r="I79" i="93"/>
  <c r="K79" i="93"/>
  <c r="G80" i="93"/>
  <c r="H80" i="93"/>
  <c r="I80" i="93"/>
  <c r="K80" i="93"/>
  <c r="G81" i="93"/>
  <c r="H81" i="93"/>
  <c r="I81" i="93"/>
  <c r="J81" i="93"/>
  <c r="K81" i="93"/>
  <c r="L81" i="93"/>
  <c r="F82" i="93"/>
  <c r="K82" i="93"/>
  <c r="F83" i="93"/>
  <c r="J83" i="93"/>
  <c r="K83" i="93"/>
  <c r="F84" i="93"/>
  <c r="K84" i="93"/>
  <c r="F85" i="93"/>
  <c r="H85" i="93"/>
  <c r="I85" i="93"/>
  <c r="J85" i="93"/>
  <c r="E88" i="93"/>
  <c r="F88" i="93"/>
  <c r="H89" i="93"/>
  <c r="G90" i="93"/>
  <c r="G89" i="93" s="1"/>
  <c r="I90" i="93"/>
  <c r="I89" i="93" s="1"/>
  <c r="K90" i="93"/>
  <c r="K89" i="93" s="1"/>
  <c r="F91" i="93"/>
  <c r="K91" i="93"/>
  <c r="C94" i="93"/>
  <c r="E94" i="93"/>
  <c r="F94" i="93"/>
  <c r="G94" i="93"/>
  <c r="H94" i="93"/>
  <c r="I94" i="93"/>
  <c r="J94" i="93"/>
  <c r="K94" i="93"/>
  <c r="Q94" i="93"/>
  <c r="R94" i="93"/>
  <c r="S94" i="93"/>
  <c r="T94" i="93"/>
  <c r="U94" i="93"/>
  <c r="V94" i="93"/>
  <c r="I95" i="93"/>
  <c r="K95" i="93"/>
  <c r="P95" i="93"/>
  <c r="A98" i="93"/>
  <c r="J99" i="93"/>
  <c r="K99" i="93"/>
  <c r="J100" i="93"/>
  <c r="K100" i="93"/>
  <c r="J102" i="93"/>
  <c r="K102" i="93"/>
  <c r="J103" i="93"/>
  <c r="K103" i="93"/>
  <c r="A105" i="93"/>
  <c r="E106" i="93"/>
  <c r="F106" i="93"/>
  <c r="Q106" i="93"/>
  <c r="J111" i="93" s="1"/>
  <c r="R106" i="93"/>
  <c r="L111" i="93" s="1"/>
  <c r="S106" i="93"/>
  <c r="J112" i="93" s="1"/>
  <c r="T106" i="93"/>
  <c r="L112" i="93" s="1"/>
  <c r="U106" i="93"/>
  <c r="V106" i="93"/>
  <c r="G107" i="93"/>
  <c r="H107" i="93"/>
  <c r="I107" i="93"/>
  <c r="J107" i="93"/>
  <c r="K107" i="93"/>
  <c r="L107" i="93"/>
  <c r="G108" i="93"/>
  <c r="H108" i="93"/>
  <c r="I108" i="93"/>
  <c r="K108" i="93"/>
  <c r="G109" i="93"/>
  <c r="H109" i="93"/>
  <c r="I109" i="93"/>
  <c r="K109" i="93"/>
  <c r="G110" i="93"/>
  <c r="H110" i="93"/>
  <c r="I110" i="93"/>
  <c r="J110" i="93"/>
  <c r="K110" i="93"/>
  <c r="L110" i="93"/>
  <c r="F111" i="93"/>
  <c r="K111" i="93"/>
  <c r="F112" i="93"/>
  <c r="K112" i="93"/>
  <c r="F113" i="93"/>
  <c r="K113" i="93"/>
  <c r="F114" i="93"/>
  <c r="H114" i="93"/>
  <c r="I114" i="93"/>
  <c r="J114" i="93"/>
  <c r="E117" i="93"/>
  <c r="F117" i="93"/>
  <c r="H118" i="93"/>
  <c r="G119" i="93"/>
  <c r="G118" i="93" s="1"/>
  <c r="I119" i="93"/>
  <c r="I118" i="93" s="1"/>
  <c r="K119" i="93"/>
  <c r="F120" i="93"/>
  <c r="K120" i="93"/>
  <c r="C123" i="93"/>
  <c r="E123" i="93"/>
  <c r="F123" i="93"/>
  <c r="G123" i="93"/>
  <c r="H123" i="93"/>
  <c r="I123" i="93"/>
  <c r="J123" i="93"/>
  <c r="O124" i="93" s="1"/>
  <c r="K123" i="93"/>
  <c r="Q123" i="93"/>
  <c r="R123" i="93"/>
  <c r="S123" i="93"/>
  <c r="T123" i="93"/>
  <c r="U123" i="93"/>
  <c r="V123" i="93"/>
  <c r="K124" i="93"/>
  <c r="P124" i="93"/>
  <c r="A127" i="93"/>
  <c r="J128" i="93"/>
  <c r="K128" i="93"/>
  <c r="J129" i="93"/>
  <c r="K129" i="93"/>
  <c r="A131" i="93"/>
  <c r="E132" i="93"/>
  <c r="F132" i="93"/>
  <c r="Q132" i="93"/>
  <c r="J137" i="93" s="1"/>
  <c r="R132" i="93"/>
  <c r="L137" i="93" s="1"/>
  <c r="S132" i="93"/>
  <c r="T132" i="93"/>
  <c r="L138" i="93" s="1"/>
  <c r="U132" i="93"/>
  <c r="V132" i="93"/>
  <c r="G133" i="93"/>
  <c r="H133" i="93"/>
  <c r="I133" i="93"/>
  <c r="J133" i="93"/>
  <c r="K133" i="93"/>
  <c r="L133" i="93"/>
  <c r="G134" i="93"/>
  <c r="H134" i="93"/>
  <c r="I134" i="93"/>
  <c r="K134" i="93"/>
  <c r="G135" i="93"/>
  <c r="H135" i="93"/>
  <c r="I135" i="93"/>
  <c r="K135" i="93"/>
  <c r="G136" i="93"/>
  <c r="H136" i="93"/>
  <c r="I136" i="93"/>
  <c r="J136" i="93"/>
  <c r="K136" i="93"/>
  <c r="L136" i="93"/>
  <c r="F137" i="93"/>
  <c r="K137" i="93"/>
  <c r="F138" i="93"/>
  <c r="J138" i="93"/>
  <c r="K138" i="93"/>
  <c r="F139" i="93"/>
  <c r="K139" i="93"/>
  <c r="F140" i="93"/>
  <c r="H140" i="93"/>
  <c r="I140" i="93"/>
  <c r="J140" i="93"/>
  <c r="E143" i="93"/>
  <c r="F143" i="93"/>
  <c r="H144" i="93"/>
  <c r="G145" i="93"/>
  <c r="G144" i="93" s="1"/>
  <c r="I145" i="93"/>
  <c r="I144" i="93" s="1"/>
  <c r="K145" i="93"/>
  <c r="K144" i="93" s="1"/>
  <c r="F146" i="93"/>
  <c r="K146" i="93"/>
  <c r="C149" i="93"/>
  <c r="E149" i="93"/>
  <c r="F149" i="93"/>
  <c r="G149" i="93"/>
  <c r="H149" i="93"/>
  <c r="I149" i="93"/>
  <c r="J149" i="93"/>
  <c r="O150" i="93" s="1"/>
  <c r="K149" i="93"/>
  <c r="Q149" i="93"/>
  <c r="R149" i="93"/>
  <c r="S149" i="93"/>
  <c r="T149" i="93"/>
  <c r="U149" i="93"/>
  <c r="V149" i="93"/>
  <c r="K150" i="93"/>
  <c r="P150" i="93"/>
  <c r="A153" i="93"/>
  <c r="J154" i="93"/>
  <c r="K154" i="93"/>
  <c r="J155" i="93"/>
  <c r="K155" i="93"/>
  <c r="J157" i="93"/>
  <c r="K157" i="93"/>
  <c r="J158" i="93"/>
  <c r="K158" i="93"/>
  <c r="A160" i="93"/>
  <c r="E161" i="93"/>
  <c r="F161" i="93"/>
  <c r="Q161" i="93"/>
  <c r="J166" i="93" s="1"/>
  <c r="R161" i="93"/>
  <c r="L166" i="93" s="1"/>
  <c r="S161" i="93"/>
  <c r="J167" i="93" s="1"/>
  <c r="T161" i="93"/>
  <c r="L167" i="93" s="1"/>
  <c r="U161" i="93"/>
  <c r="V161" i="93"/>
  <c r="G162" i="93"/>
  <c r="H162" i="93"/>
  <c r="I162" i="93"/>
  <c r="J162" i="93"/>
  <c r="K162" i="93"/>
  <c r="L162" i="93"/>
  <c r="G163" i="93"/>
  <c r="H163" i="93"/>
  <c r="I163" i="93"/>
  <c r="K163" i="93"/>
  <c r="G164" i="93"/>
  <c r="H164" i="93"/>
  <c r="I164" i="93"/>
  <c r="K164" i="93"/>
  <c r="G165" i="93"/>
  <c r="H165" i="93"/>
  <c r="I165" i="93"/>
  <c r="J165" i="93"/>
  <c r="K165" i="93"/>
  <c r="L165" i="93"/>
  <c r="F166" i="93"/>
  <c r="K166" i="93"/>
  <c r="F167" i="93"/>
  <c r="K167" i="93"/>
  <c r="F168" i="93"/>
  <c r="K168" i="93"/>
  <c r="F169" i="93"/>
  <c r="H169" i="93"/>
  <c r="I169" i="93"/>
  <c r="J169" i="93"/>
  <c r="E172" i="93"/>
  <c r="F172" i="93"/>
  <c r="H173" i="93"/>
  <c r="G174" i="93"/>
  <c r="G173" i="93" s="1"/>
  <c r="I174" i="93"/>
  <c r="I173" i="93" s="1"/>
  <c r="K174" i="93"/>
  <c r="K173" i="93" s="1"/>
  <c r="F175" i="93"/>
  <c r="K175" i="93"/>
  <c r="C178" i="93"/>
  <c r="E178" i="93"/>
  <c r="F178" i="93"/>
  <c r="G178" i="93"/>
  <c r="H178" i="93"/>
  <c r="I178" i="93"/>
  <c r="J178" i="93"/>
  <c r="O179" i="93" s="1"/>
  <c r="K178" i="93"/>
  <c r="Q178" i="93"/>
  <c r="R178" i="93"/>
  <c r="S178" i="93"/>
  <c r="T178" i="93"/>
  <c r="U178" i="93"/>
  <c r="V178" i="93"/>
  <c r="I179" i="93"/>
  <c r="K179" i="93"/>
  <c r="P179" i="93"/>
  <c r="A182" i="93"/>
  <c r="J183" i="93"/>
  <c r="K183" i="93"/>
  <c r="J184" i="93"/>
  <c r="K184" i="93"/>
  <c r="A186" i="93"/>
  <c r="E187" i="93"/>
  <c r="F187" i="93"/>
  <c r="Q187" i="93"/>
  <c r="J192" i="93" s="1"/>
  <c r="R187" i="93"/>
  <c r="L192" i="93" s="1"/>
  <c r="S187" i="93"/>
  <c r="J193" i="93" s="1"/>
  <c r="T187" i="93"/>
  <c r="U187" i="93"/>
  <c r="V187" i="93"/>
  <c r="G188" i="93"/>
  <c r="H188" i="93"/>
  <c r="I188" i="93"/>
  <c r="J188" i="93"/>
  <c r="K188" i="93"/>
  <c r="L188" i="93"/>
  <c r="G189" i="93"/>
  <c r="H189" i="93"/>
  <c r="I189" i="93"/>
  <c r="K189" i="93"/>
  <c r="G190" i="93"/>
  <c r="H190" i="93"/>
  <c r="I190" i="93"/>
  <c r="K190" i="93"/>
  <c r="G191" i="93"/>
  <c r="H191" i="93"/>
  <c r="I191" i="93"/>
  <c r="J191" i="93"/>
  <c r="K191" i="93"/>
  <c r="L191" i="93"/>
  <c r="F192" i="93"/>
  <c r="K192" i="93"/>
  <c r="F193" i="93"/>
  <c r="K193" i="93"/>
  <c r="L193" i="93"/>
  <c r="F194" i="93"/>
  <c r="K194" i="93"/>
  <c r="F195" i="93"/>
  <c r="H195" i="93"/>
  <c r="I195" i="93"/>
  <c r="J195" i="93"/>
  <c r="E198" i="93"/>
  <c r="F198" i="93"/>
  <c r="H199" i="93"/>
  <c r="G200" i="93"/>
  <c r="G199" i="93" s="1"/>
  <c r="I200" i="93"/>
  <c r="K200" i="93"/>
  <c r="K199" i="93" s="1"/>
  <c r="F201" i="93"/>
  <c r="K201" i="93"/>
  <c r="C204" i="93"/>
  <c r="E204" i="93"/>
  <c r="F204" i="93"/>
  <c r="G204" i="93"/>
  <c r="H204" i="93"/>
  <c r="I204" i="93"/>
  <c r="J204" i="93"/>
  <c r="K204" i="93"/>
  <c r="Q204" i="93"/>
  <c r="R204" i="93"/>
  <c r="S204" i="93"/>
  <c r="T204" i="93"/>
  <c r="U204" i="93"/>
  <c r="V204" i="93"/>
  <c r="I205" i="93"/>
  <c r="K205" i="93"/>
  <c r="O205" i="93"/>
  <c r="P205" i="93"/>
  <c r="A208" i="93"/>
  <c r="J209" i="93"/>
  <c r="K209" i="93"/>
  <c r="J210" i="93"/>
  <c r="K210" i="93"/>
  <c r="A212" i="93"/>
  <c r="E213" i="93"/>
  <c r="F213" i="93"/>
  <c r="Q213" i="93"/>
  <c r="J218" i="93" s="1"/>
  <c r="R213" i="93"/>
  <c r="L218" i="93" s="1"/>
  <c r="S213" i="93"/>
  <c r="J219" i="93" s="1"/>
  <c r="T213" i="93"/>
  <c r="L219" i="93" s="1"/>
  <c r="U213" i="93"/>
  <c r="V213" i="93"/>
  <c r="G214" i="93"/>
  <c r="H214" i="93"/>
  <c r="I214" i="93"/>
  <c r="J214" i="93"/>
  <c r="K214" i="93"/>
  <c r="L214" i="93"/>
  <c r="G215" i="93"/>
  <c r="H215" i="93"/>
  <c r="I215" i="93"/>
  <c r="K215" i="93"/>
  <c r="G216" i="93"/>
  <c r="H216" i="93"/>
  <c r="I216" i="93"/>
  <c r="K216" i="93"/>
  <c r="G217" i="93"/>
  <c r="H217" i="93"/>
  <c r="I217" i="93"/>
  <c r="J217" i="93"/>
  <c r="K217" i="93"/>
  <c r="L217" i="93"/>
  <c r="F218" i="93"/>
  <c r="K218" i="93"/>
  <c r="F219" i="93"/>
  <c r="K219" i="93"/>
  <c r="F220" i="93"/>
  <c r="K220" i="93"/>
  <c r="F221" i="93"/>
  <c r="H221" i="93"/>
  <c r="I221" i="93"/>
  <c r="J221" i="93"/>
  <c r="E224" i="93"/>
  <c r="F224" i="93"/>
  <c r="H225" i="93"/>
  <c r="G226" i="93"/>
  <c r="I226" i="93"/>
  <c r="I225" i="93" s="1"/>
  <c r="K226" i="93"/>
  <c r="F227" i="93"/>
  <c r="K227" i="93"/>
  <c r="C230" i="93"/>
  <c r="E230" i="93"/>
  <c r="F230" i="93"/>
  <c r="G230" i="93"/>
  <c r="H230" i="93"/>
  <c r="I230" i="93"/>
  <c r="J230" i="93"/>
  <c r="O231" i="93" s="1"/>
  <c r="K230" i="93"/>
  <c r="Q230" i="93"/>
  <c r="R230" i="93"/>
  <c r="S230" i="93"/>
  <c r="T230" i="93"/>
  <c r="U230" i="93"/>
  <c r="V230" i="93"/>
  <c r="K231" i="93"/>
  <c r="P231" i="93"/>
  <c r="A234" i="93"/>
  <c r="J235" i="93"/>
  <c r="K235" i="93"/>
  <c r="J236" i="93"/>
  <c r="K236" i="93"/>
  <c r="A238" i="93"/>
  <c r="E239" i="93"/>
  <c r="F239" i="93"/>
  <c r="Q239" i="93"/>
  <c r="J244" i="93" s="1"/>
  <c r="R239" i="93"/>
  <c r="L244" i="93" s="1"/>
  <c r="S239" i="93"/>
  <c r="J245" i="93" s="1"/>
  <c r="T239" i="93"/>
  <c r="L245" i="93" s="1"/>
  <c r="U239" i="93"/>
  <c r="V239" i="93"/>
  <c r="G240" i="93"/>
  <c r="H240" i="93"/>
  <c r="I240" i="93"/>
  <c r="J240" i="93"/>
  <c r="K240" i="93"/>
  <c r="L240" i="93"/>
  <c r="G241" i="93"/>
  <c r="H241" i="93"/>
  <c r="I241" i="93"/>
  <c r="K241" i="93"/>
  <c r="G242" i="93"/>
  <c r="H242" i="93"/>
  <c r="I242" i="93"/>
  <c r="K242" i="93"/>
  <c r="G243" i="93"/>
  <c r="H243" i="93"/>
  <c r="I243" i="93"/>
  <c r="J243" i="93"/>
  <c r="K243" i="93"/>
  <c r="L243" i="93"/>
  <c r="F244" i="93"/>
  <c r="K244" i="93"/>
  <c r="F245" i="93"/>
  <c r="K245" i="93"/>
  <c r="F246" i="93"/>
  <c r="K246" i="93"/>
  <c r="F247" i="93"/>
  <c r="H247" i="93"/>
  <c r="I247" i="93"/>
  <c r="J247" i="93"/>
  <c r="E250" i="93"/>
  <c r="F250" i="93"/>
  <c r="H251" i="93"/>
  <c r="G252" i="93"/>
  <c r="G251" i="93" s="1"/>
  <c r="I252" i="93"/>
  <c r="I251" i="93" s="1"/>
  <c r="K252" i="93"/>
  <c r="F253" i="93"/>
  <c r="K253" i="93"/>
  <c r="C256" i="93"/>
  <c r="E256" i="93"/>
  <c r="F256" i="93"/>
  <c r="G256" i="93"/>
  <c r="H256" i="93"/>
  <c r="I256" i="93"/>
  <c r="J256" i="93"/>
  <c r="O257" i="93" s="1"/>
  <c r="K256" i="93"/>
  <c r="Q256" i="93"/>
  <c r="R256" i="93"/>
  <c r="S256" i="93"/>
  <c r="T256" i="93"/>
  <c r="U256" i="93"/>
  <c r="V256" i="93"/>
  <c r="K257" i="93"/>
  <c r="P257" i="93"/>
  <c r="A260" i="93"/>
  <c r="J261" i="93"/>
  <c r="K261" i="93"/>
  <c r="J262" i="93"/>
  <c r="K262" i="93"/>
  <c r="J264" i="93"/>
  <c r="K264" i="93"/>
  <c r="J265" i="93"/>
  <c r="K265" i="93"/>
  <c r="A267" i="93"/>
  <c r="E268" i="93"/>
  <c r="F268" i="93"/>
  <c r="Q268" i="93"/>
  <c r="J273" i="93" s="1"/>
  <c r="R268" i="93"/>
  <c r="L273" i="93" s="1"/>
  <c r="S268" i="93"/>
  <c r="J274" i="93" s="1"/>
  <c r="T268" i="93"/>
  <c r="L274" i="93" s="1"/>
  <c r="U268" i="93"/>
  <c r="V268" i="93"/>
  <c r="G269" i="93"/>
  <c r="H269" i="93"/>
  <c r="I269" i="93"/>
  <c r="J269" i="93"/>
  <c r="K269" i="93"/>
  <c r="L269" i="93"/>
  <c r="G270" i="93"/>
  <c r="H270" i="93"/>
  <c r="I270" i="93"/>
  <c r="K270" i="93"/>
  <c r="G271" i="93"/>
  <c r="H271" i="93"/>
  <c r="I271" i="93"/>
  <c r="K271" i="93"/>
  <c r="G272" i="93"/>
  <c r="H272" i="93"/>
  <c r="I272" i="93"/>
  <c r="J272" i="93"/>
  <c r="K272" i="93"/>
  <c r="L272" i="93"/>
  <c r="F273" i="93"/>
  <c r="K273" i="93"/>
  <c r="F274" i="93"/>
  <c r="K274" i="93"/>
  <c r="F275" i="93"/>
  <c r="K275" i="93"/>
  <c r="F276" i="93"/>
  <c r="H276" i="93"/>
  <c r="I276" i="93"/>
  <c r="J276" i="93"/>
  <c r="E279" i="93"/>
  <c r="F279" i="93"/>
  <c r="H280" i="93"/>
  <c r="G281" i="93"/>
  <c r="G280" i="93" s="1"/>
  <c r="I281" i="93"/>
  <c r="I280" i="93" s="1"/>
  <c r="K281" i="93"/>
  <c r="K280" i="93" s="1"/>
  <c r="F282" i="93"/>
  <c r="K282" i="93"/>
  <c r="C285" i="93"/>
  <c r="E285" i="93"/>
  <c r="F285" i="93"/>
  <c r="G285" i="93"/>
  <c r="H285" i="93"/>
  <c r="I285" i="93"/>
  <c r="J285" i="93"/>
  <c r="O286" i="93" s="1"/>
  <c r="K285" i="93"/>
  <c r="Q285" i="93"/>
  <c r="R285" i="93"/>
  <c r="S285" i="93"/>
  <c r="T285" i="93"/>
  <c r="U285" i="93"/>
  <c r="V285" i="93"/>
  <c r="I286" i="93"/>
  <c r="K286" i="93"/>
  <c r="P286" i="93"/>
  <c r="A289" i="93"/>
  <c r="J290" i="93"/>
  <c r="K290" i="93"/>
  <c r="J291" i="93"/>
  <c r="K291" i="93"/>
  <c r="A293" i="93"/>
  <c r="E294" i="93"/>
  <c r="F294" i="93"/>
  <c r="Q294" i="93"/>
  <c r="J299" i="93" s="1"/>
  <c r="R294" i="93"/>
  <c r="L299" i="93" s="1"/>
  <c r="S294" i="93"/>
  <c r="J300" i="93" s="1"/>
  <c r="T294" i="93"/>
  <c r="L300" i="93" s="1"/>
  <c r="U294" i="93"/>
  <c r="V294" i="93"/>
  <c r="G295" i="93"/>
  <c r="H295" i="93"/>
  <c r="I295" i="93"/>
  <c r="J295" i="93"/>
  <c r="K295" i="93"/>
  <c r="L295" i="93"/>
  <c r="G296" i="93"/>
  <c r="H296" i="93"/>
  <c r="I296" i="93"/>
  <c r="K296" i="93"/>
  <c r="G297" i="93"/>
  <c r="H297" i="93"/>
  <c r="I297" i="93"/>
  <c r="K297" i="93"/>
  <c r="G298" i="93"/>
  <c r="H298" i="93"/>
  <c r="I298" i="93"/>
  <c r="J298" i="93"/>
  <c r="K298" i="93"/>
  <c r="L298" i="93"/>
  <c r="F299" i="93"/>
  <c r="K299" i="93"/>
  <c r="F300" i="93"/>
  <c r="K300" i="93"/>
  <c r="F301" i="93"/>
  <c r="K301" i="93"/>
  <c r="F302" i="93"/>
  <c r="H302" i="93"/>
  <c r="I302" i="93"/>
  <c r="J302" i="93"/>
  <c r="E305" i="93"/>
  <c r="F305" i="93"/>
  <c r="H306" i="93"/>
  <c r="G307" i="93"/>
  <c r="G306" i="93" s="1"/>
  <c r="I307" i="93"/>
  <c r="I306" i="93" s="1"/>
  <c r="K307" i="93"/>
  <c r="K306" i="93" s="1"/>
  <c r="F308" i="93"/>
  <c r="K308" i="93"/>
  <c r="C311" i="93"/>
  <c r="E311" i="93"/>
  <c r="F311" i="93"/>
  <c r="G311" i="93"/>
  <c r="H311" i="93"/>
  <c r="I311" i="93"/>
  <c r="J311" i="93"/>
  <c r="O312" i="93" s="1"/>
  <c r="K311" i="93"/>
  <c r="Q311" i="93"/>
  <c r="R311" i="93"/>
  <c r="S311" i="93"/>
  <c r="T311" i="93"/>
  <c r="U311" i="93"/>
  <c r="V311" i="93"/>
  <c r="I312" i="93"/>
  <c r="K312" i="93"/>
  <c r="P312" i="93"/>
  <c r="A315" i="93"/>
  <c r="J316" i="93"/>
  <c r="K316" i="93"/>
  <c r="J317" i="93"/>
  <c r="K317" i="93"/>
  <c r="A319" i="93"/>
  <c r="E320" i="93"/>
  <c r="F320" i="93"/>
  <c r="Q320" i="93"/>
  <c r="J325" i="93" s="1"/>
  <c r="R320" i="93"/>
  <c r="L325" i="93" s="1"/>
  <c r="S320" i="93"/>
  <c r="J326" i="93" s="1"/>
  <c r="T320" i="93"/>
  <c r="L326" i="93" s="1"/>
  <c r="U320" i="93"/>
  <c r="V320" i="93"/>
  <c r="G321" i="93"/>
  <c r="H321" i="93"/>
  <c r="I321" i="93"/>
  <c r="J321" i="93"/>
  <c r="K321" i="93"/>
  <c r="L321" i="93"/>
  <c r="G322" i="93"/>
  <c r="H322" i="93"/>
  <c r="I322" i="93"/>
  <c r="K322" i="93"/>
  <c r="G323" i="93"/>
  <c r="H323" i="93"/>
  <c r="I323" i="93"/>
  <c r="K323" i="93"/>
  <c r="G324" i="93"/>
  <c r="H324" i="93"/>
  <c r="I324" i="93"/>
  <c r="J324" i="93"/>
  <c r="K324" i="93"/>
  <c r="L324" i="93"/>
  <c r="F325" i="93"/>
  <c r="K325" i="93"/>
  <c r="F326" i="93"/>
  <c r="K326" i="93"/>
  <c r="F327" i="93"/>
  <c r="K327" i="93"/>
  <c r="F328" i="93"/>
  <c r="H328" i="93"/>
  <c r="I328" i="93"/>
  <c r="J328" i="93"/>
  <c r="E331" i="93"/>
  <c r="F331" i="93"/>
  <c r="H332" i="93"/>
  <c r="G333" i="93"/>
  <c r="G332" i="93" s="1"/>
  <c r="I333" i="93"/>
  <c r="I332" i="93" s="1"/>
  <c r="K333" i="93"/>
  <c r="F334" i="93"/>
  <c r="K334" i="93"/>
  <c r="C337" i="93"/>
  <c r="E337" i="93"/>
  <c r="F337" i="93"/>
  <c r="G337" i="93"/>
  <c r="H337" i="93"/>
  <c r="I337" i="93"/>
  <c r="J337" i="93"/>
  <c r="O338" i="93" s="1"/>
  <c r="K337" i="93"/>
  <c r="Q337" i="93"/>
  <c r="R337" i="93"/>
  <c r="S337" i="93"/>
  <c r="T337" i="93"/>
  <c r="U337" i="93"/>
  <c r="V337" i="93"/>
  <c r="I338" i="93"/>
  <c r="K338" i="93"/>
  <c r="P338" i="93"/>
  <c r="A341" i="93"/>
  <c r="J342" i="93"/>
  <c r="K342" i="93"/>
  <c r="J343" i="93"/>
  <c r="K343" i="93"/>
  <c r="J345" i="93"/>
  <c r="K345" i="93"/>
  <c r="J346" i="93"/>
  <c r="K346" i="93"/>
  <c r="A348" i="93"/>
  <c r="E349" i="93"/>
  <c r="F349" i="93"/>
  <c r="Q349" i="93"/>
  <c r="R349" i="93"/>
  <c r="L354" i="93" s="1"/>
  <c r="S349" i="93"/>
  <c r="J355" i="93" s="1"/>
  <c r="T349" i="93"/>
  <c r="L355" i="93" s="1"/>
  <c r="U349" i="93"/>
  <c r="V349" i="93"/>
  <c r="G350" i="93"/>
  <c r="H350" i="93"/>
  <c r="I350" i="93"/>
  <c r="J350" i="93"/>
  <c r="K350" i="93"/>
  <c r="L350" i="93"/>
  <c r="G351" i="93"/>
  <c r="H351" i="93"/>
  <c r="I351" i="93"/>
  <c r="K351" i="93"/>
  <c r="G352" i="93"/>
  <c r="H352" i="93"/>
  <c r="I352" i="93"/>
  <c r="K352" i="93"/>
  <c r="G353" i="93"/>
  <c r="H353" i="93"/>
  <c r="I353" i="93"/>
  <c r="J353" i="93"/>
  <c r="K353" i="93"/>
  <c r="L353" i="93"/>
  <c r="F354" i="93"/>
  <c r="J354" i="93"/>
  <c r="K354" i="93"/>
  <c r="F355" i="93"/>
  <c r="K355" i="93"/>
  <c r="F356" i="93"/>
  <c r="K356" i="93"/>
  <c r="F357" i="93"/>
  <c r="H357" i="93"/>
  <c r="I357" i="93"/>
  <c r="J357" i="93"/>
  <c r="E360" i="93"/>
  <c r="F360" i="93"/>
  <c r="H361" i="93"/>
  <c r="G362" i="93"/>
  <c r="G361" i="93" s="1"/>
  <c r="I362" i="93"/>
  <c r="I361" i="93" s="1"/>
  <c r="K362" i="93"/>
  <c r="K361" i="93" s="1"/>
  <c r="F363" i="93"/>
  <c r="K363" i="93"/>
  <c r="C366" i="93"/>
  <c r="E366" i="93"/>
  <c r="F366" i="93"/>
  <c r="G366" i="93"/>
  <c r="H366" i="93"/>
  <c r="I366" i="93"/>
  <c r="J366" i="93"/>
  <c r="K366" i="93"/>
  <c r="Q366" i="93"/>
  <c r="R366" i="93"/>
  <c r="S366" i="93"/>
  <c r="T366" i="93"/>
  <c r="U366" i="93"/>
  <c r="V366" i="93"/>
  <c r="I367" i="93"/>
  <c r="K367" i="93"/>
  <c r="O367" i="93"/>
  <c r="P367" i="93"/>
  <c r="A370" i="93"/>
  <c r="J371" i="93"/>
  <c r="K371" i="93"/>
  <c r="J372" i="93"/>
  <c r="K372" i="93"/>
  <c r="J374" i="93"/>
  <c r="K374" i="93"/>
  <c r="J375" i="93"/>
  <c r="K375" i="93"/>
  <c r="A377" i="93"/>
  <c r="E378" i="93"/>
  <c r="F378" i="93"/>
  <c r="Q378" i="93"/>
  <c r="J383" i="93" s="1"/>
  <c r="R378" i="93"/>
  <c r="L383" i="93" s="1"/>
  <c r="S378" i="93"/>
  <c r="J384" i="93" s="1"/>
  <c r="T378" i="93"/>
  <c r="L384" i="93" s="1"/>
  <c r="U378" i="93"/>
  <c r="V378" i="93"/>
  <c r="G379" i="93"/>
  <c r="H379" i="93"/>
  <c r="I379" i="93"/>
  <c r="J379" i="93"/>
  <c r="K379" i="93"/>
  <c r="L379" i="93"/>
  <c r="G380" i="93"/>
  <c r="H380" i="93"/>
  <c r="I380" i="93"/>
  <c r="K380" i="93"/>
  <c r="G381" i="93"/>
  <c r="H381" i="93"/>
  <c r="I381" i="93"/>
  <c r="K381" i="93"/>
  <c r="G382" i="93"/>
  <c r="H382" i="93"/>
  <c r="I382" i="93"/>
  <c r="J382" i="93"/>
  <c r="K382" i="93"/>
  <c r="L382" i="93"/>
  <c r="F383" i="93"/>
  <c r="K383" i="93"/>
  <c r="F384" i="93"/>
  <c r="K384" i="93"/>
  <c r="F385" i="93"/>
  <c r="K385" i="93"/>
  <c r="F386" i="93"/>
  <c r="H386" i="93"/>
  <c r="I386" i="93"/>
  <c r="J386" i="93"/>
  <c r="E389" i="93"/>
  <c r="F389" i="93"/>
  <c r="H390" i="93"/>
  <c r="G391" i="93"/>
  <c r="G390" i="93" s="1"/>
  <c r="I391" i="93"/>
  <c r="I390" i="93" s="1"/>
  <c r="K391" i="93"/>
  <c r="K390" i="93" s="1"/>
  <c r="F392" i="93"/>
  <c r="K392" i="93"/>
  <c r="C395" i="93"/>
  <c r="E395" i="93"/>
  <c r="F395" i="93"/>
  <c r="G395" i="93"/>
  <c r="H395" i="93"/>
  <c r="I395" i="93"/>
  <c r="J395" i="93"/>
  <c r="O396" i="93" s="1"/>
  <c r="K395" i="93"/>
  <c r="Q395" i="93"/>
  <c r="R395" i="93"/>
  <c r="S395" i="93"/>
  <c r="T395" i="93"/>
  <c r="U395" i="93"/>
  <c r="V395" i="93"/>
  <c r="I396" i="93"/>
  <c r="K396" i="93"/>
  <c r="P396" i="93"/>
  <c r="A399" i="93"/>
  <c r="J400" i="93"/>
  <c r="K400" i="93"/>
  <c r="J401" i="93"/>
  <c r="K401" i="93"/>
  <c r="J403" i="93"/>
  <c r="K403" i="93"/>
  <c r="J404" i="93"/>
  <c r="K404" i="93"/>
  <c r="A406" i="93"/>
  <c r="E407" i="93"/>
  <c r="F407" i="93"/>
  <c r="Q407" i="93"/>
  <c r="J412" i="93" s="1"/>
  <c r="R407" i="93"/>
  <c r="L412" i="93" s="1"/>
  <c r="S407" i="93"/>
  <c r="T407" i="93"/>
  <c r="L413" i="93" s="1"/>
  <c r="U407" i="93"/>
  <c r="V407" i="93"/>
  <c r="G408" i="93"/>
  <c r="H408" i="93"/>
  <c r="I408" i="93"/>
  <c r="J408" i="93"/>
  <c r="K408" i="93"/>
  <c r="L408" i="93"/>
  <c r="G409" i="93"/>
  <c r="H409" i="93"/>
  <c r="I409" i="93"/>
  <c r="K409" i="93"/>
  <c r="G410" i="93"/>
  <c r="H410" i="93"/>
  <c r="I410" i="93"/>
  <c r="K410" i="93"/>
  <c r="G411" i="93"/>
  <c r="H411" i="93"/>
  <c r="I411" i="93"/>
  <c r="J411" i="93"/>
  <c r="K411" i="93"/>
  <c r="L411" i="93"/>
  <c r="F412" i="93"/>
  <c r="K412" i="93"/>
  <c r="F413" i="93"/>
  <c r="J413" i="93"/>
  <c r="K413" i="93"/>
  <c r="F414" i="93"/>
  <c r="K414" i="93"/>
  <c r="F415" i="93"/>
  <c r="H415" i="93"/>
  <c r="I415" i="93"/>
  <c r="J415" i="93"/>
  <c r="E418" i="93"/>
  <c r="F418" i="93"/>
  <c r="H419" i="93"/>
  <c r="G420" i="93"/>
  <c r="G419" i="93" s="1"/>
  <c r="I420" i="93"/>
  <c r="K420" i="93"/>
  <c r="K419" i="93" s="1"/>
  <c r="F421" i="93"/>
  <c r="K421" i="93"/>
  <c r="C424" i="93"/>
  <c r="E424" i="93"/>
  <c r="F424" i="93"/>
  <c r="G424" i="93"/>
  <c r="H424" i="93"/>
  <c r="I424" i="93"/>
  <c r="J424" i="93"/>
  <c r="O425" i="93" s="1"/>
  <c r="K424" i="93"/>
  <c r="Q424" i="93"/>
  <c r="R424" i="93"/>
  <c r="S424" i="93"/>
  <c r="T424" i="93"/>
  <c r="U424" i="93"/>
  <c r="V424" i="93"/>
  <c r="I425" i="93"/>
  <c r="K425" i="93"/>
  <c r="P425" i="93"/>
  <c r="A428" i="93"/>
  <c r="J429" i="93"/>
  <c r="K429" i="93"/>
  <c r="J430" i="93"/>
  <c r="K430" i="93"/>
  <c r="J432" i="93"/>
  <c r="K432" i="93"/>
  <c r="J433" i="93"/>
  <c r="K433" i="93"/>
  <c r="A435" i="93"/>
  <c r="E436" i="93"/>
  <c r="F436" i="93"/>
  <c r="Q436" i="93"/>
  <c r="J441" i="93" s="1"/>
  <c r="R436" i="93"/>
  <c r="L441" i="93" s="1"/>
  <c r="S436" i="93"/>
  <c r="J442" i="93" s="1"/>
  <c r="T436" i="93"/>
  <c r="L442" i="93" s="1"/>
  <c r="U436" i="93"/>
  <c r="V436" i="93"/>
  <c r="G437" i="93"/>
  <c r="H437" i="93"/>
  <c r="I437" i="93"/>
  <c r="J437" i="93"/>
  <c r="K437" i="93"/>
  <c r="L437" i="93"/>
  <c r="G438" i="93"/>
  <c r="H438" i="93"/>
  <c r="I438" i="93"/>
  <c r="K438" i="93"/>
  <c r="G439" i="93"/>
  <c r="H439" i="93"/>
  <c r="I439" i="93"/>
  <c r="K439" i="93"/>
  <c r="G440" i="93"/>
  <c r="H440" i="93"/>
  <c r="I440" i="93"/>
  <c r="J440" i="93"/>
  <c r="K440" i="93"/>
  <c r="L440" i="93"/>
  <c r="F441" i="93"/>
  <c r="K441" i="93"/>
  <c r="F442" i="93"/>
  <c r="K442" i="93"/>
  <c r="F443" i="93"/>
  <c r="K443" i="93"/>
  <c r="F444" i="93"/>
  <c r="H444" i="93"/>
  <c r="I444" i="93"/>
  <c r="J444" i="93"/>
  <c r="E447" i="93"/>
  <c r="F447" i="93"/>
  <c r="H448" i="93"/>
  <c r="G449" i="93"/>
  <c r="G448" i="93" s="1"/>
  <c r="I449" i="93"/>
  <c r="K449" i="93"/>
  <c r="K448" i="93" s="1"/>
  <c r="F450" i="93"/>
  <c r="K450" i="93"/>
  <c r="C453" i="93"/>
  <c r="E453" i="93"/>
  <c r="F453" i="93"/>
  <c r="G453" i="93"/>
  <c r="H453" i="93"/>
  <c r="I453" i="93"/>
  <c r="J453" i="93"/>
  <c r="O454" i="93" s="1"/>
  <c r="K453" i="93"/>
  <c r="Q453" i="93"/>
  <c r="R453" i="93"/>
  <c r="S453" i="93"/>
  <c r="T453" i="93"/>
  <c r="U453" i="93"/>
  <c r="V453" i="93"/>
  <c r="K454" i="93"/>
  <c r="P454" i="93"/>
  <c r="A457" i="93"/>
  <c r="J458" i="93"/>
  <c r="K458" i="93"/>
  <c r="J459" i="93"/>
  <c r="K459" i="93"/>
  <c r="J461" i="93"/>
  <c r="K461" i="93"/>
  <c r="J462" i="93"/>
  <c r="K462" i="93"/>
  <c r="A464" i="93"/>
  <c r="E465" i="93"/>
  <c r="F465" i="93"/>
  <c r="Q465" i="93"/>
  <c r="J470" i="93" s="1"/>
  <c r="R465" i="93"/>
  <c r="L470" i="93" s="1"/>
  <c r="S465" i="93"/>
  <c r="J471" i="93" s="1"/>
  <c r="T465" i="93"/>
  <c r="L471" i="93" s="1"/>
  <c r="U465" i="93"/>
  <c r="V465" i="93"/>
  <c r="G466" i="93"/>
  <c r="H466" i="93"/>
  <c r="I466" i="93"/>
  <c r="J466" i="93"/>
  <c r="K466" i="93"/>
  <c r="L466" i="93"/>
  <c r="G467" i="93"/>
  <c r="H467" i="93"/>
  <c r="I467" i="93"/>
  <c r="K467" i="93"/>
  <c r="G468" i="93"/>
  <c r="H468" i="93"/>
  <c r="I468" i="93"/>
  <c r="K468" i="93"/>
  <c r="G469" i="93"/>
  <c r="H469" i="93"/>
  <c r="I469" i="93"/>
  <c r="J469" i="93"/>
  <c r="K469" i="93"/>
  <c r="L469" i="93"/>
  <c r="F470" i="93"/>
  <c r="K470" i="93"/>
  <c r="F471" i="93"/>
  <c r="K471" i="93"/>
  <c r="F472" i="93"/>
  <c r="K472" i="93"/>
  <c r="F473" i="93"/>
  <c r="H473" i="93"/>
  <c r="I473" i="93"/>
  <c r="J473" i="93"/>
  <c r="E476" i="93"/>
  <c r="F476" i="93"/>
  <c r="H477" i="93"/>
  <c r="G478" i="93"/>
  <c r="I478" i="93"/>
  <c r="I477" i="93" s="1"/>
  <c r="K478" i="93"/>
  <c r="K477" i="93" s="1"/>
  <c r="F479" i="93"/>
  <c r="K479" i="93"/>
  <c r="C482" i="93"/>
  <c r="E482" i="93"/>
  <c r="F482" i="93"/>
  <c r="L482" i="93" s="1"/>
  <c r="K483" i="93" s="1"/>
  <c r="G482" i="93"/>
  <c r="H482" i="93"/>
  <c r="I482" i="93"/>
  <c r="K482" i="93"/>
  <c r="Q482" i="93"/>
  <c r="R482" i="93"/>
  <c r="S482" i="93"/>
  <c r="T482" i="93"/>
  <c r="U482" i="93"/>
  <c r="V482" i="93"/>
  <c r="E485" i="93"/>
  <c r="F485" i="93"/>
  <c r="Q485" i="93"/>
  <c r="J490" i="93" s="1"/>
  <c r="R485" i="93"/>
  <c r="S485" i="93"/>
  <c r="J491" i="93" s="1"/>
  <c r="T485" i="93"/>
  <c r="L491" i="93" s="1"/>
  <c r="U485" i="93"/>
  <c r="V485" i="93"/>
  <c r="G486" i="93"/>
  <c r="H486" i="93"/>
  <c r="I486" i="93"/>
  <c r="J486" i="93"/>
  <c r="K486" i="93"/>
  <c r="L486" i="93"/>
  <c r="G487" i="93"/>
  <c r="H487" i="93"/>
  <c r="I487" i="93"/>
  <c r="K487" i="93"/>
  <c r="G488" i="93"/>
  <c r="H488" i="93"/>
  <c r="I488" i="93"/>
  <c r="K488" i="93"/>
  <c r="G489" i="93"/>
  <c r="H489" i="93"/>
  <c r="I489" i="93"/>
  <c r="J489" i="93"/>
  <c r="K489" i="93"/>
  <c r="L489" i="93"/>
  <c r="F490" i="93"/>
  <c r="K490" i="93"/>
  <c r="L490" i="93"/>
  <c r="F491" i="93"/>
  <c r="K491" i="93"/>
  <c r="F492" i="93"/>
  <c r="K492" i="93"/>
  <c r="F493" i="93"/>
  <c r="H493" i="93"/>
  <c r="I493" i="93"/>
  <c r="J493" i="93"/>
  <c r="E496" i="93"/>
  <c r="F496" i="93"/>
  <c r="H497" i="93"/>
  <c r="G498" i="93"/>
  <c r="G497" i="93" s="1"/>
  <c r="I498" i="93"/>
  <c r="I497" i="93" s="1"/>
  <c r="K498" i="93"/>
  <c r="K497" i="93" s="1"/>
  <c r="F499" i="93"/>
  <c r="K499" i="93"/>
  <c r="C502" i="93"/>
  <c r="E502" i="93"/>
  <c r="F502" i="93"/>
  <c r="G502" i="93"/>
  <c r="H502" i="93"/>
  <c r="I502" i="93"/>
  <c r="K502" i="93"/>
  <c r="L502" i="93"/>
  <c r="Q502" i="93"/>
  <c r="R502" i="93"/>
  <c r="S502" i="93"/>
  <c r="T502" i="93"/>
  <c r="U502" i="93"/>
  <c r="V502" i="93"/>
  <c r="K503" i="93"/>
  <c r="C505" i="93"/>
  <c r="E505" i="93"/>
  <c r="F505" i="93"/>
  <c r="G505" i="93"/>
  <c r="H505" i="93"/>
  <c r="I505" i="93"/>
  <c r="K505" i="93"/>
  <c r="J505" i="93" s="1"/>
  <c r="L505" i="93"/>
  <c r="Q505" i="93"/>
  <c r="R505" i="93"/>
  <c r="S505" i="93"/>
  <c r="T505" i="93"/>
  <c r="U505" i="93"/>
  <c r="V505" i="93"/>
  <c r="K506" i="93"/>
  <c r="P506" i="93"/>
  <c r="E508" i="93"/>
  <c r="F508" i="93"/>
  <c r="G508" i="93"/>
  <c r="H508" i="93"/>
  <c r="I508" i="93"/>
  <c r="J508" i="93"/>
  <c r="K508" i="93"/>
  <c r="L508" i="93"/>
  <c r="K509" i="93" s="1"/>
  <c r="Q508" i="93"/>
  <c r="R508" i="93"/>
  <c r="S508" i="93"/>
  <c r="T508" i="93"/>
  <c r="U508" i="93"/>
  <c r="V508" i="93"/>
  <c r="E511" i="93"/>
  <c r="F511" i="93"/>
  <c r="Q511" i="93"/>
  <c r="R511" i="93"/>
  <c r="S511" i="93"/>
  <c r="T511" i="93"/>
  <c r="U511" i="93"/>
  <c r="V511" i="93"/>
  <c r="G512" i="93"/>
  <c r="H512" i="93"/>
  <c r="I512" i="93"/>
  <c r="J512" i="93"/>
  <c r="K512" i="93"/>
  <c r="L512" i="93"/>
  <c r="G513" i="93"/>
  <c r="H513" i="93"/>
  <c r="I513" i="93"/>
  <c r="K513" i="93"/>
  <c r="G514" i="93"/>
  <c r="H514" i="93"/>
  <c r="I514" i="93"/>
  <c r="K514" i="93"/>
  <c r="G515" i="93"/>
  <c r="H515" i="93"/>
  <c r="I515" i="93"/>
  <c r="J515" i="93"/>
  <c r="K515" i="93"/>
  <c r="L515" i="93"/>
  <c r="C516" i="93"/>
  <c r="E516" i="93"/>
  <c r="F516" i="93"/>
  <c r="G516" i="93"/>
  <c r="I516" i="93"/>
  <c r="J516" i="93"/>
  <c r="K516" i="93"/>
  <c r="L516" i="93"/>
  <c r="Q516" i="93"/>
  <c r="R516" i="93"/>
  <c r="S516" i="93"/>
  <c r="T516" i="93"/>
  <c r="U516" i="93"/>
  <c r="V516" i="93"/>
  <c r="F517" i="93"/>
  <c r="K517" i="93"/>
  <c r="F518" i="93"/>
  <c r="K518" i="93"/>
  <c r="F519" i="93"/>
  <c r="K519" i="93"/>
  <c r="F520" i="93"/>
  <c r="H520" i="93"/>
  <c r="I520" i="93"/>
  <c r="J520" i="93"/>
  <c r="E523" i="93"/>
  <c r="F523" i="93"/>
  <c r="H524" i="93"/>
  <c r="G525" i="93"/>
  <c r="G524" i="93" s="1"/>
  <c r="I525" i="93"/>
  <c r="I524" i="93" s="1"/>
  <c r="K525" i="93"/>
  <c r="K524" i="93" s="1"/>
  <c r="F526" i="93"/>
  <c r="K526" i="93"/>
  <c r="E529" i="93"/>
  <c r="F529" i="93"/>
  <c r="Q529" i="93"/>
  <c r="R529" i="93"/>
  <c r="S529" i="93"/>
  <c r="T529" i="93"/>
  <c r="U529" i="93"/>
  <c r="V529" i="93"/>
  <c r="G530" i="93"/>
  <c r="H530" i="93"/>
  <c r="I530" i="93"/>
  <c r="J530" i="93"/>
  <c r="K530" i="93"/>
  <c r="L530" i="93"/>
  <c r="G531" i="93"/>
  <c r="H531" i="93"/>
  <c r="I531" i="93"/>
  <c r="K531" i="93"/>
  <c r="G532" i="93"/>
  <c r="H532" i="93"/>
  <c r="I532" i="93"/>
  <c r="K532" i="93"/>
  <c r="G533" i="93"/>
  <c r="H533" i="93"/>
  <c r="I533" i="93"/>
  <c r="J533" i="93"/>
  <c r="K533" i="93"/>
  <c r="L533" i="93"/>
  <c r="C534" i="93"/>
  <c r="E534" i="93"/>
  <c r="F534" i="93"/>
  <c r="G534" i="93"/>
  <c r="I534" i="93"/>
  <c r="J534" i="93"/>
  <c r="K534" i="93"/>
  <c r="L534" i="93"/>
  <c r="Q534" i="93"/>
  <c r="R534" i="93"/>
  <c r="S534" i="93"/>
  <c r="T534" i="93"/>
  <c r="U534" i="93"/>
  <c r="V534" i="93"/>
  <c r="F535" i="93"/>
  <c r="K535" i="93"/>
  <c r="F536" i="93"/>
  <c r="K536" i="93"/>
  <c r="F537" i="93"/>
  <c r="K537" i="93"/>
  <c r="F538" i="93"/>
  <c r="H538" i="93"/>
  <c r="I538" i="93"/>
  <c r="J538" i="93"/>
  <c r="E541" i="93"/>
  <c r="F541" i="93"/>
  <c r="H542" i="93"/>
  <c r="G543" i="93"/>
  <c r="G542" i="93" s="1"/>
  <c r="I543" i="93"/>
  <c r="I542" i="93" s="1"/>
  <c r="K543" i="93"/>
  <c r="F544" i="93"/>
  <c r="K544" i="93"/>
  <c r="E547" i="93"/>
  <c r="F547" i="93"/>
  <c r="Q547" i="93"/>
  <c r="R547" i="93"/>
  <c r="S547" i="93"/>
  <c r="T547" i="93"/>
  <c r="U547" i="93"/>
  <c r="V547" i="93"/>
  <c r="G548" i="93"/>
  <c r="H548" i="93"/>
  <c r="I548" i="93"/>
  <c r="J548" i="93"/>
  <c r="K548" i="93"/>
  <c r="L548" i="93"/>
  <c r="G549" i="93"/>
  <c r="H549" i="93"/>
  <c r="I549" i="93"/>
  <c r="K549" i="93"/>
  <c r="G550" i="93"/>
  <c r="H550" i="93"/>
  <c r="I550" i="93"/>
  <c r="K550" i="93"/>
  <c r="G551" i="93"/>
  <c r="H551" i="93"/>
  <c r="I551" i="93"/>
  <c r="J551" i="93"/>
  <c r="K551" i="93"/>
  <c r="L551" i="93"/>
  <c r="C552" i="93"/>
  <c r="E552" i="93"/>
  <c r="F552" i="93"/>
  <c r="G552" i="93"/>
  <c r="I552" i="93"/>
  <c r="J552" i="93"/>
  <c r="K552" i="93"/>
  <c r="L552" i="93"/>
  <c r="Q552" i="93"/>
  <c r="R552" i="93"/>
  <c r="S552" i="93"/>
  <c r="T552" i="93"/>
  <c r="U552" i="93"/>
  <c r="V552" i="93"/>
  <c r="F553" i="93"/>
  <c r="K553" i="93"/>
  <c r="F554" i="93"/>
  <c r="K554" i="93"/>
  <c r="F555" i="93"/>
  <c r="K555" i="93"/>
  <c r="F556" i="93"/>
  <c r="H556" i="93"/>
  <c r="I556" i="93"/>
  <c r="J556" i="93"/>
  <c r="E559" i="93"/>
  <c r="F559" i="93"/>
  <c r="H560" i="93"/>
  <c r="G561" i="93"/>
  <c r="I561" i="93"/>
  <c r="I560" i="93" s="1"/>
  <c r="K561" i="93"/>
  <c r="K560" i="93" s="1"/>
  <c r="F562" i="93"/>
  <c r="K562" i="93"/>
  <c r="E565" i="93"/>
  <c r="F565" i="93"/>
  <c r="Q565" i="93"/>
  <c r="R565" i="93"/>
  <c r="S565" i="93"/>
  <c r="T565" i="93"/>
  <c r="U565" i="93"/>
  <c r="V565" i="93"/>
  <c r="G566" i="93"/>
  <c r="H566" i="93"/>
  <c r="I566" i="93"/>
  <c r="J566" i="93"/>
  <c r="K566" i="93"/>
  <c r="L566" i="93"/>
  <c r="G567" i="93"/>
  <c r="H567" i="93"/>
  <c r="I567" i="93"/>
  <c r="K567" i="93"/>
  <c r="G568" i="93"/>
  <c r="H568" i="93"/>
  <c r="I568" i="93"/>
  <c r="K568" i="93"/>
  <c r="G569" i="93"/>
  <c r="H569" i="93"/>
  <c r="I569" i="93"/>
  <c r="J569" i="93"/>
  <c r="K569" i="93"/>
  <c r="L569" i="93"/>
  <c r="C570" i="93"/>
  <c r="E570" i="93"/>
  <c r="F570" i="93"/>
  <c r="G570" i="93"/>
  <c r="I570" i="93"/>
  <c r="J570" i="93"/>
  <c r="K570" i="93"/>
  <c r="L570" i="93"/>
  <c r="Q570" i="93"/>
  <c r="J571" i="93" s="1"/>
  <c r="R570" i="93"/>
  <c r="S570" i="93"/>
  <c r="T570" i="93"/>
  <c r="U570" i="93"/>
  <c r="V570" i="93"/>
  <c r="F571" i="93"/>
  <c r="K571" i="93"/>
  <c r="F572" i="93"/>
  <c r="K572" i="93"/>
  <c r="F573" i="93"/>
  <c r="K573" i="93"/>
  <c r="F574" i="93"/>
  <c r="H574" i="93"/>
  <c r="I574" i="93"/>
  <c r="J574" i="93"/>
  <c r="E577" i="93"/>
  <c r="F577" i="93"/>
  <c r="H578" i="93"/>
  <c r="G579" i="93"/>
  <c r="G578" i="93" s="1"/>
  <c r="I579" i="93"/>
  <c r="I578" i="93" s="1"/>
  <c r="K579" i="93"/>
  <c r="K578" i="93" s="1"/>
  <c r="F580" i="93"/>
  <c r="K580" i="93"/>
  <c r="E583" i="93"/>
  <c r="F583" i="93"/>
  <c r="Q583" i="93"/>
  <c r="J588" i="93" s="1"/>
  <c r="R583" i="93"/>
  <c r="L588" i="93" s="1"/>
  <c r="S583" i="93"/>
  <c r="J589" i="93" s="1"/>
  <c r="T583" i="93"/>
  <c r="L589" i="93" s="1"/>
  <c r="U583" i="93"/>
  <c r="V583" i="93"/>
  <c r="G584" i="93"/>
  <c r="H584" i="93"/>
  <c r="I584" i="93"/>
  <c r="J584" i="93"/>
  <c r="K584" i="93"/>
  <c r="L584" i="93"/>
  <c r="G585" i="93"/>
  <c r="H585" i="93"/>
  <c r="I585" i="93"/>
  <c r="K585" i="93"/>
  <c r="G586" i="93"/>
  <c r="H586" i="93"/>
  <c r="I586" i="93"/>
  <c r="K586" i="93"/>
  <c r="G587" i="93"/>
  <c r="H587" i="93"/>
  <c r="I587" i="93"/>
  <c r="J587" i="93"/>
  <c r="K587" i="93"/>
  <c r="L587" i="93"/>
  <c r="F588" i="93"/>
  <c r="K588" i="93"/>
  <c r="F589" i="93"/>
  <c r="K589" i="93"/>
  <c r="F590" i="93"/>
  <c r="K590" i="93"/>
  <c r="F591" i="93"/>
  <c r="H591" i="93"/>
  <c r="I591" i="93"/>
  <c r="J591" i="93"/>
  <c r="E594" i="93"/>
  <c r="F594" i="93"/>
  <c r="H595" i="93"/>
  <c r="G596" i="93"/>
  <c r="G595" i="93" s="1"/>
  <c r="I596" i="93"/>
  <c r="I595" i="93" s="1"/>
  <c r="K596" i="93"/>
  <c r="K595" i="93" s="1"/>
  <c r="F597" i="93"/>
  <c r="K597" i="93"/>
  <c r="E600" i="93"/>
  <c r="F600" i="93"/>
  <c r="G600" i="93"/>
  <c r="H600" i="93"/>
  <c r="I600" i="93"/>
  <c r="J600" i="93"/>
  <c r="O601" i="93" s="1"/>
  <c r="K600" i="93"/>
  <c r="L600" i="93"/>
  <c r="P601" i="93" s="1"/>
  <c r="Q600" i="93"/>
  <c r="R600" i="93"/>
  <c r="S600" i="93"/>
  <c r="T600" i="93"/>
  <c r="U600" i="93"/>
  <c r="V600" i="93"/>
  <c r="E603" i="93"/>
  <c r="F603" i="93"/>
  <c r="G603" i="93"/>
  <c r="H603" i="93"/>
  <c r="I603" i="93"/>
  <c r="J603" i="93"/>
  <c r="I604" i="93" s="1"/>
  <c r="K603" i="93"/>
  <c r="L603" i="93"/>
  <c r="K604" i="93" s="1"/>
  <c r="Q603" i="93"/>
  <c r="R603" i="93"/>
  <c r="S603" i="93"/>
  <c r="T603" i="93"/>
  <c r="U603" i="93"/>
  <c r="V603" i="93"/>
  <c r="E606" i="93"/>
  <c r="F606" i="93"/>
  <c r="Q606" i="93"/>
  <c r="R606" i="93"/>
  <c r="S606" i="93"/>
  <c r="T606" i="93"/>
  <c r="U606" i="93"/>
  <c r="V606" i="93"/>
  <c r="G607" i="93"/>
  <c r="H607" i="93"/>
  <c r="I607" i="93"/>
  <c r="J607" i="93"/>
  <c r="K607" i="93"/>
  <c r="L607" i="93"/>
  <c r="G608" i="93"/>
  <c r="H608" i="93"/>
  <c r="I608" i="93"/>
  <c r="K608" i="93"/>
  <c r="G609" i="93"/>
  <c r="H609" i="93"/>
  <c r="I609" i="93"/>
  <c r="K609" i="93"/>
  <c r="G610" i="93"/>
  <c r="H610" i="93"/>
  <c r="I610" i="93"/>
  <c r="J610" i="93"/>
  <c r="K610" i="93"/>
  <c r="L610" i="93"/>
  <c r="C611" i="93"/>
  <c r="E611" i="93"/>
  <c r="F611" i="93"/>
  <c r="G611" i="93"/>
  <c r="I611" i="93"/>
  <c r="J611" i="93"/>
  <c r="K611" i="93"/>
  <c r="L611" i="93"/>
  <c r="Q611" i="93"/>
  <c r="R611" i="93"/>
  <c r="S611" i="93"/>
  <c r="T611" i="93"/>
  <c r="U611" i="93"/>
  <c r="V611" i="93"/>
  <c r="F612" i="93"/>
  <c r="K612" i="93"/>
  <c r="F613" i="93"/>
  <c r="K613" i="93"/>
  <c r="F614" i="93"/>
  <c r="K614" i="93"/>
  <c r="F615" i="93"/>
  <c r="H615" i="93"/>
  <c r="I615" i="93"/>
  <c r="J615" i="93"/>
  <c r="E618" i="93"/>
  <c r="F618" i="93"/>
  <c r="H619" i="93"/>
  <c r="G620" i="93"/>
  <c r="G619" i="93" s="1"/>
  <c r="I620" i="93"/>
  <c r="I619" i="93" s="1"/>
  <c r="K620" i="93"/>
  <c r="K619" i="93" s="1"/>
  <c r="F621" i="93"/>
  <c r="K621" i="93"/>
  <c r="E624" i="93"/>
  <c r="F624" i="93"/>
  <c r="Q624" i="93"/>
  <c r="R624" i="93"/>
  <c r="S624" i="93"/>
  <c r="T624" i="93"/>
  <c r="U624" i="93"/>
  <c r="V624" i="93"/>
  <c r="G625" i="93"/>
  <c r="H625" i="93"/>
  <c r="I625" i="93"/>
  <c r="J625" i="93"/>
  <c r="K625" i="93"/>
  <c r="L625" i="93"/>
  <c r="G626" i="93"/>
  <c r="H626" i="93"/>
  <c r="I626" i="93"/>
  <c r="K626" i="93"/>
  <c r="G627" i="93"/>
  <c r="H627" i="93"/>
  <c r="I627" i="93"/>
  <c r="K627" i="93"/>
  <c r="G628" i="93"/>
  <c r="H628" i="93"/>
  <c r="I628" i="93"/>
  <c r="J628" i="93"/>
  <c r="K628" i="93"/>
  <c r="L628" i="93"/>
  <c r="C629" i="93"/>
  <c r="E629" i="93"/>
  <c r="F629" i="93"/>
  <c r="G629" i="93"/>
  <c r="I629" i="93"/>
  <c r="J629" i="93"/>
  <c r="K629" i="93"/>
  <c r="L629" i="93"/>
  <c r="Q629" i="93"/>
  <c r="R629" i="93"/>
  <c r="S629" i="93"/>
  <c r="T629" i="93"/>
  <c r="L631" i="93" s="1"/>
  <c r="U629" i="93"/>
  <c r="V629" i="93"/>
  <c r="F630" i="93"/>
  <c r="K630" i="93"/>
  <c r="F631" i="93"/>
  <c r="K631" i="93"/>
  <c r="F632" i="93"/>
  <c r="K632" i="93"/>
  <c r="F633" i="93"/>
  <c r="H633" i="93"/>
  <c r="I633" i="93"/>
  <c r="J633" i="93"/>
  <c r="E636" i="93"/>
  <c r="F636" i="93"/>
  <c r="H637" i="93"/>
  <c r="G638" i="93"/>
  <c r="G637" i="93" s="1"/>
  <c r="I638" i="93"/>
  <c r="I637" i="93" s="1"/>
  <c r="K638" i="93"/>
  <c r="K637" i="93" s="1"/>
  <c r="F639" i="93"/>
  <c r="K639" i="93"/>
  <c r="E642" i="93"/>
  <c r="F642" i="93"/>
  <c r="Q642" i="93"/>
  <c r="R642" i="93"/>
  <c r="S642" i="93"/>
  <c r="T642" i="93"/>
  <c r="U642" i="93"/>
  <c r="V642" i="93"/>
  <c r="G643" i="93"/>
  <c r="H643" i="93"/>
  <c r="I643" i="93"/>
  <c r="J643" i="93"/>
  <c r="K643" i="93"/>
  <c r="L643" i="93"/>
  <c r="G644" i="93"/>
  <c r="H644" i="93"/>
  <c r="I644" i="93"/>
  <c r="K644" i="93"/>
  <c r="G645" i="93"/>
  <c r="H645" i="93"/>
  <c r="I645" i="93"/>
  <c r="K645" i="93"/>
  <c r="G646" i="93"/>
  <c r="H646" i="93"/>
  <c r="I646" i="93"/>
  <c r="J646" i="93"/>
  <c r="K646" i="93"/>
  <c r="L646" i="93"/>
  <c r="C647" i="93"/>
  <c r="E647" i="93"/>
  <c r="F647" i="93"/>
  <c r="G647" i="93"/>
  <c r="I647" i="93"/>
  <c r="J647" i="93"/>
  <c r="K647" i="93"/>
  <c r="L647" i="93"/>
  <c r="Q647" i="93"/>
  <c r="R647" i="93"/>
  <c r="S647" i="93"/>
  <c r="T647" i="93"/>
  <c r="U647" i="93"/>
  <c r="V647" i="93"/>
  <c r="F648" i="93"/>
  <c r="K648" i="93"/>
  <c r="F649" i="93"/>
  <c r="K649" i="93"/>
  <c r="F650" i="93"/>
  <c r="K650" i="93"/>
  <c r="F651" i="93"/>
  <c r="H651" i="93"/>
  <c r="I651" i="93"/>
  <c r="J651" i="93"/>
  <c r="E654" i="93"/>
  <c r="F654" i="93"/>
  <c r="H655" i="93"/>
  <c r="G656" i="93"/>
  <c r="G655" i="93" s="1"/>
  <c r="I656" i="93"/>
  <c r="I655" i="93" s="1"/>
  <c r="K656" i="93"/>
  <c r="K655" i="93" s="1"/>
  <c r="F657" i="93"/>
  <c r="K657" i="93"/>
  <c r="E660" i="93"/>
  <c r="F660" i="93"/>
  <c r="Q660" i="93"/>
  <c r="R660" i="93"/>
  <c r="S660" i="93"/>
  <c r="T660" i="93"/>
  <c r="U660" i="93"/>
  <c r="V660" i="93"/>
  <c r="G661" i="93"/>
  <c r="H661" i="93"/>
  <c r="I661" i="93"/>
  <c r="J661" i="93"/>
  <c r="K661" i="93"/>
  <c r="L661" i="93"/>
  <c r="G662" i="93"/>
  <c r="H662" i="93"/>
  <c r="I662" i="93"/>
  <c r="K662" i="93"/>
  <c r="G663" i="93"/>
  <c r="H663" i="93"/>
  <c r="I663" i="93"/>
  <c r="K663" i="93"/>
  <c r="G664" i="93"/>
  <c r="H664" i="93"/>
  <c r="I664" i="93"/>
  <c r="J664" i="93"/>
  <c r="K664" i="93"/>
  <c r="L664" i="93"/>
  <c r="C665" i="93"/>
  <c r="E665" i="93"/>
  <c r="F665" i="93"/>
  <c r="G665" i="93"/>
  <c r="I665" i="93"/>
  <c r="J665" i="93"/>
  <c r="K665" i="93"/>
  <c r="L665" i="93"/>
  <c r="Q665" i="93"/>
  <c r="R665" i="93"/>
  <c r="S665" i="93"/>
  <c r="T665" i="93"/>
  <c r="U665" i="93"/>
  <c r="V665" i="93"/>
  <c r="F666" i="93"/>
  <c r="K666" i="93"/>
  <c r="F667" i="93"/>
  <c r="K667" i="93"/>
  <c r="F668" i="93"/>
  <c r="K668" i="93"/>
  <c r="F669" i="93"/>
  <c r="H669" i="93"/>
  <c r="I669" i="93"/>
  <c r="J669" i="93"/>
  <c r="E672" i="93"/>
  <c r="F672" i="93"/>
  <c r="H673" i="93"/>
  <c r="G674" i="93"/>
  <c r="I674" i="93"/>
  <c r="I673" i="93" s="1"/>
  <c r="K674" i="93"/>
  <c r="K673" i="93" s="1"/>
  <c r="F675" i="93"/>
  <c r="K675" i="93"/>
  <c r="E678" i="93"/>
  <c r="F678" i="93"/>
  <c r="Q678" i="93"/>
  <c r="J683" i="93" s="1"/>
  <c r="R678" i="93"/>
  <c r="L683" i="93" s="1"/>
  <c r="S678" i="93"/>
  <c r="J684" i="93" s="1"/>
  <c r="T678" i="93"/>
  <c r="L684" i="93" s="1"/>
  <c r="U678" i="93"/>
  <c r="V678" i="93"/>
  <c r="G679" i="93"/>
  <c r="H679" i="93"/>
  <c r="I679" i="93"/>
  <c r="J679" i="93"/>
  <c r="K679" i="93"/>
  <c r="L679" i="93"/>
  <c r="G680" i="93"/>
  <c r="H680" i="93"/>
  <c r="I680" i="93"/>
  <c r="K680" i="93"/>
  <c r="G681" i="93"/>
  <c r="H681" i="93"/>
  <c r="I681" i="93"/>
  <c r="K681" i="93"/>
  <c r="G682" i="93"/>
  <c r="H682" i="93"/>
  <c r="I682" i="93"/>
  <c r="J682" i="93"/>
  <c r="K682" i="93"/>
  <c r="L682" i="93"/>
  <c r="F683" i="93"/>
  <c r="K683" i="93"/>
  <c r="F684" i="93"/>
  <c r="K684" i="93"/>
  <c r="F685" i="93"/>
  <c r="K685" i="93"/>
  <c r="F686" i="93"/>
  <c r="H686" i="93"/>
  <c r="I686" i="93"/>
  <c r="J686" i="93"/>
  <c r="E689" i="93"/>
  <c r="F689" i="93"/>
  <c r="H690" i="93"/>
  <c r="G691" i="93"/>
  <c r="G690" i="93" s="1"/>
  <c r="I691" i="93"/>
  <c r="I690" i="93" s="1"/>
  <c r="K691" i="93"/>
  <c r="F692" i="93"/>
  <c r="K692" i="93"/>
  <c r="E695" i="93"/>
  <c r="F695" i="93"/>
  <c r="G695" i="93"/>
  <c r="H695" i="93"/>
  <c r="I695" i="93"/>
  <c r="J695" i="93"/>
  <c r="K695" i="93"/>
  <c r="L695" i="93"/>
  <c r="K696" i="93" s="1"/>
  <c r="Q695" i="93"/>
  <c r="R695" i="93"/>
  <c r="S695" i="93"/>
  <c r="T695" i="93"/>
  <c r="U695" i="93"/>
  <c r="V695" i="93"/>
  <c r="E698" i="93"/>
  <c r="F698" i="93"/>
  <c r="Q698" i="93"/>
  <c r="R698" i="93"/>
  <c r="S698" i="93"/>
  <c r="T698" i="93"/>
  <c r="U698" i="93"/>
  <c r="V698" i="93"/>
  <c r="G699" i="93"/>
  <c r="H699" i="93"/>
  <c r="I699" i="93"/>
  <c r="J699" i="93"/>
  <c r="K699" i="93"/>
  <c r="L699" i="93"/>
  <c r="G700" i="93"/>
  <c r="H700" i="93"/>
  <c r="I700" i="93"/>
  <c r="K700" i="93"/>
  <c r="G701" i="93"/>
  <c r="H701" i="93"/>
  <c r="I701" i="93"/>
  <c r="K701" i="93"/>
  <c r="G702" i="93"/>
  <c r="H702" i="93"/>
  <c r="I702" i="93"/>
  <c r="J702" i="93"/>
  <c r="K702" i="93"/>
  <c r="L702" i="93"/>
  <c r="C703" i="93"/>
  <c r="E703" i="93"/>
  <c r="F703" i="93"/>
  <c r="G703" i="93"/>
  <c r="I703" i="93"/>
  <c r="J703" i="93"/>
  <c r="K703" i="93"/>
  <c r="L703" i="93"/>
  <c r="Q703" i="93"/>
  <c r="R703" i="93"/>
  <c r="S703" i="93"/>
  <c r="T703" i="93"/>
  <c r="U703" i="93"/>
  <c r="V703" i="93"/>
  <c r="F704" i="93"/>
  <c r="K704" i="93"/>
  <c r="F705" i="93"/>
  <c r="K705" i="93"/>
  <c r="F706" i="93"/>
  <c r="K706" i="93"/>
  <c r="F707" i="93"/>
  <c r="H707" i="93"/>
  <c r="I707" i="93"/>
  <c r="J707" i="93"/>
  <c r="E710" i="93"/>
  <c r="F710" i="93"/>
  <c r="H711" i="93"/>
  <c r="G712" i="93"/>
  <c r="G711" i="93" s="1"/>
  <c r="I712" i="93"/>
  <c r="I711" i="93" s="1"/>
  <c r="K712" i="93"/>
  <c r="K711" i="93" s="1"/>
  <c r="F713" i="93"/>
  <c r="K713" i="93"/>
  <c r="A717" i="93"/>
  <c r="J718" i="93"/>
  <c r="K718" i="93"/>
  <c r="J719" i="93"/>
  <c r="K719" i="93"/>
  <c r="A721" i="93"/>
  <c r="J722" i="93"/>
  <c r="K722" i="93"/>
  <c r="J723" i="93"/>
  <c r="K723" i="93"/>
  <c r="AF726" i="93"/>
  <c r="J727" i="93"/>
  <c r="K727" i="93"/>
  <c r="J728" i="93"/>
  <c r="K728" i="93"/>
  <c r="D729" i="93"/>
  <c r="I729" i="93"/>
  <c r="J737" i="93" s="1"/>
  <c r="K729" i="93"/>
  <c r="L737" i="93" s="1"/>
  <c r="L745" i="93" s="1"/>
  <c r="D730" i="93"/>
  <c r="I730" i="93"/>
  <c r="K730" i="93"/>
  <c r="D731" i="93"/>
  <c r="I731" i="93"/>
  <c r="K731" i="93"/>
  <c r="D732" i="93"/>
  <c r="K732" i="93"/>
  <c r="L738" i="93" s="1"/>
  <c r="L755" i="93"/>
  <c r="L648" i="93" l="1"/>
  <c r="L535" i="93"/>
  <c r="I110" i="94"/>
  <c r="K132" i="95"/>
  <c r="L252" i="94"/>
  <c r="I150" i="93"/>
  <c r="L271" i="94"/>
  <c r="L553" i="93"/>
  <c r="K138" i="95"/>
  <c r="J543" i="93"/>
  <c r="J532" i="93" s="1"/>
  <c r="I138" i="95"/>
  <c r="J52" i="95"/>
  <c r="L705" i="93"/>
  <c r="L649" i="93"/>
  <c r="P604" i="93"/>
  <c r="L554" i="93"/>
  <c r="L536" i="93"/>
  <c r="I231" i="93"/>
  <c r="J253" i="94"/>
  <c r="J613" i="93"/>
  <c r="J572" i="93"/>
  <c r="I124" i="93"/>
  <c r="L379" i="94"/>
  <c r="L387" i="94" s="1"/>
  <c r="L390" i="94" s="1"/>
  <c r="J252" i="94"/>
  <c r="K110" i="94"/>
  <c r="J156" i="95"/>
  <c r="L155" i="95"/>
  <c r="K86" i="95"/>
  <c r="L70" i="95"/>
  <c r="J271" i="94"/>
  <c r="P696" i="93"/>
  <c r="J333" i="93"/>
  <c r="J323" i="93" s="1"/>
  <c r="K84" i="94"/>
  <c r="L119" i="95"/>
  <c r="I93" i="95"/>
  <c r="P83" i="95"/>
  <c r="J71" i="95"/>
  <c r="J498" i="93"/>
  <c r="J499" i="93" s="1"/>
  <c r="J492" i="93" s="1"/>
  <c r="J712" i="93"/>
  <c r="J713" i="93" s="1"/>
  <c r="I714" i="93" s="1"/>
  <c r="O714" i="93" s="1"/>
  <c r="L666" i="93"/>
  <c r="L667" i="93"/>
  <c r="J649" i="93"/>
  <c r="J638" i="93"/>
  <c r="J637" i="93" s="1"/>
  <c r="J626" i="93" s="1"/>
  <c r="K601" i="93"/>
  <c r="L517" i="93"/>
  <c r="J502" i="93"/>
  <c r="O503" i="93" s="1"/>
  <c r="L156" i="95"/>
  <c r="J70" i="95"/>
  <c r="L71" i="95"/>
  <c r="L53" i="95"/>
  <c r="J120" i="95"/>
  <c r="P99" i="95"/>
  <c r="J163" i="95"/>
  <c r="J162" i="95" s="1"/>
  <c r="J151" i="95" s="1"/>
  <c r="P96" i="95"/>
  <c r="K89" i="95"/>
  <c r="K141" i="95"/>
  <c r="K135" i="95"/>
  <c r="J82" i="95"/>
  <c r="O83" i="95" s="1"/>
  <c r="I454" i="93"/>
  <c r="L704" i="93"/>
  <c r="L630" i="93"/>
  <c r="P509" i="93"/>
  <c r="K190" i="94"/>
  <c r="J105" i="94"/>
  <c r="J95" i="94" s="1"/>
  <c r="O141" i="95"/>
  <c r="I135" i="95"/>
  <c r="O99" i="95"/>
  <c r="I89" i="95"/>
  <c r="J691" i="93"/>
  <c r="J681" i="93" s="1"/>
  <c r="J536" i="93"/>
  <c r="L518" i="93"/>
  <c r="L498" i="93"/>
  <c r="L499" i="93" s="1"/>
  <c r="K500" i="93" s="1"/>
  <c r="P500" i="93" s="1"/>
  <c r="L278" i="94"/>
  <c r="L277" i="94" s="1"/>
  <c r="L266" i="94" s="1"/>
  <c r="J270" i="94"/>
  <c r="I84" i="94"/>
  <c r="J60" i="95"/>
  <c r="J59" i="95" s="1"/>
  <c r="J48" i="95" s="1"/>
  <c r="J53" i="95"/>
  <c r="J704" i="93"/>
  <c r="J705" i="93"/>
  <c r="J612" i="93"/>
  <c r="I601" i="93"/>
  <c r="J517" i="93"/>
  <c r="J518" i="93"/>
  <c r="J278" i="94"/>
  <c r="J267" i="94" s="1"/>
  <c r="O190" i="94"/>
  <c r="J596" i="93"/>
  <c r="J597" i="93" s="1"/>
  <c r="L596" i="93"/>
  <c r="L586" i="93" s="1"/>
  <c r="L492" i="93"/>
  <c r="I257" i="93"/>
  <c r="L736" i="93"/>
  <c r="L744" i="93" s="1"/>
  <c r="L747" i="93" s="1"/>
  <c r="G225" i="93"/>
  <c r="J226" i="93"/>
  <c r="J227" i="93" s="1"/>
  <c r="J220" i="93" s="1"/>
  <c r="O95" i="93"/>
  <c r="I732" i="93"/>
  <c r="J738" i="93" s="1"/>
  <c r="L382" i="94"/>
  <c r="J15" i="1" s="1"/>
  <c r="K93" i="95"/>
  <c r="P93" i="95"/>
  <c r="I419" i="93"/>
  <c r="J420" i="93"/>
  <c r="J421" i="93" s="1"/>
  <c r="J104" i="94"/>
  <c r="J94" i="94" s="1"/>
  <c r="J736" i="93"/>
  <c r="J739" i="93" s="1"/>
  <c r="I14" i="1" s="1"/>
  <c r="J667" i="93"/>
  <c r="J666" i="93"/>
  <c r="J79" i="94"/>
  <c r="J69" i="94" s="1"/>
  <c r="I78" i="94"/>
  <c r="J155" i="95"/>
  <c r="O696" i="93"/>
  <c r="I696" i="93"/>
  <c r="G673" i="93"/>
  <c r="L674" i="93"/>
  <c r="J332" i="93"/>
  <c r="J322" i="93" s="1"/>
  <c r="J334" i="93"/>
  <c r="I335" i="93" s="1"/>
  <c r="O335" i="93" s="1"/>
  <c r="I199" i="93"/>
  <c r="J200" i="93"/>
  <c r="J199" i="93" s="1"/>
  <c r="J189" i="93" s="1"/>
  <c r="J174" i="93"/>
  <c r="L174" i="93"/>
  <c r="L175" i="93" s="1"/>
  <c r="J554" i="93"/>
  <c r="L226" i="93"/>
  <c r="L227" i="93" s="1"/>
  <c r="J61" i="93"/>
  <c r="J51" i="93" s="1"/>
  <c r="J379" i="94"/>
  <c r="J382" i="94" s="1"/>
  <c r="I15" i="1" s="1"/>
  <c r="L270" i="94"/>
  <c r="J185" i="94"/>
  <c r="J175" i="94" s="1"/>
  <c r="L105" i="94"/>
  <c r="L104" i="94" s="1"/>
  <c r="L94" i="94" s="1"/>
  <c r="K104" i="94"/>
  <c r="J152" i="95"/>
  <c r="L78" i="95"/>
  <c r="L79" i="95" s="1"/>
  <c r="L60" i="95"/>
  <c r="L61" i="95" s="1"/>
  <c r="K59" i="95"/>
  <c r="J648" i="93"/>
  <c r="L638" i="93"/>
  <c r="L627" i="93" s="1"/>
  <c r="L572" i="93"/>
  <c r="L571" i="93"/>
  <c r="L561" i="93"/>
  <c r="L560" i="93" s="1"/>
  <c r="L549" i="93" s="1"/>
  <c r="J553" i="93"/>
  <c r="L712" i="93"/>
  <c r="L713" i="93" s="1"/>
  <c r="J674" i="93"/>
  <c r="J673" i="93" s="1"/>
  <c r="J662" i="93" s="1"/>
  <c r="L656" i="93"/>
  <c r="L645" i="93" s="1"/>
  <c r="J630" i="93"/>
  <c r="J631" i="93"/>
  <c r="L613" i="93"/>
  <c r="L612" i="93"/>
  <c r="J561" i="93"/>
  <c r="J560" i="93" s="1"/>
  <c r="J549" i="93" s="1"/>
  <c r="L543" i="93"/>
  <c r="L542" i="93" s="1"/>
  <c r="L531" i="93" s="1"/>
  <c r="J535" i="93"/>
  <c r="J478" i="93"/>
  <c r="J477" i="93" s="1"/>
  <c r="J467" i="93" s="1"/>
  <c r="J119" i="93"/>
  <c r="J118" i="93" s="1"/>
  <c r="J108" i="93" s="1"/>
  <c r="L184" i="95"/>
  <c r="L192" i="95" s="1"/>
  <c r="L195" i="95" s="1"/>
  <c r="J184" i="95"/>
  <c r="J187" i="95" s="1"/>
  <c r="I16" i="1" s="1"/>
  <c r="J164" i="95"/>
  <c r="J157" i="95" s="1"/>
  <c r="I159" i="95" s="1"/>
  <c r="J119" i="95"/>
  <c r="L120" i="95"/>
  <c r="K277" i="94"/>
  <c r="L52" i="95"/>
  <c r="L711" i="93"/>
  <c r="L700" i="93" s="1"/>
  <c r="J706" i="93"/>
  <c r="L691" i="93"/>
  <c r="K690" i="93"/>
  <c r="L739" i="93"/>
  <c r="J14" i="1" s="1"/>
  <c r="J595" i="93"/>
  <c r="J585" i="93" s="1"/>
  <c r="J586" i="93"/>
  <c r="I500" i="93"/>
  <c r="O500" i="93" s="1"/>
  <c r="L663" i="93"/>
  <c r="L673" i="93"/>
  <c r="L662" i="93" s="1"/>
  <c r="L637" i="93"/>
  <c r="L626" i="93" s="1"/>
  <c r="L675" i="93"/>
  <c r="J663" i="93"/>
  <c r="L657" i="93"/>
  <c r="L655" i="93"/>
  <c r="L644" i="93" s="1"/>
  <c r="J550" i="93"/>
  <c r="J562" i="93"/>
  <c r="J468" i="93"/>
  <c r="J479" i="93"/>
  <c r="J639" i="93"/>
  <c r="L597" i="93"/>
  <c r="O509" i="93"/>
  <c r="I509" i="93"/>
  <c r="L225" i="93"/>
  <c r="L215" i="93" s="1"/>
  <c r="K225" i="93"/>
  <c r="J279" i="94"/>
  <c r="J627" i="93"/>
  <c r="L620" i="93"/>
  <c r="O604" i="93"/>
  <c r="L579" i="93"/>
  <c r="K542" i="93"/>
  <c r="I503" i="93"/>
  <c r="L391" i="93"/>
  <c r="J690" i="93"/>
  <c r="J680" i="93" s="1"/>
  <c r="G560" i="93"/>
  <c r="J542" i="93"/>
  <c r="J531" i="93" s="1"/>
  <c r="L497" i="93"/>
  <c r="L487" i="93" s="1"/>
  <c r="K494" i="93" s="1"/>
  <c r="K332" i="93"/>
  <c r="L333" i="93"/>
  <c r="L307" i="93"/>
  <c r="J307" i="93"/>
  <c r="K251" i="93"/>
  <c r="L252" i="93"/>
  <c r="J145" i="93"/>
  <c r="L145" i="93"/>
  <c r="L260" i="94"/>
  <c r="J127" i="95"/>
  <c r="L127" i="95"/>
  <c r="L525" i="93"/>
  <c r="I506" i="93"/>
  <c r="O506" i="93"/>
  <c r="J497" i="93"/>
  <c r="J487" i="93" s="1"/>
  <c r="J419" i="93"/>
  <c r="J409" i="93" s="1"/>
  <c r="J362" i="93"/>
  <c r="L362" i="93"/>
  <c r="J281" i="93"/>
  <c r="L281" i="93"/>
  <c r="J656" i="93"/>
  <c r="J544" i="93"/>
  <c r="L478" i="93"/>
  <c r="G477" i="93"/>
  <c r="J620" i="93"/>
  <c r="J579" i="93"/>
  <c r="J525" i="93"/>
  <c r="J482" i="93"/>
  <c r="I448" i="93"/>
  <c r="L449" i="93"/>
  <c r="J391" i="93"/>
  <c r="L173" i="93"/>
  <c r="L163" i="93" s="1"/>
  <c r="L119" i="93"/>
  <c r="K118" i="93"/>
  <c r="J90" i="93"/>
  <c r="L79" i="94"/>
  <c r="P503" i="93"/>
  <c r="P483" i="93"/>
  <c r="J449" i="93"/>
  <c r="L420" i="93"/>
  <c r="J327" i="93"/>
  <c r="O329" i="93" s="1"/>
  <c r="J120" i="93"/>
  <c r="L185" i="94"/>
  <c r="K184" i="94"/>
  <c r="J78" i="94"/>
  <c r="J68" i="94" s="1"/>
  <c r="L163" i="95"/>
  <c r="K162" i="95"/>
  <c r="L200" i="93"/>
  <c r="O96" i="95"/>
  <c r="J252" i="93"/>
  <c r="L90" i="93"/>
  <c r="I60" i="93"/>
  <c r="L61" i="93"/>
  <c r="L279" i="94"/>
  <c r="L267" i="94"/>
  <c r="L253" i="94"/>
  <c r="J260" i="94"/>
  <c r="J78" i="95"/>
  <c r="I165" i="95" l="1"/>
  <c r="O165" i="95" s="1"/>
  <c r="J410" i="93"/>
  <c r="L550" i="93"/>
  <c r="J225" i="93"/>
  <c r="J215" i="93" s="1"/>
  <c r="J62" i="93"/>
  <c r="J675" i="93"/>
  <c r="J49" i="95"/>
  <c r="L532" i="93"/>
  <c r="J711" i="93"/>
  <c r="J700" i="93" s="1"/>
  <c r="J692" i="93"/>
  <c r="I693" i="93" s="1"/>
  <c r="O693" i="93" s="1"/>
  <c r="L562" i="93"/>
  <c r="K563" i="93" s="1"/>
  <c r="P563" i="93" s="1"/>
  <c r="J685" i="93"/>
  <c r="J201" i="93"/>
  <c r="L595" i="93"/>
  <c r="L585" i="93" s="1"/>
  <c r="J701" i="93"/>
  <c r="L67" i="95"/>
  <c r="J190" i="93"/>
  <c r="J109" i="93"/>
  <c r="L164" i="93"/>
  <c r="L77" i="95"/>
  <c r="L66" i="95" s="1"/>
  <c r="J488" i="93"/>
  <c r="J61" i="95"/>
  <c r="J277" i="94"/>
  <c r="J266" i="94" s="1"/>
  <c r="L216" i="93"/>
  <c r="L639" i="93"/>
  <c r="L632" i="93" s="1"/>
  <c r="P634" i="93" s="1"/>
  <c r="J106" i="94"/>
  <c r="L488" i="93"/>
  <c r="I687" i="93"/>
  <c r="G82" i="95"/>
  <c r="I83" i="95"/>
  <c r="O708" i="93"/>
  <c r="L201" i="95"/>
  <c r="K16" i="1"/>
  <c r="L396" i="94"/>
  <c r="K15" i="1"/>
  <c r="I341" i="93"/>
  <c r="L753" i="93"/>
  <c r="K14" i="1"/>
  <c r="J164" i="93"/>
  <c r="J175" i="93"/>
  <c r="L106" i="94"/>
  <c r="L99" i="94" s="1"/>
  <c r="K101" i="94" s="1"/>
  <c r="L544" i="93"/>
  <c r="L537" i="93" s="1"/>
  <c r="P539" i="93" s="1"/>
  <c r="L701" i="93"/>
  <c r="J184" i="94"/>
  <c r="J174" i="94" s="1"/>
  <c r="J186" i="94"/>
  <c r="J99" i="94"/>
  <c r="I107" i="94"/>
  <c r="O107" i="94" s="1"/>
  <c r="L59" i="95"/>
  <c r="L48" i="95" s="1"/>
  <c r="J80" i="94"/>
  <c r="I81" i="94" s="1"/>
  <c r="O81" i="94" s="1"/>
  <c r="I228" i="93"/>
  <c r="O228" i="93" s="1"/>
  <c r="L49" i="95"/>
  <c r="J173" i="93"/>
  <c r="J163" i="93" s="1"/>
  <c r="L95" i="94"/>
  <c r="O687" i="93"/>
  <c r="J216" i="93"/>
  <c r="L187" i="95"/>
  <c r="J16" i="1" s="1"/>
  <c r="J60" i="93"/>
  <c r="J50" i="93" s="1"/>
  <c r="P494" i="93"/>
  <c r="L168" i="93"/>
  <c r="K170" i="93" s="1"/>
  <c r="K176" i="93"/>
  <c r="P176" i="93" s="1"/>
  <c r="J79" i="95"/>
  <c r="J67" i="95"/>
  <c r="J77" i="95"/>
  <c r="J66" i="95" s="1"/>
  <c r="L60" i="93"/>
  <c r="L50" i="93" s="1"/>
  <c r="L51" i="93"/>
  <c r="L62" i="93"/>
  <c r="J450" i="93"/>
  <c r="J439" i="93"/>
  <c r="J448" i="93"/>
  <c r="J438" i="93" s="1"/>
  <c r="J526" i="93"/>
  <c r="J514" i="93"/>
  <c r="J524" i="93"/>
  <c r="J513" i="93" s="1"/>
  <c r="K107" i="94"/>
  <c r="P107" i="94" s="1"/>
  <c r="J194" i="93"/>
  <c r="I196" i="93" s="1"/>
  <c r="I202" i="93"/>
  <c r="O202" i="93" s="1"/>
  <c r="L390" i="93"/>
  <c r="L380" i="93" s="1"/>
  <c r="L381" i="93"/>
  <c r="L392" i="93"/>
  <c r="L220" i="93"/>
  <c r="K222" i="93" s="1"/>
  <c r="K228" i="93"/>
  <c r="P228" i="93" s="1"/>
  <c r="L590" i="93"/>
  <c r="K598" i="93"/>
  <c r="P598" i="93" s="1"/>
  <c r="K545" i="93"/>
  <c r="P545" i="93" s="1"/>
  <c r="J261" i="94"/>
  <c r="J249" i="94"/>
  <c r="J259" i="94"/>
  <c r="J248" i="94" s="1"/>
  <c r="L175" i="94"/>
  <c r="L186" i="94"/>
  <c r="L184" i="94"/>
  <c r="L174" i="94" s="1"/>
  <c r="J580" i="93"/>
  <c r="J578" i="93"/>
  <c r="J567" i="93" s="1"/>
  <c r="J568" i="93"/>
  <c r="J645" i="93"/>
  <c r="J655" i="93"/>
  <c r="J644" i="93" s="1"/>
  <c r="J657" i="93"/>
  <c r="J414" i="93"/>
  <c r="O416" i="93" s="1"/>
  <c r="I422" i="93"/>
  <c r="O422" i="93" s="1"/>
  <c r="I494" i="93"/>
  <c r="O494" i="93"/>
  <c r="L526" i="93"/>
  <c r="L514" i="93"/>
  <c r="L524" i="93"/>
  <c r="L513" i="93" s="1"/>
  <c r="L126" i="95"/>
  <c r="L115" i="95" s="1"/>
  <c r="L128" i="95"/>
  <c r="L116" i="95"/>
  <c r="L259" i="94"/>
  <c r="L248" i="94" s="1"/>
  <c r="L249" i="94"/>
  <c r="L261" i="94"/>
  <c r="J306" i="93"/>
  <c r="J296" i="93" s="1"/>
  <c r="J297" i="93"/>
  <c r="J308" i="93"/>
  <c r="L323" i="93"/>
  <c r="L334" i="93"/>
  <c r="L332" i="93"/>
  <c r="L322" i="93" s="1"/>
  <c r="I640" i="93"/>
  <c r="O640" i="93" s="1"/>
  <c r="J632" i="93"/>
  <c r="J555" i="93"/>
  <c r="O557" i="93" s="1"/>
  <c r="I563" i="93"/>
  <c r="O563" i="93" s="1"/>
  <c r="K658" i="93"/>
  <c r="P658" i="93" s="1"/>
  <c r="L650" i="93"/>
  <c r="K652" i="93" s="1"/>
  <c r="L692" i="93"/>
  <c r="L681" i="93"/>
  <c r="L690" i="93"/>
  <c r="L680" i="93" s="1"/>
  <c r="L706" i="93"/>
  <c r="P708" i="93" s="1"/>
  <c r="K714" i="93"/>
  <c r="P714" i="93" s="1"/>
  <c r="J253" i="93"/>
  <c r="J242" i="93"/>
  <c r="J251" i="93"/>
  <c r="J241" i="93" s="1"/>
  <c r="J73" i="94"/>
  <c r="I75" i="94" s="1"/>
  <c r="L439" i="93"/>
  <c r="L450" i="93"/>
  <c r="L448" i="93"/>
  <c r="L438" i="93" s="1"/>
  <c r="L477" i="93"/>
  <c r="L467" i="93" s="1"/>
  <c r="L468" i="93"/>
  <c r="L479" i="93"/>
  <c r="J271" i="93"/>
  <c r="J280" i="93"/>
  <c r="J270" i="93" s="1"/>
  <c r="J282" i="93"/>
  <c r="J146" i="93"/>
  <c r="J144" i="93"/>
  <c r="J134" i="93" s="1"/>
  <c r="J135" i="93"/>
  <c r="O159" i="95"/>
  <c r="I168" i="95" s="1"/>
  <c r="L91" i="93"/>
  <c r="L80" i="93"/>
  <c r="L89" i="93"/>
  <c r="L79" i="93" s="1"/>
  <c r="L164" i="95"/>
  <c r="L152" i="95"/>
  <c r="L162" i="95"/>
  <c r="L151" i="95" s="1"/>
  <c r="L421" i="93"/>
  <c r="L410" i="93"/>
  <c r="L419" i="93"/>
  <c r="L409" i="93" s="1"/>
  <c r="L78" i="94"/>
  <c r="L68" i="94" s="1"/>
  <c r="L80" i="94"/>
  <c r="L69" i="94"/>
  <c r="J55" i="93"/>
  <c r="I63" i="93"/>
  <c r="O63" i="93" s="1"/>
  <c r="L109" i="93"/>
  <c r="L120" i="93"/>
  <c r="L118" i="93"/>
  <c r="L108" i="93" s="1"/>
  <c r="L72" i="95"/>
  <c r="K74" i="95" s="1"/>
  <c r="K80" i="95"/>
  <c r="P80" i="95" s="1"/>
  <c r="I329" i="93"/>
  <c r="J621" i="93"/>
  <c r="J619" i="93"/>
  <c r="J608" i="93" s="1"/>
  <c r="J609" i="93"/>
  <c r="J537" i="93"/>
  <c r="I539" i="93" s="1"/>
  <c r="I545" i="93"/>
  <c r="O545" i="93" s="1"/>
  <c r="L361" i="93"/>
  <c r="L351" i="93" s="1"/>
  <c r="L363" i="93"/>
  <c r="L352" i="93"/>
  <c r="J54" i="95"/>
  <c r="I56" i="95" s="1"/>
  <c r="I62" i="95"/>
  <c r="O62" i="95" s="1"/>
  <c r="J128" i="95"/>
  <c r="J116" i="95"/>
  <c r="J126" i="95"/>
  <c r="J115" i="95" s="1"/>
  <c r="L308" i="93"/>
  <c r="L297" i="93"/>
  <c r="L306" i="93"/>
  <c r="L296" i="93" s="1"/>
  <c r="L621" i="93"/>
  <c r="L609" i="93"/>
  <c r="L619" i="93"/>
  <c r="L608" i="93" s="1"/>
  <c r="J590" i="93"/>
  <c r="O592" i="93" s="1"/>
  <c r="I598" i="93"/>
  <c r="O598" i="93" s="1"/>
  <c r="I708" i="93"/>
  <c r="K62" i="95"/>
  <c r="P62" i="95" s="1"/>
  <c r="L54" i="95"/>
  <c r="K280" i="94"/>
  <c r="P280" i="94" s="1"/>
  <c r="L272" i="94"/>
  <c r="K274" i="94" s="1"/>
  <c r="L201" i="93"/>
  <c r="L190" i="93"/>
  <c r="L199" i="93"/>
  <c r="L189" i="93" s="1"/>
  <c r="J113" i="93"/>
  <c r="O115" i="93" s="1"/>
  <c r="I121" i="93"/>
  <c r="O121" i="93" s="1"/>
  <c r="I222" i="93"/>
  <c r="J89" i="93"/>
  <c r="J79" i="93" s="1"/>
  <c r="J80" i="93"/>
  <c r="J91" i="93"/>
  <c r="J381" i="93"/>
  <c r="J390" i="93"/>
  <c r="J380" i="93" s="1"/>
  <c r="J392" i="93"/>
  <c r="O483" i="93"/>
  <c r="I483" i="93"/>
  <c r="L280" i="93"/>
  <c r="L270" i="93" s="1"/>
  <c r="L282" i="93"/>
  <c r="L271" i="93"/>
  <c r="J363" i="93"/>
  <c r="J352" i="93"/>
  <c r="J361" i="93"/>
  <c r="J351" i="93" s="1"/>
  <c r="L144" i="93"/>
  <c r="L134" i="93" s="1"/>
  <c r="L146" i="93"/>
  <c r="L135" i="93"/>
  <c r="L242" i="93"/>
  <c r="L251" i="93"/>
  <c r="L241" i="93" s="1"/>
  <c r="L253" i="93"/>
  <c r="O222" i="93"/>
  <c r="L568" i="93"/>
  <c r="L578" i="93"/>
  <c r="L567" i="93" s="1"/>
  <c r="L580" i="93"/>
  <c r="J272" i="94"/>
  <c r="O274" i="94" s="1"/>
  <c r="I280" i="94"/>
  <c r="O280" i="94" s="1"/>
  <c r="J472" i="93"/>
  <c r="I474" i="93" s="1"/>
  <c r="I480" i="93"/>
  <c r="O480" i="93" s="1"/>
  <c r="P652" i="93"/>
  <c r="J668" i="93"/>
  <c r="I670" i="93" s="1"/>
  <c r="I676" i="93"/>
  <c r="O676" i="93" s="1"/>
  <c r="K676" i="93"/>
  <c r="P676" i="93" s="1"/>
  <c r="L668" i="93"/>
  <c r="K670" i="93" s="1"/>
  <c r="L555" i="93"/>
  <c r="K557" i="93" s="1"/>
  <c r="O75" i="94" l="1"/>
  <c r="K708" i="93"/>
  <c r="K640" i="93"/>
  <c r="P640" i="93" s="1"/>
  <c r="O196" i="93"/>
  <c r="I208" i="93" s="1"/>
  <c r="K592" i="93"/>
  <c r="K56" i="95"/>
  <c r="P170" i="93"/>
  <c r="K182" i="93" s="1"/>
  <c r="I557" i="93"/>
  <c r="O539" i="93"/>
  <c r="P670" i="93"/>
  <c r="I115" i="93"/>
  <c r="I428" i="93"/>
  <c r="O56" i="95"/>
  <c r="O101" i="94"/>
  <c r="I113" i="94" s="1"/>
  <c r="I101" i="94"/>
  <c r="I57" i="93"/>
  <c r="P222" i="93"/>
  <c r="K234" i="93" s="1"/>
  <c r="I416" i="93"/>
  <c r="I274" i="94"/>
  <c r="J179" i="94"/>
  <c r="I181" i="94" s="1"/>
  <c r="I187" i="94"/>
  <c r="O187" i="94" s="1"/>
  <c r="I176" i="93"/>
  <c r="O176" i="93" s="1"/>
  <c r="J168" i="93"/>
  <c r="I234" i="93"/>
  <c r="P274" i="94"/>
  <c r="K581" i="93"/>
  <c r="P581" i="93" s="1"/>
  <c r="L573" i="93"/>
  <c r="P575" i="93" s="1"/>
  <c r="K147" i="93"/>
  <c r="P147" i="93" s="1"/>
  <c r="L139" i="93"/>
  <c r="K141" i="93" s="1"/>
  <c r="I364" i="93"/>
  <c r="O364" i="93" s="1"/>
  <c r="J356" i="93"/>
  <c r="I358" i="93" s="1"/>
  <c r="I129" i="95"/>
  <c r="O129" i="95" s="1"/>
  <c r="J121" i="95"/>
  <c r="O123" i="95" s="1"/>
  <c r="I147" i="93"/>
  <c r="O147" i="93" s="1"/>
  <c r="J139" i="93"/>
  <c r="O141" i="93" s="1"/>
  <c r="J573" i="93"/>
  <c r="O575" i="93" s="1"/>
  <c r="I581" i="93"/>
  <c r="O581" i="93" s="1"/>
  <c r="J254" i="94"/>
  <c r="I256" i="94" s="1"/>
  <c r="I262" i="94"/>
  <c r="O262" i="94" s="1"/>
  <c r="K634" i="93"/>
  <c r="J519" i="93"/>
  <c r="I521" i="93" s="1"/>
  <c r="I527" i="93"/>
  <c r="O527" i="93" s="1"/>
  <c r="J84" i="93"/>
  <c r="I86" i="93" s="1"/>
  <c r="I92" i="93"/>
  <c r="O92" i="93" s="1"/>
  <c r="K309" i="93"/>
  <c r="P309" i="93" s="1"/>
  <c r="L301" i="93"/>
  <c r="P303" i="93" s="1"/>
  <c r="J614" i="93"/>
  <c r="I616" i="93" s="1"/>
  <c r="I622" i="93"/>
  <c r="O622" i="93" s="1"/>
  <c r="L472" i="93"/>
  <c r="K474" i="93" s="1"/>
  <c r="K480" i="93"/>
  <c r="P480" i="93" s="1"/>
  <c r="K451" i="93"/>
  <c r="P451" i="93" s="1"/>
  <c r="L443" i="93"/>
  <c r="K445" i="93" s="1"/>
  <c r="J246" i="93"/>
  <c r="O248" i="93" s="1"/>
  <c r="I254" i="93"/>
  <c r="O254" i="93" s="1"/>
  <c r="K335" i="93"/>
  <c r="P335" i="93" s="1"/>
  <c r="L327" i="93"/>
  <c r="K329" i="93" s="1"/>
  <c r="P56" i="95"/>
  <c r="P592" i="93"/>
  <c r="J72" i="95"/>
  <c r="I74" i="95" s="1"/>
  <c r="I80" i="95"/>
  <c r="O80" i="95" s="1"/>
  <c r="I592" i="93"/>
  <c r="L275" i="93"/>
  <c r="P277" i="93" s="1"/>
  <c r="K283" i="93"/>
  <c r="P283" i="93" s="1"/>
  <c r="I393" i="93"/>
  <c r="O393" i="93" s="1"/>
  <c r="J385" i="93"/>
  <c r="I387" i="93" s="1"/>
  <c r="L194" i="93"/>
  <c r="K196" i="93" s="1"/>
  <c r="K202" i="93"/>
  <c r="P202" i="93" s="1"/>
  <c r="K539" i="93"/>
  <c r="K622" i="93"/>
  <c r="P622" i="93" s="1"/>
  <c r="L614" i="93"/>
  <c r="K616" i="93" s="1"/>
  <c r="P101" i="94"/>
  <c r="K113" i="94" s="1"/>
  <c r="L113" i="93"/>
  <c r="P115" i="93" s="1"/>
  <c r="K121" i="93"/>
  <c r="P121" i="93" s="1"/>
  <c r="L157" i="95"/>
  <c r="K159" i="95" s="1"/>
  <c r="K165" i="95"/>
  <c r="P165" i="95" s="1"/>
  <c r="K92" i="93"/>
  <c r="P92" i="93" s="1"/>
  <c r="L84" i="93"/>
  <c r="K86" i="93" s="1"/>
  <c r="J275" i="93"/>
  <c r="I277" i="93" s="1"/>
  <c r="I283" i="93"/>
  <c r="O283" i="93" s="1"/>
  <c r="K693" i="93"/>
  <c r="P693" i="93" s="1"/>
  <c r="L685" i="93"/>
  <c r="K687" i="93" s="1"/>
  <c r="L254" i="94"/>
  <c r="P256" i="94" s="1"/>
  <c r="K262" i="94"/>
  <c r="P262" i="94" s="1"/>
  <c r="L121" i="95"/>
  <c r="P123" i="95" s="1"/>
  <c r="K129" i="95"/>
  <c r="P129" i="95" s="1"/>
  <c r="K527" i="93"/>
  <c r="P527" i="93" s="1"/>
  <c r="L519" i="93"/>
  <c r="K521" i="93" s="1"/>
  <c r="O57" i="93"/>
  <c r="L179" i="94"/>
  <c r="P181" i="94" s="1"/>
  <c r="K187" i="94"/>
  <c r="P187" i="94" s="1"/>
  <c r="O256" i="94"/>
  <c r="P557" i="93"/>
  <c r="O474" i="93"/>
  <c r="O521" i="93"/>
  <c r="K254" i="93"/>
  <c r="P254" i="93" s="1"/>
  <c r="L246" i="93"/>
  <c r="P248" i="93" s="1"/>
  <c r="K364" i="93"/>
  <c r="P364" i="93" s="1"/>
  <c r="L356" i="93"/>
  <c r="K358" i="93" s="1"/>
  <c r="K63" i="93"/>
  <c r="P63" i="93" s="1"/>
  <c r="L55" i="93"/>
  <c r="P57" i="93" s="1"/>
  <c r="K277" i="93"/>
  <c r="I87" i="94"/>
  <c r="K303" i="93"/>
  <c r="L73" i="94"/>
  <c r="K75" i="94" s="1"/>
  <c r="K81" i="94"/>
  <c r="P81" i="94" s="1"/>
  <c r="L414" i="93"/>
  <c r="P416" i="93" s="1"/>
  <c r="K422" i="93"/>
  <c r="P422" i="93" s="1"/>
  <c r="O277" i="93"/>
  <c r="P474" i="93"/>
  <c r="I127" i="93"/>
  <c r="I248" i="93"/>
  <c r="O634" i="93"/>
  <c r="I634" i="93"/>
  <c r="J301" i="93"/>
  <c r="I303" i="93" s="1"/>
  <c r="I309" i="93"/>
  <c r="O309" i="93" s="1"/>
  <c r="J650" i="93"/>
  <c r="I652" i="93" s="1"/>
  <c r="I658" i="93"/>
  <c r="O658" i="93" s="1"/>
  <c r="O670" i="93"/>
  <c r="L385" i="93"/>
  <c r="P387" i="93" s="1"/>
  <c r="K393" i="93"/>
  <c r="P393" i="93" s="1"/>
  <c r="I451" i="93"/>
  <c r="O451" i="93" s="1"/>
  <c r="J443" i="93"/>
  <c r="O445" i="93" s="1"/>
  <c r="P74" i="95"/>
  <c r="O616" i="93" l="1"/>
  <c r="I260" i="93"/>
  <c r="I289" i="93"/>
  <c r="K283" i="94"/>
  <c r="I575" i="93"/>
  <c r="I141" i="93"/>
  <c r="K256" i="94"/>
  <c r="I144" i="95"/>
  <c r="K428" i="93"/>
  <c r="K193" i="94"/>
  <c r="O358" i="93"/>
  <c r="I370" i="93" s="1"/>
  <c r="K123" i="95"/>
  <c r="K127" i="93"/>
  <c r="P358" i="93"/>
  <c r="K370" i="93" s="1"/>
  <c r="P86" i="93"/>
  <c r="K98" i="93" s="1"/>
  <c r="K57" i="93"/>
  <c r="P141" i="93"/>
  <c r="K153" i="93" s="1"/>
  <c r="I153" i="93"/>
  <c r="P75" i="94"/>
  <c r="K260" i="93"/>
  <c r="P329" i="93"/>
  <c r="K399" i="93"/>
  <c r="K387" i="93"/>
  <c r="K115" i="93"/>
  <c r="K416" i="93"/>
  <c r="O170" i="93"/>
  <c r="I182" i="93" s="1"/>
  <c r="I170" i="93"/>
  <c r="I457" i="93"/>
  <c r="O86" i="93"/>
  <c r="I98" i="93" s="1"/>
  <c r="P445" i="93"/>
  <c r="K457" i="93" s="1"/>
  <c r="I123" i="95"/>
  <c r="K248" i="93"/>
  <c r="P616" i="93"/>
  <c r="O181" i="94"/>
  <c r="I193" i="94" s="1"/>
  <c r="O387" i="93"/>
  <c r="I399" i="93" s="1"/>
  <c r="K575" i="93"/>
  <c r="P521" i="93"/>
  <c r="P159" i="95"/>
  <c r="K168" i="95" s="1"/>
  <c r="P196" i="93"/>
  <c r="K208" i="93" s="1"/>
  <c r="K69" i="93"/>
  <c r="K181" i="94"/>
  <c r="P687" i="93"/>
  <c r="K144" i="95"/>
  <c r="K315" i="93"/>
  <c r="K289" i="93"/>
  <c r="O652" i="93"/>
  <c r="I283" i="94"/>
  <c r="I69" i="93"/>
  <c r="I445" i="93"/>
  <c r="O303" i="93"/>
  <c r="I315" i="93" s="1"/>
  <c r="O74" i="95"/>
  <c r="K87" i="94"/>
  <c r="K369" i="94"/>
  <c r="L377" i="94" s="1"/>
  <c r="K305" i="94"/>
  <c r="K102" i="95"/>
  <c r="K341" i="93"/>
  <c r="I717" i="93"/>
  <c r="K717" i="93" l="1"/>
  <c r="I369" i="94"/>
  <c r="J377" i="94" s="1"/>
  <c r="J378" i="94" s="1"/>
  <c r="J383" i="94" s="1"/>
  <c r="K174" i="95"/>
  <c r="L182" i="95" s="1"/>
  <c r="I305" i="94"/>
  <c r="I721" i="93"/>
  <c r="K721" i="93"/>
  <c r="I726" i="93"/>
  <c r="J734" i="93" s="1"/>
  <c r="J735" i="93" s="1"/>
  <c r="K726" i="93"/>
  <c r="N726" i="93" s="1"/>
  <c r="L385" i="94"/>
  <c r="L378" i="94"/>
  <c r="I174" i="95"/>
  <c r="J182" i="95" s="1"/>
  <c r="I102" i="95"/>
  <c r="L190" i="95"/>
  <c r="L183" i="95"/>
  <c r="F15" i="1" l="1"/>
  <c r="L15" i="1" s="1"/>
  <c r="J740" i="93"/>
  <c r="F14" i="1"/>
  <c r="L14" i="1" s="1"/>
  <c r="L188" i="95"/>
  <c r="G16" i="1"/>
  <c r="M16" i="1" s="1"/>
  <c r="L383" i="94"/>
  <c r="G15" i="1"/>
  <c r="M15" i="1" s="1"/>
  <c r="L734" i="93"/>
  <c r="L735" i="93" s="1"/>
  <c r="L386" i="94"/>
  <c r="L391" i="94"/>
  <c r="L394" i="94" s="1"/>
  <c r="L196" i="95"/>
  <c r="L199" i="95" s="1"/>
  <c r="L191" i="95"/>
  <c r="J183" i="95"/>
  <c r="L742" i="93" l="1"/>
  <c r="J188" i="95"/>
  <c r="F16" i="1"/>
  <c r="L16" i="1" s="1"/>
  <c r="L395" i="94"/>
  <c r="H15" i="1"/>
  <c r="L200" i="95"/>
  <c r="H16" i="1"/>
  <c r="L740" i="93"/>
  <c r="G14" i="1"/>
  <c r="M14" i="1" s="1"/>
  <c r="L743" i="93"/>
  <c r="L748" i="93"/>
  <c r="L751" i="93" s="1"/>
  <c r="L752" i="93" l="1"/>
  <c r="H14" i="1"/>
  <c r="N14" i="1" s="1"/>
  <c r="L127" i="86" l="1"/>
  <c r="L147" i="92"/>
  <c r="L133" i="92"/>
  <c r="O21" i="1" s="1"/>
  <c r="L132" i="92"/>
  <c r="P21" i="1" s="1"/>
  <c r="J132" i="92"/>
  <c r="J102" i="92"/>
  <c r="J133" i="92" s="1"/>
  <c r="L196" i="87"/>
  <c r="L159" i="87"/>
  <c r="K160" i="87" s="1"/>
  <c r="L156" i="87"/>
  <c r="K157" i="87" s="1"/>
  <c r="L153" i="87"/>
  <c r="K154" i="87" s="1"/>
  <c r="L150" i="87"/>
  <c r="J150" i="87" s="1"/>
  <c r="G150" i="87" s="1"/>
  <c r="J141" i="87"/>
  <c r="G141" i="87" s="1"/>
  <c r="I106" i="92" l="1"/>
  <c r="I116" i="92" s="1"/>
  <c r="K106" i="92"/>
  <c r="K116" i="92" s="1"/>
  <c r="G102" i="92"/>
  <c r="I103" i="92"/>
  <c r="K103" i="92"/>
  <c r="J156" i="87"/>
  <c r="I157" i="87" s="1"/>
  <c r="K151" i="87"/>
  <c r="K162" i="87" s="1"/>
  <c r="I151" i="87"/>
  <c r="J159" i="87"/>
  <c r="I160" i="87" s="1"/>
  <c r="J153" i="87"/>
  <c r="K142" i="87"/>
  <c r="K144" i="87" s="1"/>
  <c r="I142" i="87"/>
  <c r="I144" i="87"/>
  <c r="L182" i="87" l="1"/>
  <c r="O20" i="1" s="1"/>
  <c r="G156" i="87"/>
  <c r="G159" i="87"/>
  <c r="I154" i="87"/>
  <c r="I162" i="87" s="1"/>
  <c r="J182" i="87" s="1"/>
  <c r="G153" i="87"/>
  <c r="L109" i="85"/>
  <c r="L94" i="85"/>
  <c r="P18" i="1" s="1"/>
  <c r="J94" i="85"/>
  <c r="L73" i="85"/>
  <c r="J73" i="85" s="1"/>
  <c r="G73" i="85" s="1"/>
  <c r="K74" i="85" l="1"/>
  <c r="I74" i="85"/>
  <c r="J95" i="85" l="1"/>
  <c r="L95" i="85"/>
  <c r="O18" i="1" s="1"/>
  <c r="H59" i="96" s="1"/>
  <c r="F59" i="96" l="1"/>
  <c r="D59" i="96"/>
  <c r="L86" i="84"/>
  <c r="J25" i="85" l="1"/>
  <c r="J25" i="86"/>
  <c r="J25" i="87"/>
  <c r="J25" i="92"/>
  <c r="J25" i="84"/>
  <c r="L139" i="88" l="1"/>
  <c r="K129" i="92" l="1"/>
  <c r="I129" i="92"/>
  <c r="D129" i="92"/>
  <c r="K128" i="92"/>
  <c r="I128" i="92"/>
  <c r="D128" i="92"/>
  <c r="D127" i="92"/>
  <c r="K126" i="92"/>
  <c r="J126" i="92"/>
  <c r="K125" i="92"/>
  <c r="J125" i="92"/>
  <c r="K122" i="92"/>
  <c r="J122" i="92"/>
  <c r="K121" i="92"/>
  <c r="J121" i="92"/>
  <c r="AF120" i="92"/>
  <c r="A120" i="92"/>
  <c r="K118" i="92"/>
  <c r="J118" i="92"/>
  <c r="K117" i="92"/>
  <c r="J117" i="92"/>
  <c r="A116" i="92"/>
  <c r="K114" i="92"/>
  <c r="J114" i="92"/>
  <c r="K113" i="92"/>
  <c r="J113" i="92"/>
  <c r="K112" i="92"/>
  <c r="I112" i="92"/>
  <c r="A112" i="92"/>
  <c r="A110" i="92"/>
  <c r="K108" i="92"/>
  <c r="J108" i="92"/>
  <c r="K107" i="92"/>
  <c r="J107" i="92"/>
  <c r="A106" i="92"/>
  <c r="V101" i="92"/>
  <c r="U101" i="92"/>
  <c r="T101" i="92"/>
  <c r="S101" i="92"/>
  <c r="R101" i="92"/>
  <c r="Q101" i="92"/>
  <c r="B101" i="92"/>
  <c r="A100" i="92"/>
  <c r="A98" i="92"/>
  <c r="K96" i="92"/>
  <c r="J96" i="92"/>
  <c r="K95" i="92"/>
  <c r="J95" i="92"/>
  <c r="K94" i="92"/>
  <c r="I94" i="92"/>
  <c r="A94" i="92"/>
  <c r="A92" i="92"/>
  <c r="K90" i="92"/>
  <c r="J90" i="92"/>
  <c r="K89" i="92"/>
  <c r="J89" i="92"/>
  <c r="A88" i="92"/>
  <c r="K86" i="92"/>
  <c r="J86" i="92"/>
  <c r="K85" i="92"/>
  <c r="J85" i="92"/>
  <c r="K84" i="92"/>
  <c r="I84" i="92"/>
  <c r="A84" i="92"/>
  <c r="A82" i="92"/>
  <c r="K80" i="92"/>
  <c r="J80" i="92"/>
  <c r="K79" i="92"/>
  <c r="J79" i="92"/>
  <c r="A78" i="92"/>
  <c r="K74" i="92"/>
  <c r="F74" i="92"/>
  <c r="K73" i="92"/>
  <c r="K72" i="92" s="1"/>
  <c r="I73" i="92"/>
  <c r="I72" i="92" s="1"/>
  <c r="G73" i="92"/>
  <c r="G72" i="92" s="1"/>
  <c r="H72" i="92"/>
  <c r="F71" i="92"/>
  <c r="E71" i="92"/>
  <c r="B71" i="92"/>
  <c r="J68" i="92"/>
  <c r="I68" i="92"/>
  <c r="H68" i="92"/>
  <c r="F68" i="92"/>
  <c r="K67" i="92"/>
  <c r="F67" i="92"/>
  <c r="K66" i="92"/>
  <c r="F66" i="92"/>
  <c r="K65" i="92"/>
  <c r="F65" i="92"/>
  <c r="L64" i="92"/>
  <c r="K64" i="92"/>
  <c r="J64" i="92"/>
  <c r="I64" i="92"/>
  <c r="H64" i="92"/>
  <c r="G64" i="92"/>
  <c r="K63" i="92"/>
  <c r="I63" i="92"/>
  <c r="H63" i="92"/>
  <c r="G63" i="92"/>
  <c r="K62" i="92"/>
  <c r="I62" i="92"/>
  <c r="H62" i="92"/>
  <c r="G62" i="92"/>
  <c r="L61" i="92"/>
  <c r="K61" i="92"/>
  <c r="J61" i="92"/>
  <c r="I61" i="92"/>
  <c r="H61" i="92"/>
  <c r="G61" i="92"/>
  <c r="V60" i="92"/>
  <c r="U60" i="92"/>
  <c r="T60" i="92"/>
  <c r="L66" i="92" s="1"/>
  <c r="S60" i="92"/>
  <c r="J66" i="92" s="1"/>
  <c r="R60" i="92"/>
  <c r="L65" i="92" s="1"/>
  <c r="Q60" i="92"/>
  <c r="J65" i="92" s="1"/>
  <c r="F60" i="92"/>
  <c r="E60" i="92"/>
  <c r="B60" i="92"/>
  <c r="A59" i="92"/>
  <c r="K57" i="92"/>
  <c r="J57" i="92"/>
  <c r="K56" i="92"/>
  <c r="J56" i="92"/>
  <c r="K55" i="92"/>
  <c r="I55" i="92"/>
  <c r="A55" i="92"/>
  <c r="A53" i="92"/>
  <c r="A51" i="92"/>
  <c r="AC49" i="92"/>
  <c r="C49" i="92"/>
  <c r="AC47" i="92"/>
  <c r="C47" i="92"/>
  <c r="AE45" i="92"/>
  <c r="A45" i="92"/>
  <c r="H29" i="92"/>
  <c r="AD17" i="92"/>
  <c r="L137" i="92" l="1"/>
  <c r="L73" i="92"/>
  <c r="L63" i="92" s="1"/>
  <c r="J137" i="92"/>
  <c r="J140" i="92" s="1"/>
  <c r="I21" i="1" s="1"/>
  <c r="J73" i="92"/>
  <c r="J74" i="92" s="1"/>
  <c r="O103" i="92"/>
  <c r="L145" i="92" l="1"/>
  <c r="L140" i="92"/>
  <c r="I127" i="92"/>
  <c r="J138" i="92" s="1"/>
  <c r="L74" i="92"/>
  <c r="L67" i="92" s="1"/>
  <c r="L72" i="92"/>
  <c r="L62" i="92" s="1"/>
  <c r="J72" i="92"/>
  <c r="J62" i="92" s="1"/>
  <c r="J63" i="92"/>
  <c r="P103" i="92"/>
  <c r="K127" i="92"/>
  <c r="I75" i="92"/>
  <c r="O75" i="92" s="1"/>
  <c r="J67" i="92"/>
  <c r="J21" i="1" l="1"/>
  <c r="L148" i="92"/>
  <c r="K21" i="1" s="1"/>
  <c r="K75" i="92"/>
  <c r="P75" i="92" s="1"/>
  <c r="K69" i="92"/>
  <c r="L138" i="92"/>
  <c r="L146" i="92" s="1"/>
  <c r="P69" i="92"/>
  <c r="I69" i="92"/>
  <c r="O69" i="92"/>
  <c r="I88" i="92" l="1"/>
  <c r="I124" i="92" s="1"/>
  <c r="J135" i="92" s="1"/>
  <c r="J141" i="92" s="1"/>
  <c r="I120" i="92"/>
  <c r="I78" i="92"/>
  <c r="K120" i="92"/>
  <c r="K78" i="92"/>
  <c r="K88" i="92"/>
  <c r="K124" i="92" s="1"/>
  <c r="L135" i="92" s="1"/>
  <c r="L143" i="92" l="1"/>
  <c r="L149" i="92" s="1"/>
  <c r="L141" i="92"/>
  <c r="J136" i="92"/>
  <c r="F21" i="1" s="1"/>
  <c r="L21" i="1" s="1"/>
  <c r="J22" i="83"/>
  <c r="J22" i="82"/>
  <c r="J22" i="81"/>
  <c r="J22" i="80"/>
  <c r="J22" i="78"/>
  <c r="J22" i="77"/>
  <c r="L136" i="92" l="1"/>
  <c r="G21" i="1" l="1"/>
  <c r="M21" i="1" s="1"/>
  <c r="L144" i="92"/>
  <c r="H21" i="1" s="1"/>
  <c r="N21" i="1" s="1"/>
  <c r="AD17" i="88"/>
  <c r="AD17" i="87" l="1"/>
  <c r="H33" i="86" l="1"/>
  <c r="AD17" i="86"/>
  <c r="H33" i="85" l="1"/>
  <c r="AD17" i="85"/>
  <c r="H29" i="84" l="1"/>
  <c r="AD17" i="84"/>
  <c r="H28" i="83" l="1"/>
  <c r="AD17" i="83"/>
  <c r="H28" i="82" l="1"/>
  <c r="AD17" i="82"/>
  <c r="H28" i="81" l="1"/>
  <c r="AD17" i="81"/>
  <c r="H28" i="80" l="1"/>
  <c r="AD17" i="80"/>
  <c r="H28" i="78" l="1"/>
  <c r="J22" i="73" l="1"/>
  <c r="I109" i="88" l="1"/>
  <c r="K118" i="88"/>
  <c r="I118" i="88"/>
  <c r="K117" i="88"/>
  <c r="I117" i="88"/>
  <c r="AL116" i="88"/>
  <c r="K114" i="88"/>
  <c r="I114" i="88"/>
  <c r="K113" i="88"/>
  <c r="I113" i="88"/>
  <c r="A112" i="88"/>
  <c r="AA110" i="88"/>
  <c r="Z110" i="88"/>
  <c r="X110" i="88"/>
  <c r="V109" i="88"/>
  <c r="U109" i="88"/>
  <c r="T109" i="88"/>
  <c r="S109" i="88"/>
  <c r="R109" i="88"/>
  <c r="Q109" i="88"/>
  <c r="F109" i="88"/>
  <c r="L109" i="88" s="1"/>
  <c r="E109" i="88"/>
  <c r="C109" i="88"/>
  <c r="B109" i="88"/>
  <c r="AA108" i="88"/>
  <c r="Z108" i="88"/>
  <c r="X108" i="88"/>
  <c r="V107" i="88"/>
  <c r="U107" i="88"/>
  <c r="T107" i="88"/>
  <c r="S107" i="88"/>
  <c r="R107" i="88"/>
  <c r="Q107" i="88"/>
  <c r="I107" i="88"/>
  <c r="F107" i="88"/>
  <c r="L107" i="88" s="1"/>
  <c r="E107" i="88"/>
  <c r="C107" i="88"/>
  <c r="B107" i="88"/>
  <c r="AA106" i="88"/>
  <c r="Z106" i="88"/>
  <c r="X106" i="88"/>
  <c r="V105" i="88"/>
  <c r="U105" i="88"/>
  <c r="T105" i="88"/>
  <c r="S105" i="88"/>
  <c r="R105" i="88"/>
  <c r="Q105" i="88"/>
  <c r="L105" i="88"/>
  <c r="P106" i="88" s="1"/>
  <c r="K105" i="88"/>
  <c r="J105" i="88"/>
  <c r="O106" i="88" s="1"/>
  <c r="I105" i="88"/>
  <c r="H105" i="88"/>
  <c r="G105" i="88"/>
  <c r="F105" i="88"/>
  <c r="E105" i="88"/>
  <c r="C105" i="88"/>
  <c r="B105" i="88"/>
  <c r="AA104" i="88"/>
  <c r="Z104" i="88"/>
  <c r="X104" i="88"/>
  <c r="V103" i="88"/>
  <c r="U103" i="88"/>
  <c r="T103" i="88"/>
  <c r="S103" i="88"/>
  <c r="R103" i="88"/>
  <c r="Q103" i="88"/>
  <c r="L103" i="88"/>
  <c r="P104" i="88" s="1"/>
  <c r="K103" i="88"/>
  <c r="J103" i="88"/>
  <c r="O104" i="88" s="1"/>
  <c r="I103" i="88"/>
  <c r="H103" i="88"/>
  <c r="G103" i="88"/>
  <c r="F103" i="88"/>
  <c r="E103" i="88"/>
  <c r="C103" i="88"/>
  <c r="B103" i="88"/>
  <c r="A102" i="88"/>
  <c r="K100" i="88"/>
  <c r="I100" i="88"/>
  <c r="K99" i="88"/>
  <c r="I99" i="88"/>
  <c r="A98" i="88"/>
  <c r="AA94" i="88"/>
  <c r="Z94" i="88"/>
  <c r="X94" i="88"/>
  <c r="K93" i="88"/>
  <c r="F93" i="88"/>
  <c r="K92" i="88"/>
  <c r="K91" i="88" s="1"/>
  <c r="I92" i="88"/>
  <c r="I91" i="88" s="1"/>
  <c r="G92" i="88"/>
  <c r="G91" i="88" s="1"/>
  <c r="H91" i="88"/>
  <c r="AA89" i="88"/>
  <c r="Z89" i="88"/>
  <c r="X89" i="88"/>
  <c r="J88" i="88"/>
  <c r="I88" i="88"/>
  <c r="H88" i="88"/>
  <c r="F88" i="88"/>
  <c r="K87" i="88"/>
  <c r="F87" i="88"/>
  <c r="K86" i="88"/>
  <c r="F86" i="88"/>
  <c r="K85" i="88"/>
  <c r="F85" i="88"/>
  <c r="L84" i="88"/>
  <c r="K84" i="88"/>
  <c r="J84" i="88"/>
  <c r="I84" i="88"/>
  <c r="H84" i="88"/>
  <c r="G84" i="88"/>
  <c r="K83" i="88"/>
  <c r="I83" i="88"/>
  <c r="H83" i="88"/>
  <c r="G83" i="88"/>
  <c r="K82" i="88"/>
  <c r="I82" i="88"/>
  <c r="H82" i="88"/>
  <c r="G82" i="88"/>
  <c r="L81" i="88"/>
  <c r="K81" i="88"/>
  <c r="J81" i="88"/>
  <c r="I81" i="88"/>
  <c r="H81" i="88"/>
  <c r="G81" i="88"/>
  <c r="V80" i="88"/>
  <c r="U80" i="88"/>
  <c r="T80" i="88"/>
  <c r="L86" i="88" s="1"/>
  <c r="S80" i="88"/>
  <c r="J86" i="88" s="1"/>
  <c r="R80" i="88"/>
  <c r="L85" i="88" s="1"/>
  <c r="Q80" i="88"/>
  <c r="J85" i="88" s="1"/>
  <c r="F80" i="88"/>
  <c r="E80" i="88"/>
  <c r="C80" i="88"/>
  <c r="B80" i="88"/>
  <c r="AA77" i="88"/>
  <c r="Z77" i="88"/>
  <c r="X77" i="88"/>
  <c r="K76" i="88"/>
  <c r="F76" i="88"/>
  <c r="K75" i="88"/>
  <c r="K74" i="88" s="1"/>
  <c r="I75" i="88"/>
  <c r="I74" i="88" s="1"/>
  <c r="G75" i="88"/>
  <c r="G74" i="88" s="1"/>
  <c r="H74" i="88"/>
  <c r="AA72" i="88"/>
  <c r="Z72" i="88"/>
  <c r="X72" i="88"/>
  <c r="J71" i="88"/>
  <c r="I71" i="88"/>
  <c r="H71" i="88"/>
  <c r="F71" i="88"/>
  <c r="K70" i="88"/>
  <c r="F70" i="88"/>
  <c r="K69" i="88"/>
  <c r="F69" i="88"/>
  <c r="K68" i="88"/>
  <c r="F68" i="88"/>
  <c r="L67" i="88"/>
  <c r="K67" i="88"/>
  <c r="J67" i="88"/>
  <c r="I67" i="88"/>
  <c r="H67" i="88"/>
  <c r="G67" i="88"/>
  <c r="K66" i="88"/>
  <c r="I66" i="88"/>
  <c r="H66" i="88"/>
  <c r="G66" i="88"/>
  <c r="K65" i="88"/>
  <c r="I65" i="88"/>
  <c r="H65" i="88"/>
  <c r="G65" i="88"/>
  <c r="L64" i="88"/>
  <c r="K64" i="88"/>
  <c r="J64" i="88"/>
  <c r="I64" i="88"/>
  <c r="H64" i="88"/>
  <c r="G64" i="88"/>
  <c r="V63" i="88"/>
  <c r="U63" i="88"/>
  <c r="T63" i="88"/>
  <c r="L69" i="88" s="1"/>
  <c r="S63" i="88"/>
  <c r="J69" i="88" s="1"/>
  <c r="R63" i="88"/>
  <c r="L68" i="88" s="1"/>
  <c r="Q63" i="88"/>
  <c r="J68" i="88" s="1"/>
  <c r="F63" i="88"/>
  <c r="E63" i="88"/>
  <c r="C63" i="88"/>
  <c r="B63" i="88"/>
  <c r="AA60" i="88"/>
  <c r="Z60" i="88"/>
  <c r="X60" i="88"/>
  <c r="K59" i="88"/>
  <c r="F59" i="88"/>
  <c r="K58" i="88"/>
  <c r="K57" i="88" s="1"/>
  <c r="I58" i="88"/>
  <c r="I57" i="88" s="1"/>
  <c r="G58" i="88"/>
  <c r="G57" i="88" s="1"/>
  <c r="H57" i="88"/>
  <c r="AA55" i="88"/>
  <c r="Z55" i="88"/>
  <c r="X55" i="88"/>
  <c r="J54" i="88"/>
  <c r="I54" i="88"/>
  <c r="H54" i="88"/>
  <c r="F54" i="88"/>
  <c r="K53" i="88"/>
  <c r="F53" i="88"/>
  <c r="K52" i="88"/>
  <c r="F52" i="88"/>
  <c r="K51" i="88"/>
  <c r="F51" i="88"/>
  <c r="L50" i="88"/>
  <c r="K50" i="88"/>
  <c r="J50" i="88"/>
  <c r="I50" i="88"/>
  <c r="H50" i="88"/>
  <c r="G50" i="88"/>
  <c r="K49" i="88"/>
  <c r="I49" i="88"/>
  <c r="H49" i="88"/>
  <c r="G49" i="88"/>
  <c r="K48" i="88"/>
  <c r="I48" i="88"/>
  <c r="H48" i="88"/>
  <c r="G48" i="88"/>
  <c r="L47" i="88"/>
  <c r="K47" i="88"/>
  <c r="J47" i="88"/>
  <c r="I47" i="88"/>
  <c r="H47" i="88"/>
  <c r="G47" i="88"/>
  <c r="V46" i="88"/>
  <c r="U46" i="88"/>
  <c r="T46" i="88"/>
  <c r="L52" i="88" s="1"/>
  <c r="S46" i="88"/>
  <c r="J52" i="88" s="1"/>
  <c r="R46" i="88"/>
  <c r="L51" i="88" s="1"/>
  <c r="Q46" i="88"/>
  <c r="J51" i="88" s="1"/>
  <c r="F46" i="88"/>
  <c r="E46" i="88"/>
  <c r="C46" i="88"/>
  <c r="B46" i="88"/>
  <c r="A45" i="88"/>
  <c r="AK43" i="88"/>
  <c r="I122" i="88" l="1"/>
  <c r="K120" i="88"/>
  <c r="K122" i="88"/>
  <c r="J107" i="88"/>
  <c r="Y108" i="88" s="1"/>
  <c r="P108" i="88"/>
  <c r="J109" i="88"/>
  <c r="P110" i="88"/>
  <c r="J58" i="88"/>
  <c r="J49" i="88" s="1"/>
  <c r="W49" i="88" s="1"/>
  <c r="J92" i="88"/>
  <c r="L75" i="88"/>
  <c r="L66" i="88" s="1"/>
  <c r="Y104" i="88"/>
  <c r="Y106" i="88"/>
  <c r="K108" i="88"/>
  <c r="L58" i="88"/>
  <c r="W64" i="88"/>
  <c r="J75" i="88"/>
  <c r="L92" i="88"/>
  <c r="I104" i="88"/>
  <c r="I106" i="88"/>
  <c r="K110" i="88"/>
  <c r="W47" i="88"/>
  <c r="W81" i="88"/>
  <c r="K104" i="88"/>
  <c r="K106" i="88"/>
  <c r="L128" i="88" l="1"/>
  <c r="L138" i="88" s="1"/>
  <c r="L125" i="88"/>
  <c r="K112" i="88"/>
  <c r="W58" i="88"/>
  <c r="G109" i="88"/>
  <c r="I120" i="88"/>
  <c r="W92" i="88"/>
  <c r="J57" i="88"/>
  <c r="J48" i="88" s="1"/>
  <c r="I110" i="88"/>
  <c r="J91" i="88"/>
  <c r="J82" i="88" s="1"/>
  <c r="O110" i="88"/>
  <c r="O108" i="88"/>
  <c r="G107" i="88"/>
  <c r="I108" i="88"/>
  <c r="Y110" i="88"/>
  <c r="J83" i="88"/>
  <c r="W83" i="88" s="1"/>
  <c r="J93" i="88"/>
  <c r="I94" i="88" s="1"/>
  <c r="J59" i="88"/>
  <c r="J53" i="88" s="1"/>
  <c r="L74" i="88"/>
  <c r="L65" i="88" s="1"/>
  <c r="L76" i="88"/>
  <c r="L70" i="88" s="1"/>
  <c r="W75" i="88"/>
  <c r="J74" i="88"/>
  <c r="J65" i="88" s="1"/>
  <c r="J66" i="88"/>
  <c r="W66" i="88" s="1"/>
  <c r="J76" i="88"/>
  <c r="L91" i="88"/>
  <c r="L82" i="88" s="1"/>
  <c r="L83" i="88"/>
  <c r="L93" i="88"/>
  <c r="L57" i="88"/>
  <c r="L48" i="88" s="1"/>
  <c r="L59" i="88"/>
  <c r="L49" i="88"/>
  <c r="J128" i="88" l="1"/>
  <c r="J125" i="88"/>
  <c r="J126" i="88" s="1"/>
  <c r="J130" i="88" s="1"/>
  <c r="J131" i="88" s="1"/>
  <c r="L135" i="88"/>
  <c r="L126" i="88"/>
  <c r="K121" i="88"/>
  <c r="Y55" i="88"/>
  <c r="J87" i="88"/>
  <c r="O89" i="88" s="1"/>
  <c r="P72" i="88"/>
  <c r="I112" i="88"/>
  <c r="I121" i="88"/>
  <c r="K77" i="88"/>
  <c r="P77" i="88" s="1"/>
  <c r="I60" i="88"/>
  <c r="Y60" i="88" s="1"/>
  <c r="I55" i="88"/>
  <c r="O55" i="88"/>
  <c r="K60" i="88"/>
  <c r="P60" i="88" s="1"/>
  <c r="L53" i="88"/>
  <c r="P55" i="88" s="1"/>
  <c r="K94" i="88"/>
  <c r="P94" i="88" s="1"/>
  <c r="L87" i="88"/>
  <c r="P89" i="88" s="1"/>
  <c r="Y94" i="88"/>
  <c r="O94" i="88"/>
  <c r="K72" i="88"/>
  <c r="I77" i="88"/>
  <c r="J70" i="88"/>
  <c r="Y72" i="88" s="1"/>
  <c r="L130" i="88" l="1"/>
  <c r="L140" i="88" s="1"/>
  <c r="L141" i="88" s="1"/>
  <c r="L136" i="88"/>
  <c r="J127" i="88"/>
  <c r="J132" i="88" s="1"/>
  <c r="J133" i="88" s="1"/>
  <c r="L127" i="88"/>
  <c r="Y89" i="88"/>
  <c r="I89" i="88"/>
  <c r="I96" i="88" s="1"/>
  <c r="K79" i="88"/>
  <c r="I62" i="88"/>
  <c r="O60" i="88"/>
  <c r="K55" i="88"/>
  <c r="I72" i="88"/>
  <c r="I79" i="88" s="1"/>
  <c r="O72" i="88"/>
  <c r="K89" i="88"/>
  <c r="K96" i="88" s="1"/>
  <c r="Y77" i="88"/>
  <c r="O77" i="88"/>
  <c r="K98" i="88"/>
  <c r="K116" i="88"/>
  <c r="K62" i="88"/>
  <c r="L137" i="88" l="1"/>
  <c r="L132" i="88"/>
  <c r="L142" i="88" s="1"/>
  <c r="L143" i="88" s="1"/>
  <c r="L131" i="88"/>
  <c r="I116" i="88"/>
  <c r="I98" i="88"/>
  <c r="L133" i="88" l="1"/>
  <c r="AL174" i="87"/>
  <c r="K172" i="87"/>
  <c r="I172" i="87"/>
  <c r="K171" i="87"/>
  <c r="I171" i="87"/>
  <c r="A170" i="87"/>
  <c r="AA168" i="87"/>
  <c r="Z168" i="87"/>
  <c r="X168" i="87"/>
  <c r="V167" i="87"/>
  <c r="U167" i="87"/>
  <c r="T167" i="87"/>
  <c r="S167" i="87"/>
  <c r="R167" i="87"/>
  <c r="Q167" i="87"/>
  <c r="L167" i="87"/>
  <c r="K167" i="87"/>
  <c r="J167" i="87"/>
  <c r="I167" i="87"/>
  <c r="H167" i="87"/>
  <c r="G167" i="87"/>
  <c r="F167" i="87"/>
  <c r="E167" i="87"/>
  <c r="C167" i="87"/>
  <c r="B167" i="87"/>
  <c r="A166" i="87"/>
  <c r="K164" i="87"/>
  <c r="I164" i="87"/>
  <c r="K163" i="87"/>
  <c r="I163" i="87"/>
  <c r="A162" i="87"/>
  <c r="AA160" i="87"/>
  <c r="Z160" i="87"/>
  <c r="X160" i="87"/>
  <c r="V158" i="87"/>
  <c r="U158" i="87"/>
  <c r="T158" i="87"/>
  <c r="S158" i="87"/>
  <c r="R158" i="87"/>
  <c r="Q158" i="87"/>
  <c r="Y160" i="87"/>
  <c r="B158" i="87"/>
  <c r="AA157" i="87"/>
  <c r="Z157" i="87"/>
  <c r="X157" i="87"/>
  <c r="V155" i="87"/>
  <c r="U155" i="87"/>
  <c r="T155" i="87"/>
  <c r="S155" i="87"/>
  <c r="R155" i="87"/>
  <c r="Q155" i="87"/>
  <c r="Y157" i="87"/>
  <c r="B155" i="87"/>
  <c r="AA154" i="87"/>
  <c r="Z154" i="87"/>
  <c r="X154" i="87"/>
  <c r="V152" i="87"/>
  <c r="U152" i="87"/>
  <c r="T152" i="87"/>
  <c r="S152" i="87"/>
  <c r="R152" i="87"/>
  <c r="Q152" i="87"/>
  <c r="Y154" i="87"/>
  <c r="B152" i="87"/>
  <c r="AA151" i="87"/>
  <c r="Z151" i="87"/>
  <c r="X151" i="87"/>
  <c r="V149" i="87"/>
  <c r="U149" i="87"/>
  <c r="T149" i="87"/>
  <c r="S149" i="87"/>
  <c r="R149" i="87"/>
  <c r="Q149" i="87"/>
  <c r="Y151" i="87"/>
  <c r="B149" i="87"/>
  <c r="A148" i="87"/>
  <c r="K146" i="87"/>
  <c r="L181" i="87" s="1"/>
  <c r="P20" i="1" s="1"/>
  <c r="P29" i="1" s="1"/>
  <c r="I146" i="87"/>
  <c r="J181" i="87" s="1"/>
  <c r="K145" i="87"/>
  <c r="I145" i="87"/>
  <c r="A144" i="87"/>
  <c r="AA142" i="87"/>
  <c r="Z142" i="87"/>
  <c r="X142" i="87"/>
  <c r="V140" i="87"/>
  <c r="U140" i="87"/>
  <c r="T140" i="87"/>
  <c r="S140" i="87"/>
  <c r="R140" i="87"/>
  <c r="Q140" i="87"/>
  <c r="B140" i="87"/>
  <c r="A139" i="87"/>
  <c r="K137" i="87"/>
  <c r="I137" i="87"/>
  <c r="K136" i="87"/>
  <c r="I136" i="87"/>
  <c r="A135" i="87"/>
  <c r="K133" i="87"/>
  <c r="I133" i="87"/>
  <c r="K132" i="87"/>
  <c r="I132" i="87"/>
  <c r="A131" i="87"/>
  <c r="AA129" i="87"/>
  <c r="Z129" i="87"/>
  <c r="X129" i="87"/>
  <c r="V128" i="87"/>
  <c r="U128" i="87"/>
  <c r="T128" i="87"/>
  <c r="S128" i="87"/>
  <c r="R128" i="87"/>
  <c r="Q128" i="87"/>
  <c r="K129" i="87"/>
  <c r="I129" i="87"/>
  <c r="C128" i="87"/>
  <c r="B128" i="87"/>
  <c r="AA125" i="87"/>
  <c r="Z125" i="87"/>
  <c r="X125" i="87"/>
  <c r="K124" i="87"/>
  <c r="F124" i="87"/>
  <c r="K123" i="87"/>
  <c r="K122" i="87" s="1"/>
  <c r="I123" i="87"/>
  <c r="I122" i="87" s="1"/>
  <c r="G123" i="87"/>
  <c r="G122" i="87" s="1"/>
  <c r="H122" i="87"/>
  <c r="AA120" i="87"/>
  <c r="Z120" i="87"/>
  <c r="X120" i="87"/>
  <c r="J119" i="87"/>
  <c r="I119" i="87"/>
  <c r="H119" i="87"/>
  <c r="F119" i="87"/>
  <c r="K118" i="87"/>
  <c r="F118" i="87"/>
  <c r="K117" i="87"/>
  <c r="F117" i="87"/>
  <c r="K116" i="87"/>
  <c r="F116" i="87"/>
  <c r="L115" i="87"/>
  <c r="K115" i="87"/>
  <c r="J115" i="87"/>
  <c r="I115" i="87"/>
  <c r="H115" i="87"/>
  <c r="G115" i="87"/>
  <c r="K114" i="87"/>
  <c r="I114" i="87"/>
  <c r="H114" i="87"/>
  <c r="G114" i="87"/>
  <c r="K113" i="87"/>
  <c r="I113" i="87"/>
  <c r="H113" i="87"/>
  <c r="G113" i="87"/>
  <c r="L112" i="87"/>
  <c r="K112" i="87"/>
  <c r="J112" i="87"/>
  <c r="I112" i="87"/>
  <c r="H112" i="87"/>
  <c r="G112" i="87"/>
  <c r="V111" i="87"/>
  <c r="U111" i="87"/>
  <c r="T111" i="87"/>
  <c r="L117" i="87" s="1"/>
  <c r="S111" i="87"/>
  <c r="J117" i="87" s="1"/>
  <c r="R111" i="87"/>
  <c r="L116" i="87" s="1"/>
  <c r="Q111" i="87"/>
  <c r="J116" i="87" s="1"/>
  <c r="F111" i="87"/>
  <c r="E111" i="87"/>
  <c r="C111" i="87"/>
  <c r="B111" i="87"/>
  <c r="A110" i="87"/>
  <c r="K108" i="87"/>
  <c r="I108" i="87"/>
  <c r="K107" i="87"/>
  <c r="I107" i="87"/>
  <c r="A106" i="87"/>
  <c r="AA102" i="87"/>
  <c r="Z102" i="87"/>
  <c r="X102" i="87"/>
  <c r="K101" i="87"/>
  <c r="F101" i="87"/>
  <c r="K100" i="87"/>
  <c r="K99" i="87" s="1"/>
  <c r="I100" i="87"/>
  <c r="I99" i="87" s="1"/>
  <c r="G100" i="87"/>
  <c r="G99" i="87" s="1"/>
  <c r="H99" i="87"/>
  <c r="AA97" i="87"/>
  <c r="Z97" i="87"/>
  <c r="X97" i="87"/>
  <c r="J96" i="87"/>
  <c r="I96" i="87"/>
  <c r="H96" i="87"/>
  <c r="F96" i="87"/>
  <c r="K95" i="87"/>
  <c r="F95" i="87"/>
  <c r="K94" i="87"/>
  <c r="F94" i="87"/>
  <c r="K93" i="87"/>
  <c r="F93" i="87"/>
  <c r="L92" i="87"/>
  <c r="K92" i="87"/>
  <c r="J92" i="87"/>
  <c r="I92" i="87"/>
  <c r="H92" i="87"/>
  <c r="G92" i="87"/>
  <c r="K91" i="87"/>
  <c r="I91" i="87"/>
  <c r="H91" i="87"/>
  <c r="G91" i="87"/>
  <c r="K90" i="87"/>
  <c r="I90" i="87"/>
  <c r="H90" i="87"/>
  <c r="G90" i="87"/>
  <c r="L89" i="87"/>
  <c r="K89" i="87"/>
  <c r="J89" i="87"/>
  <c r="I89" i="87"/>
  <c r="H89" i="87"/>
  <c r="G89" i="87"/>
  <c r="V88" i="87"/>
  <c r="U88" i="87"/>
  <c r="T88" i="87"/>
  <c r="L94" i="87" s="1"/>
  <c r="S88" i="87"/>
  <c r="J94" i="87" s="1"/>
  <c r="R88" i="87"/>
  <c r="L93" i="87" s="1"/>
  <c r="Q88" i="87"/>
  <c r="J93" i="87" s="1"/>
  <c r="F88" i="87"/>
  <c r="E88" i="87"/>
  <c r="C88" i="87"/>
  <c r="B88" i="87"/>
  <c r="AA85" i="87"/>
  <c r="Z85" i="87"/>
  <c r="X85" i="87"/>
  <c r="K84" i="87"/>
  <c r="F84" i="87"/>
  <c r="K83" i="87"/>
  <c r="K82" i="87" s="1"/>
  <c r="I83" i="87"/>
  <c r="I82" i="87" s="1"/>
  <c r="G83" i="87"/>
  <c r="G82" i="87" s="1"/>
  <c r="H82" i="87"/>
  <c r="AA80" i="87"/>
  <c r="Z80" i="87"/>
  <c r="X80" i="87"/>
  <c r="J79" i="87"/>
  <c r="I79" i="87"/>
  <c r="H79" i="87"/>
  <c r="F79" i="87"/>
  <c r="K78" i="87"/>
  <c r="F78" i="87"/>
  <c r="K77" i="87"/>
  <c r="F77" i="87"/>
  <c r="K76" i="87"/>
  <c r="F76" i="87"/>
  <c r="L75" i="87"/>
  <c r="K75" i="87"/>
  <c r="J75" i="87"/>
  <c r="I75" i="87"/>
  <c r="H75" i="87"/>
  <c r="G75" i="87"/>
  <c r="K74" i="87"/>
  <c r="I74" i="87"/>
  <c r="H74" i="87"/>
  <c r="G74" i="87"/>
  <c r="K73" i="87"/>
  <c r="I73" i="87"/>
  <c r="H73" i="87"/>
  <c r="G73" i="87"/>
  <c r="L72" i="87"/>
  <c r="K72" i="87"/>
  <c r="J72" i="87"/>
  <c r="W72" i="87" s="1"/>
  <c r="I72" i="87"/>
  <c r="H72" i="87"/>
  <c r="G72" i="87"/>
  <c r="V71" i="87"/>
  <c r="U71" i="87"/>
  <c r="T71" i="87"/>
  <c r="L77" i="87" s="1"/>
  <c r="S71" i="87"/>
  <c r="J77" i="87" s="1"/>
  <c r="R71" i="87"/>
  <c r="L76" i="87" s="1"/>
  <c r="Q71" i="87"/>
  <c r="J76" i="87" s="1"/>
  <c r="F71" i="87"/>
  <c r="E71" i="87"/>
  <c r="C71" i="87"/>
  <c r="B71" i="87"/>
  <c r="A70" i="87"/>
  <c r="K68" i="87"/>
  <c r="I68" i="87"/>
  <c r="K67" i="87"/>
  <c r="I67" i="87"/>
  <c r="A66" i="87"/>
  <c r="AA62" i="87"/>
  <c r="Z62" i="87"/>
  <c r="X62" i="87"/>
  <c r="K61" i="87"/>
  <c r="F61" i="87"/>
  <c r="K60" i="87"/>
  <c r="K59" i="87" s="1"/>
  <c r="I60" i="87"/>
  <c r="I59" i="87" s="1"/>
  <c r="G60" i="87"/>
  <c r="G59" i="87" s="1"/>
  <c r="H59" i="87"/>
  <c r="AA57" i="87"/>
  <c r="Z57" i="87"/>
  <c r="X57" i="87"/>
  <c r="J56" i="87"/>
  <c r="I56" i="87"/>
  <c r="H56" i="87"/>
  <c r="F56" i="87"/>
  <c r="K55" i="87"/>
  <c r="F55" i="87"/>
  <c r="K54" i="87"/>
  <c r="F54" i="87"/>
  <c r="K53" i="87"/>
  <c r="F53" i="87"/>
  <c r="L52" i="87"/>
  <c r="K52" i="87"/>
  <c r="J52" i="87"/>
  <c r="I52" i="87"/>
  <c r="H52" i="87"/>
  <c r="G52" i="87"/>
  <c r="K51" i="87"/>
  <c r="I51" i="87"/>
  <c r="H51" i="87"/>
  <c r="G51" i="87"/>
  <c r="K50" i="87"/>
  <c r="I50" i="87"/>
  <c r="H50" i="87"/>
  <c r="G50" i="87"/>
  <c r="L49" i="87"/>
  <c r="K49" i="87"/>
  <c r="J49" i="87"/>
  <c r="I49" i="87"/>
  <c r="H49" i="87"/>
  <c r="G49" i="87"/>
  <c r="V48" i="87"/>
  <c r="U48" i="87"/>
  <c r="T48" i="87"/>
  <c r="L54" i="87" s="1"/>
  <c r="S48" i="87"/>
  <c r="J54" i="87" s="1"/>
  <c r="R48" i="87"/>
  <c r="L53" i="87" s="1"/>
  <c r="Q48" i="87"/>
  <c r="J53" i="87" s="1"/>
  <c r="F48" i="87"/>
  <c r="E48" i="87"/>
  <c r="C48" i="87"/>
  <c r="B48" i="87"/>
  <c r="A47" i="87"/>
  <c r="A46" i="87"/>
  <c r="AK44" i="87"/>
  <c r="K176" i="87" l="1"/>
  <c r="L187" i="87" s="1"/>
  <c r="L195" i="87" s="1"/>
  <c r="K178" i="87"/>
  <c r="Y142" i="87"/>
  <c r="K168" i="87"/>
  <c r="W112" i="87"/>
  <c r="I178" i="87"/>
  <c r="Y168" i="87"/>
  <c r="I176" i="87"/>
  <c r="J187" i="87" s="1"/>
  <c r="J123" i="87"/>
  <c r="J122" i="87" s="1"/>
  <c r="J113" i="87" s="1"/>
  <c r="L83" i="87"/>
  <c r="L82" i="87" s="1"/>
  <c r="L73" i="87" s="1"/>
  <c r="J100" i="87"/>
  <c r="J91" i="87" s="1"/>
  <c r="W91" i="87" s="1"/>
  <c r="J60" i="87"/>
  <c r="W60" i="87" s="1"/>
  <c r="L123" i="87"/>
  <c r="P151" i="87"/>
  <c r="P154" i="87"/>
  <c r="P157" i="87"/>
  <c r="P160" i="87"/>
  <c r="L60" i="87"/>
  <c r="L51" i="87" s="1"/>
  <c r="O129" i="87"/>
  <c r="P142" i="87"/>
  <c r="P168" i="87"/>
  <c r="K170" i="87" s="1"/>
  <c r="J83" i="87"/>
  <c r="J74" i="87" s="1"/>
  <c r="W74" i="87" s="1"/>
  <c r="P129" i="87"/>
  <c r="L100" i="87"/>
  <c r="Y129" i="87"/>
  <c r="O142" i="87"/>
  <c r="O151" i="87"/>
  <c r="O154" i="87"/>
  <c r="O157" i="87"/>
  <c r="O160" i="87"/>
  <c r="O168" i="87"/>
  <c r="I170" i="87" s="1"/>
  <c r="I168" i="87"/>
  <c r="W49" i="87"/>
  <c r="W89" i="87"/>
  <c r="J124" i="87" l="1"/>
  <c r="W123" i="87"/>
  <c r="L114" i="87"/>
  <c r="J101" i="87"/>
  <c r="J95" i="87" s="1"/>
  <c r="J99" i="87"/>
  <c r="J90" i="87" s="1"/>
  <c r="W100" i="87"/>
  <c r="L84" i="87"/>
  <c r="K85" i="87" s="1"/>
  <c r="P85" i="87" s="1"/>
  <c r="L122" i="87"/>
  <c r="L113" i="87" s="1"/>
  <c r="J114" i="87"/>
  <c r="W114" i="87" s="1"/>
  <c r="L74" i="87"/>
  <c r="L124" i="87"/>
  <c r="K125" i="87" s="1"/>
  <c r="P125" i="87" s="1"/>
  <c r="J51" i="87"/>
  <c r="W51" i="87" s="1"/>
  <c r="J59" i="87"/>
  <c r="J50" i="87" s="1"/>
  <c r="J61" i="87"/>
  <c r="I62" i="87" s="1"/>
  <c r="L61" i="87"/>
  <c r="L55" i="87" s="1"/>
  <c r="L59" i="87"/>
  <c r="L50" i="87" s="1"/>
  <c r="W83" i="87"/>
  <c r="J84" i="87"/>
  <c r="J78" i="87" s="1"/>
  <c r="J82" i="87"/>
  <c r="J73" i="87" s="1"/>
  <c r="J118" i="87"/>
  <c r="Y120" i="87" s="1"/>
  <c r="I125" i="87"/>
  <c r="L91" i="87"/>
  <c r="L101" i="87"/>
  <c r="L99" i="87"/>
  <c r="L90" i="87" s="1"/>
  <c r="K177" i="87" l="1"/>
  <c r="L186" i="87" s="1"/>
  <c r="I102" i="87"/>
  <c r="Y102" i="87" s="1"/>
  <c r="L78" i="87"/>
  <c r="K80" i="87" s="1"/>
  <c r="K87" i="87" s="1"/>
  <c r="J55" i="87"/>
  <c r="O57" i="87" s="1"/>
  <c r="L118" i="87"/>
  <c r="K120" i="87" s="1"/>
  <c r="K127" i="87" s="1"/>
  <c r="O97" i="87"/>
  <c r="I177" i="87"/>
  <c r="J186" i="87" s="1"/>
  <c r="J189" i="87" s="1"/>
  <c r="I20" i="1" s="1"/>
  <c r="P57" i="87"/>
  <c r="K62" i="87"/>
  <c r="P62" i="87" s="1"/>
  <c r="I80" i="87"/>
  <c r="I85" i="87"/>
  <c r="Y85" i="87" s="1"/>
  <c r="O125" i="87"/>
  <c r="Y125" i="87"/>
  <c r="K57" i="87"/>
  <c r="O80" i="87"/>
  <c r="Y80" i="87"/>
  <c r="O62" i="87"/>
  <c r="Y62" i="87"/>
  <c r="O120" i="87"/>
  <c r="I120" i="87"/>
  <c r="I127" i="87" s="1"/>
  <c r="L95" i="87"/>
  <c r="P97" i="87" s="1"/>
  <c r="K102" i="87"/>
  <c r="P102" i="87" s="1"/>
  <c r="I97" i="87"/>
  <c r="I104" i="87" s="1"/>
  <c r="Y97" i="87"/>
  <c r="L194" i="87" l="1"/>
  <c r="L189" i="87"/>
  <c r="O102" i="87"/>
  <c r="Y57" i="87"/>
  <c r="K64" i="87"/>
  <c r="I57" i="87"/>
  <c r="I64" i="87" s="1"/>
  <c r="P80" i="87"/>
  <c r="K106" i="87" s="1"/>
  <c r="P120" i="87"/>
  <c r="K131" i="87" s="1"/>
  <c r="I87" i="87"/>
  <c r="O85" i="87"/>
  <c r="K66" i="87"/>
  <c r="I131" i="87"/>
  <c r="I66" i="87"/>
  <c r="K97" i="87"/>
  <c r="K104" i="87" s="1"/>
  <c r="J20" i="1" l="1"/>
  <c r="L197" i="87"/>
  <c r="K20" i="1" s="1"/>
  <c r="K135" i="87"/>
  <c r="K174" i="87" s="1"/>
  <c r="L184" i="87" s="1"/>
  <c r="I135" i="87"/>
  <c r="I174" i="87" s="1"/>
  <c r="J184" i="87" s="1"/>
  <c r="J190" i="87" s="1"/>
  <c r="I106" i="87"/>
  <c r="K105" i="86"/>
  <c r="I105" i="86"/>
  <c r="K104" i="86"/>
  <c r="I104" i="86"/>
  <c r="K101" i="86"/>
  <c r="I101" i="86"/>
  <c r="K100" i="86"/>
  <c r="I100" i="86"/>
  <c r="A99" i="86"/>
  <c r="AA97" i="86"/>
  <c r="Z97" i="86"/>
  <c r="X97" i="86"/>
  <c r="V95" i="86"/>
  <c r="U95" i="86"/>
  <c r="T95" i="86"/>
  <c r="S95" i="86"/>
  <c r="R95" i="86"/>
  <c r="Q95" i="86"/>
  <c r="B95" i="86"/>
  <c r="AA94" i="86"/>
  <c r="Z94" i="86"/>
  <c r="X94" i="86"/>
  <c r="V92" i="86"/>
  <c r="U92" i="86"/>
  <c r="T92" i="86"/>
  <c r="S92" i="86"/>
  <c r="R92" i="86"/>
  <c r="Q92" i="86"/>
  <c r="B92" i="86"/>
  <c r="A91" i="86"/>
  <c r="K89" i="86"/>
  <c r="I89" i="86"/>
  <c r="K88" i="86"/>
  <c r="I88" i="86"/>
  <c r="K86" i="86"/>
  <c r="I86" i="86"/>
  <c r="K85" i="86"/>
  <c r="I85" i="86"/>
  <c r="A84" i="86"/>
  <c r="AA80" i="86"/>
  <c r="Z80" i="86"/>
  <c r="X80" i="86"/>
  <c r="K79" i="86"/>
  <c r="F79" i="86"/>
  <c r="K78" i="86"/>
  <c r="K77" i="86" s="1"/>
  <c r="I78" i="86"/>
  <c r="I77" i="86" s="1"/>
  <c r="G78" i="86"/>
  <c r="H77" i="86"/>
  <c r="AA75" i="86"/>
  <c r="Z75" i="86"/>
  <c r="X75" i="86"/>
  <c r="J74" i="86"/>
  <c r="I74" i="86"/>
  <c r="H74" i="86"/>
  <c r="F74" i="86"/>
  <c r="K73" i="86"/>
  <c r="F73" i="86"/>
  <c r="K72" i="86"/>
  <c r="F72" i="86"/>
  <c r="K71" i="86"/>
  <c r="F71" i="86"/>
  <c r="L70" i="86"/>
  <c r="K70" i="86"/>
  <c r="J70" i="86"/>
  <c r="I70" i="86"/>
  <c r="H70" i="86"/>
  <c r="G70" i="86"/>
  <c r="K69" i="86"/>
  <c r="I69" i="86"/>
  <c r="H69" i="86"/>
  <c r="G69" i="86"/>
  <c r="K68" i="86"/>
  <c r="I68" i="86"/>
  <c r="H68" i="86"/>
  <c r="G68" i="86"/>
  <c r="L67" i="86"/>
  <c r="K67" i="86"/>
  <c r="J67" i="86"/>
  <c r="I67" i="86"/>
  <c r="H67" i="86"/>
  <c r="G67" i="86"/>
  <c r="V66" i="86"/>
  <c r="U66" i="86"/>
  <c r="T66" i="86"/>
  <c r="L72" i="86" s="1"/>
  <c r="S66" i="86"/>
  <c r="J72" i="86" s="1"/>
  <c r="R66" i="86"/>
  <c r="L71" i="86" s="1"/>
  <c r="Q66" i="86"/>
  <c r="J71" i="86" s="1"/>
  <c r="F66" i="86"/>
  <c r="E66" i="86"/>
  <c r="C66" i="86"/>
  <c r="B66" i="86"/>
  <c r="AA63" i="86"/>
  <c r="Z63" i="86"/>
  <c r="X63" i="86"/>
  <c r="K62" i="86"/>
  <c r="F62" i="86"/>
  <c r="K61" i="86"/>
  <c r="K60" i="86" s="1"/>
  <c r="I61" i="86"/>
  <c r="I60" i="86" s="1"/>
  <c r="G61" i="86"/>
  <c r="G60" i="86" s="1"/>
  <c r="H60" i="86"/>
  <c r="AA58" i="86"/>
  <c r="Z58" i="86"/>
  <c r="X58" i="86"/>
  <c r="J57" i="86"/>
  <c r="I57" i="86"/>
  <c r="H57" i="86"/>
  <c r="F57" i="86"/>
  <c r="K56" i="86"/>
  <c r="F56" i="86"/>
  <c r="K55" i="86"/>
  <c r="F55" i="86"/>
  <c r="K54" i="86"/>
  <c r="F54" i="86"/>
  <c r="L53" i="86"/>
  <c r="K53" i="86"/>
  <c r="J53" i="86"/>
  <c r="I53" i="86"/>
  <c r="H53" i="86"/>
  <c r="G53" i="86"/>
  <c r="K52" i="86"/>
  <c r="I52" i="86"/>
  <c r="H52" i="86"/>
  <c r="G52" i="86"/>
  <c r="K51" i="86"/>
  <c r="I51" i="86"/>
  <c r="H51" i="86"/>
  <c r="G51" i="86"/>
  <c r="L50" i="86"/>
  <c r="K50" i="86"/>
  <c r="J50" i="86"/>
  <c r="W50" i="86" s="1"/>
  <c r="I50" i="86"/>
  <c r="H50" i="86"/>
  <c r="G50" i="86"/>
  <c r="V49" i="86"/>
  <c r="U49" i="86"/>
  <c r="T49" i="86"/>
  <c r="L55" i="86" s="1"/>
  <c r="S49" i="86"/>
  <c r="J55" i="86" s="1"/>
  <c r="R49" i="86"/>
  <c r="L54" i="86" s="1"/>
  <c r="Q49" i="86"/>
  <c r="J54" i="86" s="1"/>
  <c r="F49" i="86"/>
  <c r="E49" i="86"/>
  <c r="C49" i="86"/>
  <c r="B49" i="86"/>
  <c r="A48" i="86"/>
  <c r="A46" i="86"/>
  <c r="AK44" i="86"/>
  <c r="J185" i="87" l="1"/>
  <c r="F20" i="1" s="1"/>
  <c r="L20" i="1" s="1"/>
  <c r="L190" i="87"/>
  <c r="L192" i="87"/>
  <c r="L198" i="87" s="1"/>
  <c r="L185" i="87"/>
  <c r="K109" i="86"/>
  <c r="Y94" i="86"/>
  <c r="I109" i="86"/>
  <c r="O97" i="86"/>
  <c r="K107" i="86"/>
  <c r="L118" i="86" s="1"/>
  <c r="L126" i="86" s="1"/>
  <c r="J61" i="86"/>
  <c r="J62" i="86" s="1"/>
  <c r="J78" i="86"/>
  <c r="L78" i="86"/>
  <c r="P94" i="86"/>
  <c r="P97" i="86"/>
  <c r="L61" i="86"/>
  <c r="W67" i="86"/>
  <c r="G77" i="86"/>
  <c r="O94" i="86"/>
  <c r="G20" i="1" l="1"/>
  <c r="M20" i="1" s="1"/>
  <c r="L193" i="87"/>
  <c r="H20" i="1" s="1"/>
  <c r="N20" i="1" s="1"/>
  <c r="L79" i="86"/>
  <c r="L73" i="86" s="1"/>
  <c r="I107" i="86"/>
  <c r="J118" i="86" s="1"/>
  <c r="Y97" i="86"/>
  <c r="J60" i="86"/>
  <c r="J51" i="86" s="1"/>
  <c r="J77" i="86"/>
  <c r="J68" i="86" s="1"/>
  <c r="W78" i="86"/>
  <c r="L77" i="86"/>
  <c r="L68" i="86" s="1"/>
  <c r="J79" i="86"/>
  <c r="I80" i="86" s="1"/>
  <c r="J69" i="86"/>
  <c r="W69" i="86" s="1"/>
  <c r="L69" i="86"/>
  <c r="W61" i="86"/>
  <c r="J52" i="86"/>
  <c r="W52" i="86" s="1"/>
  <c r="J56" i="86"/>
  <c r="I63" i="86"/>
  <c r="L60" i="86"/>
  <c r="L51" i="86" s="1"/>
  <c r="L52" i="86"/>
  <c r="L62" i="86"/>
  <c r="J73" i="86"/>
  <c r="K80" i="86" l="1"/>
  <c r="P80" i="86" s="1"/>
  <c r="I58" i="86"/>
  <c r="I65" i="86" s="1"/>
  <c r="K108" i="86"/>
  <c r="L117" i="86" s="1"/>
  <c r="I108" i="86"/>
  <c r="J117" i="86" s="1"/>
  <c r="J120" i="86" s="1"/>
  <c r="O75" i="86"/>
  <c r="P75" i="86"/>
  <c r="I75" i="86"/>
  <c r="Y80" i="86"/>
  <c r="O80" i="86"/>
  <c r="K75" i="86"/>
  <c r="K63" i="86"/>
  <c r="P63" i="86" s="1"/>
  <c r="L56" i="86"/>
  <c r="P58" i="86" s="1"/>
  <c r="Y63" i="86"/>
  <c r="O63" i="86"/>
  <c r="O58" i="86"/>
  <c r="Y75" i="86"/>
  <c r="Y58" i="86"/>
  <c r="I82" i="86" l="1"/>
  <c r="L120" i="86"/>
  <c r="L125" i="86"/>
  <c r="K82" i="86"/>
  <c r="I19" i="1"/>
  <c r="K58" i="86"/>
  <c r="K65" i="86" s="1"/>
  <c r="K84" i="86"/>
  <c r="K103" i="86" s="1"/>
  <c r="L115" i="86" s="1"/>
  <c r="L116" i="86" s="1"/>
  <c r="I84" i="86"/>
  <c r="I103" i="86" s="1"/>
  <c r="J115" i="86" s="1"/>
  <c r="L123" i="86" l="1"/>
  <c r="J116" i="86"/>
  <c r="F19" i="1" s="1"/>
  <c r="L19" i="1" s="1"/>
  <c r="J121" i="86"/>
  <c r="L121" i="86"/>
  <c r="L128" i="86"/>
  <c r="AL88" i="85"/>
  <c r="K86" i="85"/>
  <c r="I86" i="85"/>
  <c r="K85" i="85"/>
  <c r="I85" i="85"/>
  <c r="A84" i="85"/>
  <c r="AA82" i="85"/>
  <c r="Z82" i="85"/>
  <c r="X82" i="85"/>
  <c r="V81" i="85"/>
  <c r="U81" i="85"/>
  <c r="T81" i="85"/>
  <c r="S81" i="85"/>
  <c r="R81" i="85"/>
  <c r="Q81" i="85"/>
  <c r="L81" i="85"/>
  <c r="K82" i="85" s="1"/>
  <c r="K81" i="85"/>
  <c r="J81" i="85"/>
  <c r="I81" i="85"/>
  <c r="H81" i="85"/>
  <c r="G81" i="85"/>
  <c r="F81" i="85"/>
  <c r="E81" i="85"/>
  <c r="C81" i="85"/>
  <c r="B81" i="85"/>
  <c r="A80" i="85"/>
  <c r="K78" i="85"/>
  <c r="I78" i="85"/>
  <c r="K77" i="85"/>
  <c r="I77" i="85"/>
  <c r="A76" i="85"/>
  <c r="AA74" i="85"/>
  <c r="Z74" i="85"/>
  <c r="X74" i="85"/>
  <c r="V72" i="85"/>
  <c r="U72" i="85"/>
  <c r="T72" i="85"/>
  <c r="S72" i="85"/>
  <c r="R72" i="85"/>
  <c r="Q72" i="85"/>
  <c r="C72" i="85"/>
  <c r="B72" i="85"/>
  <c r="A71" i="85"/>
  <c r="K69" i="85"/>
  <c r="I69" i="85"/>
  <c r="K68" i="85"/>
  <c r="I68" i="85"/>
  <c r="A67" i="85"/>
  <c r="AA63" i="85"/>
  <c r="Z63" i="85"/>
  <c r="X63" i="85"/>
  <c r="K62" i="85"/>
  <c r="F62" i="85"/>
  <c r="K61" i="85"/>
  <c r="K60" i="85" s="1"/>
  <c r="I61" i="85"/>
  <c r="I60" i="85" s="1"/>
  <c r="G61" i="85"/>
  <c r="G60" i="85" s="1"/>
  <c r="H60" i="85"/>
  <c r="AA58" i="85"/>
  <c r="Z58" i="85"/>
  <c r="X58" i="85"/>
  <c r="J57" i="85"/>
  <c r="I57" i="85"/>
  <c r="H57" i="85"/>
  <c r="F57" i="85"/>
  <c r="K56" i="85"/>
  <c r="F56" i="85"/>
  <c r="K55" i="85"/>
  <c r="F55" i="85"/>
  <c r="K54" i="85"/>
  <c r="F54" i="85"/>
  <c r="L53" i="85"/>
  <c r="K53" i="85"/>
  <c r="J53" i="85"/>
  <c r="I53" i="85"/>
  <c r="H53" i="85"/>
  <c r="G53" i="85"/>
  <c r="K52" i="85"/>
  <c r="I52" i="85"/>
  <c r="H52" i="85"/>
  <c r="G52" i="85"/>
  <c r="K51" i="85"/>
  <c r="I51" i="85"/>
  <c r="H51" i="85"/>
  <c r="G51" i="85"/>
  <c r="L50" i="85"/>
  <c r="K92" i="85" s="1"/>
  <c r="K50" i="85"/>
  <c r="J50" i="85"/>
  <c r="I92" i="85" s="1"/>
  <c r="I50" i="85"/>
  <c r="H50" i="85"/>
  <c r="G50" i="85"/>
  <c r="V49" i="85"/>
  <c r="U49" i="85"/>
  <c r="T49" i="85"/>
  <c r="L55" i="85" s="1"/>
  <c r="S49" i="85"/>
  <c r="J55" i="85" s="1"/>
  <c r="R49" i="85"/>
  <c r="L54" i="85" s="1"/>
  <c r="Q49" i="85"/>
  <c r="J54" i="85" s="1"/>
  <c r="F49" i="85"/>
  <c r="E49" i="85"/>
  <c r="C49" i="85"/>
  <c r="B49" i="85"/>
  <c r="A48" i="85"/>
  <c r="A46" i="85"/>
  <c r="AK44" i="85"/>
  <c r="L129" i="86" l="1"/>
  <c r="G19" i="1"/>
  <c r="L124" i="86"/>
  <c r="H19" i="1" s="1"/>
  <c r="K19" i="1"/>
  <c r="J19" i="1"/>
  <c r="K90" i="85"/>
  <c r="L100" i="85" s="1"/>
  <c r="L108" i="85" s="1"/>
  <c r="I90" i="85"/>
  <c r="J100" i="85" s="1"/>
  <c r="O82" i="85"/>
  <c r="I84" i="85" s="1"/>
  <c r="I82" i="85"/>
  <c r="J61" i="85"/>
  <c r="P74" i="85"/>
  <c r="L61" i="85"/>
  <c r="P82" i="85"/>
  <c r="K84" i="85" s="1"/>
  <c r="Y82" i="85"/>
  <c r="W50" i="85"/>
  <c r="M19" i="1" l="1"/>
  <c r="N19" i="1"/>
  <c r="Y74" i="85"/>
  <c r="J52" i="85"/>
  <c r="W52" i="85" s="1"/>
  <c r="O74" i="85"/>
  <c r="J62" i="85"/>
  <c r="I63" i="85" s="1"/>
  <c r="J60" i="85"/>
  <c r="J51" i="85" s="1"/>
  <c r="W61" i="85"/>
  <c r="L52" i="85"/>
  <c r="K91" i="85" s="1"/>
  <c r="L99" i="85" s="1"/>
  <c r="L62" i="85"/>
  <c r="L60" i="85"/>
  <c r="L51" i="85" s="1"/>
  <c r="L107" i="85" l="1"/>
  <c r="L102" i="85"/>
  <c r="I91" i="85"/>
  <c r="J56" i="85"/>
  <c r="I58" i="85" s="1"/>
  <c r="I65" i="85" s="1"/>
  <c r="O63" i="85"/>
  <c r="Y63" i="85"/>
  <c r="L56" i="85"/>
  <c r="P58" i="85" s="1"/>
  <c r="K63" i="85"/>
  <c r="P63" i="85" s="1"/>
  <c r="J18" i="1" l="1"/>
  <c r="L110" i="85"/>
  <c r="O58" i="85"/>
  <c r="J99" i="85"/>
  <c r="J102" i="85" s="1"/>
  <c r="I18" i="1" s="1"/>
  <c r="Y58" i="85"/>
  <c r="K58" i="85"/>
  <c r="K65" i="85" s="1"/>
  <c r="K67" i="85"/>
  <c r="K76" i="85" s="1"/>
  <c r="K88" i="85" s="1"/>
  <c r="L97" i="85" s="1"/>
  <c r="L105" i="85" l="1"/>
  <c r="L111" i="85" s="1"/>
  <c r="L103" i="85"/>
  <c r="K18" i="1"/>
  <c r="I67" i="85"/>
  <c r="I76" i="85" s="1"/>
  <c r="I88" i="85" s="1"/>
  <c r="J97" i="85" s="1"/>
  <c r="AL67" i="84"/>
  <c r="K65" i="84"/>
  <c r="I65" i="84"/>
  <c r="K64" i="84"/>
  <c r="I64" i="84"/>
  <c r="A63" i="84"/>
  <c r="AA59" i="84"/>
  <c r="Z59" i="84"/>
  <c r="X59" i="84"/>
  <c r="K58" i="84"/>
  <c r="F58" i="84"/>
  <c r="K57" i="84"/>
  <c r="K56" i="84" s="1"/>
  <c r="I57" i="84"/>
  <c r="I56" i="84" s="1"/>
  <c r="G57" i="84"/>
  <c r="H56" i="84"/>
  <c r="AA54" i="84"/>
  <c r="Z54" i="84"/>
  <c r="X54" i="84"/>
  <c r="J53" i="84"/>
  <c r="I53" i="84"/>
  <c r="H53" i="84"/>
  <c r="F53" i="84"/>
  <c r="K52" i="84"/>
  <c r="F52" i="84"/>
  <c r="K51" i="84"/>
  <c r="F51" i="84"/>
  <c r="K50" i="84"/>
  <c r="F50" i="84"/>
  <c r="L49" i="84"/>
  <c r="K69" i="84" s="1"/>
  <c r="L77" i="84" s="1"/>
  <c r="L85" i="84" s="1"/>
  <c r="K49" i="84"/>
  <c r="J49" i="84"/>
  <c r="I69" i="84" s="1"/>
  <c r="J77" i="84" s="1"/>
  <c r="I49" i="84"/>
  <c r="H49" i="84"/>
  <c r="G49" i="84"/>
  <c r="K48" i="84"/>
  <c r="I48" i="84"/>
  <c r="H48" i="84"/>
  <c r="G48" i="84"/>
  <c r="K47" i="84"/>
  <c r="I47" i="84"/>
  <c r="H47" i="84"/>
  <c r="G47" i="84"/>
  <c r="L46" i="84"/>
  <c r="K71" i="84" s="1"/>
  <c r="K46" i="84"/>
  <c r="J46" i="84"/>
  <c r="I71" i="84" s="1"/>
  <c r="I46" i="84"/>
  <c r="H46" i="84"/>
  <c r="G46" i="84"/>
  <c r="V45" i="84"/>
  <c r="U45" i="84"/>
  <c r="T45" i="84"/>
  <c r="L51" i="84" s="1"/>
  <c r="S45" i="84"/>
  <c r="J51" i="84" s="1"/>
  <c r="R45" i="84"/>
  <c r="L50" i="84" s="1"/>
  <c r="Q45" i="84"/>
  <c r="J50" i="84" s="1"/>
  <c r="F45" i="84"/>
  <c r="E45" i="84"/>
  <c r="C45" i="84"/>
  <c r="B45" i="84"/>
  <c r="A44" i="84"/>
  <c r="A42" i="84"/>
  <c r="AK40" i="84"/>
  <c r="J98" i="85" l="1"/>
  <c r="F18" i="1" s="1"/>
  <c r="L18" i="1" s="1"/>
  <c r="J103" i="85"/>
  <c r="L98" i="85"/>
  <c r="J57" i="84"/>
  <c r="J58" i="84" s="1"/>
  <c r="L57" i="84"/>
  <c r="W46" i="84"/>
  <c r="G56" i="84"/>
  <c r="G18" i="1" l="1"/>
  <c r="M18" i="1" s="1"/>
  <c r="L106" i="85"/>
  <c r="H18" i="1" s="1"/>
  <c r="N18" i="1" s="1"/>
  <c r="J56" i="84"/>
  <c r="J47" i="84" s="1"/>
  <c r="W57" i="84"/>
  <c r="J48" i="84"/>
  <c r="W48" i="84" s="1"/>
  <c r="L58" i="84"/>
  <c r="L52" i="84" s="1"/>
  <c r="L56" i="84"/>
  <c r="L47" i="84" s="1"/>
  <c r="L48" i="84"/>
  <c r="K70" i="84" s="1"/>
  <c r="L76" i="84" s="1"/>
  <c r="I59" i="84"/>
  <c r="J52" i="84"/>
  <c r="L84" i="84" l="1"/>
  <c r="L79" i="84"/>
  <c r="K59" i="84"/>
  <c r="P59" i="84" s="1"/>
  <c r="I70" i="84"/>
  <c r="P54" i="84"/>
  <c r="K54" i="84"/>
  <c r="Y54" i="84"/>
  <c r="O54" i="84"/>
  <c r="I54" i="84"/>
  <c r="I61" i="84" s="1"/>
  <c r="O59" i="84"/>
  <c r="Y59" i="84"/>
  <c r="J17" i="1" l="1"/>
  <c r="L87" i="84"/>
  <c r="K17" i="1" s="1"/>
  <c r="K61" i="84"/>
  <c r="J76" i="84"/>
  <c r="J79" i="84" s="1"/>
  <c r="I17" i="1" s="1"/>
  <c r="K63" i="84"/>
  <c r="K67" i="84"/>
  <c r="L74" i="84" s="1"/>
  <c r="I63" i="84"/>
  <c r="I67" i="84"/>
  <c r="J74" i="84" s="1"/>
  <c r="J75" i="84" l="1"/>
  <c r="F17" i="1" s="1"/>
  <c r="J80" i="84"/>
  <c r="L82" i="84"/>
  <c r="L88" i="84" s="1"/>
  <c r="L80" i="84"/>
  <c r="L75" i="84"/>
  <c r="L17" i="1" l="1"/>
  <c r="L83" i="84"/>
  <c r="H17" i="1" s="1"/>
  <c r="N17" i="1" s="1"/>
  <c r="G17" i="1"/>
  <c r="M17" i="1" s="1"/>
  <c r="K152" i="83"/>
  <c r="K136" i="83"/>
  <c r="I136" i="83"/>
  <c r="K135" i="83"/>
  <c r="I135" i="83"/>
  <c r="K134" i="83"/>
  <c r="L141" i="83" s="1"/>
  <c r="K151" i="83" s="1"/>
  <c r="I134" i="83"/>
  <c r="J141" i="83" s="1"/>
  <c r="K133" i="83"/>
  <c r="J133" i="83"/>
  <c r="K132" i="83"/>
  <c r="J132" i="83"/>
  <c r="AF131" i="83"/>
  <c r="K129" i="83"/>
  <c r="J129" i="83"/>
  <c r="K128" i="83"/>
  <c r="J128" i="83"/>
  <c r="A127" i="83"/>
  <c r="K122" i="83"/>
  <c r="F122" i="83"/>
  <c r="K121" i="83"/>
  <c r="K120" i="83" s="1"/>
  <c r="I121" i="83"/>
  <c r="I120" i="83" s="1"/>
  <c r="G121" i="83"/>
  <c r="G120" i="83" s="1"/>
  <c r="H120" i="83"/>
  <c r="J117" i="83"/>
  <c r="I117" i="83"/>
  <c r="H117" i="83"/>
  <c r="F117" i="83"/>
  <c r="K116" i="83"/>
  <c r="F116" i="83"/>
  <c r="K115" i="83"/>
  <c r="F115" i="83"/>
  <c r="K114" i="83"/>
  <c r="F114" i="83"/>
  <c r="V113" i="83"/>
  <c r="U113" i="83"/>
  <c r="T113" i="83"/>
  <c r="S113" i="83"/>
  <c r="R113" i="83"/>
  <c r="Q113" i="83"/>
  <c r="L113" i="83"/>
  <c r="K113" i="83"/>
  <c r="J113" i="83"/>
  <c r="I113" i="83"/>
  <c r="G113" i="83"/>
  <c r="F113" i="83"/>
  <c r="E113" i="83"/>
  <c r="C113" i="83"/>
  <c r="B113" i="83"/>
  <c r="V112" i="83"/>
  <c r="U112" i="83"/>
  <c r="T112" i="83"/>
  <c r="S112" i="83"/>
  <c r="R112" i="83"/>
  <c r="Q112" i="83"/>
  <c r="L112" i="83"/>
  <c r="K112" i="83"/>
  <c r="J112" i="83"/>
  <c r="I112" i="83"/>
  <c r="G112" i="83"/>
  <c r="F112" i="83"/>
  <c r="E112" i="83"/>
  <c r="C112" i="83"/>
  <c r="B112" i="83"/>
  <c r="K111" i="83"/>
  <c r="I111" i="83"/>
  <c r="H111" i="83"/>
  <c r="G111" i="83"/>
  <c r="K110" i="83"/>
  <c r="I110" i="83"/>
  <c r="H110" i="83"/>
  <c r="G110" i="83"/>
  <c r="L109" i="83"/>
  <c r="K109" i="83"/>
  <c r="J109" i="83"/>
  <c r="I109" i="83"/>
  <c r="H109" i="83"/>
  <c r="G109" i="83"/>
  <c r="V108" i="83"/>
  <c r="U108" i="83"/>
  <c r="T108" i="83"/>
  <c r="S108" i="83"/>
  <c r="R108" i="83"/>
  <c r="Q108" i="83"/>
  <c r="F108" i="83"/>
  <c r="E108" i="83"/>
  <c r="B108" i="83"/>
  <c r="A107" i="83"/>
  <c r="K105" i="83"/>
  <c r="J105" i="83"/>
  <c r="K104" i="83"/>
  <c r="J104" i="83"/>
  <c r="A103" i="83"/>
  <c r="K98" i="83"/>
  <c r="F98" i="83"/>
  <c r="K97" i="83"/>
  <c r="K96" i="83" s="1"/>
  <c r="I97" i="83"/>
  <c r="I96" i="83" s="1"/>
  <c r="G97" i="83"/>
  <c r="G96" i="83" s="1"/>
  <c r="H96" i="83"/>
  <c r="J93" i="83"/>
  <c r="I93" i="83"/>
  <c r="H93" i="83"/>
  <c r="F93" i="83"/>
  <c r="K92" i="83"/>
  <c r="F92" i="83"/>
  <c r="K91" i="83"/>
  <c r="F91" i="83"/>
  <c r="K90" i="83"/>
  <c r="F90" i="83"/>
  <c r="V89" i="83"/>
  <c r="U89" i="83"/>
  <c r="T89" i="83"/>
  <c r="S89" i="83"/>
  <c r="R89" i="83"/>
  <c r="Q89" i="83"/>
  <c r="L89" i="83"/>
  <c r="K89" i="83"/>
  <c r="J89" i="83"/>
  <c r="I89" i="83"/>
  <c r="G89" i="83"/>
  <c r="F89" i="83"/>
  <c r="E89" i="83"/>
  <c r="C89" i="83"/>
  <c r="B89" i="83"/>
  <c r="K88" i="83"/>
  <c r="I88" i="83"/>
  <c r="H88" i="83"/>
  <c r="G88" i="83"/>
  <c r="K87" i="83"/>
  <c r="I87" i="83"/>
  <c r="H87" i="83"/>
  <c r="G87" i="83"/>
  <c r="L86" i="83"/>
  <c r="K86" i="83"/>
  <c r="J86" i="83"/>
  <c r="I86" i="83"/>
  <c r="H86" i="83"/>
  <c r="G86" i="83"/>
  <c r="V85" i="83"/>
  <c r="U85" i="83"/>
  <c r="T85" i="83"/>
  <c r="S85" i="83"/>
  <c r="R85" i="83"/>
  <c r="Q85" i="83"/>
  <c r="F85" i="83"/>
  <c r="E85" i="83"/>
  <c r="B85" i="83"/>
  <c r="A84" i="83"/>
  <c r="K82" i="83"/>
  <c r="J82" i="83"/>
  <c r="K81" i="83"/>
  <c r="J81" i="83"/>
  <c r="A80" i="83"/>
  <c r="K75" i="83"/>
  <c r="F75" i="83"/>
  <c r="K74" i="83"/>
  <c r="K73" i="83" s="1"/>
  <c r="I74" i="83"/>
  <c r="I73" i="83" s="1"/>
  <c r="G74" i="83"/>
  <c r="G73" i="83" s="1"/>
  <c r="H73" i="83"/>
  <c r="J70" i="83"/>
  <c r="I70" i="83"/>
  <c r="H70" i="83"/>
  <c r="F70" i="83"/>
  <c r="K69" i="83"/>
  <c r="F69" i="83"/>
  <c r="K68" i="83"/>
  <c r="F68" i="83"/>
  <c r="K67" i="83"/>
  <c r="F67" i="83"/>
  <c r="V66" i="83"/>
  <c r="U66" i="83"/>
  <c r="T66" i="83"/>
  <c r="S66" i="83"/>
  <c r="R66" i="83"/>
  <c r="Q66" i="83"/>
  <c r="L66" i="83"/>
  <c r="K66" i="83"/>
  <c r="J66" i="83"/>
  <c r="I66" i="83"/>
  <c r="G66" i="83"/>
  <c r="F66" i="83"/>
  <c r="E66" i="83"/>
  <c r="C66" i="83"/>
  <c r="B66" i="83"/>
  <c r="L65" i="83"/>
  <c r="K65" i="83"/>
  <c r="J65" i="83"/>
  <c r="I65" i="83"/>
  <c r="H65" i="83"/>
  <c r="G65" i="83"/>
  <c r="K64" i="83"/>
  <c r="I64" i="83"/>
  <c r="H64" i="83"/>
  <c r="G64" i="83"/>
  <c r="K63" i="83"/>
  <c r="I63" i="83"/>
  <c r="H63" i="83"/>
  <c r="G63" i="83"/>
  <c r="L62" i="83"/>
  <c r="K62" i="83"/>
  <c r="J62" i="83"/>
  <c r="I62" i="83"/>
  <c r="H62" i="83"/>
  <c r="G62" i="83"/>
  <c r="V61" i="83"/>
  <c r="U61" i="83"/>
  <c r="T61" i="83"/>
  <c r="S61" i="83"/>
  <c r="R61" i="83"/>
  <c r="Q61" i="83"/>
  <c r="F61" i="83"/>
  <c r="E61" i="83"/>
  <c r="B61" i="83"/>
  <c r="K57" i="83"/>
  <c r="F57" i="83"/>
  <c r="K56" i="83"/>
  <c r="K55" i="83" s="1"/>
  <c r="I56" i="83"/>
  <c r="I55" i="83" s="1"/>
  <c r="G56" i="83"/>
  <c r="G55" i="83" s="1"/>
  <c r="H55" i="83"/>
  <c r="J52" i="83"/>
  <c r="I52" i="83"/>
  <c r="H52" i="83"/>
  <c r="F52" i="83"/>
  <c r="K51" i="83"/>
  <c r="F51" i="83"/>
  <c r="K50" i="83"/>
  <c r="F50" i="83"/>
  <c r="K49" i="83"/>
  <c r="F49" i="83"/>
  <c r="V48" i="83"/>
  <c r="U48" i="83"/>
  <c r="T48" i="83"/>
  <c r="S48" i="83"/>
  <c r="R48" i="83"/>
  <c r="Q48" i="83"/>
  <c r="L48" i="83"/>
  <c r="K48" i="83"/>
  <c r="J48" i="83"/>
  <c r="I48" i="83"/>
  <c r="G48" i="83"/>
  <c r="F48" i="83"/>
  <c r="E48" i="83"/>
  <c r="C48" i="83"/>
  <c r="B48" i="83"/>
  <c r="V47" i="83"/>
  <c r="U47" i="83"/>
  <c r="T47" i="83"/>
  <c r="S47" i="83"/>
  <c r="R47" i="83"/>
  <c r="Q47" i="83"/>
  <c r="L47" i="83"/>
  <c r="K47" i="83"/>
  <c r="J47" i="83"/>
  <c r="I47" i="83"/>
  <c r="G47" i="83"/>
  <c r="F47" i="83"/>
  <c r="E47" i="83"/>
  <c r="C47" i="83"/>
  <c r="B47" i="83"/>
  <c r="V46" i="83"/>
  <c r="U46" i="83"/>
  <c r="T46" i="83"/>
  <c r="S46" i="83"/>
  <c r="R46" i="83"/>
  <c r="Q46" i="83"/>
  <c r="L46" i="83"/>
  <c r="K46" i="83"/>
  <c r="J46" i="83"/>
  <c r="I46" i="83"/>
  <c r="G46" i="83"/>
  <c r="F46" i="83"/>
  <c r="E46" i="83"/>
  <c r="C46" i="83"/>
  <c r="B46" i="83"/>
  <c r="L45" i="83"/>
  <c r="K45" i="83"/>
  <c r="J45" i="83"/>
  <c r="I45" i="83"/>
  <c r="H45" i="83"/>
  <c r="G45" i="83"/>
  <c r="K44" i="83"/>
  <c r="I44" i="83"/>
  <c r="H44" i="83"/>
  <c r="G44" i="83"/>
  <c r="K43" i="83"/>
  <c r="I43" i="83"/>
  <c r="H43" i="83"/>
  <c r="G43" i="83"/>
  <c r="L42" i="83"/>
  <c r="K42" i="83"/>
  <c r="J42" i="83"/>
  <c r="I42" i="83"/>
  <c r="H42" i="83"/>
  <c r="G42" i="83"/>
  <c r="V41" i="83"/>
  <c r="U41" i="83"/>
  <c r="T41" i="83"/>
  <c r="S41" i="83"/>
  <c r="R41" i="83"/>
  <c r="Q41" i="83"/>
  <c r="F41" i="83"/>
  <c r="E41" i="83"/>
  <c r="B41" i="83"/>
  <c r="A40" i="83"/>
  <c r="J68" i="83" l="1"/>
  <c r="J121" i="83"/>
  <c r="J120" i="83" s="1"/>
  <c r="J110" i="83" s="1"/>
  <c r="L115" i="83"/>
  <c r="J67" i="83"/>
  <c r="J74" i="83"/>
  <c r="J75" i="83" s="1"/>
  <c r="L68" i="83"/>
  <c r="L67" i="83"/>
  <c r="L90" i="83"/>
  <c r="L114" i="83"/>
  <c r="J114" i="83"/>
  <c r="J140" i="83"/>
  <c r="I146" i="83" s="1"/>
  <c r="L56" i="83"/>
  <c r="L55" i="83" s="1"/>
  <c r="L43" i="83" s="1"/>
  <c r="L50" i="83"/>
  <c r="L91" i="83"/>
  <c r="J49" i="83"/>
  <c r="L49" i="83"/>
  <c r="L97" i="83"/>
  <c r="L98" i="83" s="1"/>
  <c r="J91" i="83"/>
  <c r="J50" i="83"/>
  <c r="J90" i="83"/>
  <c r="J115" i="83"/>
  <c r="L140" i="83"/>
  <c r="K146" i="83" s="1"/>
  <c r="J56" i="83"/>
  <c r="L74" i="83"/>
  <c r="J97" i="83"/>
  <c r="L121" i="83"/>
  <c r="J73" i="83" l="1"/>
  <c r="J63" i="83" s="1"/>
  <c r="J111" i="83"/>
  <c r="J122" i="83"/>
  <c r="J116" i="83" s="1"/>
  <c r="I118" i="83" s="1"/>
  <c r="J64" i="83"/>
  <c r="K154" i="83"/>
  <c r="K157" i="83" s="1"/>
  <c r="L57" i="83"/>
  <c r="K58" i="83" s="1"/>
  <c r="P58" i="83" s="1"/>
  <c r="L44" i="83"/>
  <c r="L96" i="83"/>
  <c r="L87" i="83" s="1"/>
  <c r="L88" i="83"/>
  <c r="J44" i="83"/>
  <c r="J57" i="83"/>
  <c r="J55" i="83"/>
  <c r="J43" i="83" s="1"/>
  <c r="L73" i="83"/>
  <c r="L63" i="83" s="1"/>
  <c r="L75" i="83"/>
  <c r="L64" i="83"/>
  <c r="J88" i="83"/>
  <c r="J96" i="83"/>
  <c r="J87" i="83" s="1"/>
  <c r="J98" i="83"/>
  <c r="L120" i="83"/>
  <c r="L110" i="83" s="1"/>
  <c r="L111" i="83"/>
  <c r="L122" i="83"/>
  <c r="J69" i="83"/>
  <c r="I76" i="83"/>
  <c r="O76" i="83" s="1"/>
  <c r="K99" i="83"/>
  <c r="P99" i="83" s="1"/>
  <c r="L92" i="83"/>
  <c r="O71" i="83" l="1"/>
  <c r="L51" i="83"/>
  <c r="P53" i="83" s="1"/>
  <c r="I123" i="83"/>
  <c r="O123" i="83" s="1"/>
  <c r="O118" i="83"/>
  <c r="K94" i="83"/>
  <c r="K101" i="83" s="1"/>
  <c r="P94" i="83"/>
  <c r="K103" i="83" s="1"/>
  <c r="I71" i="83"/>
  <c r="I78" i="83" s="1"/>
  <c r="L69" i="83"/>
  <c r="P71" i="83" s="1"/>
  <c r="K76" i="83"/>
  <c r="P76" i="83" s="1"/>
  <c r="K123" i="83"/>
  <c r="P123" i="83" s="1"/>
  <c r="L116" i="83"/>
  <c r="P118" i="83" s="1"/>
  <c r="J51" i="83"/>
  <c r="I53" i="83" s="1"/>
  <c r="I58" i="83"/>
  <c r="O58" i="83" s="1"/>
  <c r="J92" i="83"/>
  <c r="O94" i="83" s="1"/>
  <c r="I99" i="83"/>
  <c r="O99" i="83" s="1"/>
  <c r="K53" i="83" l="1"/>
  <c r="K60" i="83" s="1"/>
  <c r="I125" i="83"/>
  <c r="I127" i="83"/>
  <c r="K127" i="83"/>
  <c r="I60" i="83"/>
  <c r="I94" i="83"/>
  <c r="I101" i="83" s="1"/>
  <c r="O53" i="83"/>
  <c r="K118" i="83"/>
  <c r="K125" i="83" s="1"/>
  <c r="I103" i="83"/>
  <c r="K71" i="83"/>
  <c r="K78" i="83" s="1"/>
  <c r="K80" i="83"/>
  <c r="K131" i="83"/>
  <c r="L138" i="83" s="1"/>
  <c r="L139" i="83" s="1"/>
  <c r="K150" i="83" l="1"/>
  <c r="K144" i="83"/>
  <c r="K145" i="83" s="1"/>
  <c r="K147" i="83" s="1"/>
  <c r="I131" i="83"/>
  <c r="J138" i="83" s="1"/>
  <c r="J139" i="83" s="1"/>
  <c r="I80" i="83"/>
  <c r="I144" i="83" l="1"/>
  <c r="I145" i="83" s="1"/>
  <c r="I147" i="83" s="1"/>
  <c r="L149" i="83"/>
  <c r="K155" i="83"/>
  <c r="K156" i="83" s="1"/>
  <c r="K158" i="83" s="1"/>
  <c r="K88" i="82" l="1"/>
  <c r="K72" i="82"/>
  <c r="I72" i="82"/>
  <c r="D72" i="82"/>
  <c r="K71" i="82"/>
  <c r="I71" i="82"/>
  <c r="D71" i="82"/>
  <c r="K70" i="82"/>
  <c r="L77" i="82" s="1"/>
  <c r="K87" i="82" s="1"/>
  <c r="I70" i="82"/>
  <c r="J77" i="82" s="1"/>
  <c r="D70" i="82"/>
  <c r="K69" i="82"/>
  <c r="J69" i="82"/>
  <c r="K68" i="82"/>
  <c r="J68" i="82"/>
  <c r="AF67" i="82"/>
  <c r="K65" i="82"/>
  <c r="J65" i="82"/>
  <c r="K64" i="82"/>
  <c r="J64" i="82"/>
  <c r="A63" i="82"/>
  <c r="K58" i="82"/>
  <c r="F58" i="82"/>
  <c r="K57" i="82"/>
  <c r="K56" i="82" s="1"/>
  <c r="I57" i="82"/>
  <c r="I56" i="82" s="1"/>
  <c r="G57" i="82"/>
  <c r="G56" i="82" s="1"/>
  <c r="H56" i="82"/>
  <c r="J53" i="82"/>
  <c r="I53" i="82"/>
  <c r="H53" i="82"/>
  <c r="F53" i="82"/>
  <c r="K52" i="82"/>
  <c r="F52" i="82"/>
  <c r="K51" i="82"/>
  <c r="F51" i="82"/>
  <c r="K50" i="82"/>
  <c r="F50" i="82"/>
  <c r="V49" i="82"/>
  <c r="U49" i="82"/>
  <c r="T49" i="82"/>
  <c r="S49" i="82"/>
  <c r="R49" i="82"/>
  <c r="Q49" i="82"/>
  <c r="L49" i="82"/>
  <c r="K49" i="82"/>
  <c r="J49" i="82"/>
  <c r="I49" i="82"/>
  <c r="G49" i="82"/>
  <c r="F49" i="82"/>
  <c r="E49" i="82"/>
  <c r="C49" i="82"/>
  <c r="B49" i="82"/>
  <c r="V48" i="82"/>
  <c r="U48" i="82"/>
  <c r="T48" i="82"/>
  <c r="S48" i="82"/>
  <c r="R48" i="82"/>
  <c r="Q48" i="82"/>
  <c r="L48" i="82"/>
  <c r="K48" i="82"/>
  <c r="J48" i="82"/>
  <c r="I48" i="82"/>
  <c r="G48" i="82"/>
  <c r="F48" i="82"/>
  <c r="E48" i="82"/>
  <c r="C48" i="82"/>
  <c r="B48" i="82"/>
  <c r="V47" i="82"/>
  <c r="U47" i="82"/>
  <c r="T47" i="82"/>
  <c r="S47" i="82"/>
  <c r="R47" i="82"/>
  <c r="Q47" i="82"/>
  <c r="L47" i="82"/>
  <c r="K47" i="82"/>
  <c r="J47" i="82"/>
  <c r="I47" i="82"/>
  <c r="G47" i="82"/>
  <c r="F47" i="82"/>
  <c r="E47" i="82"/>
  <c r="C47" i="82"/>
  <c r="B47" i="82"/>
  <c r="L46" i="82"/>
  <c r="K46" i="82"/>
  <c r="J46" i="82"/>
  <c r="I46" i="82"/>
  <c r="H46" i="82"/>
  <c r="G46" i="82"/>
  <c r="K45" i="82"/>
  <c r="I45" i="82"/>
  <c r="H45" i="82"/>
  <c r="G45" i="82"/>
  <c r="K44" i="82"/>
  <c r="I44" i="82"/>
  <c r="H44" i="82"/>
  <c r="G44" i="82"/>
  <c r="L43" i="82"/>
  <c r="K43" i="82"/>
  <c r="J43" i="82"/>
  <c r="I43" i="82"/>
  <c r="H43" i="82"/>
  <c r="G43" i="82"/>
  <c r="V42" i="82"/>
  <c r="U42" i="82"/>
  <c r="T42" i="82"/>
  <c r="S42" i="82"/>
  <c r="R42" i="82"/>
  <c r="Q42" i="82"/>
  <c r="F42" i="82"/>
  <c r="J57" i="82" s="1"/>
  <c r="E42" i="82"/>
  <c r="C42" i="82"/>
  <c r="B42" i="82"/>
  <c r="A41" i="82"/>
  <c r="J50" i="82" l="1"/>
  <c r="L50" i="82"/>
  <c r="J76" i="82"/>
  <c r="I82" i="82" s="1"/>
  <c r="L51" i="82"/>
  <c r="L76" i="82"/>
  <c r="K90" i="82" s="1"/>
  <c r="K93" i="82" s="1"/>
  <c r="J51" i="82"/>
  <c r="J58" i="82"/>
  <c r="J56" i="82"/>
  <c r="J44" i="82" s="1"/>
  <c r="J45" i="82"/>
  <c r="L57" i="82"/>
  <c r="K82" i="82" l="1"/>
  <c r="L45" i="82"/>
  <c r="L58" i="82"/>
  <c r="L56" i="82"/>
  <c r="L44" i="82" s="1"/>
  <c r="I59" i="82"/>
  <c r="O59" i="82" s="1"/>
  <c r="J52" i="82"/>
  <c r="I54" i="82" s="1"/>
  <c r="I61" i="82" s="1"/>
  <c r="O54" i="82" l="1"/>
  <c r="I67" i="82" s="1"/>
  <c r="J74" i="82" s="1"/>
  <c r="J75" i="82" s="1"/>
  <c r="K59" i="82"/>
  <c r="P59" i="82" s="1"/>
  <c r="L52" i="82"/>
  <c r="P54" i="82" s="1"/>
  <c r="I63" i="82" l="1"/>
  <c r="K54" i="82"/>
  <c r="K61" i="82" s="1"/>
  <c r="I80" i="82"/>
  <c r="I81" i="82" s="1"/>
  <c r="I83" i="82" s="1"/>
  <c r="K63" i="82"/>
  <c r="K67" i="82"/>
  <c r="L74" i="82" s="1"/>
  <c r="L75" i="82" s="1"/>
  <c r="K86" i="82" l="1"/>
  <c r="K80" i="82"/>
  <c r="K81" i="82" s="1"/>
  <c r="K83" i="82" s="1"/>
  <c r="L85" i="82" l="1"/>
  <c r="K91" i="82"/>
  <c r="K92" i="82" s="1"/>
  <c r="K94" i="82" s="1"/>
  <c r="K86" i="81" l="1"/>
  <c r="K70" i="81"/>
  <c r="I70" i="81"/>
  <c r="D70" i="81"/>
  <c r="K69" i="81"/>
  <c r="I69" i="81"/>
  <c r="D69" i="81"/>
  <c r="K68" i="81"/>
  <c r="L75" i="81" s="1"/>
  <c r="K85" i="81" s="1"/>
  <c r="I68" i="81"/>
  <c r="J75" i="81" s="1"/>
  <c r="D68" i="81"/>
  <c r="K67" i="81"/>
  <c r="J67" i="81"/>
  <c r="K66" i="81"/>
  <c r="J66" i="81"/>
  <c r="AF65" i="81"/>
  <c r="K63" i="81"/>
  <c r="J63" i="81"/>
  <c r="K62" i="81"/>
  <c r="J62" i="81"/>
  <c r="A61" i="81"/>
  <c r="K56" i="81"/>
  <c r="F56" i="81"/>
  <c r="K55" i="81"/>
  <c r="K54" i="81" s="1"/>
  <c r="I55" i="81"/>
  <c r="I54" i="81" s="1"/>
  <c r="G55" i="81"/>
  <c r="G54" i="81" s="1"/>
  <c r="H54" i="81"/>
  <c r="J51" i="81"/>
  <c r="I51" i="81"/>
  <c r="H51" i="81"/>
  <c r="F51" i="81"/>
  <c r="K50" i="81"/>
  <c r="F50" i="81"/>
  <c r="K49" i="81"/>
  <c r="F49" i="81"/>
  <c r="K48" i="81"/>
  <c r="F48" i="81"/>
  <c r="V47" i="81"/>
  <c r="U47" i="81"/>
  <c r="T47" i="81"/>
  <c r="S47" i="81"/>
  <c r="R47" i="81"/>
  <c r="Q47" i="81"/>
  <c r="L47" i="81"/>
  <c r="K47" i="81"/>
  <c r="J47" i="81"/>
  <c r="I47" i="81"/>
  <c r="G47" i="81"/>
  <c r="F47" i="81"/>
  <c r="E47" i="81"/>
  <c r="C47" i="81"/>
  <c r="B47" i="81"/>
  <c r="V46" i="81"/>
  <c r="U46" i="81"/>
  <c r="T46" i="81"/>
  <c r="S46" i="81"/>
  <c r="R46" i="81"/>
  <c r="Q46" i="81"/>
  <c r="L46" i="81"/>
  <c r="K46" i="81"/>
  <c r="J46" i="81"/>
  <c r="I46" i="81"/>
  <c r="G46" i="81"/>
  <c r="F46" i="81"/>
  <c r="E46" i="81"/>
  <c r="C46" i="81"/>
  <c r="B46" i="81"/>
  <c r="K45" i="81"/>
  <c r="I45" i="81"/>
  <c r="H45" i="81"/>
  <c r="G45" i="81"/>
  <c r="K44" i="81"/>
  <c r="I44" i="81"/>
  <c r="H44" i="81"/>
  <c r="G44" i="81"/>
  <c r="L43" i="81"/>
  <c r="K43" i="81"/>
  <c r="J43" i="81"/>
  <c r="I43" i="81"/>
  <c r="H43" i="81"/>
  <c r="G43" i="81"/>
  <c r="V42" i="81"/>
  <c r="U42" i="81"/>
  <c r="T42" i="81"/>
  <c r="S42" i="81"/>
  <c r="R42" i="81"/>
  <c r="Q42" i="81"/>
  <c r="F42" i="81"/>
  <c r="E42" i="81"/>
  <c r="B42" i="81"/>
  <c r="A41" i="81"/>
  <c r="J48" i="81" l="1"/>
  <c r="J49" i="81"/>
  <c r="J74" i="81"/>
  <c r="I80" i="81" s="1"/>
  <c r="L49" i="81"/>
  <c r="L74" i="81"/>
  <c r="K88" i="81" s="1"/>
  <c r="K91" i="81" s="1"/>
  <c r="J55" i="81"/>
  <c r="J54" i="81" s="1"/>
  <c r="J44" i="81" s="1"/>
  <c r="L48" i="81"/>
  <c r="L55" i="81"/>
  <c r="J56" i="81" l="1"/>
  <c r="J50" i="81" s="1"/>
  <c r="I52" i="81" s="1"/>
  <c r="J45" i="81"/>
  <c r="K80" i="81"/>
  <c r="L54" i="81"/>
  <c r="L44" i="81" s="1"/>
  <c r="L45" i="81"/>
  <c r="L56" i="81"/>
  <c r="I57" i="81" l="1"/>
  <c r="O57" i="81" s="1"/>
  <c r="O52" i="81"/>
  <c r="K57" i="81"/>
  <c r="P57" i="81" s="1"/>
  <c r="L50" i="81"/>
  <c r="K52" i="81" s="1"/>
  <c r="I61" i="81" l="1"/>
  <c r="K59" i="81"/>
  <c r="I59" i="81"/>
  <c r="I65" i="81"/>
  <c r="J72" i="81" s="1"/>
  <c r="J73" i="81" s="1"/>
  <c r="P52" i="81"/>
  <c r="K61" i="81" s="1"/>
  <c r="I78" i="81" l="1"/>
  <c r="I79" i="81" s="1"/>
  <c r="I81" i="81" s="1"/>
  <c r="K65" i="81"/>
  <c r="L72" i="81" s="1"/>
  <c r="L73" i="81" s="1"/>
  <c r="K84" i="81" l="1"/>
  <c r="K78" i="81"/>
  <c r="K79" i="81" s="1"/>
  <c r="K81" i="81" s="1"/>
  <c r="K89" i="81" l="1"/>
  <c r="K90" i="81" s="1"/>
  <c r="K92" i="81" s="1"/>
  <c r="L83" i="81"/>
  <c r="K87" i="80"/>
  <c r="K71" i="80"/>
  <c r="I71" i="80"/>
  <c r="D71" i="80"/>
  <c r="K70" i="80"/>
  <c r="I70" i="80"/>
  <c r="D70" i="80"/>
  <c r="K69" i="80"/>
  <c r="L76" i="80" s="1"/>
  <c r="K86" i="80" s="1"/>
  <c r="I69" i="80"/>
  <c r="J76" i="80" s="1"/>
  <c r="D69" i="80"/>
  <c r="K68" i="80"/>
  <c r="J68" i="80"/>
  <c r="K67" i="80"/>
  <c r="J67" i="80"/>
  <c r="AF66" i="80"/>
  <c r="K64" i="80"/>
  <c r="J64" i="80"/>
  <c r="K63" i="80"/>
  <c r="J63" i="80"/>
  <c r="A62" i="80"/>
  <c r="K57" i="80"/>
  <c r="F57" i="80"/>
  <c r="K56" i="80"/>
  <c r="K55" i="80" s="1"/>
  <c r="I56" i="80"/>
  <c r="I55" i="80" s="1"/>
  <c r="G56" i="80"/>
  <c r="G55" i="80" s="1"/>
  <c r="H55" i="80"/>
  <c r="J52" i="80"/>
  <c r="I52" i="80"/>
  <c r="H52" i="80"/>
  <c r="F52" i="80"/>
  <c r="K51" i="80"/>
  <c r="F51" i="80"/>
  <c r="K50" i="80"/>
  <c r="F50" i="80"/>
  <c r="K49" i="80"/>
  <c r="F49" i="80"/>
  <c r="V48" i="80"/>
  <c r="U48" i="80"/>
  <c r="T48" i="80"/>
  <c r="S48" i="80"/>
  <c r="R48" i="80"/>
  <c r="Q48" i="80"/>
  <c r="L48" i="80"/>
  <c r="K48" i="80"/>
  <c r="J48" i="80"/>
  <c r="I48" i="80"/>
  <c r="G48" i="80"/>
  <c r="F48" i="80"/>
  <c r="E48" i="80"/>
  <c r="C48" i="80"/>
  <c r="B48" i="80"/>
  <c r="L47" i="80"/>
  <c r="K47" i="80"/>
  <c r="J47" i="80"/>
  <c r="I47" i="80"/>
  <c r="H47" i="80"/>
  <c r="G47" i="80"/>
  <c r="K46" i="80"/>
  <c r="I46" i="80"/>
  <c r="H46" i="80"/>
  <c r="G46" i="80"/>
  <c r="K45" i="80"/>
  <c r="I45" i="80"/>
  <c r="H45" i="80"/>
  <c r="G45" i="80"/>
  <c r="L44" i="80"/>
  <c r="K44" i="80"/>
  <c r="J44" i="80"/>
  <c r="I44" i="80"/>
  <c r="H44" i="80"/>
  <c r="G44" i="80"/>
  <c r="V43" i="80"/>
  <c r="U43" i="80"/>
  <c r="T43" i="80"/>
  <c r="S43" i="80"/>
  <c r="R43" i="80"/>
  <c r="Q43" i="80"/>
  <c r="F43" i="80"/>
  <c r="E43" i="80"/>
  <c r="C43" i="80"/>
  <c r="B43" i="80"/>
  <c r="A42" i="80"/>
  <c r="J49" i="80" l="1"/>
  <c r="J50" i="80"/>
  <c r="L75" i="80"/>
  <c r="K89" i="80" s="1"/>
  <c r="K92" i="80" s="1"/>
  <c r="L50" i="80"/>
  <c r="L49" i="80"/>
  <c r="J56" i="80"/>
  <c r="J57" i="80" s="1"/>
  <c r="J75" i="80"/>
  <c r="I81" i="80" s="1"/>
  <c r="L56" i="80"/>
  <c r="K81" i="80" l="1"/>
  <c r="J55" i="80"/>
  <c r="J45" i="80" s="1"/>
  <c r="J46" i="80"/>
  <c r="L46" i="80"/>
  <c r="L55" i="80"/>
  <c r="L45" i="80" s="1"/>
  <c r="L57" i="80"/>
  <c r="I58" i="80"/>
  <c r="O58" i="80" s="1"/>
  <c r="J51" i="80"/>
  <c r="O53" i="80" l="1"/>
  <c r="I66" i="80" s="1"/>
  <c r="J73" i="80" s="1"/>
  <c r="J74" i="80" s="1"/>
  <c r="I53" i="80"/>
  <c r="I60" i="80" s="1"/>
  <c r="K58" i="80"/>
  <c r="P58" i="80" s="1"/>
  <c r="L51" i="80"/>
  <c r="K53" i="80" s="1"/>
  <c r="I62" i="80" l="1"/>
  <c r="K60" i="80"/>
  <c r="P53" i="80"/>
  <c r="I79" i="80"/>
  <c r="I80" i="80" s="1"/>
  <c r="I82" i="80" s="1"/>
  <c r="K62" i="80" l="1"/>
  <c r="K66" i="80"/>
  <c r="L73" i="80" s="1"/>
  <c r="L74" i="80" s="1"/>
  <c r="K85" i="80" l="1"/>
  <c r="K79" i="80"/>
  <c r="K80" i="80" s="1"/>
  <c r="K82" i="80" s="1"/>
  <c r="L84" i="80" l="1"/>
  <c r="K90" i="80"/>
  <c r="K91" i="80" s="1"/>
  <c r="K93" i="80" s="1"/>
  <c r="K85" i="78" l="1"/>
  <c r="K69" i="78"/>
  <c r="I69" i="78"/>
  <c r="D69" i="78"/>
  <c r="K68" i="78"/>
  <c r="I68" i="78"/>
  <c r="D68" i="78"/>
  <c r="K67" i="78"/>
  <c r="L74" i="78" s="1"/>
  <c r="K84" i="78" s="1"/>
  <c r="I67" i="78"/>
  <c r="J74" i="78" s="1"/>
  <c r="D67" i="78"/>
  <c r="K66" i="78"/>
  <c r="J66" i="78"/>
  <c r="K65" i="78"/>
  <c r="J65" i="78"/>
  <c r="K62" i="78"/>
  <c r="J62" i="78"/>
  <c r="K61" i="78"/>
  <c r="J61" i="78"/>
  <c r="A60" i="78"/>
  <c r="K55" i="78"/>
  <c r="F55" i="78"/>
  <c r="K54" i="78"/>
  <c r="K53" i="78" s="1"/>
  <c r="I54" i="78"/>
  <c r="I53" i="78" s="1"/>
  <c r="G54" i="78"/>
  <c r="G53" i="78" s="1"/>
  <c r="H53" i="78"/>
  <c r="J50" i="78"/>
  <c r="I50" i="78"/>
  <c r="H50" i="78"/>
  <c r="F50" i="78"/>
  <c r="K49" i="78"/>
  <c r="F49" i="78"/>
  <c r="K48" i="78"/>
  <c r="F48" i="78"/>
  <c r="K47" i="78"/>
  <c r="F47" i="78"/>
  <c r="V46" i="78"/>
  <c r="U46" i="78"/>
  <c r="T46" i="78"/>
  <c r="S46" i="78"/>
  <c r="R46" i="78"/>
  <c r="Q46" i="78"/>
  <c r="L46" i="78"/>
  <c r="K46" i="78"/>
  <c r="J46" i="78"/>
  <c r="I46" i="78"/>
  <c r="G46" i="78"/>
  <c r="F46" i="78"/>
  <c r="E46" i="78"/>
  <c r="C46" i="78"/>
  <c r="B46" i="78"/>
  <c r="L45" i="78"/>
  <c r="K45" i="78"/>
  <c r="J45" i="78"/>
  <c r="I45" i="78"/>
  <c r="H45" i="78"/>
  <c r="G45" i="78"/>
  <c r="K44" i="78"/>
  <c r="I44" i="78"/>
  <c r="H44" i="78"/>
  <c r="G44" i="78"/>
  <c r="K43" i="78"/>
  <c r="I43" i="78"/>
  <c r="H43" i="78"/>
  <c r="G43" i="78"/>
  <c r="L42" i="78"/>
  <c r="K42" i="78"/>
  <c r="J42" i="78"/>
  <c r="I42" i="78"/>
  <c r="H42" i="78"/>
  <c r="G42" i="78"/>
  <c r="V41" i="78"/>
  <c r="U41" i="78"/>
  <c r="T41" i="78"/>
  <c r="S41" i="78"/>
  <c r="R41" i="78"/>
  <c r="Q41" i="78"/>
  <c r="F41" i="78"/>
  <c r="E41" i="78"/>
  <c r="C41" i="78"/>
  <c r="B41" i="78"/>
  <c r="A40" i="78"/>
  <c r="J47" i="78" l="1"/>
  <c r="N16" i="1"/>
  <c r="L48" i="78"/>
  <c r="J48" i="78"/>
  <c r="L47" i="78"/>
  <c r="L54" i="78"/>
  <c r="L55" i="78" s="1"/>
  <c r="L73" i="78"/>
  <c r="K87" i="78" s="1"/>
  <c r="K90" i="78" s="1"/>
  <c r="J73" i="78"/>
  <c r="I79" i="78" s="1"/>
  <c r="J54" i="78"/>
  <c r="L53" i="78" l="1"/>
  <c r="L43" i="78" s="1"/>
  <c r="L44" i="78"/>
  <c r="K79" i="78"/>
  <c r="J53" i="78"/>
  <c r="J43" i="78" s="1"/>
  <c r="J55" i="78"/>
  <c r="J44" i="78"/>
  <c r="L49" i="78"/>
  <c r="K56" i="78"/>
  <c r="P56" i="78" s="1"/>
  <c r="P51" i="78" l="1"/>
  <c r="K60" i="78" s="1"/>
  <c r="I56" i="78"/>
  <c r="O56" i="78" s="1"/>
  <c r="J49" i="78"/>
  <c r="O51" i="78" s="1"/>
  <c r="K51" i="78"/>
  <c r="K58" i="78" s="1"/>
  <c r="K64" i="78" l="1"/>
  <c r="L71" i="78" s="1"/>
  <c r="L72" i="78" s="1"/>
  <c r="I51" i="78"/>
  <c r="I58" i="78" s="1"/>
  <c r="I60" i="78"/>
  <c r="I64" i="78"/>
  <c r="J71" i="78" s="1"/>
  <c r="J72" i="78" s="1"/>
  <c r="K83" i="78" l="1"/>
  <c r="L82" i="78" s="1"/>
  <c r="K77" i="78"/>
  <c r="K78" i="78" s="1"/>
  <c r="K80" i="78" s="1"/>
  <c r="I77" i="78"/>
  <c r="I78" i="78" s="1"/>
  <c r="I80" i="78" s="1"/>
  <c r="K88" i="78" l="1"/>
  <c r="K89" i="78" s="1"/>
  <c r="K91" i="78" s="1"/>
  <c r="K156" i="77"/>
  <c r="K140" i="77"/>
  <c r="I140" i="77"/>
  <c r="D140" i="77"/>
  <c r="K139" i="77"/>
  <c r="I139" i="77"/>
  <c r="D139" i="77"/>
  <c r="K138" i="77"/>
  <c r="L145" i="77" s="1"/>
  <c r="K155" i="77" s="1"/>
  <c r="I138" i="77"/>
  <c r="J145" i="77" s="1"/>
  <c r="D138" i="77"/>
  <c r="K137" i="77"/>
  <c r="J137" i="77"/>
  <c r="K136" i="77"/>
  <c r="J136" i="77"/>
  <c r="AF135" i="77"/>
  <c r="K133" i="77"/>
  <c r="J133" i="77"/>
  <c r="K132" i="77"/>
  <c r="J132" i="77"/>
  <c r="A131" i="77"/>
  <c r="K126" i="77"/>
  <c r="F126" i="77"/>
  <c r="K125" i="77"/>
  <c r="K124" i="77" s="1"/>
  <c r="I125" i="77"/>
  <c r="I124" i="77" s="1"/>
  <c r="G125" i="77"/>
  <c r="G124" i="77" s="1"/>
  <c r="H124" i="77"/>
  <c r="J121" i="77"/>
  <c r="I121" i="77"/>
  <c r="H121" i="77"/>
  <c r="F121" i="77"/>
  <c r="K120" i="77"/>
  <c r="F120" i="77"/>
  <c r="K119" i="77"/>
  <c r="F119" i="77"/>
  <c r="K118" i="77"/>
  <c r="F118" i="77"/>
  <c r="V117" i="77"/>
  <c r="U117" i="77"/>
  <c r="T117" i="77"/>
  <c r="S117" i="77"/>
  <c r="R117" i="77"/>
  <c r="Q117" i="77"/>
  <c r="L117" i="77"/>
  <c r="K117" i="77"/>
  <c r="J117" i="77"/>
  <c r="I117" i="77"/>
  <c r="G117" i="77"/>
  <c r="F117" i="77"/>
  <c r="E117" i="77"/>
  <c r="C117" i="77"/>
  <c r="B117" i="77"/>
  <c r="V116" i="77"/>
  <c r="U116" i="77"/>
  <c r="T116" i="77"/>
  <c r="S116" i="77"/>
  <c r="R116" i="77"/>
  <c r="Q116" i="77"/>
  <c r="L116" i="77"/>
  <c r="K116" i="77"/>
  <c r="J116" i="77"/>
  <c r="I116" i="77"/>
  <c r="G116" i="77"/>
  <c r="F116" i="77"/>
  <c r="E116" i="77"/>
  <c r="C116" i="77"/>
  <c r="B116" i="77"/>
  <c r="L115" i="77"/>
  <c r="K115" i="77"/>
  <c r="J115" i="77"/>
  <c r="I115" i="77"/>
  <c r="H115" i="77"/>
  <c r="G115" i="77"/>
  <c r="K114" i="77"/>
  <c r="I114" i="77"/>
  <c r="H114" i="77"/>
  <c r="G114" i="77"/>
  <c r="K113" i="77"/>
  <c r="I113" i="77"/>
  <c r="H113" i="77"/>
  <c r="G113" i="77"/>
  <c r="L112" i="77"/>
  <c r="K112" i="77"/>
  <c r="J112" i="77"/>
  <c r="I112" i="77"/>
  <c r="H112" i="77"/>
  <c r="G112" i="77"/>
  <c r="V111" i="77"/>
  <c r="U111" i="77"/>
  <c r="T111" i="77"/>
  <c r="S111" i="77"/>
  <c r="R111" i="77"/>
  <c r="Q111" i="77"/>
  <c r="F111" i="77"/>
  <c r="E111" i="77"/>
  <c r="B111" i="77"/>
  <c r="K107" i="77"/>
  <c r="F107" i="77"/>
  <c r="K106" i="77"/>
  <c r="K105" i="77" s="1"/>
  <c r="I106" i="77"/>
  <c r="I105" i="77" s="1"/>
  <c r="G106" i="77"/>
  <c r="G105" i="77" s="1"/>
  <c r="H105" i="77"/>
  <c r="J102" i="77"/>
  <c r="I102" i="77"/>
  <c r="H102" i="77"/>
  <c r="F102" i="77"/>
  <c r="K101" i="77"/>
  <c r="F101" i="77"/>
  <c r="K100" i="77"/>
  <c r="F100" i="77"/>
  <c r="K99" i="77"/>
  <c r="F99" i="77"/>
  <c r="V98" i="77"/>
  <c r="U98" i="77"/>
  <c r="T98" i="77"/>
  <c r="S98" i="77"/>
  <c r="R98" i="77"/>
  <c r="Q98" i="77"/>
  <c r="L98" i="77"/>
  <c r="K98" i="77"/>
  <c r="J98" i="77"/>
  <c r="I98" i="77"/>
  <c r="G98" i="77"/>
  <c r="F98" i="77"/>
  <c r="E98" i="77"/>
  <c r="C98" i="77"/>
  <c r="B98" i="77"/>
  <c r="K97" i="77"/>
  <c r="I97" i="77"/>
  <c r="H97" i="77"/>
  <c r="G97" i="77"/>
  <c r="K96" i="77"/>
  <c r="I96" i="77"/>
  <c r="H96" i="77"/>
  <c r="G96" i="77"/>
  <c r="L95" i="77"/>
  <c r="K95" i="77"/>
  <c r="J95" i="77"/>
  <c r="I95" i="77"/>
  <c r="H95" i="77"/>
  <c r="G95" i="77"/>
  <c r="V94" i="77"/>
  <c r="U94" i="77"/>
  <c r="T94" i="77"/>
  <c r="S94" i="77"/>
  <c r="R94" i="77"/>
  <c r="Q94" i="77"/>
  <c r="F94" i="77"/>
  <c r="E94" i="77"/>
  <c r="B94" i="77"/>
  <c r="K90" i="77"/>
  <c r="F90" i="77"/>
  <c r="K89" i="77"/>
  <c r="K88" i="77" s="1"/>
  <c r="I89" i="77"/>
  <c r="I88" i="77" s="1"/>
  <c r="G89" i="77"/>
  <c r="G88" i="77" s="1"/>
  <c r="H88" i="77"/>
  <c r="J85" i="77"/>
  <c r="I85" i="77"/>
  <c r="H85" i="77"/>
  <c r="F85" i="77"/>
  <c r="K84" i="77"/>
  <c r="F84" i="77"/>
  <c r="K83" i="77"/>
  <c r="F83" i="77"/>
  <c r="K82" i="77"/>
  <c r="F82" i="77"/>
  <c r="V81" i="77"/>
  <c r="U81" i="77"/>
  <c r="T81" i="77"/>
  <c r="S81" i="77"/>
  <c r="R81" i="77"/>
  <c r="Q81" i="77"/>
  <c r="L81" i="77"/>
  <c r="K81" i="77"/>
  <c r="J81" i="77"/>
  <c r="I81" i="77"/>
  <c r="G81" i="77"/>
  <c r="F81" i="77"/>
  <c r="N81" i="77" s="1"/>
  <c r="E81" i="77"/>
  <c r="C81" i="77"/>
  <c r="B81" i="77"/>
  <c r="K80" i="77"/>
  <c r="I80" i="77"/>
  <c r="H80" i="77"/>
  <c r="G80" i="77"/>
  <c r="K79" i="77"/>
  <c r="I79" i="77"/>
  <c r="H79" i="77"/>
  <c r="G79" i="77"/>
  <c r="L78" i="77"/>
  <c r="K78" i="77"/>
  <c r="J78" i="77"/>
  <c r="I78" i="77"/>
  <c r="H78" i="77"/>
  <c r="G78" i="77"/>
  <c r="V77" i="77"/>
  <c r="U77" i="77"/>
  <c r="T77" i="77"/>
  <c r="S77" i="77"/>
  <c r="R77" i="77"/>
  <c r="Q77" i="77"/>
  <c r="F77" i="77"/>
  <c r="E77" i="77"/>
  <c r="B77" i="77"/>
  <c r="K73" i="77"/>
  <c r="F73" i="77"/>
  <c r="K72" i="77"/>
  <c r="K71" i="77" s="1"/>
  <c r="I72" i="77"/>
  <c r="I71" i="77" s="1"/>
  <c r="G72" i="77"/>
  <c r="G71" i="77" s="1"/>
  <c r="H71" i="77"/>
  <c r="J68" i="77"/>
  <c r="I68" i="77"/>
  <c r="H68" i="77"/>
  <c r="F68" i="77"/>
  <c r="K67" i="77"/>
  <c r="F67" i="77"/>
  <c r="K66" i="77"/>
  <c r="F66" i="77"/>
  <c r="K65" i="77"/>
  <c r="F65" i="77"/>
  <c r="V64" i="77"/>
  <c r="U64" i="77"/>
  <c r="T64" i="77"/>
  <c r="S64" i="77"/>
  <c r="R64" i="77"/>
  <c r="Q64" i="77"/>
  <c r="L64" i="77"/>
  <c r="K64" i="77"/>
  <c r="J64" i="77"/>
  <c r="I64" i="77"/>
  <c r="G64" i="77"/>
  <c r="F64" i="77"/>
  <c r="N64" i="77" s="1"/>
  <c r="M64" i="77" s="1"/>
  <c r="E64" i="77"/>
  <c r="C64" i="77"/>
  <c r="B64" i="77"/>
  <c r="K63" i="77"/>
  <c r="I63" i="77"/>
  <c r="H63" i="77"/>
  <c r="G63" i="77"/>
  <c r="K62" i="77"/>
  <c r="I62" i="77"/>
  <c r="H62" i="77"/>
  <c r="G62" i="77"/>
  <c r="L61" i="77"/>
  <c r="K61" i="77"/>
  <c r="J61" i="77"/>
  <c r="I61" i="77"/>
  <c r="H61" i="77"/>
  <c r="G61" i="77"/>
  <c r="V60" i="77"/>
  <c r="U60" i="77"/>
  <c r="T60" i="77"/>
  <c r="S60" i="77"/>
  <c r="R60" i="77"/>
  <c r="Q60" i="77"/>
  <c r="F60" i="77"/>
  <c r="E60" i="77"/>
  <c r="B60" i="77"/>
  <c r="K56" i="77"/>
  <c r="F56" i="77"/>
  <c r="K55" i="77"/>
  <c r="K54" i="77" s="1"/>
  <c r="I55" i="77"/>
  <c r="I54" i="77" s="1"/>
  <c r="G55" i="77"/>
  <c r="G54" i="77" s="1"/>
  <c r="H54" i="77"/>
  <c r="J51" i="77"/>
  <c r="I51" i="77"/>
  <c r="H51" i="77"/>
  <c r="F51" i="77"/>
  <c r="K50" i="77"/>
  <c r="F50" i="77"/>
  <c r="K49" i="77"/>
  <c r="F49" i="77"/>
  <c r="K48" i="77"/>
  <c r="F48" i="77"/>
  <c r="L47" i="77"/>
  <c r="K47" i="77"/>
  <c r="J47" i="77"/>
  <c r="I47" i="77"/>
  <c r="H47" i="77"/>
  <c r="G47" i="77"/>
  <c r="K46" i="77"/>
  <c r="I46" i="77"/>
  <c r="H46" i="77"/>
  <c r="G46" i="77"/>
  <c r="K45" i="77"/>
  <c r="I45" i="77"/>
  <c r="H45" i="77"/>
  <c r="G45" i="77"/>
  <c r="L44" i="77"/>
  <c r="K44" i="77"/>
  <c r="J44" i="77"/>
  <c r="I44" i="77"/>
  <c r="H44" i="77"/>
  <c r="G44" i="77"/>
  <c r="V43" i="77"/>
  <c r="U43" i="77"/>
  <c r="T43" i="77"/>
  <c r="L49" i="77" s="1"/>
  <c r="S43" i="77"/>
  <c r="J49" i="77" s="1"/>
  <c r="R43" i="77"/>
  <c r="L48" i="77" s="1"/>
  <c r="Q43" i="77"/>
  <c r="J48" i="77" s="1"/>
  <c r="F43" i="77"/>
  <c r="E43" i="77"/>
  <c r="B43" i="77"/>
  <c r="A42" i="77"/>
  <c r="M81" i="77" l="1"/>
  <c r="L144" i="77"/>
  <c r="K158" i="77" s="1"/>
  <c r="K161" i="77" s="1"/>
  <c r="L65" i="77"/>
  <c r="L83" i="77"/>
  <c r="L118" i="77"/>
  <c r="J83" i="77"/>
  <c r="J99" i="77"/>
  <c r="L99" i="77"/>
  <c r="J66" i="77"/>
  <c r="J72" i="77"/>
  <c r="J73" i="77" s="1"/>
  <c r="L66" i="77"/>
  <c r="J82" i="77"/>
  <c r="J100" i="77"/>
  <c r="L89" i="77"/>
  <c r="L90" i="77" s="1"/>
  <c r="J119" i="77"/>
  <c r="J65" i="77"/>
  <c r="L82" i="77"/>
  <c r="J106" i="77"/>
  <c r="J105" i="77" s="1"/>
  <c r="J96" i="77" s="1"/>
  <c r="L100" i="77"/>
  <c r="J118" i="77"/>
  <c r="J55" i="77"/>
  <c r="J46" i="77" s="1"/>
  <c r="J125" i="77"/>
  <c r="J126" i="77" s="1"/>
  <c r="L119" i="77"/>
  <c r="J144" i="77"/>
  <c r="I150" i="77" s="1"/>
  <c r="K150" i="77"/>
  <c r="L125" i="77"/>
  <c r="L55" i="77"/>
  <c r="J89" i="77"/>
  <c r="L72" i="77"/>
  <c r="L106" i="77"/>
  <c r="J97" i="77" l="1"/>
  <c r="L80" i="77"/>
  <c r="J63" i="77"/>
  <c r="J54" i="77"/>
  <c r="J45" i="77" s="1"/>
  <c r="J124" i="77"/>
  <c r="J113" i="77" s="1"/>
  <c r="J107" i="77"/>
  <c r="I108" i="77" s="1"/>
  <c r="O108" i="77" s="1"/>
  <c r="J114" i="77"/>
  <c r="L88" i="77"/>
  <c r="L79" i="77" s="1"/>
  <c r="J71" i="77"/>
  <c r="J62" i="77" s="1"/>
  <c r="J56" i="77"/>
  <c r="I57" i="77" s="1"/>
  <c r="O57" i="77" s="1"/>
  <c r="L97" i="77"/>
  <c r="L105" i="77"/>
  <c r="L96" i="77" s="1"/>
  <c r="L107" i="77"/>
  <c r="L73" i="77"/>
  <c r="L71" i="77"/>
  <c r="L62" i="77" s="1"/>
  <c r="L63" i="77"/>
  <c r="I127" i="77"/>
  <c r="O127" i="77" s="1"/>
  <c r="J120" i="77"/>
  <c r="L84" i="77"/>
  <c r="K91" i="77"/>
  <c r="P91" i="77" s="1"/>
  <c r="L54" i="77"/>
  <c r="L45" i="77" s="1"/>
  <c r="L46" i="77"/>
  <c r="L56" i="77"/>
  <c r="J88" i="77"/>
  <c r="J79" i="77" s="1"/>
  <c r="J90" i="77"/>
  <c r="J80" i="77"/>
  <c r="L114" i="77"/>
  <c r="L126" i="77"/>
  <c r="L124" i="77"/>
  <c r="L113" i="77" s="1"/>
  <c r="I74" i="77"/>
  <c r="O74" i="77" s="1"/>
  <c r="J67" i="77"/>
  <c r="I69" i="77" l="1"/>
  <c r="I76" i="77" s="1"/>
  <c r="J50" i="77"/>
  <c r="O52" i="77" s="1"/>
  <c r="J101" i="77"/>
  <c r="I103" i="77" s="1"/>
  <c r="I110" i="77" s="1"/>
  <c r="I122" i="77"/>
  <c r="I129" i="77" s="1"/>
  <c r="K86" i="77"/>
  <c r="K93" i="77" s="1"/>
  <c r="O122" i="77"/>
  <c r="K127" i="77"/>
  <c r="P127" i="77" s="1"/>
  <c r="L120" i="77"/>
  <c r="P122" i="77" s="1"/>
  <c r="L50" i="77"/>
  <c r="P52" i="77" s="1"/>
  <c r="K57" i="77"/>
  <c r="P57" i="77" s="1"/>
  <c r="P86" i="77"/>
  <c r="O69" i="77"/>
  <c r="K74" i="77"/>
  <c r="P74" i="77" s="1"/>
  <c r="L67" i="77"/>
  <c r="P69" i="77" s="1"/>
  <c r="I91" i="77"/>
  <c r="O91" i="77" s="1"/>
  <c r="J84" i="77"/>
  <c r="O86" i="77" s="1"/>
  <c r="K108" i="77"/>
  <c r="P108" i="77" s="1"/>
  <c r="L101" i="77"/>
  <c r="K103" i="77" s="1"/>
  <c r="O103" i="77" l="1"/>
  <c r="I135" i="77" s="1"/>
  <c r="J142" i="77" s="1"/>
  <c r="J143" i="77" s="1"/>
  <c r="I52" i="77"/>
  <c r="I59" i="77" s="1"/>
  <c r="K110" i="77"/>
  <c r="K122" i="77"/>
  <c r="K129" i="77" s="1"/>
  <c r="K52" i="77"/>
  <c r="K59" i="77" s="1"/>
  <c r="K69" i="77"/>
  <c r="K76" i="77" s="1"/>
  <c r="I86" i="77"/>
  <c r="I93" i="77" s="1"/>
  <c r="P103" i="77"/>
  <c r="K131" i="77" s="1"/>
  <c r="I131" i="77" l="1"/>
  <c r="K135" i="77"/>
  <c r="L142" i="77" s="1"/>
  <c r="L143" i="77" s="1"/>
  <c r="I148" i="77"/>
  <c r="I149" i="77" s="1"/>
  <c r="I151" i="77" s="1"/>
  <c r="K154" i="77" l="1"/>
  <c r="K148" i="77"/>
  <c r="K149" i="77" s="1"/>
  <c r="K151" i="77" s="1"/>
  <c r="K159" i="77" l="1"/>
  <c r="K160" i="77" s="1"/>
  <c r="K162" i="77" s="1"/>
  <c r="L153" i="77"/>
  <c r="N15" i="1" l="1"/>
  <c r="K121" i="97" s="1"/>
  <c r="N29" i="1" l="1"/>
  <c r="I123" i="97"/>
  <c r="M39" i="96" l="1"/>
  <c r="G50" i="96"/>
  <c r="K123" i="97"/>
  <c r="K122" i="97" s="1"/>
  <c r="E50" i="96" l="1"/>
  <c r="C50" i="96"/>
  <c r="H50" i="96"/>
  <c r="G46" i="96"/>
  <c r="C46" i="96" s="1"/>
  <c r="E46" i="96" l="1"/>
  <c r="E44" i="96" s="1"/>
  <c r="G44" i="96"/>
  <c r="D50" i="96"/>
  <c r="H51" i="96"/>
  <c r="F50" i="96"/>
  <c r="C44" i="96"/>
  <c r="D173" i="73"/>
  <c r="K172" i="73"/>
  <c r="I172" i="73"/>
  <c r="D172" i="73"/>
  <c r="K171" i="73"/>
  <c r="I171" i="73"/>
  <c r="D171" i="73"/>
  <c r="K170" i="73"/>
  <c r="L178" i="73" s="1"/>
  <c r="L189" i="73" s="1"/>
  <c r="I170" i="73"/>
  <c r="J178" i="73" s="1"/>
  <c r="D170" i="73"/>
  <c r="K169" i="73"/>
  <c r="J169" i="73"/>
  <c r="K168" i="73"/>
  <c r="J168" i="73"/>
  <c r="AF167" i="73"/>
  <c r="K164" i="73"/>
  <c r="J164" i="73"/>
  <c r="K163" i="73"/>
  <c r="J163" i="73"/>
  <c r="A162" i="73"/>
  <c r="K160" i="73"/>
  <c r="J160" i="73"/>
  <c r="K159" i="73"/>
  <c r="J159" i="73"/>
  <c r="K157" i="73"/>
  <c r="J157" i="73"/>
  <c r="K156" i="73"/>
  <c r="J156" i="73"/>
  <c r="A155" i="73"/>
  <c r="V151" i="73"/>
  <c r="U151" i="73"/>
  <c r="T151" i="73"/>
  <c r="S151" i="73"/>
  <c r="R151" i="73"/>
  <c r="Q151" i="73"/>
  <c r="L151" i="73"/>
  <c r="K152" i="73" s="1"/>
  <c r="K151" i="73"/>
  <c r="I151" i="73"/>
  <c r="H151" i="73"/>
  <c r="G151" i="73"/>
  <c r="F151" i="73"/>
  <c r="E151" i="73"/>
  <c r="C151" i="73"/>
  <c r="K148" i="73"/>
  <c r="F148" i="73"/>
  <c r="K147" i="73"/>
  <c r="K146" i="73" s="1"/>
  <c r="I147" i="73"/>
  <c r="I146" i="73" s="1"/>
  <c r="G147" i="73"/>
  <c r="G146" i="73" s="1"/>
  <c r="H146" i="73"/>
  <c r="F145" i="73"/>
  <c r="E145" i="73"/>
  <c r="J142" i="73"/>
  <c r="I142" i="73"/>
  <c r="H142" i="73"/>
  <c r="F142" i="73"/>
  <c r="K141" i="73"/>
  <c r="F141" i="73"/>
  <c r="K140" i="73"/>
  <c r="F140" i="73"/>
  <c r="K139" i="73"/>
  <c r="F139" i="73"/>
  <c r="L138" i="73"/>
  <c r="K138" i="73"/>
  <c r="J138" i="73"/>
  <c r="I138" i="73"/>
  <c r="H138" i="73"/>
  <c r="G138" i="73"/>
  <c r="K137" i="73"/>
  <c r="I137" i="73"/>
  <c r="H137" i="73"/>
  <c r="G137" i="73"/>
  <c r="K136" i="73"/>
  <c r="I136" i="73"/>
  <c r="H136" i="73"/>
  <c r="G136" i="73"/>
  <c r="L135" i="73"/>
  <c r="K135" i="73"/>
  <c r="J135" i="73"/>
  <c r="I135" i="73"/>
  <c r="H135" i="73"/>
  <c r="G135" i="73"/>
  <c r="V134" i="73"/>
  <c r="U134" i="73"/>
  <c r="T134" i="73"/>
  <c r="L140" i="73" s="1"/>
  <c r="S134" i="73"/>
  <c r="J140" i="73" s="1"/>
  <c r="R134" i="73"/>
  <c r="L139" i="73" s="1"/>
  <c r="Q134" i="73"/>
  <c r="J139" i="73" s="1"/>
  <c r="F134" i="73"/>
  <c r="E134" i="73"/>
  <c r="A133" i="73"/>
  <c r="K131" i="73"/>
  <c r="J131" i="73"/>
  <c r="K130" i="73"/>
  <c r="J130" i="73"/>
  <c r="K128" i="73"/>
  <c r="J128" i="73"/>
  <c r="K127" i="73"/>
  <c r="J127" i="73"/>
  <c r="A126" i="73"/>
  <c r="V122" i="73"/>
  <c r="U122" i="73"/>
  <c r="T122" i="73"/>
  <c r="S122" i="73"/>
  <c r="R122" i="73"/>
  <c r="Q122" i="73"/>
  <c r="L122" i="73"/>
  <c r="K123" i="73" s="1"/>
  <c r="K122" i="73"/>
  <c r="I122" i="73"/>
  <c r="H122" i="73"/>
  <c r="G122" i="73"/>
  <c r="F122" i="73"/>
  <c r="E122" i="73"/>
  <c r="C122" i="73"/>
  <c r="K119" i="73"/>
  <c r="F119" i="73"/>
  <c r="K118" i="73"/>
  <c r="K117" i="73" s="1"/>
  <c r="I118" i="73"/>
  <c r="I117" i="73" s="1"/>
  <c r="G118" i="73"/>
  <c r="G117" i="73" s="1"/>
  <c r="H117" i="73"/>
  <c r="F116" i="73"/>
  <c r="E116" i="73"/>
  <c r="J113" i="73"/>
  <c r="I113" i="73"/>
  <c r="H113" i="73"/>
  <c r="F113" i="73"/>
  <c r="K112" i="73"/>
  <c r="F112" i="73"/>
  <c r="K111" i="73"/>
  <c r="F111" i="73"/>
  <c r="K110" i="73"/>
  <c r="F110" i="73"/>
  <c r="L109" i="73"/>
  <c r="K109" i="73"/>
  <c r="J109" i="73"/>
  <c r="I109" i="73"/>
  <c r="H109" i="73"/>
  <c r="G109" i="73"/>
  <c r="K108" i="73"/>
  <c r="I108" i="73"/>
  <c r="H108" i="73"/>
  <c r="G108" i="73"/>
  <c r="K107" i="73"/>
  <c r="I107" i="73"/>
  <c r="H107" i="73"/>
  <c r="G107" i="73"/>
  <c r="L106" i="73"/>
  <c r="K106" i="73"/>
  <c r="J106" i="73"/>
  <c r="I106" i="73"/>
  <c r="H106" i="73"/>
  <c r="G106" i="73"/>
  <c r="V105" i="73"/>
  <c r="U105" i="73"/>
  <c r="T105" i="73"/>
  <c r="L111" i="73" s="1"/>
  <c r="S105" i="73"/>
  <c r="J111" i="73" s="1"/>
  <c r="R105" i="73"/>
  <c r="L110" i="73" s="1"/>
  <c r="Q105" i="73"/>
  <c r="J110" i="73" s="1"/>
  <c r="F105" i="73"/>
  <c r="E105" i="73"/>
  <c r="A104" i="73"/>
  <c r="K102" i="73"/>
  <c r="J102" i="73"/>
  <c r="K101" i="73"/>
  <c r="J101" i="73"/>
  <c r="K99" i="73"/>
  <c r="J99" i="73"/>
  <c r="K98" i="73"/>
  <c r="J98" i="73"/>
  <c r="A97" i="73"/>
  <c r="V93" i="73"/>
  <c r="U93" i="73"/>
  <c r="T93" i="73"/>
  <c r="S93" i="73"/>
  <c r="R93" i="73"/>
  <c r="Q93" i="73"/>
  <c r="L93" i="73"/>
  <c r="P94" i="73" s="1"/>
  <c r="K93" i="73"/>
  <c r="I93" i="73"/>
  <c r="H93" i="73"/>
  <c r="G93" i="73"/>
  <c r="F93" i="73"/>
  <c r="E93" i="73"/>
  <c r="C93" i="73"/>
  <c r="K90" i="73"/>
  <c r="F90" i="73"/>
  <c r="K89" i="73"/>
  <c r="K88" i="73" s="1"/>
  <c r="I89" i="73"/>
  <c r="I88" i="73" s="1"/>
  <c r="G89" i="73"/>
  <c r="G88" i="73" s="1"/>
  <c r="H88" i="73"/>
  <c r="F87" i="73"/>
  <c r="E87" i="73"/>
  <c r="J84" i="73"/>
  <c r="I84" i="73"/>
  <c r="H84" i="73"/>
  <c r="F84" i="73"/>
  <c r="K83" i="73"/>
  <c r="F83" i="73"/>
  <c r="K82" i="73"/>
  <c r="F82" i="73"/>
  <c r="K81" i="73"/>
  <c r="F81" i="73"/>
  <c r="L80" i="73"/>
  <c r="K80" i="73"/>
  <c r="J80" i="73"/>
  <c r="I80" i="73"/>
  <c r="H80" i="73"/>
  <c r="G80" i="73"/>
  <c r="K79" i="73"/>
  <c r="I79" i="73"/>
  <c r="H79" i="73"/>
  <c r="G79" i="73"/>
  <c r="K78" i="73"/>
  <c r="I78" i="73"/>
  <c r="H78" i="73"/>
  <c r="G78" i="73"/>
  <c r="L77" i="73"/>
  <c r="K77" i="73"/>
  <c r="J77" i="73"/>
  <c r="I77" i="73"/>
  <c r="H77" i="73"/>
  <c r="G77" i="73"/>
  <c r="V76" i="73"/>
  <c r="U76" i="73"/>
  <c r="T76" i="73"/>
  <c r="L82" i="73" s="1"/>
  <c r="S76" i="73"/>
  <c r="J82" i="73" s="1"/>
  <c r="R76" i="73"/>
  <c r="L81" i="73" s="1"/>
  <c r="Q76" i="73"/>
  <c r="J81" i="73" s="1"/>
  <c r="F76" i="73"/>
  <c r="E76" i="73"/>
  <c r="A75" i="73"/>
  <c r="K73" i="73"/>
  <c r="J73" i="73"/>
  <c r="K72" i="73"/>
  <c r="J72" i="73"/>
  <c r="K70" i="73"/>
  <c r="J70" i="73"/>
  <c r="K69" i="73"/>
  <c r="J69" i="73"/>
  <c r="A68" i="73"/>
  <c r="V64" i="73"/>
  <c r="U64" i="73"/>
  <c r="T64" i="73"/>
  <c r="S64" i="73"/>
  <c r="R64" i="73"/>
  <c r="Q64" i="73"/>
  <c r="L64" i="73"/>
  <c r="K64" i="73"/>
  <c r="I64" i="73"/>
  <c r="H64" i="73"/>
  <c r="G64" i="73"/>
  <c r="F64" i="73"/>
  <c r="E64" i="73"/>
  <c r="C64" i="73"/>
  <c r="K61" i="73"/>
  <c r="F61" i="73"/>
  <c r="K60" i="73"/>
  <c r="K59" i="73" s="1"/>
  <c r="I60" i="73"/>
  <c r="I59" i="73" s="1"/>
  <c r="G60" i="73"/>
  <c r="G59" i="73" s="1"/>
  <c r="H59" i="73"/>
  <c r="F58" i="73"/>
  <c r="E58" i="73"/>
  <c r="J55" i="73"/>
  <c r="I55" i="73"/>
  <c r="H55" i="73"/>
  <c r="F55" i="73"/>
  <c r="K54" i="73"/>
  <c r="F54" i="73"/>
  <c r="K53" i="73"/>
  <c r="F53" i="73"/>
  <c r="K52" i="73"/>
  <c r="F52" i="73"/>
  <c r="L51" i="73"/>
  <c r="K51" i="73"/>
  <c r="J51" i="73"/>
  <c r="I51" i="73"/>
  <c r="H51" i="73"/>
  <c r="G51" i="73"/>
  <c r="K50" i="73"/>
  <c r="I50" i="73"/>
  <c r="H50" i="73"/>
  <c r="G50" i="73"/>
  <c r="K49" i="73"/>
  <c r="I49" i="73"/>
  <c r="H49" i="73"/>
  <c r="G49" i="73"/>
  <c r="L48" i="73"/>
  <c r="K48" i="73"/>
  <c r="J48" i="73"/>
  <c r="I48" i="73"/>
  <c r="H48" i="73"/>
  <c r="G48" i="73"/>
  <c r="V47" i="73"/>
  <c r="U47" i="73"/>
  <c r="T47" i="73"/>
  <c r="L53" i="73" s="1"/>
  <c r="S47" i="73"/>
  <c r="J53" i="73" s="1"/>
  <c r="R47" i="73"/>
  <c r="L52" i="73" s="1"/>
  <c r="Q47" i="73"/>
  <c r="J52" i="73" s="1"/>
  <c r="F47" i="73"/>
  <c r="E47" i="73"/>
  <c r="A46" i="73"/>
  <c r="A44" i="73"/>
  <c r="F51" i="96" l="1"/>
  <c r="D51" i="96"/>
  <c r="H52" i="96"/>
  <c r="H46" i="96"/>
  <c r="L177" i="73"/>
  <c r="L184" i="73" s="1"/>
  <c r="L60" i="73"/>
  <c r="L61" i="73" s="1"/>
  <c r="K173" i="73"/>
  <c r="L179" i="73" s="1"/>
  <c r="L190" i="73" s="1"/>
  <c r="J177" i="73"/>
  <c r="J184" i="73" s="1"/>
  <c r="L89" i="73"/>
  <c r="L79" i="73" s="1"/>
  <c r="L147" i="73"/>
  <c r="L146" i="73" s="1"/>
  <c r="L136" i="73" s="1"/>
  <c r="L118" i="73"/>
  <c r="L108" i="73" s="1"/>
  <c r="M173" i="73"/>
  <c r="J60" i="73"/>
  <c r="J89" i="73"/>
  <c r="J118" i="73"/>
  <c r="J147" i="73"/>
  <c r="K94" i="73"/>
  <c r="J64" i="73"/>
  <c r="P65" i="73"/>
  <c r="J93" i="73"/>
  <c r="J122" i="73"/>
  <c r="P123" i="73"/>
  <c r="J151" i="73"/>
  <c r="P152" i="73"/>
  <c r="K65" i="73"/>
  <c r="L193" i="73" l="1"/>
  <c r="L196" i="73" s="1"/>
  <c r="L50" i="73"/>
  <c r="H56" i="96"/>
  <c r="F46" i="96"/>
  <c r="F44" i="96" s="1"/>
  <c r="H47" i="96"/>
  <c r="H48" i="96" s="1"/>
  <c r="H44" i="96"/>
  <c r="D46" i="96"/>
  <c r="D44" i="96" s="1"/>
  <c r="F52" i="96"/>
  <c r="D52" i="96"/>
  <c r="L59" i="73"/>
  <c r="L49" i="73" s="1"/>
  <c r="L90" i="73"/>
  <c r="K91" i="73" s="1"/>
  <c r="P91" i="73" s="1"/>
  <c r="L88" i="73"/>
  <c r="L78" i="73" s="1"/>
  <c r="L148" i="73"/>
  <c r="K149" i="73" s="1"/>
  <c r="P149" i="73" s="1"/>
  <c r="L137" i="73"/>
  <c r="L119" i="73"/>
  <c r="L112" i="73" s="1"/>
  <c r="L117" i="73"/>
  <c r="L107" i="73" s="1"/>
  <c r="I65" i="73"/>
  <c r="I173" i="73"/>
  <c r="J179" i="73" s="1"/>
  <c r="O65" i="73"/>
  <c r="J79" i="73"/>
  <c r="J88" i="73"/>
  <c r="J78" i="73" s="1"/>
  <c r="J90" i="73"/>
  <c r="I123" i="73"/>
  <c r="O123" i="73"/>
  <c r="J146" i="73"/>
  <c r="J136" i="73" s="1"/>
  <c r="J137" i="73"/>
  <c r="J148" i="73"/>
  <c r="I152" i="73"/>
  <c r="O152" i="73"/>
  <c r="I94" i="73"/>
  <c r="O94" i="73"/>
  <c r="J108" i="73"/>
  <c r="J119" i="73"/>
  <c r="J117" i="73"/>
  <c r="J107" i="73" s="1"/>
  <c r="J50" i="73"/>
  <c r="J59" i="73"/>
  <c r="J49" i="73" s="1"/>
  <c r="J61" i="73"/>
  <c r="L54" i="73"/>
  <c r="K56" i="73" s="1"/>
  <c r="K62" i="73"/>
  <c r="P62" i="73" s="1"/>
  <c r="L83" i="73" l="1"/>
  <c r="F48" i="96"/>
  <c r="D48" i="96"/>
  <c r="H58" i="96"/>
  <c r="H57" i="96"/>
  <c r="F47" i="96"/>
  <c r="D47" i="96"/>
  <c r="F56" i="96"/>
  <c r="D56" i="96"/>
  <c r="N39" i="96"/>
  <c r="H62" i="96"/>
  <c r="K120" i="73"/>
  <c r="P120" i="73" s="1"/>
  <c r="L141" i="73"/>
  <c r="P143" i="73" s="1"/>
  <c r="K155" i="73" s="1"/>
  <c r="K114" i="73"/>
  <c r="P114" i="73"/>
  <c r="K85" i="73"/>
  <c r="P85" i="73"/>
  <c r="K97" i="73" s="1"/>
  <c r="J54" i="73"/>
  <c r="I56" i="73" s="1"/>
  <c r="I62" i="73"/>
  <c r="O62" i="73" s="1"/>
  <c r="J112" i="73"/>
  <c r="O114" i="73" s="1"/>
  <c r="I120" i="73"/>
  <c r="O120" i="73" s="1"/>
  <c r="I91" i="73"/>
  <c r="O91" i="73" s="1"/>
  <c r="J83" i="73"/>
  <c r="I85" i="73" s="1"/>
  <c r="P56" i="73"/>
  <c r="I149" i="73"/>
  <c r="O149" i="73" s="1"/>
  <c r="J141" i="73"/>
  <c r="I143" i="73" s="1"/>
  <c r="K143" i="73" l="1"/>
  <c r="K126" i="73"/>
  <c r="F58" i="96"/>
  <c r="D58" i="96"/>
  <c r="F57" i="96"/>
  <c r="D57" i="96"/>
  <c r="D62" i="96"/>
  <c r="F62" i="96"/>
  <c r="H65" i="96"/>
  <c r="H63" i="96"/>
  <c r="H64" i="96" s="1"/>
  <c r="O85" i="73"/>
  <c r="O56" i="73"/>
  <c r="I68" i="73" s="1"/>
  <c r="I126" i="73"/>
  <c r="I114" i="73"/>
  <c r="O143" i="73"/>
  <c r="I155" i="73" s="1"/>
  <c r="K167" i="73"/>
  <c r="K162" i="73"/>
  <c r="K68" i="73"/>
  <c r="I97" i="73"/>
  <c r="H67" i="96" l="1"/>
  <c r="F64" i="96"/>
  <c r="D65" i="96"/>
  <c r="H66" i="96"/>
  <c r="F63" i="96"/>
  <c r="D63" i="96"/>
  <c r="D64" i="96" s="1"/>
  <c r="H68" i="96"/>
  <c r="F65" i="96"/>
  <c r="L175" i="73"/>
  <c r="L176" i="73"/>
  <c r="I167" i="73"/>
  <c r="I162" i="73"/>
  <c r="D67" i="96" l="1"/>
  <c r="D68" i="96"/>
  <c r="H69" i="96"/>
  <c r="F66" i="96"/>
  <c r="F68" i="96"/>
  <c r="D66" i="96"/>
  <c r="H70" i="96"/>
  <c r="F67" i="96"/>
  <c r="J175" i="73"/>
  <c r="J176" i="73"/>
  <c r="K182" i="73"/>
  <c r="K183" i="73" s="1"/>
  <c r="K185" i="73" s="1"/>
  <c r="L188" i="73"/>
  <c r="D69" i="96" l="1"/>
  <c r="F70" i="96"/>
  <c r="F69" i="96"/>
  <c r="D70" i="96"/>
  <c r="L194" i="73"/>
  <c r="L195" i="73" s="1"/>
  <c r="L197" i="73" s="1"/>
  <c r="L187" i="73"/>
  <c r="I182" i="73"/>
  <c r="I183" i="73" s="1"/>
  <c r="I185" i="73" s="1"/>
  <c r="I121" i="97" l="1"/>
  <c r="I122" i="97" s="1"/>
  <c r="L29" i="1" l="1"/>
  <c r="M38" i="96" s="1"/>
  <c r="M29" i="1" l="1"/>
  <c r="O29" i="1" l="1"/>
  <c r="I29" i="1" l="1"/>
  <c r="I28" i="1" s="1"/>
  <c r="L28" i="1" s="1"/>
  <c r="J29" i="1" l="1"/>
  <c r="J28" i="1" s="1"/>
  <c r="M28" i="1" s="1"/>
  <c r="F29" i="1" l="1"/>
  <c r="F24" i="1" s="1"/>
  <c r="L24" i="1" s="1"/>
  <c r="G29" i="1" l="1"/>
  <c r="G24" i="1" s="1"/>
  <c r="M24" i="1" s="1"/>
  <c r="H29" i="1" l="1"/>
  <c r="H24" i="1" s="1"/>
  <c r="N24" i="1" s="1"/>
  <c r="K29" i="1" l="1"/>
  <c r="K28" i="1" s="1"/>
  <c r="N28" i="1" s="1"/>
</calcChain>
</file>

<file path=xl/sharedStrings.xml><?xml version="1.0" encoding="utf-8"?>
<sst xmlns="http://schemas.openxmlformats.org/spreadsheetml/2006/main" count="3462" uniqueCount="631">
  <si>
    <t>№ п/п</t>
  </si>
  <si>
    <t xml:space="preserve">№ раздела </t>
  </si>
  <si>
    <t>Наименование объектов строительства и работ</t>
  </si>
  <si>
    <t>СМР</t>
  </si>
  <si>
    <t>Материалы</t>
  </si>
  <si>
    <t>Всего</t>
  </si>
  <si>
    <t>Производитель работ</t>
  </si>
  <si>
    <t>Стоимость                                                    в базовых                                                                   ценах</t>
  </si>
  <si>
    <t>Стоимость в текущих ценах К=1,0</t>
  </si>
  <si>
    <t>Стоимость                                                    в базовых ценах</t>
  </si>
  <si>
    <t>Стоимость                                                   в текущих ценах К=1,0</t>
  </si>
  <si>
    <t>Стоимость                                                    в базовых                                                                        ценах</t>
  </si>
  <si>
    <t>1</t>
  </si>
  <si>
    <t>ПНР</t>
  </si>
  <si>
    <t xml:space="preserve">Прочие затраты </t>
  </si>
  <si>
    <t>Утверждена постановлением Госкомстата России</t>
  </si>
  <si>
    <t>от 11.11.99. № 100</t>
  </si>
  <si>
    <t>Код</t>
  </si>
  <si>
    <t>Форма по ОКУД</t>
  </si>
  <si>
    <t>0322005</t>
  </si>
  <si>
    <t/>
  </si>
  <si>
    <t>по ОКПО</t>
  </si>
  <si>
    <t>организация, адрес, телефон, факс</t>
  </si>
  <si>
    <t>Стройка</t>
  </si>
  <si>
    <t>наименование, адрес</t>
  </si>
  <si>
    <t>Объект</t>
  </si>
  <si>
    <t>наименование</t>
  </si>
  <si>
    <t xml:space="preserve">Вид деятельности по ОКДП  </t>
  </si>
  <si>
    <t xml:space="preserve">Договор подряда  </t>
  </si>
  <si>
    <t>номер</t>
  </si>
  <si>
    <t>дата</t>
  </si>
  <si>
    <t>Номер документа</t>
  </si>
  <si>
    <t>Дата составления</t>
  </si>
  <si>
    <t>Отчетный период</t>
  </si>
  <si>
    <t>с</t>
  </si>
  <si>
    <t>по</t>
  </si>
  <si>
    <t>AKT</t>
  </si>
  <si>
    <t>О ПРИЕМКЕ ВЫПОЛНЕННЫХ РАБОТ</t>
  </si>
  <si>
    <t>Номер</t>
  </si>
  <si>
    <t>Шифр расценки и коды ресурсов</t>
  </si>
  <si>
    <t>Наименование работ и затрат</t>
  </si>
  <si>
    <t>п/п</t>
  </si>
  <si>
    <t>поз. по сме-те</t>
  </si>
  <si>
    <t>ЗП</t>
  </si>
  <si>
    <t>ЭМ</t>
  </si>
  <si>
    <t>в т.ч. ЗПМ</t>
  </si>
  <si>
    <t>МР</t>
  </si>
  <si>
    <t>НР от ЗП</t>
  </si>
  <si>
    <t>%</t>
  </si>
  <si>
    <t>СП от ЗП</t>
  </si>
  <si>
    <t>НР и СП от ЗПМ</t>
  </si>
  <si>
    <t>ЗТР</t>
  </si>
  <si>
    <t>чел-ч</t>
  </si>
  <si>
    <t>)*(1.67-1)</t>
  </si>
  <si>
    <t xml:space="preserve">   Итого по ТСН-2001.16</t>
  </si>
  <si>
    <t xml:space="preserve">   Итого возвратных сумм</t>
  </si>
  <si>
    <t>03997784</t>
  </si>
  <si>
    <t>Итого по разделу</t>
  </si>
  <si>
    <t>в т.ч. ЗП и ЗПМ</t>
  </si>
  <si>
    <t>в т. ч. Материалы</t>
  </si>
  <si>
    <t>Прочие</t>
  </si>
  <si>
    <t>Юго-Западный участок ТПК, ст."Проспект Вернадского" - ст."Можайская". 6 этап: "Участок линии от ст."Проспект Вернадского" до ст.Аминьевское шоссе"</t>
  </si>
  <si>
    <t>Оборудование</t>
  </si>
  <si>
    <t>№ чертежа</t>
  </si>
  <si>
    <t>Рег. № сметы</t>
  </si>
  <si>
    <r>
      <t xml:space="preserve">Прочие (К=1,15 к ЗП и ЗПМ - </t>
    </r>
    <r>
      <rPr>
        <b/>
        <i/>
        <sz val="12"/>
        <rFont val="Arial"/>
        <family val="2"/>
        <charset val="204"/>
      </rPr>
      <t>Распоряжение №761-РП от 23.12.15</t>
    </r>
    <r>
      <rPr>
        <b/>
        <sz val="12"/>
        <rFont val="Arial"/>
        <family val="2"/>
        <charset val="204"/>
      </rPr>
      <t>)</t>
    </r>
  </si>
  <si>
    <t>Сметная (договорная) стоимость в соответствии с договором подряда (субподряда)</t>
  </si>
  <si>
    <t xml:space="preserve"> тыс.руб</t>
  </si>
  <si>
    <t>Кол-во
единиц</t>
  </si>
  <si>
    <t>Цена на
ед. изм.,
руб.</t>
  </si>
  <si>
    <t>СМР с ВЗИС</t>
  </si>
  <si>
    <t>ЗП+ЗПМ с К=0,15 (Увеличение на оплату труда с учетом Распоряжения №761-РП от 23.12.2015)</t>
  </si>
  <si>
    <t>ИТОГО с ВЗИС и К=1,15</t>
  </si>
  <si>
    <t>(доверенность № 1-9.0-4402 от 26.10.2020г.)</t>
  </si>
  <si>
    <t>Итого по акту:</t>
  </si>
  <si>
    <t>Ед. изм.</t>
  </si>
  <si>
    <t>Попра-
вочные
коэффи-
циенты</t>
  </si>
  <si>
    <t>Коэффи-
циенты
зимних
удорожа-
ний</t>
  </si>
  <si>
    <t>Всего
затрат в
базисном
уровне цен,
руб.</t>
  </si>
  <si>
    <t>Коэффи-
циенты
(индек-
сы) пере-
счета,
нормы
НР и СП</t>
  </si>
  <si>
    <t>ВСЕГО
затрат в
текущем
уровне цен,
руб.</t>
  </si>
  <si>
    <t>Всего по позиции:</t>
  </si>
  <si>
    <t>Доплата к эксплуатации строительных машин</t>
  </si>
  <si>
    <t>03324364</t>
  </si>
  <si>
    <t>А.В. Исаев</t>
  </si>
  <si>
    <t>Всего по Акт № 20 за месяц</t>
  </si>
  <si>
    <t>Инвестор-Застройщик</t>
  </si>
  <si>
    <t>ГУП "Московский метрополитен", 129110, г.Москва, Проспект Мира, д.41</t>
  </si>
  <si>
    <t>Заказчик Генподрядчик</t>
  </si>
  <si>
    <t>АО "Мосинжпроект", 101990, г. Москва, Сверчков пер., д.4/1, +7(495) 625-25-44</t>
  </si>
  <si>
    <t>Юго-Западный участок БКЛ ст. "Проспект Вернадского" - ст. "Кунцевская"</t>
  </si>
  <si>
    <t>6 этап. Ст. "Аминьевское шоссе"</t>
  </si>
  <si>
    <t>9555м</t>
  </si>
  <si>
    <t>Прайсы на 100%!!!!!</t>
  </si>
  <si>
    <t>17.55</t>
  </si>
  <si>
    <t>Составлен(а) по ТСН-2001 с учетом Дополнения №: 58</t>
  </si>
  <si>
    <t>№ и период сборника коэффициентов (индексов) пересчета: ТСН-2001 МГЭ строительство №169 октябрь 2020 года</t>
  </si>
  <si>
    <t>48837-ТПК_5-0699-Р-ССР2- изм.1.1 12-4017-Л-Р-11.4.3.1-ОВ1.1-СМ1К</t>
  </si>
  <si>
    <t>Станционный комплекс "Аминьевское шоссе". Вестибюль №2, камера съездов, ТПП. Внутренние инженерные системы. Отопление, вентиляция, кондиционирование, дымоудаление. Вентиляция. 6 этап.</t>
  </si>
  <si>
    <r>
      <t>3.29-1940-1</t>
    </r>
    <r>
      <rPr>
        <i/>
        <sz val="10"/>
        <rFont val="Arial"/>
        <family val="2"/>
        <charset val="204"/>
      </rPr>
      <t xml:space="preserve">
Поправка: ТСН-2001.3-29. О.П. п.4.1  </t>
    </r>
  </si>
  <si>
    <t>Установка каркасно-панельных кондиционеров</t>
  </si>
  <si>
    <t>41/1</t>
  </si>
  <si>
    <r>
      <t>Приточная каркасно-панельная установка Вероса-300-039-05-61-У3</t>
    </r>
    <r>
      <rPr>
        <i/>
        <sz val="10"/>
        <color rgb="FF7030A0"/>
        <rFont val="Arial"/>
        <family val="2"/>
        <charset val="204"/>
      </rPr>
      <t xml:space="preserve">
Базисная стоимость: 137 717,41 = [607 755,58 /  4,6] +  3% Трансп +  1,2% Заг.скл</t>
    </r>
  </si>
  <si>
    <t>Прайсы!!!!!</t>
  </si>
  <si>
    <t>80/1</t>
  </si>
  <si>
    <r>
      <t>Приточная каркасно-панельная установка Вероса-300-019-05-61-У3</t>
    </r>
    <r>
      <rPr>
        <i/>
        <sz val="10"/>
        <color rgb="FF7030A0"/>
        <rFont val="Arial"/>
        <family val="2"/>
        <charset val="204"/>
      </rPr>
      <t xml:space="preserve">
Базисная стоимость: 105 230,91 = [464 390,61 /  4,6] +  3% Трансп +  1,2% Заг.скл</t>
    </r>
  </si>
  <si>
    <t>162/1</t>
  </si>
  <si>
    <r>
      <t>Приточная каркасно-панельная установка Вероса-300-078-05-00-У3</t>
    </r>
    <r>
      <rPr>
        <i/>
        <sz val="10"/>
        <color rgb="FF7030A0"/>
        <rFont val="Arial"/>
        <family val="2"/>
        <charset val="204"/>
      </rPr>
      <t xml:space="preserve">
Базисная стоимость: 66 150,67 = [291 927,04 /  4,6] +  3% Трансп +  1,2% Заг.скл</t>
    </r>
  </si>
  <si>
    <r>
      <t>3.29-1940-1</t>
    </r>
    <r>
      <rPr>
        <i/>
        <sz val="10"/>
        <rFont val="Arial"/>
        <family val="2"/>
        <charset val="204"/>
      </rPr>
      <t xml:space="preserve">
Поправка: ТСН-2001.3-29. О.П. п.4.1 </t>
    </r>
  </si>
  <si>
    <t>307/1</t>
  </si>
  <si>
    <r>
      <t>Приточная каркасно-панельная установка Вероса-300-058-05-00-У3</t>
    </r>
    <r>
      <rPr>
        <i/>
        <sz val="10"/>
        <color rgb="FF7030A0"/>
        <rFont val="Arial"/>
        <family val="2"/>
        <charset val="204"/>
      </rPr>
      <t xml:space="preserve">
Базисная стоимость: 55 745,61 = [246 008,82 /  4,6] +  3% Трансп +  1,2% Заг.скл</t>
    </r>
  </si>
  <si>
    <t>Обслуживающие процессы 12 %</t>
  </si>
  <si>
    <t>ВЗИС (5,61% от СМР и обслуж. процессов)</t>
  </si>
  <si>
    <t>ИТОГО с К=0,95</t>
  </si>
  <si>
    <t>в т.ч. Материалы с К=1</t>
  </si>
  <si>
    <t>Прочие с К=1</t>
  </si>
  <si>
    <t>ЗП и ЗПМ</t>
  </si>
  <si>
    <t>ВЗИС (5,61% от СМР и обс. процессов)</t>
  </si>
  <si>
    <t>И.о. директора Дирекции строящегося метрополитена</t>
  </si>
  <si>
    <t>ГУП "Московский метрополитен"</t>
  </si>
  <si>
    <t>А.А. Платонов</t>
  </si>
  <si>
    <t>Заказчик-генподрядчик</t>
  </si>
  <si>
    <t>Директор</t>
  </si>
  <si>
    <t xml:space="preserve">дирекции метро-9 АО "Мосинжпроект"  </t>
  </si>
  <si>
    <t>6</t>
  </si>
  <si>
    <t>Составлен(а) в уровне текущих (прогнозных) цен Коэффициенты ТСН МГЭ №163 апрель 2020 года</t>
  </si>
  <si>
    <t>Единица измерения</t>
  </si>
  <si>
    <t>Попра-
вочные
коэфф.</t>
  </si>
  <si>
    <t>Коэфф.
зимних
удоро-
жаний</t>
  </si>
  <si>
    <t>ВСЕГО в
базисном
уровне цен,
руб.</t>
  </si>
  <si>
    <t>Коэфф.
пере-
счета и
нормы
НР и СП</t>
  </si>
  <si>
    <t>Всего в
текущем
уровне цен,
руб.</t>
  </si>
  <si>
    <t>Работы выполнены в апреле 2020 г.</t>
  </si>
  <si>
    <t>Доплата к эксплуатации строительных машин (от ЗПМ)</t>
  </si>
  <si>
    <t>Всего с доплатой</t>
  </si>
  <si>
    <r>
      <t>3.13-11-8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</si>
  <si>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Окраска огрунтованных металлических поверхностей эмалями ПФ-115</t>
  </si>
  <si>
    <t>Инвестор-застройщик</t>
  </si>
  <si>
    <t>(доверенность № НЮ-09/922 от 11.10.2019г.)</t>
  </si>
  <si>
    <t xml:space="preserve"> Станционный комплекс "Аминьевское шоссе". Инженерные системы ТПП. Отопление, вентиляция, кондиционирование, дымоудаление.</t>
  </si>
  <si>
    <t>17.75</t>
  </si>
  <si>
    <t>Составлен(а) в уровне текущих (прогнозных) цен Коэффициенты ТСН МГЭ №164 май 2020 года</t>
  </si>
  <si>
    <t>49688-ТПК_5-1142-Р-ССР2 изм.1.1 12-4017-Л-Р-11.4.3.3-ЭМ3-СМ1К</t>
  </si>
  <si>
    <t>Станционный комплекс "Аминьевское шоссе". Вестибюль №2, камера съездов.ТПП. Архитектурные решения служебных и технических помещений. Промежуточные уровни</t>
  </si>
  <si>
    <t>Работы выполнены в мае 2020 г.</t>
  </si>
  <si>
    <r>
      <t>3.15-165-2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</si>
  <si>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Обработка поверхностей потолков грунтовкой глубокого проникновения внутри помещения</t>
  </si>
  <si>
    <r>
      <t>Грунт однокомпонентный влагоотверждаемый полиуретановый Элакор ПУ (ГОСТ Р 51102-97); вязкость по ВЗ-4 при +20°С - не более 18сек; массовая доля нелетучих - 48±3%; прочность высушенной пленки на разрыв - не менее 65 МПа; относительное удлинение высушенной пленки при разрыве - не менее 12% (фасовка-50 кг)</t>
    </r>
    <r>
      <rPr>
        <i/>
        <sz val="10"/>
        <rFont val="Arial"/>
        <family val="2"/>
        <charset val="204"/>
      </rPr>
      <t xml:space="preserve">
Базисная стоимость: 33,97 = [182,5 /  5,48] +  2% Заг.скл</t>
    </r>
  </si>
  <si>
    <t>Грунтовка водно-дисперсионная высококонцентрированная глубокопроникающая универсальная</t>
  </si>
  <si>
    <r>
      <t>3.15-96-2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</si>
  <si>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Простая окраска поливинилацетатными водоэмульсионными составами потолков по штукатурке и сборным конструкциям, подготовленным под окраску</t>
  </si>
  <si>
    <t>Шпатлевка клеевая</t>
  </si>
  <si>
    <t>Краски водно-дисперсионные поливинилацетатные, белые, марка ВД-ВА-17</t>
  </si>
  <si>
    <t>17.86</t>
  </si>
  <si>
    <t>50444-ТПК_5-1560-Р-ССР2-изм. 1.1 12-4017-Л-Р-11.4.2.3.2-КЖ2.2-СМ1К</t>
  </si>
  <si>
    <t>Станционный комплекс "Аминьевское шоссе".Вестибюль №2, камера съездов, ТПП. Внутреннее оборудование технологических помещений. Внутреннее обустройство в осях 9-18.</t>
  </si>
  <si>
    <t>Монтаж каркасов одноэтажных одно и многопролетных зданий пролетом до 24 м, высотой до 15 м без кранов</t>
  </si>
  <si>
    <t>Отдельные конструктивные элементы с преобладанием горячекатаных профилей, средняя масса сборочной единицы от 0,11 до 0,5 т</t>
  </si>
  <si>
    <t>17.94</t>
  </si>
  <si>
    <t>Составлен(а) в уровне текущих (прогнозных) цен Коэффициенты ТСН МГЭ №162 март 2020 года</t>
  </si>
  <si>
    <t>48701-ТПК_5-0647-Р-ССР2-доп.1 12-4017-Л-Р-11.4.1.2.1-АР1-СМ1-Доп.1</t>
  </si>
  <si>
    <t>Станционный комплекс "Аминьевское шоссе". Вестибюль №2. Камера съездов. ТПП. Архитектурные решения слуебных и технических помещений. Уровни кассового зала и машинного зала эскалаторов</t>
  </si>
  <si>
    <t>Работы выполнены в марте 2020 г.</t>
  </si>
  <si>
    <t>Установка стальных конструкций, остающихся в теле бетона, 0,744т+8,123т+0,542т=9,409т</t>
  </si>
  <si>
    <t>Трубы стальные электросварные прямошовные, ГОСТ 10705-80, ГОСТ 10704-91, наружный диаметр 89 мм, толщина стенки 4 мм</t>
  </si>
  <si>
    <t>17.95</t>
  </si>
  <si>
    <r>
      <t>3.6-6-8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</si>
  <si>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Установка закладных деталей весом до 20 кг (закладные в кирпичных стенах над проемами из уголка и швеллера, и труб)</t>
  </si>
  <si>
    <t>Уголок равнополочный, ширина полки 35-70 мм, из стали углеродистой обыкновенного качества, кипящей</t>
  </si>
  <si>
    <t>Арматурные заготовки (стержни, хомуты и т.п.), не собранные в каркасы или сетки, углеродистая сталь общего назначения и арматурная сталь гладкая, класс А-I, диаметр 10 мм</t>
  </si>
  <si>
    <t>17.96</t>
  </si>
  <si>
    <t>48701-ТПК_5-0647-Р-ССР2-доп.1/12-4017-Л-Р-11.4.1.2.1-АР1-СМ1-Доп.1</t>
  </si>
  <si>
    <t>Трубы стальные электросварные прямошовные, ГОСТ 10705-80, ГОСТ 10704-91, наружный диаметр 57 мм, толщина стенки 3 мм</t>
  </si>
  <si>
    <t>Трубы стальные электросварные прямошовные, ГОСТ 10705-80, ГОСТ 10704-91, наружный диаметр 108 мм, толщина стенки 4 мм</t>
  </si>
  <si>
    <t>17.98</t>
  </si>
  <si>
    <t>48701-ТПК_-0647-Р-ССР2-доп.1/ 12-4017-Л-Р-11.4.1.2.1-АР1-СМ1-Доп1</t>
  </si>
  <si>
    <t>Станционный комплекс "Аминьевское шоссе". Вестибюль №2. Камера съездов. ТПП. Архитектурные решения служебных и технических помещений</t>
  </si>
  <si>
    <r>
      <t>3.11-36-1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</si>
  <si>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Устройство полов из керамических крупноразмерных плиток типа керамогранит на клее из сухих смесей толщиной слоя 4 мм с затиркой швов</t>
  </si>
  <si>
    <t>Смеси сухие для заполнения швов между плитками, цветные</t>
  </si>
  <si>
    <t>Смеси сухие клеевые, высокоадгезионные, высокоэластичные, для внутренних и наружных работ, для укладки напольной, настенной и потолочной плитки из керамики, мозаики, натурального камня и керамогранита</t>
  </si>
  <si>
    <t>Плитки керамические, типа керамогранит, неполированные, размер 30х30 см, толщина 8 мм, цвет: зеленый, вишневый, голубой, черный</t>
  </si>
  <si>
    <r>
      <t>3.11-0-1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</si>
  <si>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Добавляется при устройстве полов из керамических плиток типа керамогранит на клее из сухих смесей толщиной клеевого слоя 5 мм с затиркой швов</t>
  </si>
  <si>
    <t>Смеси сухие клеевые, для внутренних работ, для укладки напольной и настенной плитки из керамики</t>
  </si>
  <si>
    <r>
      <t>3.15-165-1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</si>
  <si>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Обработка поверхностей стен грунтовкой глубокого проникновения внутри помещения</t>
  </si>
  <si>
    <t>Грунтовка акриловая концентрированная универсальная с высокой клеевой и проникающей способностью</t>
  </si>
  <si>
    <t>Рздел 17.55</t>
  </si>
  <si>
    <t>2</t>
  </si>
  <si>
    <t>3</t>
  </si>
  <si>
    <t>4</t>
  </si>
  <si>
    <t>5</t>
  </si>
  <si>
    <t>7</t>
  </si>
  <si>
    <t>8</t>
  </si>
  <si>
    <t>12-4017-Л-Р-11.4.3.1-ОВ1.1-СМ1К</t>
  </si>
  <si>
    <t>48837-ТПК_5-0699-Р-ССР2- изм.1.1</t>
  </si>
  <si>
    <t>12-4017-Л-Р-11.5.3-ОВ-СМ1К изм. 1.1</t>
  </si>
  <si>
    <t>48961-ТПК_5-0786-Р-ССР2-изм.1.1</t>
  </si>
  <si>
    <t>ИТОГО за Январь2020г</t>
  </si>
  <si>
    <t>Составлен(а) в уровне текущих (прогнозных) цен ТСН МГЭ строительство №164 май 2020 года</t>
  </si>
  <si>
    <t>Проводник заземляющий открыто по строительным основаниям из полосовой стали, сечением 100 мм2</t>
  </si>
  <si>
    <t xml:space="preserve">Итого по акту: </t>
  </si>
  <si>
    <t>Составлен(а) в уровне текущих (прогнозных) цен ТСН МГЭ строительство №166 июль 2020 года</t>
  </si>
  <si>
    <t>Светильники для ламп накаливания, потолочный или настенный с креплением винтами для помещений с нормальными условиями среды, одноламповый</t>
  </si>
  <si>
    <t>Анкер клиновой, оцинкованный, для установки в бетон, MAN 6х40</t>
  </si>
  <si>
    <t>Кабели до 35 кВ, прокладываемые по установленным конструкциям и лоткам, кабель с креплением на поворотах и в конце трассы, масса 1 м, до 3 кг</t>
  </si>
  <si>
    <t>Кабели до 35 кВ, прокладываемые по установленным конструкциям и лоткам, кабель с креплением на поворотах и в конце трассы, масса 1 м, до 6 кг</t>
  </si>
  <si>
    <t>Кабели по установленным конструкциям и лоткам с установкой ответвительных коробок, кабель двух-четырехжильный в помещениях с нормальной средой (по конструкциям)</t>
  </si>
  <si>
    <t>Кабели до 35 кВ, прокладываемые по установленным конструкциям и лоткам, кабель с креплением по всей длине, масса 1 м, до 1 кг</t>
  </si>
  <si>
    <t>Конструкции металлические кабельные, конструкция сварная</t>
  </si>
  <si>
    <t>Анкер-шпилька распорный, высокоэффективный, с шестигранной гайкой и шайбой, из оцинкованной стали, для использования в бетоне с трещинами, диаметр 10 мм, длина 90 мм, толщина прикрепляемой детали минимальная/максимальная 10/30 мм</t>
  </si>
  <si>
    <t>Кабели до 35 кВ, прокладываемые по установленным конструкциям и лоткам, кабель с креплением на поворотах и в конце трассы, масса 1 м, до 9 кг</t>
  </si>
  <si>
    <t>Кабель силовой с медными жилами, марка ПвБПнг(А)-HF, напряжение 1000 В, число жил и сечение 4х95 мм2</t>
  </si>
  <si>
    <t>Кабель силовой с медными жилами, марка ПвБПнг(А)-FRHF, напряжение 1000 В, число жил и сечение 5х95 мм2</t>
  </si>
  <si>
    <t>Станционный комплекс "Аминьевское шоссе". Платформенная часть. Внутренние инженерные системы. Электроосвещение.</t>
  </si>
  <si>
    <t>49814-ТПК_5-1235-Р-ССР2,  12-4017-Л-Р-11.3.3.4-ЭО1-СМ1</t>
  </si>
  <si>
    <t>Стоимость материальных ресурсов (всего)</t>
  </si>
  <si>
    <t>ЗП машинистов</t>
  </si>
  <si>
    <t>Основная ЗП рабочих</t>
  </si>
  <si>
    <t>48958-ТПК_5-0783-Р-ССР2-ИЗМ1.1, 12-4017-Л-Р-8.3.2-ЭО1-СМ1К</t>
  </si>
  <si>
    <t>Перегоны от ст. "Мичуринский проспект" до токораздела со ст. "Аминьевское шоссе" (включая монтажный, пл. 2). Инженерные системы. Тоннельное освещение.</t>
  </si>
  <si>
    <t>Итого по акту</t>
  </si>
  <si>
    <t xml:space="preserve"> 12-4017-Л-Р-11.3.3.4-ЭО1-СМ1</t>
  </si>
  <si>
    <t>49814-ТПК_5-1235-Р-ССР2</t>
  </si>
  <si>
    <t>12-4017-л-р-11.5.6-ЭО-СМ1</t>
  </si>
  <si>
    <t>49682-тпк_5-1135-р-сср2</t>
  </si>
  <si>
    <t>Станционный комплекс "Аминьевское шоссе". Инженерные системы ТПП. Электроосвещение</t>
  </si>
  <si>
    <t>12-4017-Л-Р-8.3.2-ЭО1-СМ1К</t>
  </si>
  <si>
    <t>48958-ТПК_5-0783-Р-ССР2-ИЗМ1.1,</t>
  </si>
  <si>
    <t xml:space="preserve"> Перегоны от ст. "Аминьевское шоссе" до токораздела со ст. "Мичуринский проспект".</t>
  </si>
  <si>
    <t>48957-ТПК_5-0782-Р-ССР2-ИЗМ1.1, 12-4017-Л-Р-8.3.2-ЭО2-СМ1К</t>
  </si>
  <si>
    <t>Станционный комплекс "Аминьевское шоссе"</t>
  </si>
  <si>
    <t>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t>
  </si>
  <si>
    <t>49682-ТПК_5-1135-Р-ССР2, 12-4017-Л-Р-11.5.6-ЭО-СМ1</t>
  </si>
  <si>
    <t>49682-ТПК_5-1135-Р-ССР2 12-4017-Л-Р-11.5.6-ЭО-СМ1</t>
  </si>
  <si>
    <r>
      <t>Кабель MIнг(А)-FRHF 5х1х35 напряжение 1 кВ (расчетная масса 1924,9 кг/км)</t>
    </r>
    <r>
      <rPr>
        <i/>
        <sz val="10"/>
        <rFont val="Arial"/>
        <family val="2"/>
        <charset val="204"/>
      </rPr>
      <t xml:space="preserve">
Базисная стоимость: 583 588,52 = [3 192 572,5 /  5,07] + 2% Заг.скл.</t>
    </r>
  </si>
  <si>
    <r>
      <t>Кабель MIнг(А)-HF 4х1х35 напряжение 1 кВ (расчетная масса 1437,4 кг/км)</t>
    </r>
    <r>
      <rPr>
        <i/>
        <sz val="10"/>
        <rFont val="Arial"/>
        <family val="2"/>
        <charset val="204"/>
      </rPr>
      <t xml:space="preserve">
Базисная стоимость: 409 482,11= [2 240 108 /  5,07] + 2% Заг.скл.</t>
    </r>
  </si>
  <si>
    <t>№ и период сборника коэффициентов (индексов) пересчета: Коэффициенты к ТСН-2001 МГЭ №166 июль 2020 года</t>
  </si>
  <si>
    <t>48964-12-4017-Л-Р-8.3.3-ЭМ2-СМ1К2 изм. 2.1 12-4017-Л-Р-8.3.3-ЭМ2-СМ1К2</t>
  </si>
  <si>
    <t>Перегоны от ст. "Аминьевское шоссе" до токораздела со ст. "Мичуринский проспект". Инженерные системы. Магистральные сети путейских ящиков</t>
  </si>
  <si>
    <r>
      <t>4.8-79-7</t>
    </r>
    <r>
      <rPr>
        <i/>
        <sz val="10"/>
        <rFont val="Arial"/>
        <family val="2"/>
        <charset val="204"/>
      </rPr>
      <t xml:space="preserve">
Поправка: ТСН-2001.4. О.П. тб2. п.1</t>
    </r>
  </si>
  <si>
    <t>Кабели до 35 кВ, прокладываемые по установленным конструкциям и лоткам, кабель с креплением на поворотах и в конце трассы, масса 1 м, до 18 кг</t>
  </si>
  <si>
    <r>
      <t>4.8-79-7/1</t>
    </r>
    <r>
      <rPr>
        <i/>
        <sz val="10"/>
        <rFont val="Arial"/>
        <family val="2"/>
        <charset val="204"/>
      </rPr>
      <t xml:space="preserve">
Поправка: ТСН-2001.4. О.П. тб2. п.1</t>
    </r>
  </si>
  <si>
    <t xml:space="preserve">48964-12-4017-Л-Р-8.3.3-ЭМ2-СМ1К2 изм. 2.1 </t>
  </si>
  <si>
    <t>12-4017-Л-Р-8.3.3-ЭМ2-СМ1К2</t>
  </si>
  <si>
    <t>12-4017-Л-Р-11.3.3.2-ВК-СМ1К</t>
  </si>
  <si>
    <t>Унифицированная форма № КС-2</t>
  </si>
  <si>
    <t xml:space="preserve">Вид операции  </t>
  </si>
  <si>
    <t xml:space="preserve">ВЗИС 5,61% </t>
  </si>
  <si>
    <t>ИТОГО с к1=0,975 и к2=0,9989999999996736</t>
  </si>
  <si>
    <t>Подрядчик:</t>
  </si>
  <si>
    <t>Раздел 21.14</t>
  </si>
  <si>
    <t>48645-ТПК_5-0632-Р-ССР2-доп.1-изм. 1.1</t>
  </si>
  <si>
    <t>49682-ТПК_5-1135-Р-ССР2</t>
  </si>
  <si>
    <t>поправить работу и перенести в февраль</t>
  </si>
  <si>
    <t>ООО Строй-Монтаж2002</t>
  </si>
  <si>
    <t>ГУП "МОСКОВСКИЙ МЕТРОПОЛИТЭН", 129110, Москва, Мира просп., 41, стр.2, тел.: (495) 622-7349</t>
  </si>
  <si>
    <t>ООО "МИП-Строй №1" ОГРН 1147746484225, 101000, Москва, Девяткин пер, д.5, стр.3, комната 204</t>
  </si>
  <si>
    <t>Субподрядчик:</t>
  </si>
  <si>
    <t>ООО «Строй-Монтаж 2002», 129327, г. Москва, улица Ленская, д. 2/21, эт.5, пом.III, ком.16А</t>
  </si>
  <si>
    <t>Кожуховская линия ст. "Авиамоторная" - ст. "Некрасовка"</t>
  </si>
  <si>
    <t xml:space="preserve"> 11 этап: Кожуховская линия от переходной камеры за ст. "Косино" до ст. "Нижегородская улица"</t>
  </si>
  <si>
    <t>471-0619-ЗП-МИП1/Н</t>
  </si>
  <si>
    <t>ИТОГО с к=0,925</t>
  </si>
  <si>
    <t>ИТОГО с К=1,15</t>
  </si>
  <si>
    <t xml:space="preserve">ЗП+ЗПМ с К=0,15 </t>
  </si>
  <si>
    <t>779-1119-ЗП-МИП1/Н</t>
  </si>
  <si>
    <t>МИП №3742 от 01.09.2020</t>
  </si>
  <si>
    <t>Светильник светодиодный с креплениями на поверхность потолка или стены с опаловым рассеивателем  из поликарбоната мощностью 26 Вт, 230 В, 50 Гц. 660(Д)х173(Ш)х103(В). Степень защиты-IP 65. LZ.OPL ECO LTD 600 5000К 1074000500 Световые технологии. (6417658) (7053/5,58)</t>
  </si>
  <si>
    <t>шт.</t>
  </si>
  <si>
    <t xml:space="preserve">Давальческое оборудование </t>
  </si>
  <si>
    <t>Давальческий материал</t>
  </si>
  <si>
    <t>МКЭ-33-817/9-1 от 20.05.2019</t>
  </si>
  <si>
    <t>Светильник светодиодный с креплениями на поверхность потолка или стены с опаловым рассеивателем (OPL), рассеиватель из поликарбоната, 26Вт, LZ.OPL ECO LED 1200 5000K, степень защиты IP65, габаритные размеры 1273х173х103 мм (приминительно: Светильник светодиодный LZ.OPL ECO LED 1200 TH 5000K, артикул 1074000460, 33 Вт, 230В, IP65, габаритные размеры 1270х110х103мм, масса 2,40 кг) (3541,67*1,02/5,58)</t>
  </si>
  <si>
    <t>МИП №3742 от 01.09.20</t>
  </si>
  <si>
    <t>Светильник светодиодный с креплениями на поверхность потолка или стены с опаловым рассеивателем, рассеиватель из поликарбоната мощностью 45 Вт, 230 В, 50 Гц. 1272(д)х173(ш)х103(В). Степень защиты -Гр 65. Lz/ OPL ECO LED 1200 5000К, 104000470/ Световые технологии (6417657) (8976/5,58)</t>
  </si>
  <si>
    <t>1.23-8-850</t>
  </si>
  <si>
    <t>Кабель силовой с медными жилами, марка ПвПГнг(А)-HF, напряжение 1000 В, число жил и сечение 3х1,5 мм2 объем: 0,59=590/1000</t>
  </si>
  <si>
    <t>МИП №3073 от 15.06.2020</t>
  </si>
  <si>
    <t>Кабель ПвПГнг(А)-HF 3*1,5-1 (6398280) (33106,46/5,58)</t>
  </si>
  <si>
    <t>Кабель силовой с медными жилами, марка ПвПГнг(А)-HF, напряжение 1000 В, число жил и сечение 3х4 мм2 объем: 1,52=1520/1000</t>
  </si>
  <si>
    <t>Кабель ПвПГнг(А)-HF 3*4-1 (6398282) (71475,5/5,58)</t>
  </si>
  <si>
    <t>1.23-8-852</t>
  </si>
  <si>
    <t>Кабель силовой с медными жилами, марка ПвПГнг(А)-FRHF, напряжение 1000 В, число жил и сечение 3х1,5 мм2 объем: 0,25=250/1000</t>
  </si>
  <si>
    <t>Кабель ПвПГнг(А)-FRHF 3*1,5-1 (6398283) (41313,52/5,58)</t>
  </si>
  <si>
    <t>1.23-8-837</t>
  </si>
  <si>
    <t>Кабель силовой с медными жилами, марка ПвПГнг(А)-FRHF, напряжение 1000 В, число жил и сечение 3х4 мм2 объем: 0,83=830/1000</t>
  </si>
  <si>
    <t>Кабель ПвПГнг(А)-FRHF 3*4-1 (6398285) (82751,89/5,58)</t>
  </si>
  <si>
    <t>1.23-8-839</t>
  </si>
  <si>
    <t>км</t>
  </si>
  <si>
    <t>Кабель ПвБПнг(А)-HF 5х240 напряжение 1 кВ (расчетная масса 14089 кг/км)  (4 905 891,74 / 5,58)</t>
  </si>
  <si>
    <t>МИП №2844 от 22.05.2020</t>
  </si>
  <si>
    <t>кабель пПвбПнг(А)-HF 5*240-1 (6419894) (4256057,11/5,58)</t>
  </si>
  <si>
    <t>МКЭ-33-531/9-8 от 25.07.2019г.</t>
  </si>
  <si>
    <t>Стоимость в текущих ценах                                                                                                                                                                                          к1=0,925</t>
  </si>
  <si>
    <t>ИТОГО с к1=0,925</t>
  </si>
  <si>
    <t>1/17.56</t>
  </si>
  <si>
    <t>2/17.63</t>
  </si>
  <si>
    <t>3/17.93</t>
  </si>
  <si>
    <t>4/21.10</t>
  </si>
  <si>
    <t>5/21.11</t>
  </si>
  <si>
    <t>6/21.12</t>
  </si>
  <si>
    <t>7/21.13</t>
  </si>
  <si>
    <t>8/21.17</t>
  </si>
  <si>
    <t xml:space="preserve">                         оборудование </t>
  </si>
  <si>
    <t xml:space="preserve">                         ПНР</t>
  </si>
  <si>
    <t xml:space="preserve">                         прочие затраты</t>
  </si>
  <si>
    <t>в том числе:    СМР</t>
  </si>
  <si>
    <t>Итого по Акту с К=0,925+К=1,15 без стоимости материалов Подрядчика</t>
  </si>
  <si>
    <t>Итого по акту с К=0,925 с К-1,15 к ЗП и ЗПМ</t>
  </si>
  <si>
    <t>ЗП+ЗПМ с К=1,15</t>
  </si>
  <si>
    <t>в т.ч. Материалы</t>
  </si>
  <si>
    <t>Итого по акту с К=0,925</t>
  </si>
  <si>
    <t>454/1</t>
  </si>
  <si>
    <t>Воздуховоды прямоугольного сечения из оцинкованной стали, толщина стенки до 1,2 мм, периметр до 4000 мм</t>
  </si>
  <si>
    <t>454,1</t>
  </si>
  <si>
    <t>Прокладка воздуховодов из черной, оцинкованной стали и алюминия толщиной 0,7 мм периметром 4000 мм</t>
  </si>
  <si>
    <r>
      <t>3.20-1-14</t>
    </r>
    <r>
      <rPr>
        <i/>
        <sz val="10"/>
        <rFont val="Arial"/>
        <family val="2"/>
        <charset val="204"/>
      </rPr>
      <t xml:space="preserve">
Поправка: ТСН-2001.3-29. О.П. п.4.1 </t>
    </r>
  </si>
  <si>
    <t>454</t>
  </si>
  <si>
    <r>
      <t>1.19-3-13</t>
    </r>
    <r>
      <rPr>
        <i/>
        <sz val="10"/>
        <rFont val="Arial"/>
        <family val="2"/>
        <charset val="204"/>
      </rPr>
      <t xml:space="preserve">
</t>
    </r>
  </si>
  <si>
    <t>450</t>
  </si>
  <si>
    <t>448/1</t>
  </si>
  <si>
    <t>Прокладка воздуховодов из черной, оцинкованной стали и алюминия толщиной 0,7 мм периметром от 1100 до 1600 мм</t>
  </si>
  <si>
    <r>
      <t>3.20-1-10</t>
    </r>
    <r>
      <rPr>
        <i/>
        <sz val="10"/>
        <rFont val="Arial"/>
        <family val="2"/>
        <charset val="204"/>
      </rPr>
      <t xml:space="preserve">
Поправка: ТСН-2001.3-29. О.П. п.4.1  </t>
    </r>
  </si>
  <si>
    <t>448</t>
  </si>
  <si>
    <t>446/1</t>
  </si>
  <si>
    <t>Воздуховоды прямоугольного сечения из оцинкованной стали, толщина стенки до 1,2 мм, периметр до 8000 мм</t>
  </si>
  <si>
    <t>446,1</t>
  </si>
  <si>
    <t>Прокладка воздуховодов прямоугольных из черной, оцинкованной стали и алюминия, толщина стали от 1 до 2 мм, периметром до 6000 мм</t>
  </si>
  <si>
    <r>
      <t>3.20-1-31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</si>
  <si>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446</t>
  </si>
  <si>
    <t>445/1</t>
  </si>
  <si>
    <t>445,1</t>
  </si>
  <si>
    <t>Прокладка воздуховодов прямоугольных из черной, оцинкованной стали и алюминия, толщина стали от 1 до 2 мм, периметром до 4500 мм</t>
  </si>
  <si>
    <r>
      <t>3.20-1-30</t>
    </r>
    <r>
      <rPr>
        <i/>
        <sz val="10"/>
        <rFont val="Arial"/>
        <family val="2"/>
        <charset val="204"/>
      </rPr>
      <t xml:space="preserve">
Поправка: ТСН-2001.3-29. О.П. п.4.1  </t>
    </r>
  </si>
  <si>
    <t>445</t>
  </si>
  <si>
    <t>443/1</t>
  </si>
  <si>
    <t>443,1</t>
  </si>
  <si>
    <t>Прокладка воздуховодов из черной, оцинкованной стали и алюминия толщиной 0,7 мм периметром до 3200 мм</t>
  </si>
  <si>
    <r>
      <t>3.20-1-12</t>
    </r>
    <r>
      <rPr>
        <i/>
        <sz val="10"/>
        <rFont val="Arial"/>
        <family val="2"/>
        <charset val="204"/>
      </rPr>
      <t xml:space="preserve">
Поправка: ТСН-2001.3-29. О.П. п.4.1 </t>
    </r>
  </si>
  <si>
    <t>443</t>
  </si>
  <si>
    <t>442/1</t>
  </si>
  <si>
    <t>442,1</t>
  </si>
  <si>
    <t>Прокладка воздуховодов из черной, оцинкованной стали и алюминия толщиной 0,7 мм периметром до 2400 мм</t>
  </si>
  <si>
    <r>
      <t>3.20-1-11</t>
    </r>
    <r>
      <rPr>
        <i/>
        <sz val="10"/>
        <rFont val="Arial"/>
        <family val="2"/>
        <charset val="204"/>
      </rPr>
      <t xml:space="preserve">
Поправка: ТСН-2001.3-29. О.П. п.4.1 </t>
    </r>
  </si>
  <si>
    <t>442</t>
  </si>
  <si>
    <t>441</t>
  </si>
  <si>
    <t>Воздуховоды прямоугольного сечения из оцинкованной стали, толщина стенки до 1,2 мм, периметр до 1000 мм</t>
  </si>
  <si>
    <r>
      <t>1.19-3-12</t>
    </r>
    <r>
      <rPr>
        <i/>
        <sz val="10"/>
        <rFont val="Arial"/>
        <family val="2"/>
        <charset val="204"/>
      </rPr>
      <t xml:space="preserve">
</t>
    </r>
  </si>
  <si>
    <t>440</t>
  </si>
  <si>
    <t>439/1</t>
  </si>
  <si>
    <r>
      <t>3.20-1-10</t>
    </r>
    <r>
      <rPr>
        <i/>
        <sz val="10"/>
        <rFont val="Arial"/>
        <family val="2"/>
        <charset val="204"/>
      </rPr>
      <t xml:space="preserve">
Поправка: ТСН-2001.3-29. О.П. п.4.1 </t>
    </r>
  </si>
  <si>
    <t>439</t>
  </si>
  <si>
    <t>437/1</t>
  </si>
  <si>
    <t>Воздуховоды круглого сечения из оцинкованной стали, толщина стенки до 1,2 мм, диаметр 500-800 мм</t>
  </si>
  <si>
    <t>437,1</t>
  </si>
  <si>
    <t>Прокладка воздуховодов из черной, оцинкованной стали и алюминия толщиной 0,7 мм диаметром от 500 до 560 мм</t>
  </si>
  <si>
    <r>
      <t>3.20-1-7</t>
    </r>
    <r>
      <rPr>
        <i/>
        <sz val="10"/>
        <rFont val="Arial"/>
        <family val="2"/>
        <charset val="204"/>
      </rPr>
      <t xml:space="preserve">
Поправка: ТСН-2001.3-29. О.П. п.4.1  </t>
    </r>
  </si>
  <si>
    <t>437</t>
  </si>
  <si>
    <t>435/1</t>
  </si>
  <si>
    <t>Воздуховоды круглого сечения из оцинкованной стали, толщина стенки до 1,2 мм, диаметр 250-450 мм</t>
  </si>
  <si>
    <t>435,1</t>
  </si>
  <si>
    <t>Прокладка воздуховодов из черной, оцинкованной стали и алюминия толщиной 0,6 мм диаметром до 355 мм</t>
  </si>
  <si>
    <r>
      <t>3.20-1-5</t>
    </r>
    <r>
      <rPr>
        <i/>
        <sz val="10"/>
        <rFont val="Arial"/>
        <family val="2"/>
        <charset val="204"/>
      </rPr>
      <t xml:space="preserve">
Поправка: ТСН-2001.3-29. О.П. п.4.1 </t>
    </r>
  </si>
  <si>
    <t>435</t>
  </si>
  <si>
    <t>434/1</t>
  </si>
  <si>
    <t>434,1</t>
  </si>
  <si>
    <t>Прокладка воздуховодов из черной, оцинкованной стали и алюминия толщиной 0,5 мм периметром 800 мм, 1000 мм</t>
  </si>
  <si>
    <r>
      <t>3.20-1-3</t>
    </r>
    <r>
      <rPr>
        <i/>
        <sz val="10"/>
        <rFont val="Arial"/>
        <family val="2"/>
        <charset val="204"/>
      </rPr>
      <t xml:space="preserve">
Поправка: ТСН-2001.3-29. О.П. п.4.1  </t>
    </r>
  </si>
  <si>
    <t>434</t>
  </si>
  <si>
    <t>432/1</t>
  </si>
  <si>
    <t>432,1</t>
  </si>
  <si>
    <t>Прокладка воздуховодов из черной, оцинкованной стали и алюминия толщиной 0,6 мм диаметром до 250 мм</t>
  </si>
  <si>
    <r>
      <t>3.20-1-4</t>
    </r>
    <r>
      <rPr>
        <i/>
        <sz val="10"/>
        <rFont val="Arial"/>
        <family val="2"/>
        <charset val="204"/>
      </rPr>
      <t xml:space="preserve">
Поправка: ТСН-2001.3-29. О.П. п.4.1  </t>
    </r>
  </si>
  <si>
    <t>432</t>
  </si>
  <si>
    <t>Дроссель-клапаны для регулирования расхода воздуха, в обечайке, с сектором управления, из оцинкованной стали, прямоугольные, периметр 2000 мм</t>
  </si>
  <si>
    <r>
      <t>1.19-10-10</t>
    </r>
    <r>
      <rPr>
        <i/>
        <sz val="10"/>
        <rFont val="Arial"/>
        <family val="2"/>
        <charset val="204"/>
      </rPr>
      <t xml:space="preserve">
Поправка: ТСН-2001.3-29. О.П. п.4.1  Поправка: ТСН-2001.3-29. О.П. п.4.3  Поправка: ТСН-2001.3-29. О.П. п.4.1</t>
    </r>
  </si>
  <si>
    <t>430</t>
  </si>
  <si>
    <r>
      <t>Клапан противопожарный универсальный, нормально-открытый, исполнение общепромышленное, канальный, с электроприводом, на 220В, привод снаружи, без терморазмыкающего устройства, с клеммной коробкой, без решеток, без монтажного лючка, без рукоятки для ручного взвода, без монтажной рамы, размер 250х500 мм</t>
    </r>
    <r>
      <rPr>
        <i/>
        <sz val="10"/>
        <rFont val="Arial"/>
        <family val="2"/>
        <charset val="204"/>
      </rPr>
      <t xml:space="preserve">
Базисная стоимость: 2 726,93 = [15 105,05 /  5,65] +  2% Заг.скл</t>
    </r>
  </si>
  <si>
    <t>360</t>
  </si>
  <si>
    <r>
      <t>Клапан противопожарный универсальный, нормально-открытый, исполнение общепромышленное, канальный, с электроприводом на 220 В, привод снаружи, с терморазмыкающим устройством, с клеммной колодкой, без решеток, без монтажного лючка, без переходника на круглое сечение, без рукоятки для ручного взвода, без монтажной рамы, размер 400х400 мм</t>
    </r>
    <r>
      <rPr>
        <i/>
        <sz val="10"/>
        <rFont val="Arial"/>
        <family val="2"/>
        <charset val="204"/>
      </rPr>
      <t xml:space="preserve">
Базисная стоимость: 2 798,42 = [15 501,06 /  5,65] +  2% Заг.скл</t>
    </r>
  </si>
  <si>
    <t>357</t>
  </si>
  <si>
    <t>)*(1.67-1)*1.05</t>
  </si>
  <si>
    <t>339/1</t>
  </si>
  <si>
    <t>Установка клапанов огнезадерживающих периметром до 1600 мм</t>
  </si>
  <si>
    <r>
      <t>3.20-11-15</t>
    </r>
    <r>
      <rPr>
        <i/>
        <sz val="10"/>
        <rFont val="Arial"/>
        <family val="2"/>
        <charset val="204"/>
      </rPr>
      <t xml:space="preserve">
Поправка: ТСН-2001.3-20. О.П. п.1.20  Поправка: ТСН-2001.3-29. О.П. п.4.1</t>
    </r>
  </si>
  <si>
    <t>339</t>
  </si>
  <si>
    <r>
      <t>Клапан противопожарный универсальный, нормально-открытый, исполнение общепромышленное, ниппельный, с электроприводом на 220 В, привод снаружи, без терморазмыкающего устройства, без клеммной коробки/колодки, без решеток, без монтажного лючка, без переходника на круглое сечение, без рукоятки для ручного взвода; без монтажной рамы, размер 160 мм</t>
    </r>
    <r>
      <rPr>
        <i/>
        <sz val="10"/>
        <rFont val="Arial"/>
        <family val="2"/>
        <charset val="204"/>
      </rPr>
      <t xml:space="preserve">
Базисная стоимость: 1 668,84 = [9 244,07 /  5,65] +  2% Заг.скл</t>
    </r>
  </si>
  <si>
    <t>335</t>
  </si>
  <si>
    <t>334/1</t>
  </si>
  <si>
    <t>Клапаны огнезадерживающие КПУ диаметром 200 мм</t>
  </si>
  <si>
    <r>
      <t>4.21-39-2</t>
    </r>
    <r>
      <rPr>
        <i/>
        <sz val="10"/>
        <rFont val="Arial"/>
        <family val="2"/>
        <charset val="204"/>
      </rPr>
      <t xml:space="preserve">
Поправка: ТСН-2001.3-29. О.П. п.4.1  </t>
    </r>
  </si>
  <si>
    <t>334</t>
  </si>
  <si>
    <r>
      <t>Приточная каркасно-панельная установка Вероса-300-078-05-61-У3</t>
    </r>
    <r>
      <rPr>
        <i/>
        <sz val="10"/>
        <color rgb="FF7030A0"/>
        <rFont val="Arial"/>
        <family val="2"/>
        <charset val="204"/>
      </rPr>
      <t xml:space="preserve">
Базисная стоимость: 183 069,85 = [807 898,72 /  4,6] +  3% Трансп +  1,2% Заг.скл</t>
    </r>
  </si>
  <si>
    <t>236</t>
  </si>
  <si>
    <t>235/1</t>
  </si>
  <si>
    <t>235</t>
  </si>
  <si>
    <r>
      <t>Приточная каркасно-панельная установка Вероса-300-019-05-61-У3</t>
    </r>
    <r>
      <rPr>
        <i/>
        <sz val="10"/>
        <color rgb="FF7030A0"/>
        <rFont val="Arial"/>
        <family val="2"/>
        <charset val="204"/>
      </rPr>
      <t xml:space="preserve">
Базисная стоимость: 92 252,99 = [407 118,2 /  4,6] +  3% Трансп +  1,2% Заг.скл</t>
    </r>
  </si>
  <si>
    <t>198</t>
  </si>
  <si>
    <t>197/1</t>
  </si>
  <si>
    <t>197</t>
  </si>
  <si>
    <r>
      <t>Приточная каркасно-панельная установка Вероса-300-019-05-61-У3</t>
    </r>
    <r>
      <rPr>
        <i/>
        <sz val="10"/>
        <color rgb="FF7030A0"/>
        <rFont val="Arial"/>
        <family val="2"/>
        <charset val="204"/>
      </rPr>
      <t xml:space="preserve">
Базисная стоимость: 95 477,86 = [421 349,79 /  4,6] +  3% Трансп +  1,2% Заг.скл</t>
    </r>
  </si>
  <si>
    <t>165</t>
  </si>
  <si>
    <t>164/1</t>
  </si>
  <si>
    <t>164</t>
  </si>
  <si>
    <r>
      <t>Приточная каркасно-панельная установка Вероса-300-039-05-00-У3</t>
    </r>
    <r>
      <rPr>
        <i/>
        <sz val="10"/>
        <color rgb="FF7030A0"/>
        <rFont val="Arial"/>
        <family val="2"/>
        <charset val="204"/>
      </rPr>
      <t xml:space="preserve">
Базисная стоимость: 48 038,28 = [211 995,96 /  4,6] +  3% Трансп +  1,2% Заг.скл</t>
    </r>
  </si>
  <si>
    <t>153</t>
  </si>
  <si>
    <t>152/1</t>
  </si>
  <si>
    <t>152</t>
  </si>
  <si>
    <r>
      <t>Приточная каркасно-панельная установка Вероса-300-058-05-00-У3</t>
    </r>
    <r>
      <rPr>
        <i/>
        <sz val="10"/>
        <color rgb="FF7030A0"/>
        <rFont val="Arial"/>
        <family val="2"/>
        <charset val="204"/>
      </rPr>
      <t xml:space="preserve">
Базисная стоимость: 50 618,28 = [223 381,59 /  4,6] +  3% Трансп +  1,2% Заг.скл</t>
    </r>
  </si>
  <si>
    <t>113</t>
  </si>
  <si>
    <t>112/1</t>
  </si>
  <si>
    <t>112</t>
  </si>
  <si>
    <r>
      <t>Приточная каркасно-панельная установка Вероса-300-193-05-00-У3</t>
    </r>
    <r>
      <rPr>
        <i/>
        <sz val="10"/>
        <color rgb="FF7030A0"/>
        <rFont val="Arial"/>
        <family val="2"/>
        <charset val="204"/>
      </rPr>
      <t xml:space="preserve">
Базисная стоимость: 181 705,29 = [801 876,85 /  4,6] +  3% Трансп +  1,2% Заг.скл</t>
    </r>
  </si>
  <si>
    <t>111</t>
  </si>
  <si>
    <t>110/1</t>
  </si>
  <si>
    <t>110</t>
  </si>
  <si>
    <t>109</t>
  </si>
  <si>
    <t>108/1</t>
  </si>
  <si>
    <t>108</t>
  </si>
  <si>
    <r>
      <t>Приточная каркасно-панельная установка Вероса-300-078-05-00-У3</t>
    </r>
    <r>
      <rPr>
        <i/>
        <sz val="10"/>
        <color rgb="FF7030A0"/>
        <rFont val="Arial"/>
        <family val="2"/>
        <charset val="204"/>
      </rPr>
      <t xml:space="preserve">
Базисная стоимость: 90 277,67 = [398 401 /  4,6] +  3% Трансп +  1,2% Заг.скл</t>
    </r>
  </si>
  <si>
    <t>77</t>
  </si>
  <si>
    <t>76/1</t>
  </si>
  <si>
    <t>76</t>
  </si>
  <si>
    <r>
      <t>Приточная каркасно-панельная установка Вероса-300-019-05-00-У3</t>
    </r>
    <r>
      <rPr>
        <i/>
        <sz val="10"/>
        <color rgb="FF7030A0"/>
        <rFont val="Arial"/>
        <family val="2"/>
        <charset val="204"/>
      </rPr>
      <t xml:space="preserve">
Базисная стоимость: 46 837,27 = [206 695,8 /  4,6] +  3% Трансп +  1,2% Заг.скл</t>
    </r>
  </si>
  <si>
    <t>73</t>
  </si>
  <si>
    <t>72/1</t>
  </si>
  <si>
    <t>72</t>
  </si>
  <si>
    <r>
      <t>Приточная каркасно-панельная установка Вероса-300-039-05-00-У3</t>
    </r>
    <r>
      <rPr>
        <i/>
        <sz val="10"/>
        <color rgb="FF7030A0"/>
        <rFont val="Arial"/>
        <family val="2"/>
        <charset val="204"/>
      </rPr>
      <t xml:space="preserve">
Базисная стоимость: 62 849,10 = [277 357,02 /  4,6] +  3% Трансп +  1,2% Заг.скл</t>
    </r>
  </si>
  <si>
    <t>58</t>
  </si>
  <si>
    <t>57/1</t>
  </si>
  <si>
    <t>57</t>
  </si>
  <si>
    <r>
      <t>Приточная каркасно-панельная установка Вероса-300-058-05-00-У3</t>
    </r>
    <r>
      <rPr>
        <i/>
        <sz val="10"/>
        <color rgb="FF7030A0"/>
        <rFont val="Arial"/>
        <family val="2"/>
        <charset val="204"/>
      </rPr>
      <t xml:space="preserve">
Базисная стоимость: 73 114,26 = [322 657,79 /  4,6] +  3% Трансп +  1,2% Заг.скл</t>
    </r>
  </si>
  <si>
    <t>56</t>
  </si>
  <si>
    <t>55/1</t>
  </si>
  <si>
    <t>55</t>
  </si>
  <si>
    <r>
      <t>Приточная каркасно-панельная установка Вероса-300-039-05-00-У3</t>
    </r>
    <r>
      <rPr>
        <i/>
        <sz val="10"/>
        <color rgb="FF7030A0"/>
        <rFont val="Arial"/>
        <family val="2"/>
        <charset val="204"/>
      </rPr>
      <t xml:space="preserve">
Базисная стоимость: 54 107,42 = [238 779,43 /  4,6] +  3% Трансп +  1,2% Заг.скл</t>
    </r>
  </si>
  <si>
    <t>40</t>
  </si>
  <si>
    <t>39/1</t>
  </si>
  <si>
    <t>39</t>
  </si>
  <si>
    <r>
      <t>Приточная каркасно-панельная установка Вероса-300-019-05-61-У3</t>
    </r>
    <r>
      <rPr>
        <i/>
        <sz val="10"/>
        <color rgb="FF7030A0"/>
        <rFont val="Arial"/>
        <family val="2"/>
        <charset val="204"/>
      </rPr>
      <t xml:space="preserve">
Базисная стоимость: 102 218,26 = [451 095,59 /  4,6] +  3% Трансп +  1,2% Заг.скл</t>
    </r>
  </si>
  <si>
    <t>26</t>
  </si>
  <si>
    <r>
      <t>3.29-1940-1/1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</si>
  <si>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25/1</t>
  </si>
  <si>
    <r>
      <t>3.29-1940-1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</si>
  <si>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25</t>
  </si>
  <si>
    <r>
      <t>Приточная каркасно-панельная установка Вероса-300-039-05-61-У3</t>
    </r>
    <r>
      <rPr>
        <i/>
        <sz val="10"/>
        <color rgb="FF7030A0"/>
        <rFont val="Arial"/>
        <family val="2"/>
        <charset val="204"/>
      </rPr>
      <t xml:space="preserve">
Базисная стоимость: 131 180,40 = [578 907,33 /  4,6] +  3% Трансп +  1,2% Заг.скл</t>
    </r>
  </si>
  <si>
    <t>5/1</t>
  </si>
  <si>
    <r>
      <t>Приточная каркасно-панельная установка Вероса-300-039-05-00-У3</t>
    </r>
    <r>
      <rPr>
        <i/>
        <sz val="10"/>
        <color rgb="FF7030A0"/>
        <rFont val="Arial"/>
        <family val="2"/>
        <charset val="204"/>
      </rPr>
      <t xml:space="preserve">
Базисная стоимость: 81 063,11 = [357 736,61 /  4,6] +  3% Трансп +  1,2% Заг.скл</t>
    </r>
  </si>
  <si>
    <t>Раздел 1/17.56</t>
  </si>
  <si>
    <t>12-4017-Л-Р-8.3.1-ВК-СМ1 Инженерные системы. Тонельный водопровод и водоотвод</t>
  </si>
  <si>
    <t xml:space="preserve">ООО "СТРОЙ-МОНТАЖ 2002", 125362, г. Москва, улица Свободы, дом 17,Э Подвал П I ком. 1, оф. 2 </t>
  </si>
  <si>
    <t>Субподрядчик</t>
  </si>
  <si>
    <t>01140469</t>
  </si>
  <si>
    <t>ООО "МИП-Строй №1", 101000, г. Москва, Девяткин пер., д.5, стр.3., комн.204</t>
  </si>
  <si>
    <t>Подрядчик</t>
  </si>
  <si>
    <t>29478604</t>
  </si>
  <si>
    <t>АО "Мосинжпроект" 101000, г.Москва, Сверчков пер., д.4/1</t>
  </si>
  <si>
    <t>Заказчик-Генподрядчик:</t>
  </si>
  <si>
    <t>ГУП "Московский метрополитен" 129110, г.Москва, проспект Мира, д. 41 стр.2</t>
  </si>
  <si>
    <t>Инвестор-Застройщик:</t>
  </si>
  <si>
    <t>04741510</t>
  </si>
  <si>
    <t>48961-ТПК_5-0786-Р-ССР2-изм.1.1  12-4017-Л-Р-11.5.3-ОВ-СМ1К изм. 1.1</t>
  </si>
  <si>
    <t>Раздел 2/17.63</t>
  </si>
  <si>
    <t>Убрал</t>
  </si>
  <si>
    <t>Прайс-листы</t>
  </si>
  <si>
    <t>Д.В.Алексеев</t>
  </si>
  <si>
    <t>Сдал: Генеральный директор ООО "СТРОЙ-МОНТАЖ 2002"</t>
  </si>
  <si>
    <t>К.В. Маслаков</t>
  </si>
  <si>
    <t>Принял: Генеральный директор  ООО "МИП-Строй №1"</t>
  </si>
  <si>
    <t xml:space="preserve">                           оборудование</t>
  </si>
  <si>
    <t xml:space="preserve">                                           ПНР</t>
  </si>
  <si>
    <t xml:space="preserve">                                           прочие</t>
  </si>
  <si>
    <t>В том числе                   СМР</t>
  </si>
  <si>
    <t xml:space="preserve">Итого по Акту №6 с  К=1,15 </t>
  </si>
  <si>
    <r>
      <t>3.16-9-7/1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</si>
  <si>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Трубы стальные бесшовные горячедеформированные со снятой фаской из стали марок 15, 20, 25, ГОСТ 8732-78, наружный диаметр 159 мм, толщина стенки 4,5 мм</t>
  </si>
  <si>
    <t>Прокладка трубопроводов отопления и газоснабжения из стальных бесшовных труб диаметром 200 мм</t>
  </si>
  <si>
    <r>
      <t>3.16-9-7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</si>
  <si>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Анкер-шпилька распорный, высокоэффективный, с шестигранной гайкой и шайбой, из оцинкованной стали, для использования в бетоне с трещинами, диаметр 10 мм, длина 110 мм, толщина прикрепляемой детали минимальная/максимальная 30/50 мм</t>
  </si>
  <si>
    <t>Отдельные конструктивные элементы с преобладанием горячекатаных профилей, средняя масса сборочной единицы до 0,05 т</t>
  </si>
  <si>
    <t>Тройники косые чугунные под углом 45°, диаметр 100x100 мм</t>
  </si>
  <si>
    <t>Отводы чугунные под углом 135°, диаметр 100 мм</t>
  </si>
  <si>
    <r>
      <t>3.16-5-2/1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</si>
  <si>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Узлы трубопроводов из чугунных канализационных труб с фасонными частями, диаметр условного прохода 100 мм</t>
  </si>
  <si>
    <t>Прокладка по стенам зданий и в каналах трубопроводов из чугунных канализационных труб диаметром 100 мм</t>
  </si>
  <si>
    <r>
      <t>3.16-5-2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</si>
  <si>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Анкер-гильза распорный из оцинкованной стали, с шестигранной головкой, установка в бетон и кирпич, диаметр 12 мм, длина 75 мм, толщина прикрепляемой детали 35 мм</t>
  </si>
  <si>
    <t>Отводы крутоизогнутые из стали 20, ГОСТ 17375-01, наружный диаметр 108 мм, толщина стенки 4,0 мм, под углом 90°, 60°, 45°</t>
  </si>
  <si>
    <t>Отводы крутоизогнутые из стали 20, ГОСТ 17375-01, наружный диаметр 159 мм, толщина стенки, мм 4,5-5,0, под углом 90°, 60°, 45°</t>
  </si>
  <si>
    <r>
      <t>Тройник стальной переходный 108x6-89x6 мм, ст. 12Х18Н10Т, ГОСТ 17376, расчетный вес 3,3 кг</t>
    </r>
    <r>
      <rPr>
        <i/>
        <sz val="10"/>
        <rFont val="Arial"/>
        <family val="2"/>
        <charset val="204"/>
      </rPr>
      <t xml:space="preserve">
Базисная стоимость: 727,54 = [4 030 /  5,65] +  2% Заг.скл</t>
    </r>
  </si>
  <si>
    <r>
      <t>3.16-9-6/1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</si>
  <si>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Трубы бесшовные горячедеформированные из коррозионностойкой стали, ГОСТ 9940-81, наружный диаметр 159 мм, толщина стенки 6 мм</t>
  </si>
  <si>
    <t>Прокладка трубопроводов отопления и газоснабжения из стальных бесшовных труб диаметром 150 мм</t>
  </si>
  <si>
    <r>
      <t>3.16-9-6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</si>
  <si>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r>
      <t>3.16-9-4/1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</si>
  <si>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Трубы бесшовные горячедеформированные из коррозионностойкой стали, ГОСТ 9940-81, наружный диаметр 108 мм, толщина стенки 5 мм</t>
  </si>
  <si>
    <t>Прокладка трубопроводов отопления и газоснабжения из стальных бесшовных труб диаметром 100 мм</t>
  </si>
  <si>
    <r>
      <t>3.16-9-4</t>
    </r>
    <r>
      <rPr>
        <i/>
        <sz val="10"/>
        <rFont val="Arial"/>
        <family val="2"/>
        <charset val="204"/>
      </rPr>
      <t xml:space="preserve">
Поправка: ТСН-2001.3-29. О.П. п.4.1</t>
    </r>
  </si>
  <si>
    <t>Станционный комплекс "Аминьевское шоссе". Платформенная часть. Внутренние инженерные системы. Водоснабжение и водоотведение</t>
  </si>
  <si>
    <t>48645-ТПК_5-0632-Р-ССР2-доп.1-изм2.1 доп1 МИП 12-4017-Л-Р-11.3.3.2-ВК-СМ1К1-доп.1МИП</t>
  </si>
  <si>
    <t>№ и период сборника коэффициентов (индексов) пересчета: ТСН-2001 МГЭ строительство №170 ноябрь 2020 года</t>
  </si>
  <si>
    <t>Раздел 3/17.93</t>
  </si>
  <si>
    <t>48645-доп.1-изм2.1 12-4017-Л-Р-11.3.3.2-ВК-СМ1К1С Внутренние инженерные системы. Водоснабжение и водоотведение</t>
  </si>
  <si>
    <r>
      <t xml:space="preserve">Заказчик - Генподрядчик: </t>
    </r>
    <r>
      <rPr>
        <sz val="16"/>
        <rFont val="Times New Roman"/>
        <family val="1"/>
        <charset val="204"/>
      </rPr>
      <t>АО "Мосинжпроект"</t>
    </r>
  </si>
  <si>
    <r>
      <rPr>
        <b/>
        <sz val="16"/>
        <rFont val="Times New Roman"/>
        <family val="1"/>
        <charset val="204"/>
      </rPr>
      <t>Подрядчик:</t>
    </r>
    <r>
      <rPr>
        <sz val="16"/>
        <rFont val="Times New Roman"/>
        <family val="1"/>
        <charset val="204"/>
      </rPr>
      <t xml:space="preserve"> ООО "МИП-Строй №1"</t>
    </r>
  </si>
  <si>
    <r>
      <t xml:space="preserve">Субподрядчик: </t>
    </r>
    <r>
      <rPr>
        <sz val="16"/>
        <rFont val="Times New Roman"/>
        <family val="1"/>
        <charset val="204"/>
      </rPr>
      <t>ООО "СТРОЙ-МОНТАЖ 2002"</t>
    </r>
  </si>
  <si>
    <r>
      <rPr>
        <b/>
        <sz val="16"/>
        <rFont val="Times New Roman"/>
        <family val="1"/>
        <charset val="204"/>
      </rPr>
      <t xml:space="preserve">Объект: </t>
    </r>
    <r>
      <rPr>
        <sz val="16"/>
        <rFont val="Times New Roman"/>
        <family val="1"/>
        <charset val="204"/>
      </rPr>
      <t>Юго-западный участок третьего пересадочного контура, ст. метро "Проспект вернадского" - ст. метро "Можайская" (ст. Аминьевское шоссе, Мичуренский проспект)</t>
    </r>
  </si>
  <si>
    <r>
      <t xml:space="preserve">Контракт: </t>
    </r>
    <r>
      <rPr>
        <sz val="16"/>
        <rFont val="Times New Roman"/>
        <family val="1"/>
        <charset val="204"/>
      </rPr>
      <t>№779-1119-ЗП-МИП1/Н 12.12.2019</t>
    </r>
  </si>
  <si>
    <t>РЕЕСТР №8</t>
  </si>
  <si>
    <t xml:space="preserve"> актов выполненных работ за Январь 2021г.  </t>
  </si>
  <si>
    <t>Раздел 4/21.10</t>
  </si>
  <si>
    <t>Раздел 5/21.11</t>
  </si>
  <si>
    <t>Раздел 6/21.12</t>
  </si>
  <si>
    <t>Раздел 7/21.13</t>
  </si>
  <si>
    <t>Раздел 8/21.17</t>
  </si>
  <si>
    <t xml:space="preserve">Субподрядчик: </t>
  </si>
  <si>
    <t xml:space="preserve">  Генеральный директор ООО "Строй-Монтаж 2002"     </t>
  </si>
  <si>
    <t>/Д.В. Алексеев/</t>
  </si>
  <si>
    <t xml:space="preserve">Подрядчик: </t>
  </si>
  <si>
    <t xml:space="preserve"> Генеральный директор ООО "МИП-Строй №1"</t>
  </si>
  <si>
    <t>/К.В. Маслаков/</t>
  </si>
  <si>
    <t>М.П.</t>
  </si>
  <si>
    <t>Д.В. Алексеев</t>
  </si>
  <si>
    <t>________________________________________________________________________</t>
  </si>
  <si>
    <t>Генеральный директор ООО "Строй-Монтаж 2002"</t>
  </si>
  <si>
    <t xml:space="preserve">Генеральный директор                                          ООО "МИП-Строй №1"      </t>
  </si>
  <si>
    <t>-</t>
  </si>
  <si>
    <t xml:space="preserve">ВСЕГО К ОПЛАТЕ с НДС </t>
  </si>
  <si>
    <t xml:space="preserve">Итого НДС </t>
  </si>
  <si>
    <t xml:space="preserve">Всего к оплате </t>
  </si>
  <si>
    <t>ВСЕГО удержаний с НДС 20%</t>
  </si>
  <si>
    <t>Итого НДС</t>
  </si>
  <si>
    <t xml:space="preserve">Всего удержания </t>
  </si>
  <si>
    <t>Итого гарангтийное удержание 2% с НДС 20%</t>
  </si>
  <si>
    <t>НДС - 20%</t>
  </si>
  <si>
    <t>Гарантийное удержание 2%</t>
  </si>
  <si>
    <t>Удержания:</t>
  </si>
  <si>
    <t>Оборудование Подрядчика</t>
  </si>
  <si>
    <t>16</t>
  </si>
  <si>
    <t>Материал Подрядчика</t>
  </si>
  <si>
    <t>15</t>
  </si>
  <si>
    <r>
      <t xml:space="preserve">ВСЕГО с НДС </t>
    </r>
    <r>
      <rPr>
        <b/>
        <i/>
        <sz val="10"/>
        <color indexed="10"/>
        <rFont val="Times New Roman"/>
        <family val="1"/>
        <charset val="204"/>
      </rPr>
      <t xml:space="preserve"> </t>
    </r>
  </si>
  <si>
    <t>14</t>
  </si>
  <si>
    <r>
      <t>Итого НДС</t>
    </r>
    <r>
      <rPr>
        <b/>
        <i/>
        <sz val="10"/>
        <color indexed="10"/>
        <rFont val="Times New Roman"/>
        <family val="1"/>
        <charset val="204"/>
      </rPr>
      <t xml:space="preserve"> </t>
    </r>
  </si>
  <si>
    <t>13</t>
  </si>
  <si>
    <r>
      <t xml:space="preserve">Всего работ и затрат облагаемых налогом </t>
    </r>
    <r>
      <rPr>
        <b/>
        <i/>
        <sz val="10"/>
        <color indexed="10"/>
        <rFont val="Times New Roman"/>
        <family val="1"/>
        <charset val="204"/>
      </rPr>
      <t xml:space="preserve"> </t>
    </r>
  </si>
  <si>
    <t>12</t>
  </si>
  <si>
    <t>Итого оборудование с НДС 20%</t>
  </si>
  <si>
    <t>11</t>
  </si>
  <si>
    <t>10</t>
  </si>
  <si>
    <t>9</t>
  </si>
  <si>
    <t>Итого прочие с НДС 20%</t>
  </si>
  <si>
    <t>Итого СМР с НДС 20%</t>
  </si>
  <si>
    <t xml:space="preserve"> в том числе:</t>
  </si>
  <si>
    <t>Всего работ и затрат , включаемых в стоимость работ</t>
  </si>
  <si>
    <t xml:space="preserve">В текущ. ценах </t>
  </si>
  <si>
    <t>В базовых ценах</t>
  </si>
  <si>
    <t>В текущ. ценах</t>
  </si>
  <si>
    <t>В том числе: отчетный месяц</t>
  </si>
  <si>
    <t>С начала года</t>
  </si>
  <si>
    <t>С начала проведения работ</t>
  </si>
  <si>
    <t xml:space="preserve">    СТОИМОСТЬ  ВЫПОЛНЕННЫХ  РАБОТ  И  ЗАТРАТ</t>
  </si>
  <si>
    <t>Наименование пусковых комплексов, объектов, видов работ, оборудования, затрат</t>
  </si>
  <si>
    <t xml:space="preserve"> №№
п/п</t>
  </si>
  <si>
    <t xml:space="preserve">ВЫВЕРЕННАЯ ПРАВИЛЬНАЯ </t>
  </si>
  <si>
    <t>СПРАВКА
О  СТОИМОСТИ ВЫПОЛНЕННЫХ РАБОТ И ЗАТРАТ</t>
  </si>
  <si>
    <t>Объект: Юго-Западный участок ТПК, ст."Проспект Вернадского" - ст."Можайская". 6 этап: "Участок линии от ст."Проспект Вернадского" до ст.Аминьевское шоссе"</t>
  </si>
  <si>
    <t>Главстройгрупп (к0,7)</t>
  </si>
  <si>
    <t>Стройка: Юго-Западный участок ТПК, ст."Проспект Вернадского" - ст."Можайская". 6 этап: "Участок линии от ст."Проспект Вернадского" до ст.Аминьевское шоссе"</t>
  </si>
  <si>
    <t xml:space="preserve">Субподрядчик: ООО "СТРОЙ-МОНТАЖ 2002", 125362, г. Москва, улица Свободы, дом 17,Э Подвал П I ком. 1, оф. 2 </t>
  </si>
  <si>
    <t>Подрядчик: ООО "МИП-Строй №1", 101000, г. Москва, Девяткин пер., д.5, стр.3., комн.204</t>
  </si>
  <si>
    <t>Заказчик-Генподрядчик: АО "Мосинжпроект" 101000, г.Москва, Сверчков пер., д.4/1</t>
  </si>
  <si>
    <t xml:space="preserve"> 03997784</t>
  </si>
  <si>
    <t>Инвестор-Застройщик: ГУП "Московский метрополитен" 129110, г.Москва, проспект Мира, д. 41 стр.2</t>
  </si>
  <si>
    <t>от 11.11.99 №100</t>
  </si>
  <si>
    <t>Утверждена Постановлением Госкомстата РФ</t>
  </si>
  <si>
    <t>Унифицированная форма № КС-3</t>
  </si>
  <si>
    <t>декабрь 2020 №7</t>
  </si>
  <si>
    <t>Декабрь 2020 №6</t>
  </si>
  <si>
    <t>Стоимость давальческих оборудования</t>
  </si>
  <si>
    <t>Стоимость давальческих материалов</t>
  </si>
  <si>
    <t>о стоимости выполненных работ и затрат в базовых и текущих ценах за Январь 2021 г.</t>
  </si>
  <si>
    <t>\</t>
  </si>
  <si>
    <t>Кабель Мiнг(А)-HF 4х1х35-1 (6399176) (1803510,95/5,58)</t>
  </si>
  <si>
    <t xml:space="preserve">МИП №3249 от 23.06.20 </t>
  </si>
  <si>
    <t xml:space="preserve">МИП №2947 от 13.05.20 </t>
  </si>
  <si>
    <t>Кабель MIнг(А)-FRHF 5х1х35-1  (6399178) (2570340,12/5,58)</t>
  </si>
  <si>
    <t>МКЭ-33-902/7-1 от 16.05.2017г.</t>
  </si>
  <si>
    <r>
      <t>Кабель MIнг(А)-HF 4х1х35 напряжение 1 кВ (расчетная масса 1437,4 кг/км)</t>
    </r>
    <r>
      <rPr>
        <i/>
        <sz val="10"/>
        <color rgb="FF7030A0"/>
        <rFont val="Arial"/>
        <family val="2"/>
        <charset val="204"/>
      </rPr>
      <t xml:space="preserve">
Базисная стоимость: 409 482,113 = [2 240 108 /  5,24] + 2% Заг.скл.</t>
    </r>
  </si>
  <si>
    <r>
      <t>Кабель MIнг(А)-FRHF 5х1х35-1 напряжение 1 кВ (расчетная масса 1924,9 кг/км)</t>
    </r>
    <r>
      <rPr>
        <i/>
        <sz val="10"/>
        <color rgb="FF7030A0"/>
        <rFont val="Arial"/>
        <family val="2"/>
        <charset val="204"/>
      </rPr>
      <t xml:space="preserve">
Базисная стоимость:583 588,52 = [3 192 572,5 /  5,24] + 2% Заг.скл.</t>
    </r>
  </si>
  <si>
    <t>съехала формула</t>
  </si>
  <si>
    <t>9/11.6</t>
  </si>
  <si>
    <t>12-4017-Л-Р-3.3.1-ВК2-СМ1</t>
  </si>
  <si>
    <t>48825-ТПК_5-0688-Р-ССР2</t>
  </si>
  <si>
    <t>Перегоны от ст. "Мичуренский Проспект" (Включая монтажный и демонтажный котлован пл.4) до токараздела со ст. "Проспект вернадского". Инженерные системы. Тонельный водопровод. Тонельный водопровод после ПК 240+67,375 (1 Путь) ПК 240+68,019 (2 Путь)</t>
  </si>
  <si>
    <t>12-4017-Л-Р-3.3.1-ВК2-СМ1 (48825), ЮГО-ЗПАДНЫЙ УЧАСТОК ТРЕТЬЕГО ПЕРЕСАДОЧНОГО КОНТУРА (ТПК) СТ. "ПРОСПЕКТ ВЕРНАДСКОГО" - СТ"МОЖАИСКАЯ (КУНЦЕВСКАЯ)". СТАНЦИОННЫЙ КОМПЛЕКС "МИЧУРИНСКИЙ ПРОСПЕКТ"</t>
  </si>
  <si>
    <t>Составлен(а) по ТСН-2001 с учетом Дополнения №: 57</t>
  </si>
  <si>
    <t>№ и период сборника коэффициентов (индексов) пересчета: ТСН-2001 МГЭ строительство №166 июль 2020 года</t>
  </si>
  <si>
    <t>Кол-во единиц</t>
  </si>
  <si>
    <t>Цена на ед. изм., руб.</t>
  </si>
  <si>
    <t>Попра-вочные коэффи-
циенты</t>
  </si>
  <si>
    <t>Коэффи-циенты зимних удорожа-ний</t>
  </si>
  <si>
    <t>Всего в ценах на январь 2000 года, руб.</t>
  </si>
  <si>
    <t>Коэффици-енты (индексы) пересчета, нормы НР и СП</t>
  </si>
  <si>
    <t>ВСЕГО затрат в текущем уровне цен, руб.</t>
  </si>
  <si>
    <t>ГЛАВА 2 ССР</t>
  </si>
  <si>
    <t>Локальная смета: № 12-4017-Л-Р-3.3.1-ВК2-СМ1</t>
  </si>
  <si>
    <t>Рег.№48825-ТПК_5-0688-Р-ССР2</t>
  </si>
  <si>
    <t>Работы выполнены в июле 2020 г.</t>
  </si>
  <si>
    <t>Для п/п 1/44, 2/45, 3/46, 4/47 работа взята в КС-2 № 8 от 31.08.2020, раздел №8.1, п/п 2/30</t>
  </si>
  <si>
    <t>работа взята в КС-2 № 8 от 31.08.202, раздел №8.1, п/п 2/30</t>
  </si>
  <si>
    <t>Резина листовая вулканизированная</t>
  </si>
  <si>
    <t>Гайки шестигранные из нержавеющей стали, диаметр 12 мм</t>
  </si>
  <si>
    <t>Шайбы плоские из нержавеющей стали, диаметр 12 мм</t>
  </si>
  <si>
    <t>Окраска металлических огрунтованных поверхностей органосиликатной композицией ОС-12-01</t>
  </si>
  <si>
    <t>Композиция (краска) органосиликатная, марка ОС-12-03, для окраски огрунтованных металлических поверхностей</t>
  </si>
  <si>
    <t>Стоимость материалов (всего)</t>
  </si>
  <si>
    <t>Раздел 9/11.6</t>
  </si>
  <si>
    <t>Пропустили</t>
  </si>
  <si>
    <r>
      <t>3.29-1940-1</t>
    </r>
    <r>
      <rPr>
        <i/>
        <sz val="9"/>
        <rFont val="Arial"/>
        <family val="2"/>
        <charset val="204"/>
      </rPr>
      <t xml:space="preserve">
Поправка: ТСН-2001.3-29. О.П. п.4.1</t>
    </r>
  </si>
  <si>
    <r>
      <t>3.29-1940-1/1</t>
    </r>
    <r>
      <rPr>
        <i/>
        <sz val="9"/>
        <rFont val="Arial"/>
        <family val="2"/>
        <charset val="204"/>
      </rPr>
      <t xml:space="preserve">
Поправка: ТСН-2001.3-29. О.П. п.4.1</t>
    </r>
  </si>
  <si>
    <r>
      <t>Приточная каркасно-панельная установка Вероса-300-078-05-00-У3</t>
    </r>
    <r>
      <rPr>
        <i/>
        <sz val="9"/>
        <color rgb="FF7030A0"/>
        <rFont val="Arial"/>
        <family val="2"/>
        <charset val="204"/>
      </rPr>
      <t xml:space="preserve">
Базисная стоимость: 87 832,77 = [384 571,44 /  4,6] +  3% Трансп +  2% Заг.скл</t>
    </r>
  </si>
  <si>
    <r>
      <t>Приточная каркасно-панельная установка Вероса-300-117-05-00-У3</t>
    </r>
    <r>
      <rPr>
        <i/>
        <sz val="9"/>
        <color rgb="FF7030A0"/>
        <rFont val="Arial"/>
        <family val="2"/>
        <charset val="204"/>
      </rPr>
      <t xml:space="preserve">
Базисная стоимость: 101 745,46 = [445 487,47 /  4,6] +  3% Трансп +  2% Заг.скл</t>
    </r>
  </si>
  <si>
    <r>
      <t>Приточная каркасно-панельная установка Вероса-300-078-05-61-У3</t>
    </r>
    <r>
      <rPr>
        <i/>
        <sz val="9"/>
        <color rgb="FF7030A0"/>
        <rFont val="Arial"/>
        <family val="2"/>
        <charset val="204"/>
      </rPr>
      <t xml:space="preserve">
Базисная стоимость: 66 965,63 = [293 205,68 /  4,6] +  3% Трансп +  2% Заг.скл</t>
    </r>
  </si>
  <si>
    <r>
      <t>3.20-1-11</t>
    </r>
    <r>
      <rPr>
        <i/>
        <sz val="9"/>
        <rFont val="Arial"/>
        <family val="2"/>
        <charset val="204"/>
      </rPr>
      <t xml:space="preserve">
Поправка: ТСН-2001.3-29. О.П. п.4.1</t>
    </r>
  </si>
  <si>
    <r>
      <t>3.20-1-11/1</t>
    </r>
    <r>
      <rPr>
        <i/>
        <sz val="9"/>
        <rFont val="Arial"/>
        <family val="2"/>
        <charset val="204"/>
      </rPr>
      <t xml:space="preserve">
Поправка: ТСН-2001.3-29. О.П. п.4.1</t>
    </r>
  </si>
  <si>
    <r>
      <t>3.20-1-12</t>
    </r>
    <r>
      <rPr>
        <i/>
        <sz val="9"/>
        <rFont val="Arial"/>
        <family val="2"/>
        <charset val="204"/>
      </rPr>
      <t xml:space="preserve">
Поправка: ТСН-2001.3-29. О.П. п.4.1</t>
    </r>
  </si>
  <si>
    <r>
      <t>3.20-1-12/1</t>
    </r>
    <r>
      <rPr>
        <i/>
        <sz val="9"/>
        <rFont val="Arial"/>
        <family val="2"/>
        <charset val="204"/>
      </rPr>
      <t xml:space="preserve">
Поправка: ТСН-2001.3-29. О.П. п.4.1</t>
    </r>
  </si>
  <si>
    <t>Светильник светодиодный с креплением на поверхность потолка или стены с опаловым рассеивателем  (OPL), рассеиватель из поликарбоната, 26Вт,  LZ. OPL ECO LED 600 5000K, степень защиты  (IP)  IP65, габаритные размеры 660х173х103 мм, (применительно: Светильник светодиодный LS OPL EKO LED 600 5000K, артикул 1074000500, световой поток 2700 лм, мощность светильника 26 Вт, энергоэффективность 104 лм/Вт, цветовая температура 5000 K, напряжение питания 230 В, класс защиты от поражения током  II, климатическое исполнение УХЛ2, температурный режим   от -40 до +40 C, цвет корпуса   серый, класс пожароопасности П-ІІ, степень защиты (IP)  IP65, класс энергоэффективности A+, пусковой ток 35 A, габаритные размеры 660х173х103 мм, вес 2.40 кг)
Базисная стоимость: 607,22 = [3 321,85 /  5,24] + 2% Заг.скл.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</si>
</sst>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-* #,##0.00\ _₽_-;\-* #,##0.00\ _₽_-;_-* &quot;-&quot;??\ _₽_-;_-@_-"/>
    <numFmt numFmtId="165" formatCode="_-* #,##0.00_р_._-;\-* #,##0.00_р_._-;_-* &quot;-&quot;??_р_._-;_-@_-"/>
    <numFmt numFmtId="166" formatCode="* #,##0.00;* \-#,##0.00;* &quot;-&quot;??;@"/>
    <numFmt numFmtId="167" formatCode="#,##0.00_ ;[Red]\-#,##0.00\ "/>
    <numFmt numFmtId="168" formatCode="#,##0.00####;[Red]\-\ #,##0.00####"/>
    <numFmt numFmtId="169" formatCode="#,##0.00;[Red]\-\ #,##0.00"/>
    <numFmt numFmtId="170" formatCode="#,##0.00_ ;\-#,##0.00\ "/>
    <numFmt numFmtId="171" formatCode="0.000"/>
    <numFmt numFmtId="172" formatCode="#,##0_ ;\-#,##0\ "/>
    <numFmt numFmtId="173" formatCode="_-* #,##0\ _₽_-;\-* #,##0\ _₽_-;_-* &quot;-&quot;??\ _₽_-;_-@_-"/>
    <numFmt numFmtId="174" formatCode="_-* #,##0_р_._-;\-* #,##0_р_._-;_-* &quot;-&quot;??_р_._-;_-@_-"/>
  </numFmts>
  <fonts count="114" x14ac:knownFonts="1">
    <font>
      <sz val="8"/>
      <color indexed="64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64"/>
      <name val="Arial"/>
      <family val="2"/>
      <charset val="204"/>
    </font>
    <font>
      <sz val="10"/>
      <name val="Arial Cyr"/>
      <charset val="204"/>
    </font>
    <font>
      <sz val="9"/>
      <color indexed="64"/>
      <name val="Arial"/>
      <family val="2"/>
      <charset val="204"/>
    </font>
    <font>
      <sz val="8"/>
      <color indexed="64"/>
      <name val="Courier New"/>
      <family val="3"/>
      <charset val="204"/>
    </font>
    <font>
      <sz val="8"/>
      <name val="Courier New"/>
      <family val="3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6"/>
      <name val="Arial"/>
      <family val="2"/>
      <charset val="204"/>
    </font>
    <font>
      <sz val="16"/>
      <name val="Arial"/>
      <family val="2"/>
      <charset val="204"/>
    </font>
    <font>
      <sz val="20"/>
      <name val="Arial"/>
      <family val="2"/>
      <charset val="204"/>
    </font>
    <font>
      <sz val="18"/>
      <name val="Arial"/>
      <family val="2"/>
      <charset val="204"/>
    </font>
    <font>
      <sz val="14"/>
      <name val="Arial"/>
      <family val="2"/>
      <charset val="204"/>
    </font>
    <font>
      <sz val="11"/>
      <name val="Arial"/>
      <family val="2"/>
      <charset val="204"/>
    </font>
    <font>
      <b/>
      <sz val="18"/>
      <name val="Arial"/>
      <family val="2"/>
      <charset val="204"/>
    </font>
    <font>
      <sz val="9"/>
      <name val="Arial"/>
      <family val="2"/>
      <charset val="204"/>
    </font>
    <font>
      <b/>
      <sz val="11"/>
      <name val="Arial"/>
      <family val="2"/>
      <charset val="204"/>
    </font>
    <font>
      <b/>
      <sz val="13"/>
      <name val="Arial"/>
      <family val="2"/>
      <charset val="204"/>
    </font>
    <font>
      <i/>
      <sz val="10"/>
      <name val="Arial"/>
      <family val="2"/>
      <charset val="204"/>
    </font>
    <font>
      <i/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b/>
      <sz val="14"/>
      <color rgb="FFFF0000"/>
      <name val="Arial"/>
      <family val="2"/>
      <charset val="204"/>
    </font>
    <font>
      <b/>
      <sz val="15"/>
      <name val="Arial"/>
      <family val="2"/>
      <charset val="204"/>
    </font>
    <font>
      <b/>
      <i/>
      <sz val="12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name val="Arial"/>
      <family val="2"/>
      <charset val="204"/>
    </font>
    <font>
      <sz val="8"/>
      <name val="Arial"/>
      <family val="2"/>
    </font>
    <font>
      <sz val="11"/>
      <color indexed="8"/>
      <name val="Calibri"/>
      <family val="2"/>
      <charset val="204"/>
    </font>
    <font>
      <sz val="11"/>
      <color rgb="FFFF0000"/>
      <name val="Arial"/>
      <family val="2"/>
      <charset val="204"/>
    </font>
    <font>
      <sz val="11"/>
      <color rgb="FF7030A0"/>
      <name val="Arial"/>
      <family val="2"/>
      <charset val="204"/>
    </font>
    <font>
      <i/>
      <sz val="10"/>
      <color rgb="FF7030A0"/>
      <name val="Arial"/>
      <family val="2"/>
      <charset val="204"/>
    </font>
    <font>
      <i/>
      <sz val="11"/>
      <color rgb="FF7030A0"/>
      <name val="Arial"/>
      <family val="2"/>
      <charset val="204"/>
    </font>
    <font>
      <sz val="10"/>
      <color rgb="FF7030A0"/>
      <name val="Arial"/>
      <family val="2"/>
      <charset val="204"/>
    </font>
    <font>
      <b/>
      <sz val="11"/>
      <color rgb="FF7030A0"/>
      <name val="Arial"/>
      <family val="2"/>
      <charset val="204"/>
    </font>
    <font>
      <sz val="11"/>
      <color indexed="64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i/>
      <sz val="1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indexed="64"/>
      <name val="Arial"/>
      <family val="2"/>
      <charset val="204"/>
    </font>
    <font>
      <b/>
      <sz val="12"/>
      <color indexed="64"/>
      <name val="Arial"/>
      <family val="2"/>
      <charset val="204"/>
    </font>
    <font>
      <b/>
      <u/>
      <sz val="11"/>
      <name val="Arial"/>
      <family val="2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b/>
      <sz val="10"/>
      <color rgb="FF0070C0"/>
      <name val="Arial"/>
      <family val="2"/>
      <charset val="204"/>
    </font>
    <font>
      <b/>
      <sz val="11"/>
      <color rgb="FF0070C0"/>
      <name val="Arial"/>
      <family val="2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color indexed="64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rgb="FF00B050"/>
      <name val="Arial"/>
      <family val="2"/>
      <charset val="204"/>
    </font>
    <font>
      <b/>
      <sz val="16"/>
      <color rgb="FFFF0000"/>
      <name val="Arial"/>
      <family val="2"/>
      <charset val="204"/>
    </font>
    <font>
      <sz val="9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9"/>
      <name val="Arial"/>
      <family val="2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8"/>
      <name val="Times New Roman"/>
      <family val="1"/>
      <charset val="204"/>
    </font>
    <font>
      <b/>
      <u/>
      <sz val="18"/>
      <name val="Times New Roman"/>
      <family val="1"/>
      <charset val="204"/>
    </font>
    <font>
      <b/>
      <sz val="12"/>
      <color indexed="64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10"/>
      <color indexed="10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i/>
      <sz val="9"/>
      <name val="Arial"/>
      <family val="2"/>
      <charset val="204"/>
    </font>
    <font>
      <b/>
      <sz val="9"/>
      <name val="Arial"/>
      <family val="2"/>
      <charset val="204"/>
    </font>
    <font>
      <i/>
      <sz val="9"/>
      <name val="Arial"/>
      <family val="2"/>
      <charset val="204"/>
    </font>
    <font>
      <sz val="9"/>
      <color rgb="FF7030A0"/>
      <name val="Arial"/>
      <family val="2"/>
      <charset val="204"/>
    </font>
    <font>
      <i/>
      <sz val="9"/>
      <color rgb="FF7030A0"/>
      <name val="Arial"/>
      <family val="2"/>
      <charset val="204"/>
    </font>
    <font>
      <b/>
      <sz val="9"/>
      <color rgb="FF7030A0"/>
      <name val="Arial"/>
      <family val="2"/>
      <charset val="204"/>
    </font>
    <font>
      <sz val="9"/>
      <color indexed="64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indexed="64"/>
      <name val="Arial"/>
      <family val="2"/>
      <charset val="204"/>
    </font>
    <font>
      <b/>
      <i/>
      <sz val="10"/>
      <name val="Arial"/>
      <family val="2"/>
      <charset val="204"/>
    </font>
    <font>
      <sz val="9.5"/>
      <name val="Arial"/>
      <family val="2"/>
      <charset val="204"/>
    </font>
    <font>
      <b/>
      <sz val="9.5"/>
      <name val="Arial"/>
      <family val="2"/>
      <charset val="204"/>
    </font>
    <font>
      <sz val="9.5"/>
      <color indexed="64"/>
      <name val="Arial"/>
      <family val="2"/>
      <charset val="204"/>
    </font>
    <font>
      <i/>
      <sz val="9.5"/>
      <name val="Arial"/>
      <family val="2"/>
      <charset val="204"/>
    </font>
    <font>
      <b/>
      <i/>
      <sz val="9.5"/>
      <name val="Arial"/>
      <family val="2"/>
      <charset val="204"/>
    </font>
    <font>
      <i/>
      <sz val="9.5"/>
      <color rgb="FF7030A0"/>
      <name val="Arial"/>
      <family val="2"/>
      <charset val="204"/>
    </font>
    <font>
      <b/>
      <sz val="9.5"/>
      <color rgb="FF0070C0"/>
      <name val="Arial"/>
      <family val="2"/>
      <charset val="204"/>
    </font>
    <font>
      <i/>
      <sz val="9.1"/>
      <name val="Arial"/>
      <family val="2"/>
      <charset val="204"/>
    </font>
    <font>
      <b/>
      <sz val="10"/>
      <color indexed="64"/>
      <name val="Arial"/>
      <family val="2"/>
      <charset val="204"/>
    </font>
    <font>
      <i/>
      <sz val="9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8">
    <xf numFmtId="0" fontId="0" fillId="0" borderId="0" applyNumberFormat="0"/>
    <xf numFmtId="0" fontId="12" fillId="0" borderId="0" applyNumberFormat="0"/>
    <xf numFmtId="0" fontId="12" fillId="0" borderId="0" applyNumberFormat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 applyNumberFormat="0"/>
    <xf numFmtId="0" fontId="10" fillId="0" borderId="0" applyNumberFormat="0"/>
    <xf numFmtId="0" fontId="10" fillId="0" borderId="0" applyNumberFormat="0"/>
    <xf numFmtId="0" fontId="14" fillId="0" borderId="0"/>
    <xf numFmtId="0" fontId="10" fillId="0" borderId="0"/>
    <xf numFmtId="0" fontId="10" fillId="0" borderId="0" applyNumberFormat="0"/>
    <xf numFmtId="0" fontId="10" fillId="0" borderId="0" applyNumberFormat="0"/>
    <xf numFmtId="0" fontId="12" fillId="0" borderId="0" applyNumberFormat="0"/>
    <xf numFmtId="0" fontId="12" fillId="0" borderId="0" applyNumberFormat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9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0" fillId="0" borderId="0" applyNumberFormat="0"/>
    <xf numFmtId="0" fontId="12" fillId="0" borderId="0" applyNumberFormat="0"/>
    <xf numFmtId="0" fontId="10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15" fillId="0" borderId="0"/>
    <xf numFmtId="0" fontId="11" fillId="0" borderId="0"/>
    <xf numFmtId="165" fontId="15" fillId="0" borderId="0" applyFont="0" applyFill="0" applyBorder="0" applyAlignment="0" applyProtection="0"/>
    <xf numFmtId="0" fontId="7" fillId="0" borderId="0"/>
    <xf numFmtId="166" fontId="18" fillId="0" borderId="0" applyFont="0" applyFill="0" applyBorder="0" applyAlignment="0" applyProtection="0"/>
    <xf numFmtId="0" fontId="15" fillId="0" borderId="0"/>
    <xf numFmtId="0" fontId="15" fillId="0" borderId="0"/>
    <xf numFmtId="165" fontId="6" fillId="0" borderId="0" applyFont="0" applyFill="0" applyBorder="0" applyAlignment="0" applyProtection="0"/>
    <xf numFmtId="0" fontId="34" fillId="0" borderId="0"/>
    <xf numFmtId="0" fontId="5" fillId="0" borderId="0"/>
    <xf numFmtId="43" fontId="10" fillId="0" borderId="0" applyFont="0" applyFill="0" applyBorder="0" applyAlignment="0" applyProtection="0"/>
    <xf numFmtId="0" fontId="11" fillId="0" borderId="0"/>
    <xf numFmtId="164" fontId="39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1" fillId="0" borderId="0"/>
    <xf numFmtId="0" fontId="41" fillId="0" borderId="0"/>
    <xf numFmtId="0" fontId="4" fillId="0" borderId="0"/>
    <xf numFmtId="165" fontId="4" fillId="0" borderId="0" applyFont="0" applyFill="0" applyBorder="0" applyAlignment="0" applyProtection="0"/>
    <xf numFmtId="0" fontId="14" fillId="0" borderId="0"/>
    <xf numFmtId="0" fontId="15" fillId="0" borderId="0"/>
    <xf numFmtId="165" fontId="4" fillId="0" borderId="0" applyFont="0" applyFill="0" applyBorder="0" applyAlignment="0" applyProtection="0"/>
    <xf numFmtId="0" fontId="42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5" fillId="0" borderId="0"/>
    <xf numFmtId="0" fontId="58" fillId="0" borderId="0"/>
    <xf numFmtId="165" fontId="3" fillId="0" borderId="0" applyFont="0" applyFill="0" applyBorder="0" applyAlignment="0" applyProtection="0"/>
    <xf numFmtId="0" fontId="13" fillId="0" borderId="0" applyNumberFormat="0"/>
    <xf numFmtId="0" fontId="39" fillId="0" borderId="0"/>
    <xf numFmtId="0" fontId="3" fillId="0" borderId="0"/>
    <xf numFmtId="0" fontId="15" fillId="0" borderId="0"/>
    <xf numFmtId="164" fontId="2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 applyNumberFormat="0" applyFont="0" applyFill="0" applyBorder="0" applyAlignment="0" applyProtection="0">
      <alignment vertical="top"/>
    </xf>
    <xf numFmtId="0" fontId="11" fillId="0" borderId="0"/>
    <xf numFmtId="0" fontId="15" fillId="0" borderId="0"/>
    <xf numFmtId="0" fontId="15" fillId="0" borderId="0"/>
    <xf numFmtId="0" fontId="1" fillId="0" borderId="0"/>
    <xf numFmtId="0" fontId="39" fillId="0" borderId="0"/>
    <xf numFmtId="0" fontId="11" fillId="0" borderId="0"/>
    <xf numFmtId="0" fontId="15" fillId="0" borderId="0"/>
  </cellStyleXfs>
  <cellXfs count="1206">
    <xf numFmtId="0" fontId="0" fillId="0" borderId="0" xfId="0"/>
    <xf numFmtId="0" fontId="19" fillId="3" borderId="1" xfId="28" applyFont="1" applyFill="1" applyBorder="1" applyAlignment="1">
      <alignment horizontal="center" vertical="center"/>
    </xf>
    <xf numFmtId="49" fontId="35" fillId="3" borderId="1" xfId="28" applyNumberFormat="1" applyFont="1" applyFill="1" applyBorder="1" applyAlignment="1">
      <alignment horizontal="center" vertical="center" wrapText="1"/>
    </xf>
    <xf numFmtId="0" fontId="36" fillId="3" borderId="1" xfId="33" applyNumberFormat="1" applyFont="1" applyFill="1" applyBorder="1" applyAlignment="1">
      <alignment horizontal="left" vertical="center" wrapText="1"/>
    </xf>
    <xf numFmtId="3" fontId="32" fillId="0" borderId="1" xfId="28" applyNumberFormat="1" applyFont="1" applyBorder="1" applyAlignment="1">
      <alignment horizontal="center" vertical="center" wrapText="1"/>
    </xf>
    <xf numFmtId="0" fontId="32" fillId="3" borderId="1" xfId="28" applyFont="1" applyFill="1" applyBorder="1" applyAlignment="1">
      <alignment horizontal="center" vertical="center"/>
    </xf>
    <xf numFmtId="49" fontId="33" fillId="3" borderId="1" xfId="28" applyNumberFormat="1" applyFont="1" applyFill="1" applyBorder="1" applyAlignment="1">
      <alignment horizontal="center" vertical="center" wrapText="1"/>
    </xf>
    <xf numFmtId="49" fontId="19" fillId="3" borderId="1" xfId="28" applyNumberFormat="1" applyFont="1" applyFill="1" applyBorder="1" applyAlignment="1">
      <alignment horizontal="left" vertical="center" wrapText="1"/>
    </xf>
    <xf numFmtId="3" fontId="33" fillId="3" borderId="1" xfId="28" applyNumberFormat="1" applyFont="1" applyFill="1" applyBorder="1" applyAlignment="1">
      <alignment horizontal="center" vertical="center"/>
    </xf>
    <xf numFmtId="0" fontId="23" fillId="2" borderId="0" xfId="4" applyFont="1" applyFill="1" applyAlignment="1">
      <alignment vertical="center"/>
    </xf>
    <xf numFmtId="0" fontId="23" fillId="0" borderId="0" xfId="4" applyFont="1" applyAlignment="1">
      <alignment vertical="center"/>
    </xf>
    <xf numFmtId="0" fontId="23" fillId="2" borderId="0" xfId="28" applyFont="1" applyFill="1" applyAlignment="1">
      <alignment vertical="center"/>
    </xf>
    <xf numFmtId="0" fontId="33" fillId="0" borderId="7" xfId="28" applyFont="1" applyBorder="1" applyAlignment="1">
      <alignment horizontal="center" vertical="center" wrapText="1"/>
    </xf>
    <xf numFmtId="0" fontId="33" fillId="0" borderId="7" xfId="4" applyFont="1" applyBorder="1" applyAlignment="1">
      <alignment horizontal="center" vertical="center" wrapText="1"/>
    </xf>
    <xf numFmtId="0" fontId="15" fillId="2" borderId="1" xfId="23" applyFill="1" applyBorder="1" applyAlignment="1">
      <alignment horizontal="center" vertical="center" wrapText="1"/>
    </xf>
    <xf numFmtId="0" fontId="15" fillId="0" borderId="1" xfId="23" applyBorder="1" applyAlignment="1">
      <alignment horizontal="center" vertical="center" wrapText="1"/>
    </xf>
    <xf numFmtId="0" fontId="32" fillId="0" borderId="1" xfId="28" applyFont="1" applyBorder="1" applyAlignment="1">
      <alignment horizontal="center" vertical="center" wrapText="1"/>
    </xf>
    <xf numFmtId="0" fontId="23" fillId="0" borderId="0" xfId="28" applyFont="1" applyAlignment="1">
      <alignment vertical="center"/>
    </xf>
    <xf numFmtId="0" fontId="15" fillId="3" borderId="1" xfId="23" applyFill="1" applyBorder="1" applyAlignment="1">
      <alignment horizontal="center" vertical="center" wrapText="1"/>
    </xf>
    <xf numFmtId="0" fontId="38" fillId="3" borderId="1" xfId="28" applyFont="1" applyFill="1" applyBorder="1" applyAlignment="1">
      <alignment horizontal="center" vertical="center" wrapText="1"/>
    </xf>
    <xf numFmtId="0" fontId="20" fillId="3" borderId="1" xfId="28" applyFont="1" applyFill="1" applyBorder="1" applyAlignment="1">
      <alignment horizontal="left" vertical="center" wrapText="1"/>
    </xf>
    <xf numFmtId="0" fontId="15" fillId="3" borderId="1" xfId="28" applyFill="1" applyBorder="1" applyAlignment="1">
      <alignment horizontal="center" vertical="center" wrapText="1"/>
    </xf>
    <xf numFmtId="0" fontId="23" fillId="3" borderId="0" xfId="28" applyFont="1" applyFill="1" applyAlignment="1">
      <alignment vertical="center"/>
    </xf>
    <xf numFmtId="0" fontId="20" fillId="3" borderId="1" xfId="28" applyFont="1" applyFill="1" applyBorder="1" applyAlignment="1">
      <alignment horizontal="left" vertical="center"/>
    </xf>
    <xf numFmtId="0" fontId="24" fillId="3" borderId="0" xfId="28" applyFont="1" applyFill="1" applyAlignment="1">
      <alignment vertical="center"/>
    </xf>
    <xf numFmtId="0" fontId="26" fillId="3" borderId="0" xfId="28" applyFont="1" applyFill="1" applyAlignment="1">
      <alignment vertical="center"/>
    </xf>
    <xf numFmtId="4" fontId="26" fillId="3" borderId="0" xfId="28" applyNumberFormat="1" applyFont="1" applyFill="1" applyAlignment="1">
      <alignment vertical="center"/>
    </xf>
    <xf numFmtId="0" fontId="25" fillId="2" borderId="0" xfId="28" applyFont="1" applyFill="1" applyAlignment="1">
      <alignment horizontal="center" vertical="center"/>
    </xf>
    <xf numFmtId="49" fontId="22" fillId="0" borderId="0" xfId="28" applyNumberFormat="1" applyFont="1" applyAlignment="1">
      <alignment horizontal="center" vertical="center" wrapText="1"/>
    </xf>
    <xf numFmtId="0" fontId="22" fillId="0" borderId="0" xfId="28" applyFont="1" applyAlignment="1">
      <alignment horizontal="center" vertical="center" wrapText="1"/>
    </xf>
    <xf numFmtId="0" fontId="20" fillId="0" borderId="0" xfId="11" applyFont="1"/>
    <xf numFmtId="0" fontId="20" fillId="2" borderId="0" xfId="11" applyFont="1" applyFill="1"/>
    <xf numFmtId="43" fontId="20" fillId="2" borderId="0" xfId="50" applyFont="1" applyFill="1" applyBorder="1" applyAlignment="1"/>
    <xf numFmtId="0" fontId="23" fillId="0" borderId="0" xfId="28" applyFont="1" applyAlignment="1">
      <alignment horizontal="center" vertical="center"/>
    </xf>
    <xf numFmtId="4" fontId="23" fillId="2" borderId="0" xfId="28" applyNumberFormat="1" applyFont="1" applyFill="1" applyAlignment="1">
      <alignment vertical="center"/>
    </xf>
    <xf numFmtId="0" fontId="25" fillId="2" borderId="0" xfId="4" applyFont="1" applyFill="1" applyAlignment="1">
      <alignment horizontal="center" vertical="center"/>
    </xf>
    <xf numFmtId="49" fontId="22" fillId="0" borderId="0" xfId="4" applyNumberFormat="1" applyFont="1" applyAlignment="1">
      <alignment horizontal="center" vertical="center" wrapText="1"/>
    </xf>
    <xf numFmtId="0" fontId="22" fillId="0" borderId="0" xfId="4" applyFont="1" applyAlignment="1">
      <alignment horizontal="center" vertical="center" wrapText="1"/>
    </xf>
    <xf numFmtId="4" fontId="20" fillId="2" borderId="0" xfId="11" applyNumberFormat="1" applyFont="1" applyFill="1"/>
    <xf numFmtId="4" fontId="23" fillId="2" borderId="0" xfId="4" applyNumberFormat="1" applyFont="1" applyFill="1" applyAlignment="1">
      <alignment vertical="center"/>
    </xf>
    <xf numFmtId="0" fontId="24" fillId="2" borderId="0" xfId="28" applyFont="1" applyFill="1" applyAlignment="1">
      <alignment vertical="center"/>
    </xf>
    <xf numFmtId="0" fontId="24" fillId="0" borderId="0" xfId="4" applyFont="1" applyAlignment="1">
      <alignment vertical="center"/>
    </xf>
    <xf numFmtId="0" fontId="20" fillId="0" borderId="0" xfId="18" applyFont="1"/>
    <xf numFmtId="0" fontId="20" fillId="2" borderId="0" xfId="19" applyFont="1" applyFill="1"/>
    <xf numFmtId="0" fontId="25" fillId="0" borderId="0" xfId="0" applyFont="1"/>
    <xf numFmtId="164" fontId="21" fillId="0" borderId="0" xfId="52" applyFont="1" applyFill="1" applyAlignment="1">
      <alignment horizontal="left" vertical="center"/>
    </xf>
    <xf numFmtId="164" fontId="0" fillId="0" borderId="0" xfId="0" applyNumberFormat="1"/>
    <xf numFmtId="0" fontId="24" fillId="3" borderId="1" xfId="28" applyFont="1" applyFill="1" applyBorder="1" applyAlignment="1">
      <alignment horizontal="center" vertical="center" wrapText="1"/>
    </xf>
    <xf numFmtId="43" fontId="20" fillId="2" borderId="0" xfId="11" applyNumberFormat="1" applyFont="1" applyFill="1"/>
    <xf numFmtId="0" fontId="0" fillId="0" borderId="0" xfId="0"/>
    <xf numFmtId="4" fontId="21" fillId="0" borderId="1" xfId="28" applyNumberFormat="1" applyFont="1" applyBorder="1" applyAlignment="1">
      <alignment horizontal="center" vertical="center" wrapText="1"/>
    </xf>
    <xf numFmtId="0" fontId="21" fillId="0" borderId="0" xfId="4" applyFont="1" applyAlignment="1">
      <alignment horizontal="left" vertical="center"/>
    </xf>
    <xf numFmtId="0" fontId="23" fillId="2" borderId="0" xfId="4" applyFont="1" applyFill="1" applyAlignment="1">
      <alignment horizontal="left" vertical="center"/>
    </xf>
    <xf numFmtId="0" fontId="23" fillId="0" borderId="0" xfId="4" applyFont="1" applyAlignment="1">
      <alignment horizontal="left" vertical="center"/>
    </xf>
    <xf numFmtId="0" fontId="23" fillId="2" borderId="0" xfId="64" applyFont="1" applyFill="1" applyAlignment="1">
      <alignment vertical="top"/>
    </xf>
    <xf numFmtId="0" fontId="21" fillId="2" borderId="0" xfId="28" applyFont="1" applyFill="1" applyAlignment="1">
      <alignment horizontal="left" vertical="center"/>
    </xf>
    <xf numFmtId="0" fontId="23" fillId="2" borderId="0" xfId="28" applyFont="1" applyFill="1" applyAlignment="1">
      <alignment horizontal="left" vertical="center"/>
    </xf>
    <xf numFmtId="0" fontId="21" fillId="0" borderId="0" xfId="28" applyFont="1" applyAlignment="1">
      <alignment horizontal="left" vertical="center"/>
    </xf>
    <xf numFmtId="0" fontId="23" fillId="0" borderId="0" xfId="28" applyFont="1" applyAlignment="1">
      <alignment horizontal="left" vertical="center"/>
    </xf>
    <xf numFmtId="0" fontId="23" fillId="3" borderId="0" xfId="28" applyFont="1" applyFill="1" applyAlignment="1">
      <alignment horizontal="left" vertical="center"/>
    </xf>
    <xf numFmtId="0" fontId="21" fillId="3" borderId="0" xfId="28" applyFont="1" applyFill="1" applyAlignment="1">
      <alignment horizontal="left" vertical="center" wrapText="1"/>
    </xf>
    <xf numFmtId="4" fontId="24" fillId="0" borderId="1" xfId="65" applyNumberFormat="1" applyFont="1" applyFill="1" applyBorder="1" applyAlignment="1">
      <alignment horizontal="center" vertical="center" wrapText="1"/>
    </xf>
    <xf numFmtId="4" fontId="24" fillId="0" borderId="1" xfId="66" applyNumberFormat="1" applyFont="1" applyFill="1" applyBorder="1" applyAlignment="1">
      <alignment horizontal="center" vertical="center" wrapText="1"/>
    </xf>
    <xf numFmtId="4" fontId="19" fillId="3" borderId="1" xfId="65" applyNumberFormat="1" applyFont="1" applyFill="1" applyBorder="1" applyAlignment="1">
      <alignment horizontal="center" vertical="center" wrapText="1"/>
    </xf>
    <xf numFmtId="170" fontId="32" fillId="0" borderId="0" xfId="52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4" fontId="19" fillId="0" borderId="1" xfId="65" applyNumberFormat="1" applyFont="1" applyFill="1" applyBorder="1" applyAlignment="1">
      <alignment horizontal="center" vertical="center" wrapText="1"/>
    </xf>
    <xf numFmtId="4" fontId="21" fillId="3" borderId="0" xfId="28" applyNumberFormat="1" applyFont="1" applyFill="1" applyAlignment="1">
      <alignment horizontal="left" vertical="center"/>
    </xf>
    <xf numFmtId="0" fontId="32" fillId="0" borderId="1" xfId="28" applyFont="1" applyBorder="1" applyAlignment="1">
      <alignment horizontal="center" vertical="center"/>
    </xf>
    <xf numFmtId="49" fontId="32" fillId="0" borderId="1" xfId="28" applyNumberFormat="1" applyFont="1" applyBorder="1" applyAlignment="1">
      <alignment horizontal="center" vertical="center" wrapText="1"/>
    </xf>
    <xf numFmtId="0" fontId="32" fillId="0" borderId="1" xfId="34" applyFont="1" applyBorder="1" applyAlignment="1">
      <alignment horizontal="center" vertical="center" wrapText="1"/>
    </xf>
    <xf numFmtId="49" fontId="32" fillId="0" borderId="1" xfId="28" applyNumberFormat="1" applyFont="1" applyBorder="1" applyAlignment="1">
      <alignment horizontal="left" vertical="center" wrapText="1"/>
    </xf>
    <xf numFmtId="4" fontId="23" fillId="0" borderId="0" xfId="28" applyNumberFormat="1" applyFont="1" applyAlignment="1">
      <alignment horizontal="left" vertical="center"/>
    </xf>
    <xf numFmtId="4" fontId="23" fillId="0" borderId="0" xfId="28" applyNumberFormat="1" applyFont="1" applyAlignment="1">
      <alignment vertical="center"/>
    </xf>
    <xf numFmtId="3" fontId="32" fillId="0" borderId="1" xfId="28" applyNumberFormat="1" applyFont="1" applyBorder="1" applyAlignment="1">
      <alignment horizontal="center" vertical="center"/>
    </xf>
    <xf numFmtId="0" fontId="20" fillId="3" borderId="0" xfId="28" applyFont="1" applyFill="1" applyAlignment="1">
      <alignment horizontal="left" vertical="center"/>
    </xf>
    <xf numFmtId="4" fontId="26" fillId="3" borderId="0" xfId="28" applyNumberFormat="1" applyFont="1" applyFill="1" applyAlignment="1">
      <alignment horizontal="left" vertical="center"/>
    </xf>
    <xf numFmtId="4" fontId="23" fillId="2" borderId="0" xfId="28" applyNumberFormat="1" applyFont="1" applyFill="1" applyAlignment="1">
      <alignment horizontal="left" vertical="center"/>
    </xf>
    <xf numFmtId="0" fontId="10" fillId="0" borderId="0" xfId="0" applyFont="1"/>
    <xf numFmtId="0" fontId="10" fillId="0" borderId="0" xfId="11"/>
    <xf numFmtId="0" fontId="24" fillId="2" borderId="0" xfId="64" applyFont="1" applyFill="1" applyAlignment="1">
      <alignment vertical="center"/>
    </xf>
    <xf numFmtId="0" fontId="22" fillId="0" borderId="0" xfId="64" applyFont="1" applyAlignment="1">
      <alignment vertical="center" wrapText="1"/>
    </xf>
    <xf numFmtId="0" fontId="22" fillId="0" borderId="0" xfId="64" applyFont="1" applyAlignment="1">
      <alignment vertical="center"/>
    </xf>
    <xf numFmtId="0" fontId="22" fillId="0" borderId="0" xfId="64" applyFont="1" applyAlignment="1">
      <alignment horizontal="left" vertical="center"/>
    </xf>
    <xf numFmtId="0" fontId="22" fillId="2" borderId="0" xfId="64" applyFont="1" applyFill="1" applyAlignment="1">
      <alignment horizontal="left" vertical="center"/>
    </xf>
    <xf numFmtId="0" fontId="23" fillId="0" borderId="0" xfId="64" applyFont="1" applyAlignment="1">
      <alignment horizontal="center" vertical="center"/>
    </xf>
    <xf numFmtId="0" fontId="21" fillId="2" borderId="0" xfId="64" applyFont="1" applyFill="1" applyAlignment="1">
      <alignment horizontal="left" vertical="center"/>
    </xf>
    <xf numFmtId="0" fontId="23" fillId="2" borderId="0" xfId="64" applyFont="1" applyFill="1" applyAlignment="1">
      <alignment horizontal="left" vertical="center"/>
    </xf>
    <xf numFmtId="0" fontId="23" fillId="2" borderId="0" xfId="64" applyFont="1" applyFill="1" applyAlignment="1">
      <alignment vertical="center"/>
    </xf>
    <xf numFmtId="0" fontId="28" fillId="0" borderId="0" xfId="21" applyFont="1" applyFill="1" applyAlignment="1">
      <alignment wrapText="1"/>
    </xf>
    <xf numFmtId="0" fontId="18" fillId="0" borderId="0" xfId="21" applyFont="1" applyFill="1"/>
    <xf numFmtId="0" fontId="15" fillId="0" borderId="0" xfId="0" applyFont="1" applyFill="1"/>
    <xf numFmtId="0" fontId="33" fillId="0" borderId="7" xfId="4" applyFont="1" applyFill="1" applyBorder="1" applyAlignment="1">
      <alignment horizontal="center" vertical="center" wrapText="1"/>
    </xf>
    <xf numFmtId="0" fontId="33" fillId="0" borderId="7" xfId="28" applyFont="1" applyFill="1" applyBorder="1" applyAlignment="1">
      <alignment horizontal="center" vertical="center" wrapText="1"/>
    </xf>
    <xf numFmtId="0" fontId="24" fillId="0" borderId="1" xfId="34" applyFont="1" applyFill="1" applyBorder="1" applyAlignment="1">
      <alignment horizontal="center" vertical="center" wrapText="1"/>
    </xf>
    <xf numFmtId="43" fontId="15" fillId="0" borderId="0" xfId="50" applyFont="1" applyFill="1"/>
    <xf numFmtId="0" fontId="25" fillId="0" borderId="15" xfId="0" applyFont="1" applyBorder="1" applyAlignment="1">
      <alignment horizontal="left" wrapText="1"/>
    </xf>
    <xf numFmtId="0" fontId="25" fillId="0" borderId="0" xfId="0" applyFont="1" applyAlignment="1">
      <alignment horizontal="left" wrapText="1"/>
    </xf>
    <xf numFmtId="0" fontId="28" fillId="0" borderId="0" xfId="0" applyFont="1" applyAlignment="1">
      <alignment horizontal="left" wrapText="1"/>
    </xf>
    <xf numFmtId="0" fontId="25" fillId="0" borderId="0" xfId="0" applyFont="1" applyAlignment="1">
      <alignment horizontal="left" wrapText="1"/>
    </xf>
    <xf numFmtId="0" fontId="28" fillId="0" borderId="0" xfId="0" applyFont="1" applyAlignment="1">
      <alignment horizontal="left" wrapText="1"/>
    </xf>
    <xf numFmtId="0" fontId="25" fillId="4" borderId="0" xfId="0" applyFont="1" applyFill="1"/>
    <xf numFmtId="0" fontId="25" fillId="4" borderId="0" xfId="0" applyFont="1" applyFill="1" applyAlignment="1">
      <alignment horizontal="left"/>
    </xf>
    <xf numFmtId="0" fontId="25" fillId="4" borderId="9" xfId="0" applyFont="1" applyFill="1" applyBorder="1" applyAlignment="1">
      <alignment horizontal="center"/>
    </xf>
    <xf numFmtId="0" fontId="25" fillId="4" borderId="0" xfId="0" applyFont="1" applyFill="1" applyAlignment="1">
      <alignment horizontal="center"/>
    </xf>
    <xf numFmtId="0" fontId="35" fillId="0" borderId="0" xfId="0" applyFont="1"/>
    <xf numFmtId="169" fontId="28" fillId="0" borderId="0" xfId="0" applyNumberFormat="1" applyFont="1" applyAlignment="1">
      <alignment horizontal="right"/>
    </xf>
    <xf numFmtId="0" fontId="25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left" vertical="top"/>
    </xf>
    <xf numFmtId="0" fontId="25" fillId="0" borderId="0" xfId="0" applyFont="1" applyAlignment="1">
      <alignment horizontal="left" vertical="top" wrapText="1"/>
    </xf>
    <xf numFmtId="0" fontId="31" fillId="0" borderId="0" xfId="0" applyFont="1" applyAlignment="1">
      <alignment horizontal="right" wrapText="1"/>
    </xf>
    <xf numFmtId="0" fontId="25" fillId="0" borderId="0" xfId="0" applyFont="1" applyAlignment="1">
      <alignment horizontal="right"/>
    </xf>
    <xf numFmtId="168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 wrapText="1"/>
    </xf>
    <xf numFmtId="169" fontId="25" fillId="0" borderId="0" xfId="0" applyNumberFormat="1" applyFont="1" applyAlignment="1">
      <alignment horizontal="right"/>
    </xf>
    <xf numFmtId="169" fontId="31" fillId="0" borderId="0" xfId="0" applyNumberFormat="1" applyFont="1" applyAlignment="1">
      <alignment horizontal="right"/>
    </xf>
    <xf numFmtId="169" fontId="28" fillId="0" borderId="0" xfId="0" applyNumberFormat="1" applyFont="1" applyAlignment="1">
      <alignment horizontal="right"/>
    </xf>
    <xf numFmtId="169" fontId="0" fillId="0" borderId="0" xfId="0" applyNumberFormat="1"/>
    <xf numFmtId="0" fontId="0" fillId="0" borderId="8" xfId="0" applyBorder="1"/>
    <xf numFmtId="0" fontId="47" fillId="4" borderId="0" xfId="0" applyFont="1" applyFill="1"/>
    <xf numFmtId="0" fontId="47" fillId="0" borderId="0" xfId="0" applyFont="1"/>
    <xf numFmtId="169" fontId="47" fillId="0" borderId="0" xfId="0" applyNumberFormat="1" applyFont="1"/>
    <xf numFmtId="169" fontId="25" fillId="0" borderId="0" xfId="0" applyNumberFormat="1" applyFont="1" applyAlignment="1">
      <alignment horizontal="right"/>
    </xf>
    <xf numFmtId="167" fontId="0" fillId="0" borderId="0" xfId="0" applyNumberFormat="1"/>
    <xf numFmtId="4" fontId="0" fillId="0" borderId="0" xfId="0" applyNumberFormat="1" applyAlignment="1">
      <alignment horizontal="right"/>
    </xf>
    <xf numFmtId="0" fontId="49" fillId="0" borderId="0" xfId="0" applyFont="1"/>
    <xf numFmtId="4" fontId="28" fillId="0" borderId="0" xfId="0" applyNumberFormat="1" applyFont="1"/>
    <xf numFmtId="4" fontId="49" fillId="0" borderId="0" xfId="0" applyNumberFormat="1" applyFont="1"/>
    <xf numFmtId="0" fontId="15" fillId="4" borderId="0" xfId="21" applyFill="1"/>
    <xf numFmtId="169" fontId="25" fillId="4" borderId="0" xfId="21" applyNumberFormat="1" applyFont="1" applyFill="1"/>
    <xf numFmtId="0" fontId="28" fillId="4" borderId="0" xfId="21" applyFont="1" applyFill="1" applyAlignment="1">
      <alignment wrapText="1"/>
    </xf>
    <xf numFmtId="0" fontId="18" fillId="4" borderId="0" xfId="21" applyFont="1" applyFill="1"/>
    <xf numFmtId="0" fontId="28" fillId="4" borderId="0" xfId="0" applyFont="1" applyFill="1"/>
    <xf numFmtId="4" fontId="28" fillId="4" borderId="0" xfId="21" applyNumberFormat="1" applyFont="1" applyFill="1" applyAlignment="1">
      <alignment horizontal="right"/>
    </xf>
    <xf numFmtId="169" fontId="15" fillId="4" borderId="0" xfId="21" applyNumberFormat="1" applyFill="1"/>
    <xf numFmtId="0" fontId="25" fillId="4" borderId="0" xfId="45" applyFont="1" applyFill="1"/>
    <xf numFmtId="169" fontId="25" fillId="4" borderId="0" xfId="21" applyNumberFormat="1" applyFont="1" applyFill="1" applyAlignment="1">
      <alignment horizontal="right"/>
    </xf>
    <xf numFmtId="167" fontId="15" fillId="4" borderId="0" xfId="21" applyNumberFormat="1" applyFill="1"/>
    <xf numFmtId="0" fontId="15" fillId="4" borderId="0" xfId="28" applyFill="1"/>
    <xf numFmtId="0" fontId="0" fillId="4" borderId="0" xfId="0" applyFill="1"/>
    <xf numFmtId="0" fontId="18" fillId="4" borderId="0" xfId="0" applyFont="1" applyFill="1"/>
    <xf numFmtId="0" fontId="18" fillId="4" borderId="15" xfId="0" applyFont="1" applyFill="1" applyBorder="1"/>
    <xf numFmtId="4" fontId="18" fillId="4" borderId="15" xfId="0" applyNumberFormat="1" applyFont="1" applyFill="1" applyBorder="1"/>
    <xf numFmtId="4" fontId="51" fillId="4" borderId="15" xfId="0" applyNumberFormat="1" applyFont="1" applyFill="1" applyBorder="1"/>
    <xf numFmtId="0" fontId="50" fillId="4" borderId="15" xfId="0" applyFont="1" applyFill="1" applyBorder="1"/>
    <xf numFmtId="0" fontId="51" fillId="4" borderId="15" xfId="0" applyFont="1" applyFill="1" applyBorder="1"/>
    <xf numFmtId="0" fontId="51" fillId="4" borderId="0" xfId="0" applyFont="1" applyFill="1"/>
    <xf numFmtId="4" fontId="18" fillId="4" borderId="0" xfId="0" applyNumberFormat="1" applyFont="1" applyFill="1"/>
    <xf numFmtId="0" fontId="32" fillId="4" borderId="0" xfId="0" applyNumberFormat="1" applyFont="1" applyFill="1" applyAlignment="1">
      <alignment horizontal="left"/>
    </xf>
    <xf numFmtId="0" fontId="32" fillId="4" borderId="0" xfId="0" applyNumberFormat="1" applyFont="1" applyFill="1"/>
    <xf numFmtId="0" fontId="27" fillId="4" borderId="0" xfId="0" applyFont="1" applyFill="1" applyAlignment="1">
      <alignment vertical="center"/>
    </xf>
    <xf numFmtId="4" fontId="32" fillId="4" borderId="0" xfId="0" applyNumberFormat="1" applyFont="1" applyFill="1"/>
    <xf numFmtId="3" fontId="33" fillId="4" borderId="0" xfId="63" applyNumberFormat="1" applyFont="1" applyFill="1"/>
    <xf numFmtId="0" fontId="15" fillId="4" borderId="0" xfId="0" applyFont="1" applyFill="1"/>
    <xf numFmtId="0" fontId="18" fillId="4" borderId="15" xfId="0" applyFont="1" applyFill="1" applyBorder="1" applyAlignment="1">
      <alignment wrapText="1"/>
    </xf>
    <xf numFmtId="0" fontId="18" fillId="4" borderId="15" xfId="0" applyFont="1" applyFill="1" applyBorder="1" applyAlignment="1">
      <alignment horizontal="right"/>
    </xf>
    <xf numFmtId="0" fontId="18" fillId="4" borderId="0" xfId="0" applyFont="1" applyFill="1" applyAlignment="1">
      <alignment horizontal="left"/>
    </xf>
    <xf numFmtId="0" fontId="25" fillId="0" borderId="0" xfId="0" quotePrefix="1" applyFont="1" applyAlignment="1">
      <alignment horizontal="right" wrapText="1"/>
    </xf>
    <xf numFmtId="0" fontId="31" fillId="0" borderId="0" xfId="0" applyFont="1" applyAlignment="1">
      <alignment horizontal="left" vertical="top"/>
    </xf>
    <xf numFmtId="0" fontId="31" fillId="0" borderId="0" xfId="0" applyFont="1" applyAlignment="1">
      <alignment horizontal="left" vertical="top" wrapText="1"/>
    </xf>
    <xf numFmtId="0" fontId="31" fillId="0" borderId="0" xfId="0" applyFont="1" applyAlignment="1">
      <alignment horizontal="right"/>
    </xf>
    <xf numFmtId="168" fontId="31" fillId="0" borderId="0" xfId="0" applyNumberFormat="1" applyFont="1" applyAlignment="1">
      <alignment horizontal="right"/>
    </xf>
    <xf numFmtId="0" fontId="31" fillId="0" borderId="0" xfId="0" applyFont="1" applyAlignment="1">
      <alignment horizontal="right" shrinkToFit="1"/>
    </xf>
    <xf numFmtId="0" fontId="28" fillId="0" borderId="8" xfId="0" applyFont="1" applyBorder="1" applyAlignment="1">
      <alignment horizontal="left" vertical="top"/>
    </xf>
    <xf numFmtId="0" fontId="28" fillId="0" borderId="8" xfId="0" applyFont="1" applyBorder="1" applyAlignment="1">
      <alignment horizontal="left" vertical="top" wrapText="1"/>
    </xf>
    <xf numFmtId="0" fontId="52" fillId="0" borderId="8" xfId="0" applyFont="1" applyBorder="1" applyAlignment="1">
      <alignment horizontal="right" wrapText="1"/>
    </xf>
    <xf numFmtId="0" fontId="28" fillId="0" borderId="8" xfId="0" applyFont="1" applyBorder="1" applyAlignment="1">
      <alignment horizontal="right"/>
    </xf>
    <xf numFmtId="168" fontId="28" fillId="0" borderId="8" xfId="0" applyNumberFormat="1" applyFont="1" applyBorder="1" applyAlignment="1">
      <alignment horizontal="right"/>
    </xf>
    <xf numFmtId="0" fontId="28" fillId="0" borderId="8" xfId="0" applyFont="1" applyBorder="1" applyAlignment="1">
      <alignment horizontal="right" wrapText="1"/>
    </xf>
    <xf numFmtId="167" fontId="28" fillId="0" borderId="0" xfId="0" applyNumberFormat="1" applyFont="1" applyAlignment="1">
      <alignment horizontal="right"/>
    </xf>
    <xf numFmtId="0" fontId="25" fillId="4" borderId="0" xfId="0" applyFont="1" applyFill="1" applyAlignment="1">
      <alignment horizontal="left" wrapText="1"/>
    </xf>
    <xf numFmtId="4" fontId="25" fillId="4" borderId="0" xfId="45" applyNumberFormat="1" applyFont="1" applyFill="1"/>
    <xf numFmtId="4" fontId="25" fillId="4" borderId="0" xfId="46" applyNumberFormat="1" applyFont="1" applyFill="1"/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43" fontId="0" fillId="0" borderId="0" xfId="50" applyFont="1"/>
    <xf numFmtId="0" fontId="25" fillId="0" borderId="8" xfId="0" applyFont="1" applyBorder="1" applyAlignment="1">
      <alignment horizontal="center" vertical="center" wrapText="1"/>
    </xf>
    <xf numFmtId="0" fontId="35" fillId="0" borderId="0" xfId="0" applyFont="1" applyFill="1"/>
    <xf numFmtId="0" fontId="0" fillId="0" borderId="0" xfId="0" applyFill="1"/>
    <xf numFmtId="0" fontId="15" fillId="0" borderId="0" xfId="21" applyFill="1"/>
    <xf numFmtId="0" fontId="33" fillId="4" borderId="0" xfId="0" applyFont="1" applyFill="1"/>
    <xf numFmtId="0" fontId="32" fillId="4" borderId="0" xfId="28" applyFont="1" applyFill="1"/>
    <xf numFmtId="0" fontId="53" fillId="4" borderId="15" xfId="0" applyFont="1" applyFill="1" applyBorder="1" applyAlignment="1">
      <alignment horizontal="left"/>
    </xf>
    <xf numFmtId="0" fontId="33" fillId="4" borderId="15" xfId="0" applyFont="1" applyFill="1" applyBorder="1"/>
    <xf numFmtId="0" fontId="54" fillId="4" borderId="0" xfId="0" applyFont="1" applyFill="1" applyAlignment="1">
      <alignment horizontal="left"/>
    </xf>
    <xf numFmtId="4" fontId="33" fillId="4" borderId="0" xfId="0" applyNumberFormat="1" applyFont="1" applyFill="1"/>
    <xf numFmtId="0" fontId="32" fillId="4" borderId="0" xfId="0" applyFont="1" applyFill="1" applyAlignment="1">
      <alignment horizontal="left"/>
    </xf>
    <xf numFmtId="0" fontId="54" fillId="4" borderId="0" xfId="0" applyFont="1" applyFill="1"/>
    <xf numFmtId="0" fontId="33" fillId="4" borderId="0" xfId="0" applyFont="1" applyFill="1" applyAlignment="1">
      <alignment horizontal="left"/>
    </xf>
    <xf numFmtId="0" fontId="55" fillId="0" borderId="0" xfId="0" applyFont="1"/>
    <xf numFmtId="169" fontId="25" fillId="4" borderId="0" xfId="21" applyNumberFormat="1" applyFont="1" applyFill="1" applyAlignment="1"/>
    <xf numFmtId="169" fontId="28" fillId="4" borderId="0" xfId="21" applyNumberFormat="1" applyFont="1" applyFill="1" applyAlignment="1"/>
    <xf numFmtId="4" fontId="49" fillId="0" borderId="0" xfId="0" applyNumberFormat="1" applyFont="1" applyAlignment="1"/>
    <xf numFmtId="0" fontId="25" fillId="0" borderId="1" xfId="0" applyFont="1" applyBorder="1" applyAlignment="1">
      <alignment horizontal="center" vertical="center" wrapText="1"/>
    </xf>
    <xf numFmtId="0" fontId="28" fillId="0" borderId="0" xfId="0" applyFont="1" applyAlignment="1">
      <alignment horizontal="left" wrapText="1"/>
    </xf>
    <xf numFmtId="169" fontId="28" fillId="0" borderId="0" xfId="0" applyNumberFormat="1" applyFont="1" applyAlignment="1">
      <alignment horizontal="right"/>
    </xf>
    <xf numFmtId="0" fontId="29" fillId="0" borderId="0" xfId="0" applyFont="1" applyAlignment="1">
      <alignment horizontal="center" wrapText="1"/>
    </xf>
    <xf numFmtId="0" fontId="25" fillId="0" borderId="0" xfId="0" applyFont="1" applyAlignment="1">
      <alignment horizontal="left" wrapText="1"/>
    </xf>
    <xf numFmtId="169" fontId="25" fillId="0" borderId="0" xfId="0" applyNumberFormat="1" applyFont="1" applyAlignment="1">
      <alignment horizontal="right"/>
    </xf>
    <xf numFmtId="0" fontId="25" fillId="4" borderId="0" xfId="0" applyFont="1" applyFill="1" applyAlignment="1">
      <alignment horizontal="right"/>
    </xf>
    <xf numFmtId="0" fontId="25" fillId="4" borderId="3" xfId="0" applyFont="1" applyFill="1" applyBorder="1" applyAlignment="1">
      <alignment horizontal="center"/>
    </xf>
    <xf numFmtId="164" fontId="21" fillId="4" borderId="0" xfId="52" applyFont="1" applyFill="1" applyAlignment="1">
      <alignment horizontal="left" vertical="center"/>
    </xf>
    <xf numFmtId="170" fontId="32" fillId="4" borderId="0" xfId="52" applyNumberFormat="1" applyFont="1" applyFill="1" applyAlignment="1">
      <alignment horizontal="left" vertical="center"/>
    </xf>
    <xf numFmtId="0" fontId="23" fillId="4" borderId="0" xfId="28" applyFont="1" applyFill="1" applyAlignment="1">
      <alignment vertical="center"/>
    </xf>
    <xf numFmtId="0" fontId="25" fillId="0" borderId="0" xfId="0" applyFont="1" applyBorder="1" applyAlignment="1">
      <alignment horizontal="left" wrapText="1"/>
    </xf>
    <xf numFmtId="14" fontId="25" fillId="4" borderId="0" xfId="0" applyNumberFormat="1" applyFont="1" applyFill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9" fontId="43" fillId="4" borderId="3" xfId="28" applyNumberFormat="1" applyFont="1" applyFill="1" applyBorder="1" applyAlignment="1">
      <alignment horizontal="center"/>
    </xf>
    <xf numFmtId="14" fontId="25" fillId="4" borderId="3" xfId="28" applyNumberFormat="1" applyFont="1" applyFill="1" applyBorder="1" applyAlignment="1">
      <alignment horizontal="center"/>
    </xf>
    <xf numFmtId="14" fontId="25" fillId="4" borderId="1" xfId="28" applyNumberFormat="1" applyFont="1" applyFill="1" applyBorder="1" applyAlignment="1">
      <alignment horizontal="center"/>
    </xf>
    <xf numFmtId="0" fontId="0" fillId="5" borderId="0" xfId="0" applyFill="1"/>
    <xf numFmtId="0" fontId="25" fillId="5" borderId="0" xfId="0" applyFont="1" applyFill="1" applyAlignment="1">
      <alignment horizontal="left" vertical="top"/>
    </xf>
    <xf numFmtId="0" fontId="25" fillId="5" borderId="0" xfId="0" applyFont="1" applyFill="1" applyAlignment="1">
      <alignment horizontal="left" vertical="top" wrapText="1"/>
    </xf>
    <xf numFmtId="0" fontId="31" fillId="5" borderId="0" xfId="0" applyFont="1" applyFill="1" applyAlignment="1">
      <alignment horizontal="right" wrapText="1"/>
    </xf>
    <xf numFmtId="0" fontId="25" fillId="5" borderId="0" xfId="0" applyFont="1" applyFill="1" applyAlignment="1">
      <alignment horizontal="right"/>
    </xf>
    <xf numFmtId="168" fontId="25" fillId="5" borderId="0" xfId="0" applyNumberFormat="1" applyFont="1" applyFill="1" applyAlignment="1">
      <alignment horizontal="right"/>
    </xf>
    <xf numFmtId="0" fontId="25" fillId="5" borderId="0" xfId="0" applyFont="1" applyFill="1" applyAlignment="1">
      <alignment horizontal="right" wrapText="1"/>
    </xf>
    <xf numFmtId="169" fontId="25" fillId="5" borderId="0" xfId="0" applyNumberFormat="1" applyFont="1" applyFill="1" applyAlignment="1">
      <alignment horizontal="right"/>
    </xf>
    <xf numFmtId="169" fontId="31" fillId="5" borderId="0" xfId="0" applyNumberFormat="1" applyFont="1" applyFill="1" applyAlignment="1">
      <alignment horizontal="right"/>
    </xf>
    <xf numFmtId="0" fontId="25" fillId="5" borderId="15" xfId="0" applyFont="1" applyFill="1" applyBorder="1" applyAlignment="1">
      <alignment horizontal="left" vertical="top"/>
    </xf>
    <xf numFmtId="0" fontId="25" fillId="5" borderId="15" xfId="0" applyFont="1" applyFill="1" applyBorder="1" applyAlignment="1">
      <alignment horizontal="left" vertical="top" wrapText="1"/>
    </xf>
    <xf numFmtId="0" fontId="31" fillId="5" borderId="15" xfId="0" applyFont="1" applyFill="1" applyBorder="1" applyAlignment="1">
      <alignment horizontal="right" wrapText="1"/>
    </xf>
    <xf numFmtId="0" fontId="25" fillId="5" borderId="15" xfId="0" applyFont="1" applyFill="1" applyBorder="1" applyAlignment="1">
      <alignment horizontal="right"/>
    </xf>
    <xf numFmtId="168" fontId="25" fillId="5" borderId="15" xfId="0" applyNumberFormat="1" applyFont="1" applyFill="1" applyBorder="1" applyAlignment="1">
      <alignment horizontal="right"/>
    </xf>
    <xf numFmtId="0" fontId="25" fillId="5" borderId="15" xfId="0" applyFont="1" applyFill="1" applyBorder="1" applyAlignment="1">
      <alignment horizontal="right" wrapText="1"/>
    </xf>
    <xf numFmtId="169" fontId="25" fillId="5" borderId="15" xfId="0" applyNumberFormat="1" applyFont="1" applyFill="1" applyBorder="1" applyAlignment="1">
      <alignment horizontal="right"/>
    </xf>
    <xf numFmtId="0" fontId="28" fillId="5" borderId="0" xfId="0" applyFont="1" applyFill="1"/>
    <xf numFmtId="0" fontId="25" fillId="5" borderId="0" xfId="0" applyFont="1" applyFill="1" applyAlignment="1">
      <alignment horizontal="right" shrinkToFit="1"/>
    </xf>
    <xf numFmtId="0" fontId="0" fillId="5" borderId="8" xfId="0" applyFill="1" applyBorder="1"/>
    <xf numFmtId="0" fontId="28" fillId="5" borderId="8" xfId="0" applyFont="1" applyFill="1" applyBorder="1"/>
    <xf numFmtId="0" fontId="44" fillId="5" borderId="15" xfId="0" applyFont="1" applyFill="1" applyBorder="1" applyAlignment="1">
      <alignment horizontal="left" vertical="top"/>
    </xf>
    <xf numFmtId="0" fontId="44" fillId="5" borderId="15" xfId="0" applyFont="1" applyFill="1" applyBorder="1" applyAlignment="1">
      <alignment horizontal="left" vertical="top" wrapText="1"/>
    </xf>
    <xf numFmtId="0" fontId="46" fillId="5" borderId="15" xfId="0" applyFont="1" applyFill="1" applyBorder="1" applyAlignment="1">
      <alignment horizontal="right" wrapText="1"/>
    </xf>
    <xf numFmtId="0" fontId="44" fillId="5" borderId="15" xfId="0" applyFont="1" applyFill="1" applyBorder="1" applyAlignment="1">
      <alignment horizontal="right"/>
    </xf>
    <xf numFmtId="168" fontId="44" fillId="5" borderId="15" xfId="0" applyNumberFormat="1" applyFont="1" applyFill="1" applyBorder="1" applyAlignment="1">
      <alignment horizontal="right"/>
    </xf>
    <xf numFmtId="0" fontId="44" fillId="5" borderId="15" xfId="0" applyFont="1" applyFill="1" applyBorder="1" applyAlignment="1">
      <alignment horizontal="right" wrapText="1"/>
    </xf>
    <xf numFmtId="169" fontId="44" fillId="5" borderId="15" xfId="0" applyNumberFormat="1" applyFont="1" applyFill="1" applyBorder="1" applyAlignment="1">
      <alignment horizontal="right"/>
    </xf>
    <xf numFmtId="0" fontId="47" fillId="5" borderId="8" xfId="0" applyFont="1" applyFill="1" applyBorder="1"/>
    <xf numFmtId="0" fontId="48" fillId="5" borderId="8" xfId="0" applyFont="1" applyFill="1" applyBorder="1"/>
    <xf numFmtId="0" fontId="15" fillId="4" borderId="2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horizontal="right"/>
    </xf>
    <xf numFmtId="0" fontId="25" fillId="4" borderId="3" xfId="0" applyFont="1" applyFill="1" applyBorder="1" applyAlignment="1">
      <alignment horizontal="center"/>
    </xf>
    <xf numFmtId="0" fontId="25" fillId="0" borderId="15" xfId="0" applyFont="1" applyBorder="1" applyAlignment="1">
      <alignment horizontal="left" wrapText="1"/>
    </xf>
    <xf numFmtId="4" fontId="21" fillId="2" borderId="1" xfId="28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wrapText="1"/>
    </xf>
    <xf numFmtId="0" fontId="23" fillId="0" borderId="0" xfId="4" applyFont="1" applyFill="1" applyAlignment="1">
      <alignment vertical="center"/>
    </xf>
    <xf numFmtId="0" fontId="25" fillId="0" borderId="0" xfId="0" applyFont="1" applyFill="1" applyAlignment="1">
      <alignment horizontal="left" wrapText="1"/>
    </xf>
    <xf numFmtId="4" fontId="25" fillId="0" borderId="0" xfId="45" applyNumberFormat="1" applyFont="1" applyFill="1"/>
    <xf numFmtId="4" fontId="25" fillId="0" borderId="0" xfId="46" applyNumberFormat="1" applyFont="1" applyFill="1"/>
    <xf numFmtId="169" fontId="25" fillId="0" borderId="0" xfId="21" applyNumberFormat="1" applyFont="1" applyFill="1" applyAlignment="1"/>
    <xf numFmtId="169" fontId="28" fillId="0" borderId="0" xfId="21" applyNumberFormat="1" applyFont="1" applyFill="1" applyAlignment="1"/>
    <xf numFmtId="167" fontId="28" fillId="0" borderId="0" xfId="21" applyNumberFormat="1" applyFont="1" applyFill="1" applyAlignment="1"/>
    <xf numFmtId="4" fontId="28" fillId="0" borderId="0" xfId="21" applyNumberFormat="1" applyFont="1" applyFill="1" applyAlignment="1">
      <alignment horizontal="right"/>
    </xf>
    <xf numFmtId="0" fontId="25" fillId="6" borderId="0" xfId="0" applyFont="1" applyFill="1" applyAlignment="1">
      <alignment horizontal="right"/>
    </xf>
    <xf numFmtId="0" fontId="15" fillId="0" borderId="0" xfId="21" applyFont="1" applyFill="1"/>
    <xf numFmtId="0" fontId="25" fillId="0" borderId="0" xfId="67" applyFont="1" applyFill="1"/>
    <xf numFmtId="0" fontId="28" fillId="0" borderId="0" xfId="67" applyFont="1" applyFill="1"/>
    <xf numFmtId="0" fontId="25" fillId="0" borderId="0" xfId="40" applyFont="1" applyFill="1"/>
    <xf numFmtId="0" fontId="25" fillId="0" borderId="0" xfId="21" applyFont="1" applyFill="1"/>
    <xf numFmtId="0" fontId="25" fillId="0" borderId="9" xfId="67" applyFont="1" applyFill="1" applyBorder="1" applyAlignment="1">
      <alignment horizontal="center"/>
    </xf>
    <xf numFmtId="0" fontId="25" fillId="0" borderId="3" xfId="67" applyFont="1" applyFill="1" applyBorder="1" applyAlignment="1">
      <alignment horizontal="center"/>
    </xf>
    <xf numFmtId="14" fontId="25" fillId="0" borderId="3" xfId="67" applyNumberFormat="1" applyFont="1" applyFill="1" applyBorder="1" applyAlignment="1">
      <alignment horizontal="center"/>
    </xf>
    <xf numFmtId="0" fontId="25" fillId="0" borderId="0" xfId="67" applyFont="1" applyFill="1" applyBorder="1" applyAlignment="1">
      <alignment horizontal="center"/>
    </xf>
    <xf numFmtId="14" fontId="25" fillId="0" borderId="0" xfId="67" applyNumberFormat="1" applyFont="1" applyFill="1" applyBorder="1" applyAlignment="1">
      <alignment horizontal="center"/>
    </xf>
    <xf numFmtId="0" fontId="60" fillId="0" borderId="0" xfId="22" applyFont="1" applyFill="1"/>
    <xf numFmtId="0" fontId="61" fillId="0" borderId="0" xfId="22" applyFont="1" applyFill="1"/>
    <xf numFmtId="169" fontId="61" fillId="0" borderId="0" xfId="22" applyNumberFormat="1" applyFont="1" applyFill="1"/>
    <xf numFmtId="0" fontId="46" fillId="0" borderId="0" xfId="28" applyFont="1" applyFill="1" applyAlignment="1">
      <alignment horizontal="left" vertical="top" wrapText="1"/>
    </xf>
    <xf numFmtId="0" fontId="25" fillId="0" borderId="0" xfId="0" applyFont="1" applyFill="1" applyAlignment="1">
      <alignment horizontal="right"/>
    </xf>
    <xf numFmtId="164" fontId="21" fillId="7" borderId="0" xfId="52" applyFont="1" applyFill="1" applyAlignment="1">
      <alignment horizontal="left" vertical="center"/>
    </xf>
    <xf numFmtId="170" fontId="32" fillId="7" borderId="0" xfId="52" applyNumberFormat="1" applyFont="1" applyFill="1" applyAlignment="1">
      <alignment horizontal="left" vertical="center"/>
    </xf>
    <xf numFmtId="0" fontId="23" fillId="7" borderId="0" xfId="28" applyFont="1" applyFill="1" applyAlignment="1">
      <alignment vertical="center"/>
    </xf>
    <xf numFmtId="49" fontId="24" fillId="0" borderId="1" xfId="51" applyNumberFormat="1" applyFont="1" applyFill="1" applyBorder="1" applyAlignment="1">
      <alignment horizontal="left" vertical="center" wrapText="1"/>
    </xf>
    <xf numFmtId="0" fontId="63" fillId="0" borderId="0" xfId="23" applyFont="1" applyFill="1"/>
    <xf numFmtId="164" fontId="63" fillId="0" borderId="0" xfId="74" applyFont="1" applyFill="1"/>
    <xf numFmtId="170" fontId="59" fillId="0" borderId="0" xfId="42" applyNumberFormat="1" applyFont="1" applyFill="1" applyBorder="1" applyAlignment="1">
      <alignment horizontal="right"/>
    </xf>
    <xf numFmtId="172" fontId="59" fillId="0" borderId="0" xfId="42" applyNumberFormat="1" applyFont="1" applyFill="1" applyBorder="1" applyAlignment="1">
      <alignment horizontal="right"/>
    </xf>
    <xf numFmtId="0" fontId="64" fillId="0" borderId="0" xfId="41" applyFont="1" applyFill="1" applyBorder="1" applyAlignment="1"/>
    <xf numFmtId="0" fontId="64" fillId="0" borderId="0" xfId="40" applyFont="1" applyFill="1" applyBorder="1" applyAlignment="1"/>
    <xf numFmtId="0" fontId="64" fillId="0" borderId="0" xfId="75" applyNumberFormat="1" applyFont="1" applyFill="1" applyBorder="1" applyAlignment="1">
      <alignment vertical="center"/>
    </xf>
    <xf numFmtId="0" fontId="63" fillId="0" borderId="0" xfId="28" applyFont="1" applyFill="1"/>
    <xf numFmtId="172" fontId="64" fillId="0" borderId="0" xfId="42" applyNumberFormat="1" applyFont="1" applyFill="1" applyBorder="1"/>
    <xf numFmtId="172" fontId="64" fillId="0" borderId="0" xfId="42" applyNumberFormat="1" applyFont="1" applyFill="1" applyBorder="1" applyAlignment="1">
      <alignment horizontal="right" vertical="center" wrapText="1"/>
    </xf>
    <xf numFmtId="170" fontId="65" fillId="0" borderId="0" xfId="42" applyNumberFormat="1" applyFont="1" applyFill="1" applyBorder="1" applyAlignment="1">
      <alignment horizontal="right"/>
    </xf>
    <xf numFmtId="172" fontId="66" fillId="0" borderId="0" xfId="42" applyNumberFormat="1" applyFont="1" applyFill="1" applyBorder="1"/>
    <xf numFmtId="0" fontId="66" fillId="0" borderId="0" xfId="41" applyFont="1" applyFill="1" applyBorder="1" applyAlignment="1"/>
    <xf numFmtId="0" fontId="66" fillId="0" borderId="0" xfId="40" applyFont="1" applyFill="1" applyBorder="1" applyAlignment="1"/>
    <xf numFmtId="0" fontId="65" fillId="0" borderId="0" xfId="75" applyNumberFormat="1" applyFont="1" applyFill="1" applyBorder="1" applyAlignment="1">
      <alignment vertical="center"/>
    </xf>
    <xf numFmtId="0" fontId="67" fillId="0" borderId="0" xfId="0" applyFont="1" applyFill="1"/>
    <xf numFmtId="4" fontId="66" fillId="0" borderId="0" xfId="76" applyNumberFormat="1" applyFont="1" applyFill="1" applyAlignment="1">
      <alignment horizontal="right" wrapText="1"/>
    </xf>
    <xf numFmtId="0" fontId="66" fillId="0" borderId="0" xfId="4" applyFont="1" applyFill="1"/>
    <xf numFmtId="0" fontId="66" fillId="0" borderId="0" xfId="76" applyFont="1" applyFill="1" applyAlignment="1">
      <alignment horizontal="left"/>
    </xf>
    <xf numFmtId="0" fontId="68" fillId="0" borderId="0" xfId="21" applyFont="1" applyFill="1"/>
    <xf numFmtId="166" fontId="64" fillId="0" borderId="0" xfId="32" applyFont="1" applyFill="1" applyAlignment="1">
      <alignment horizontal="right" wrapText="1"/>
    </xf>
    <xf numFmtId="0" fontId="64" fillId="0" borderId="0" xfId="76" applyFont="1" applyFill="1" applyAlignment="1">
      <alignment horizontal="left" wrapText="1"/>
    </xf>
    <xf numFmtId="0" fontId="63" fillId="0" borderId="0" xfId="21" applyFont="1" applyFill="1"/>
    <xf numFmtId="170" fontId="64" fillId="0" borderId="0" xfId="32" applyNumberFormat="1" applyFont="1" applyFill="1" applyAlignment="1">
      <alignment horizontal="right" wrapText="1"/>
    </xf>
    <xf numFmtId="0" fontId="59" fillId="0" borderId="0" xfId="40" applyFont="1" applyFill="1" applyAlignment="1">
      <alignment wrapText="1"/>
    </xf>
    <xf numFmtId="169" fontId="63" fillId="0" borderId="0" xfId="21" applyNumberFormat="1" applyFont="1" applyFill="1"/>
    <xf numFmtId="169" fontId="65" fillId="0" borderId="0" xfId="21" applyNumberFormat="1" applyFont="1" applyFill="1" applyAlignment="1"/>
    <xf numFmtId="169" fontId="59" fillId="0" borderId="0" xfId="21" applyNumberFormat="1" applyFont="1" applyFill="1" applyAlignment="1"/>
    <xf numFmtId="0" fontId="65" fillId="0" borderId="0" xfId="21" applyFont="1" applyFill="1" applyAlignment="1">
      <alignment wrapText="1"/>
    </xf>
    <xf numFmtId="4" fontId="59" fillId="0" borderId="0" xfId="45" applyNumberFormat="1" applyFont="1" applyFill="1"/>
    <xf numFmtId="168" fontId="25" fillId="0" borderId="15" xfId="0" applyNumberFormat="1" applyFont="1" applyFill="1" applyBorder="1" applyAlignment="1">
      <alignment horizontal="right"/>
    </xf>
    <xf numFmtId="0" fontId="25" fillId="0" borderId="15" xfId="0" applyFont="1" applyFill="1" applyBorder="1" applyAlignment="1">
      <alignment horizontal="right"/>
    </xf>
    <xf numFmtId="0" fontId="31" fillId="0" borderId="15" xfId="0" applyFont="1" applyFill="1" applyBorder="1" applyAlignment="1">
      <alignment horizontal="right" wrapText="1"/>
    </xf>
    <xf numFmtId="0" fontId="25" fillId="0" borderId="15" xfId="0" applyFont="1" applyFill="1" applyBorder="1" applyAlignment="1">
      <alignment horizontal="left" vertical="top" wrapText="1"/>
    </xf>
    <xf numFmtId="49" fontId="25" fillId="0" borderId="15" xfId="0" applyNumberFormat="1" applyFont="1" applyFill="1" applyBorder="1" applyAlignment="1">
      <alignment horizontal="left" vertical="top"/>
    </xf>
    <xf numFmtId="49" fontId="0" fillId="0" borderId="0" xfId="0" applyNumberFormat="1" applyFill="1"/>
    <xf numFmtId="0" fontId="0" fillId="0" borderId="8" xfId="0" applyFill="1" applyBorder="1"/>
    <xf numFmtId="0" fontId="28" fillId="0" borderId="8" xfId="0" applyFont="1" applyFill="1" applyBorder="1"/>
    <xf numFmtId="49" fontId="0" fillId="0" borderId="8" xfId="0" applyNumberFormat="1" applyFill="1" applyBorder="1"/>
    <xf numFmtId="169" fontId="25" fillId="0" borderId="15" xfId="0" applyNumberFormat="1" applyFont="1" applyFill="1" applyBorder="1" applyAlignment="1">
      <alignment horizontal="right"/>
    </xf>
    <xf numFmtId="0" fontId="25" fillId="0" borderId="15" xfId="0" applyFont="1" applyFill="1" applyBorder="1" applyAlignment="1">
      <alignment horizontal="right" wrapText="1"/>
    </xf>
    <xf numFmtId="0" fontId="25" fillId="0" borderId="0" xfId="0" applyFont="1" applyFill="1"/>
    <xf numFmtId="14" fontId="59" fillId="0" borderId="1" xfId="28" applyNumberFormat="1" applyFont="1" applyFill="1" applyBorder="1" applyAlignment="1">
      <alignment horizontal="center"/>
    </xf>
    <xf numFmtId="49" fontId="59" fillId="0" borderId="3" xfId="28" applyNumberFormat="1" applyFont="1" applyFill="1" applyBorder="1" applyAlignment="1">
      <alignment horizontal="center"/>
    </xf>
    <xf numFmtId="0" fontId="59" fillId="0" borderId="0" xfId="28" applyFont="1" applyFill="1"/>
    <xf numFmtId="0" fontId="63" fillId="0" borderId="9" xfId="28" applyFont="1" applyFill="1" applyBorder="1" applyAlignment="1">
      <alignment horizontal="center" vertical="center" wrapText="1"/>
    </xf>
    <xf numFmtId="0" fontId="59" fillId="0" borderId="0" xfId="23" applyFont="1" applyFill="1" applyBorder="1" applyAlignment="1">
      <alignment horizontal="left" wrapText="1"/>
    </xf>
    <xf numFmtId="0" fontId="59" fillId="0" borderId="15" xfId="23" applyFont="1" applyFill="1" applyBorder="1" applyAlignment="1">
      <alignment horizontal="left" wrapText="1"/>
    </xf>
    <xf numFmtId="0" fontId="63" fillId="0" borderId="0" xfId="0" applyFont="1" applyFill="1"/>
    <xf numFmtId="0" fontId="65" fillId="0" borderId="0" xfId="28" applyFont="1" applyFill="1"/>
    <xf numFmtId="0" fontId="71" fillId="0" borderId="0" xfId="0" applyFont="1" applyFill="1"/>
    <xf numFmtId="0" fontId="75" fillId="0" borderId="0" xfId="73" applyFont="1" applyFill="1" applyAlignment="1">
      <alignment vertical="center"/>
    </xf>
    <xf numFmtId="0" fontId="75" fillId="0" borderId="0" xfId="73" applyFont="1" applyFill="1" applyAlignment="1">
      <alignment vertical="center" wrapText="1"/>
    </xf>
    <xf numFmtId="0" fontId="76" fillId="0" borderId="0" xfId="73" applyFont="1" applyFill="1" applyAlignment="1">
      <alignment horizontal="left" vertical="center"/>
    </xf>
    <xf numFmtId="0" fontId="77" fillId="0" borderId="0" xfId="73" applyFont="1" applyFill="1" applyAlignment="1">
      <alignment horizontal="left" vertical="center"/>
    </xf>
    <xf numFmtId="0" fontId="76" fillId="0" borderId="0" xfId="73" applyFont="1" applyFill="1" applyAlignment="1">
      <alignment vertical="center"/>
    </xf>
    <xf numFmtId="0" fontId="76" fillId="0" borderId="0" xfId="73" applyFont="1" applyFill="1" applyAlignment="1">
      <alignment vertical="center" wrapText="1"/>
    </xf>
    <xf numFmtId="0" fontId="78" fillId="0" borderId="0" xfId="28" applyFont="1" applyFill="1" applyAlignment="1">
      <alignment horizontal="center"/>
    </xf>
    <xf numFmtId="4" fontId="78" fillId="0" borderId="0" xfId="28" applyNumberFormat="1" applyFont="1" applyFill="1" applyAlignment="1">
      <alignment horizontal="center"/>
    </xf>
    <xf numFmtId="0" fontId="79" fillId="0" borderId="0" xfId="28" applyFont="1" applyFill="1" applyAlignment="1">
      <alignment horizontal="center"/>
    </xf>
    <xf numFmtId="0" fontId="78" fillId="0" borderId="0" xfId="28" applyFont="1" applyFill="1" applyAlignment="1"/>
    <xf numFmtId="4" fontId="21" fillId="0" borderId="1" xfId="28" applyNumberFormat="1" applyFont="1" applyFill="1" applyBorder="1" applyAlignment="1">
      <alignment horizontal="center" vertical="center" wrapText="1"/>
    </xf>
    <xf numFmtId="49" fontId="24" fillId="0" borderId="1" xfId="2" applyNumberFormat="1" applyFont="1" applyFill="1" applyBorder="1" applyAlignment="1">
      <alignment horizontal="center" vertical="center" wrapText="1"/>
    </xf>
    <xf numFmtId="0" fontId="80" fillId="0" borderId="0" xfId="79" applyFont="1" applyFill="1" applyBorder="1" applyAlignment="1"/>
    <xf numFmtId="0" fontId="83" fillId="0" borderId="15" xfId="21" applyFont="1" applyFill="1" applyBorder="1"/>
    <xf numFmtId="0" fontId="80" fillId="0" borderId="15" xfId="21" applyFont="1" applyFill="1" applyBorder="1"/>
    <xf numFmtId="0" fontId="80" fillId="0" borderId="0" xfId="35" applyNumberFormat="1" applyFont="1" applyFill="1" applyBorder="1" applyAlignment="1"/>
    <xf numFmtId="167" fontId="82" fillId="0" borderId="0" xfId="36" applyNumberFormat="1" applyFont="1" applyFill="1" applyBorder="1"/>
    <xf numFmtId="49" fontId="82" fillId="0" borderId="0" xfId="36" applyNumberFormat="1" applyFont="1" applyFill="1" applyBorder="1"/>
    <xf numFmtId="167" fontId="82" fillId="0" borderId="0" xfId="36" applyNumberFormat="1" applyFont="1" applyFill="1" applyBorder="1" applyAlignment="1">
      <alignment horizontal="center" wrapText="1"/>
    </xf>
    <xf numFmtId="167" fontId="82" fillId="0" borderId="0" xfId="36" applyNumberFormat="1" applyFont="1" applyFill="1" applyBorder="1" applyAlignment="1">
      <alignment horizontal="left" wrapText="1"/>
    </xf>
    <xf numFmtId="167" fontId="82" fillId="0" borderId="0" xfId="36" applyNumberFormat="1" applyFont="1" applyFill="1" applyBorder="1" applyAlignment="1">
      <alignment horizontal="left"/>
    </xf>
    <xf numFmtId="167" fontId="82" fillId="0" borderId="0" xfId="36" applyNumberFormat="1" applyFont="1" applyFill="1" applyBorder="1" applyAlignment="1"/>
    <xf numFmtId="167" fontId="82" fillId="0" borderId="0" xfId="36" applyNumberFormat="1" applyFont="1" applyFill="1"/>
    <xf numFmtId="49" fontId="82" fillId="0" borderId="0" xfId="36" applyNumberFormat="1" applyFont="1" applyFill="1"/>
    <xf numFmtId="167" fontId="82" fillId="0" borderId="0" xfId="36" applyNumberFormat="1" applyFont="1" applyFill="1" applyAlignment="1">
      <alignment horizontal="center" wrapText="1"/>
    </xf>
    <xf numFmtId="167" fontId="82" fillId="0" borderId="0" xfId="36" applyNumberFormat="1" applyFont="1" applyFill="1" applyAlignment="1">
      <alignment horizontal="left" wrapText="1"/>
    </xf>
    <xf numFmtId="167" fontId="82" fillId="0" borderId="0" xfId="36" applyNumberFormat="1" applyFont="1" applyFill="1" applyAlignment="1">
      <alignment horizontal="left"/>
    </xf>
    <xf numFmtId="167" fontId="82" fillId="0" borderId="0" xfId="36" applyNumberFormat="1" applyFont="1" applyFill="1" applyAlignment="1"/>
    <xf numFmtId="0" fontId="76" fillId="0" borderId="0" xfId="73" applyFont="1" applyFill="1" applyBorder="1" applyAlignment="1">
      <alignment vertical="center" wrapText="1"/>
    </xf>
    <xf numFmtId="0" fontId="76" fillId="0" borderId="0" xfId="73" applyFont="1" applyFill="1" applyBorder="1" applyAlignment="1">
      <alignment horizontal="center" vertical="center"/>
    </xf>
    <xf numFmtId="0" fontId="76" fillId="0" borderId="0" xfId="37" applyNumberFormat="1" applyFont="1" applyFill="1" applyBorder="1" applyAlignment="1"/>
    <xf numFmtId="0" fontId="75" fillId="0" borderId="0" xfId="37" applyNumberFormat="1" applyFont="1" applyFill="1" applyBorder="1" applyAlignment="1"/>
    <xf numFmtId="0" fontId="10" fillId="0" borderId="15" xfId="28" applyFont="1" applyBorder="1"/>
    <xf numFmtId="0" fontId="10" fillId="0" borderId="15" xfId="0" applyFont="1" applyBorder="1"/>
    <xf numFmtId="4" fontId="73" fillId="0" borderId="0" xfId="81" applyNumberFormat="1" applyFont="1" applyFill="1" applyBorder="1" applyAlignment="1">
      <alignment vertical="center"/>
    </xf>
    <xf numFmtId="4" fontId="62" fillId="0" borderId="0" xfId="81" applyNumberFormat="1" applyFont="1" applyFill="1" applyBorder="1" applyAlignment="1">
      <alignment vertical="center"/>
    </xf>
    <xf numFmtId="4" fontId="62" fillId="0" borderId="1" xfId="81" applyNumberFormat="1" applyFont="1" applyFill="1" applyBorder="1" applyAlignment="1">
      <alignment vertical="center"/>
    </xf>
    <xf numFmtId="165" fontId="73" fillId="0" borderId="16" xfId="81" applyNumberFormat="1" applyFont="1" applyFill="1" applyBorder="1" applyAlignment="1">
      <alignment vertical="center"/>
    </xf>
    <xf numFmtId="0" fontId="68" fillId="0" borderId="19" xfId="81" applyNumberFormat="1" applyFont="1" applyFill="1" applyBorder="1" applyAlignment="1">
      <alignment horizontal="center" vertical="center"/>
    </xf>
    <xf numFmtId="165" fontId="62" fillId="0" borderId="20" xfId="81" applyNumberFormat="1" applyFont="1" applyFill="1" applyBorder="1" applyAlignment="1">
      <alignment vertical="center"/>
    </xf>
    <xf numFmtId="0" fontId="68" fillId="0" borderId="23" xfId="81" applyNumberFormat="1" applyFont="1" applyFill="1" applyBorder="1" applyAlignment="1">
      <alignment horizontal="center" vertical="center"/>
    </xf>
    <xf numFmtId="165" fontId="62" fillId="0" borderId="24" xfId="81" applyNumberFormat="1" applyFont="1" applyFill="1" applyBorder="1" applyAlignment="1">
      <alignment vertical="center"/>
    </xf>
    <xf numFmtId="0" fontId="68" fillId="0" borderId="26" xfId="81" applyNumberFormat="1" applyFont="1" applyFill="1" applyBorder="1" applyAlignment="1">
      <alignment horizontal="center" vertical="center"/>
    </xf>
    <xf numFmtId="0" fontId="63" fillId="0" borderId="19" xfId="81" applyNumberFormat="1" applyFont="1" applyFill="1" applyBorder="1" applyAlignment="1">
      <alignment horizontal="center" vertical="center"/>
    </xf>
    <xf numFmtId="0" fontId="63" fillId="0" borderId="23" xfId="81" applyNumberFormat="1" applyFont="1" applyFill="1" applyBorder="1" applyAlignment="1">
      <alignment horizontal="center" vertical="center"/>
    </xf>
    <xf numFmtId="0" fontId="63" fillId="0" borderId="26" xfId="81" applyNumberFormat="1" applyFont="1" applyFill="1" applyBorder="1" applyAlignment="1">
      <alignment horizontal="center" vertical="center"/>
    </xf>
    <xf numFmtId="165" fontId="62" fillId="0" borderId="27" xfId="81" applyNumberFormat="1" applyFont="1" applyFill="1" applyBorder="1" applyAlignment="1">
      <alignment vertical="center"/>
    </xf>
    <xf numFmtId="0" fontId="63" fillId="0" borderId="29" xfId="81" applyNumberFormat="1" applyFont="1" applyFill="1" applyBorder="1" applyAlignment="1">
      <alignment horizontal="center" vertical="center"/>
    </xf>
    <xf numFmtId="165" fontId="62" fillId="0" borderId="31" xfId="81" applyNumberFormat="1" applyFont="1" applyFill="1" applyBorder="1" applyAlignment="1">
      <alignment vertical="center"/>
    </xf>
    <xf numFmtId="0" fontId="63" fillId="0" borderId="32" xfId="81" applyNumberFormat="1" applyFont="1" applyFill="1" applyBorder="1" applyAlignment="1">
      <alignment horizontal="center" vertical="center"/>
    </xf>
    <xf numFmtId="174" fontId="62" fillId="0" borderId="37" xfId="81" applyNumberFormat="1" applyFont="1" applyFill="1" applyBorder="1" applyAlignment="1">
      <alignment vertical="center"/>
    </xf>
    <xf numFmtId="165" fontId="62" fillId="0" borderId="38" xfId="81" applyNumberFormat="1" applyFont="1" applyFill="1" applyBorder="1" applyAlignment="1">
      <alignment vertical="center"/>
    </xf>
    <xf numFmtId="165" fontId="62" fillId="0" borderId="39" xfId="81" applyNumberFormat="1" applyFont="1" applyFill="1" applyBorder="1" applyAlignment="1">
      <alignment vertical="center"/>
    </xf>
    <xf numFmtId="49" fontId="63" fillId="0" borderId="41" xfId="81" applyNumberFormat="1" applyFont="1" applyFill="1" applyBorder="1" applyAlignment="1">
      <alignment horizontal="center" vertical="center"/>
    </xf>
    <xf numFmtId="174" fontId="62" fillId="0" borderId="42" xfId="81" applyNumberFormat="1" applyFont="1" applyFill="1" applyBorder="1" applyAlignment="1">
      <alignment vertical="center"/>
    </xf>
    <xf numFmtId="49" fontId="63" fillId="0" borderId="43" xfId="81" applyNumberFormat="1" applyFont="1" applyFill="1" applyBorder="1" applyAlignment="1">
      <alignment horizontal="center" vertical="center"/>
    </xf>
    <xf numFmtId="165" fontId="73" fillId="0" borderId="16" xfId="81" applyNumberFormat="1" applyFont="1" applyFill="1" applyBorder="1" applyAlignment="1">
      <alignment horizontal="right" vertical="center"/>
    </xf>
    <xf numFmtId="174" fontId="62" fillId="0" borderId="44" xfId="81" applyNumberFormat="1" applyFont="1" applyFill="1" applyBorder="1" applyAlignment="1">
      <alignment vertical="center"/>
    </xf>
    <xf numFmtId="49" fontId="68" fillId="0" borderId="17" xfId="81" applyNumberFormat="1" applyFont="1" applyFill="1" applyBorder="1" applyAlignment="1">
      <alignment horizontal="center" vertical="center"/>
    </xf>
    <xf numFmtId="165" fontId="73" fillId="0" borderId="20" xfId="81" applyNumberFormat="1" applyFont="1" applyFill="1" applyBorder="1" applyAlignment="1">
      <alignment horizontal="right" vertical="center"/>
    </xf>
    <xf numFmtId="49" fontId="68" fillId="0" borderId="21" xfId="81" applyNumberFormat="1" applyFont="1" applyFill="1" applyBorder="1" applyAlignment="1">
      <alignment horizontal="center" vertical="center"/>
    </xf>
    <xf numFmtId="165" fontId="73" fillId="0" borderId="24" xfId="81" applyNumberFormat="1" applyFont="1" applyFill="1" applyBorder="1" applyAlignment="1">
      <alignment horizontal="right" vertical="center"/>
    </xf>
    <xf numFmtId="174" fontId="62" fillId="0" borderId="45" xfId="81" applyNumberFormat="1" applyFont="1" applyFill="1" applyBorder="1" applyAlignment="1">
      <alignment vertical="center"/>
    </xf>
    <xf numFmtId="49" fontId="68" fillId="0" borderId="41" xfId="81" applyNumberFormat="1" applyFont="1" applyFill="1" applyBorder="1" applyAlignment="1">
      <alignment horizontal="center" vertical="center"/>
    </xf>
    <xf numFmtId="165" fontId="62" fillId="0" borderId="16" xfId="81" applyNumberFormat="1" applyFont="1" applyFill="1" applyBorder="1" applyAlignment="1">
      <alignment vertical="center"/>
    </xf>
    <xf numFmtId="174" fontId="62" fillId="0" borderId="46" xfId="81" applyNumberFormat="1" applyFont="1" applyFill="1" applyBorder="1" applyAlignment="1">
      <alignment vertical="center"/>
    </xf>
    <xf numFmtId="165" fontId="62" fillId="0" borderId="18" xfId="81" applyNumberFormat="1" applyFont="1" applyFill="1" applyBorder="1" applyAlignment="1">
      <alignment vertical="center"/>
    </xf>
    <xf numFmtId="4" fontId="63" fillId="0" borderId="29" xfId="81" applyNumberFormat="1" applyFont="1" applyFill="1" applyBorder="1" applyAlignment="1">
      <alignment vertical="center"/>
    </xf>
    <xf numFmtId="49" fontId="63" fillId="0" borderId="28" xfId="81" applyNumberFormat="1" applyFont="1" applyFill="1" applyBorder="1" applyAlignment="1">
      <alignment horizontal="center" vertical="center"/>
    </xf>
    <xf numFmtId="165" fontId="62" fillId="0" borderId="47" xfId="81" applyNumberFormat="1" applyFont="1" applyFill="1" applyBorder="1" applyAlignment="1">
      <alignment vertical="center"/>
    </xf>
    <xf numFmtId="49" fontId="63" fillId="0" borderId="21" xfId="81" applyNumberFormat="1" applyFont="1" applyFill="1" applyBorder="1" applyAlignment="1">
      <alignment horizontal="center" vertical="center"/>
    </xf>
    <xf numFmtId="49" fontId="63" fillId="0" borderId="48" xfId="81" applyNumberFormat="1" applyFont="1" applyFill="1" applyBorder="1" applyAlignment="1">
      <alignment horizontal="center" vertical="center"/>
    </xf>
    <xf numFmtId="49" fontId="63" fillId="0" borderId="32" xfId="81" applyNumberFormat="1" applyFont="1" applyFill="1" applyBorder="1" applyAlignment="1">
      <alignment horizontal="center" vertical="center"/>
    </xf>
    <xf numFmtId="49" fontId="59" fillId="0" borderId="1" xfId="22" applyNumberFormat="1" applyFont="1" applyFill="1" applyBorder="1" applyAlignment="1">
      <alignment horizontal="center" vertical="top"/>
    </xf>
    <xf numFmtId="165" fontId="62" fillId="0" borderId="0" xfId="81" applyNumberFormat="1" applyFont="1" applyFill="1" applyBorder="1" applyAlignment="1">
      <alignment vertical="center"/>
    </xf>
    <xf numFmtId="165" fontId="62" fillId="0" borderId="4" xfId="81" applyNumberFormat="1" applyFont="1" applyFill="1" applyBorder="1" applyAlignment="1">
      <alignment vertical="center"/>
    </xf>
    <xf numFmtId="165" fontId="62" fillId="0" borderId="52" xfId="81" applyNumberFormat="1" applyFont="1" applyFill="1" applyBorder="1" applyAlignment="1">
      <alignment vertical="center"/>
    </xf>
    <xf numFmtId="165" fontId="62" fillId="0" borderId="53" xfId="81" applyNumberFormat="1" applyFont="1" applyFill="1" applyBorder="1" applyAlignment="1">
      <alignment vertical="center"/>
    </xf>
    <xf numFmtId="165" fontId="73" fillId="0" borderId="54" xfId="81" applyNumberFormat="1" applyFont="1" applyFill="1" applyBorder="1" applyAlignment="1">
      <alignment vertical="center"/>
    </xf>
    <xf numFmtId="165" fontId="62" fillId="0" borderId="32" xfId="81" applyNumberFormat="1" applyFont="1" applyFill="1" applyBorder="1" applyAlignment="1">
      <alignment vertical="center"/>
    </xf>
    <xf numFmtId="165" fontId="62" fillId="0" borderId="23" xfId="81" applyNumberFormat="1" applyFont="1" applyFill="1" applyBorder="1" applyAlignment="1">
      <alignment vertical="center"/>
    </xf>
    <xf numFmtId="165" fontId="62" fillId="0" borderId="29" xfId="81" applyNumberFormat="1" applyFont="1" applyFill="1" applyBorder="1" applyAlignment="1">
      <alignment vertical="center"/>
    </xf>
    <xf numFmtId="4" fontId="63" fillId="0" borderId="0" xfId="81" applyNumberFormat="1" applyFont="1" applyFill="1" applyBorder="1" applyAlignment="1">
      <alignment vertical="center"/>
    </xf>
    <xf numFmtId="4" fontId="63" fillId="0" borderId="21" xfId="81" applyNumberFormat="1" applyFont="1" applyFill="1" applyBorder="1" applyAlignment="1">
      <alignment vertical="center"/>
    </xf>
    <xf numFmtId="4" fontId="63" fillId="0" borderId="54" xfId="81" applyNumberFormat="1" applyFont="1" applyFill="1" applyBorder="1" applyAlignment="1">
      <alignment vertical="center" wrapText="1"/>
    </xf>
    <xf numFmtId="4" fontId="68" fillId="0" borderId="53" xfId="81" applyNumberFormat="1" applyFont="1" applyFill="1" applyBorder="1" applyAlignment="1">
      <alignment vertical="center" wrapText="1"/>
    </xf>
    <xf numFmtId="4" fontId="68" fillId="0" borderId="4" xfId="81" applyNumberFormat="1" applyFont="1" applyFill="1" applyBorder="1" applyAlignment="1">
      <alignment vertical="center" wrapText="1"/>
    </xf>
    <xf numFmtId="4" fontId="68" fillId="0" borderId="54" xfId="81" applyNumberFormat="1" applyFont="1" applyFill="1" applyBorder="1" applyAlignment="1">
      <alignment vertical="center"/>
    </xf>
    <xf numFmtId="4" fontId="68" fillId="0" borderId="54" xfId="81" applyNumberFormat="1" applyFont="1" applyFill="1" applyBorder="1" applyAlignment="1">
      <alignment vertical="center" wrapText="1"/>
    </xf>
    <xf numFmtId="4" fontId="63" fillId="0" borderId="43" xfId="81" applyNumberFormat="1" applyFont="1" applyFill="1" applyBorder="1" applyAlignment="1">
      <alignment vertical="center"/>
    </xf>
    <xf numFmtId="4" fontId="63" fillId="0" borderId="28" xfId="81" applyNumberFormat="1" applyFont="1" applyFill="1" applyBorder="1" applyAlignment="1">
      <alignment vertical="center"/>
    </xf>
    <xf numFmtId="4" fontId="85" fillId="0" borderId="25" xfId="81" applyNumberFormat="1" applyFont="1" applyFill="1" applyBorder="1" applyAlignment="1">
      <alignment vertical="center" wrapText="1"/>
    </xf>
    <xf numFmtId="4" fontId="85" fillId="0" borderId="21" xfId="81" applyNumberFormat="1" applyFont="1" applyFill="1" applyBorder="1" applyAlignment="1">
      <alignment vertical="center" wrapText="1"/>
    </xf>
    <xf numFmtId="4" fontId="85" fillId="0" borderId="17" xfId="81" applyNumberFormat="1" applyFont="1" applyFill="1" applyBorder="1" applyAlignment="1">
      <alignment vertical="center" wrapText="1"/>
    </xf>
    <xf numFmtId="4" fontId="63" fillId="0" borderId="41" xfId="81" applyNumberFormat="1" applyFont="1" applyFill="1" applyBorder="1" applyAlignment="1">
      <alignment vertical="center"/>
    </xf>
    <xf numFmtId="172" fontId="62" fillId="0" borderId="57" xfId="81" applyNumberFormat="1" applyFont="1" applyFill="1" applyBorder="1" applyAlignment="1">
      <alignment vertical="center"/>
    </xf>
    <xf numFmtId="174" fontId="62" fillId="0" borderId="5" xfId="81" applyNumberFormat="1" applyFont="1" applyFill="1" applyBorder="1" applyAlignment="1">
      <alignment vertical="center"/>
    </xf>
    <xf numFmtId="174" fontId="62" fillId="0" borderId="58" xfId="81" applyNumberFormat="1" applyFont="1" applyFill="1" applyBorder="1" applyAlignment="1">
      <alignment vertical="center"/>
    </xf>
    <xf numFmtId="174" fontId="62" fillId="0" borderId="57" xfId="81" applyNumberFormat="1" applyFont="1" applyFill="1" applyBorder="1" applyAlignment="1">
      <alignment vertical="center"/>
    </xf>
    <xf numFmtId="174" fontId="62" fillId="0" borderId="57" xfId="81" applyNumberFormat="1" applyFont="1" applyFill="1" applyBorder="1" applyAlignment="1">
      <alignment horizontal="center" vertical="center"/>
    </xf>
    <xf numFmtId="174" fontId="73" fillId="0" borderId="53" xfId="81" applyNumberFormat="1" applyFont="1" applyFill="1" applyBorder="1" applyAlignment="1">
      <alignment vertical="center"/>
    </xf>
    <xf numFmtId="174" fontId="73" fillId="0" borderId="4" xfId="81" applyNumberFormat="1" applyFont="1" applyFill="1" applyBorder="1" applyAlignment="1">
      <alignment vertical="center"/>
    </xf>
    <xf numFmtId="174" fontId="73" fillId="0" borderId="54" xfId="81" applyNumberFormat="1" applyFont="1" applyFill="1" applyBorder="1" applyAlignment="1">
      <alignment vertical="center"/>
    </xf>
    <xf numFmtId="174" fontId="62" fillId="0" borderId="10" xfId="81" applyNumberFormat="1" applyFont="1" applyFill="1" applyBorder="1" applyAlignment="1">
      <alignment vertical="center"/>
    </xf>
    <xf numFmtId="165" fontId="62" fillId="0" borderId="26" xfId="81" applyNumberFormat="1" applyFont="1" applyFill="1" applyBorder="1" applyAlignment="1">
      <alignment vertical="center"/>
    </xf>
    <xf numFmtId="43" fontId="38" fillId="0" borderId="0" xfId="50" applyFont="1" applyFill="1"/>
    <xf numFmtId="0" fontId="25" fillId="0" borderId="0" xfId="28" applyFont="1" applyFill="1" applyAlignment="1">
      <alignment horizontal="right"/>
    </xf>
    <xf numFmtId="169" fontId="25" fillId="0" borderId="0" xfId="28" applyNumberFormat="1" applyFont="1" applyFill="1" applyAlignment="1">
      <alignment horizontal="right"/>
    </xf>
    <xf numFmtId="0" fontId="25" fillId="0" borderId="0" xfId="0" applyFont="1" applyFill="1" applyBorder="1" applyAlignment="1">
      <alignment horizontal="left" vertical="top"/>
    </xf>
    <xf numFmtId="0" fontId="25" fillId="0" borderId="0" xfId="28" applyFont="1" applyFill="1" applyAlignment="1">
      <alignment horizontal="left" vertical="top" wrapText="1"/>
    </xf>
    <xf numFmtId="0" fontId="31" fillId="0" borderId="0" xfId="28" applyFont="1" applyFill="1" applyAlignment="1">
      <alignment horizontal="right" wrapText="1"/>
    </xf>
    <xf numFmtId="0" fontId="25" fillId="0" borderId="0" xfId="28" applyFont="1" applyFill="1" applyAlignment="1">
      <alignment horizontal="right" wrapText="1"/>
    </xf>
    <xf numFmtId="0" fontId="15" fillId="0" borderId="8" xfId="28" applyFill="1" applyBorder="1"/>
    <xf numFmtId="0" fontId="25" fillId="0" borderId="0" xfId="0" applyFont="1" applyFill="1" applyAlignment="1">
      <alignment horizontal="left" vertical="top" wrapText="1"/>
    </xf>
    <xf numFmtId="0" fontId="31" fillId="0" borderId="0" xfId="0" applyFont="1" applyFill="1" applyAlignment="1">
      <alignment horizontal="right" wrapText="1"/>
    </xf>
    <xf numFmtId="168" fontId="25" fillId="0" borderId="0" xfId="0" applyNumberFormat="1" applyFont="1" applyFill="1" applyAlignment="1">
      <alignment horizontal="right"/>
    </xf>
    <xf numFmtId="0" fontId="25" fillId="0" borderId="0" xfId="0" applyFont="1" applyFill="1" applyAlignment="1">
      <alignment horizontal="right" wrapText="1"/>
    </xf>
    <xf numFmtId="169" fontId="31" fillId="0" borderId="0" xfId="0" applyNumberFormat="1" applyFont="1" applyFill="1" applyAlignment="1">
      <alignment horizontal="right"/>
    </xf>
    <xf numFmtId="0" fontId="31" fillId="0" borderId="0" xfId="0" applyFont="1" applyFill="1" applyAlignment="1">
      <alignment horizontal="left" vertical="top"/>
    </xf>
    <xf numFmtId="0" fontId="31" fillId="0" borderId="0" xfId="0" applyFont="1" applyFill="1" applyAlignment="1">
      <alignment horizontal="left" vertical="top" wrapText="1"/>
    </xf>
    <xf numFmtId="0" fontId="31" fillId="0" borderId="0" xfId="0" applyFont="1" applyFill="1" applyAlignment="1">
      <alignment horizontal="right"/>
    </xf>
    <xf numFmtId="168" fontId="31" fillId="0" borderId="0" xfId="0" applyNumberFormat="1" applyFont="1" applyFill="1" applyAlignment="1">
      <alignment horizontal="right"/>
    </xf>
    <xf numFmtId="0" fontId="31" fillId="0" borderId="0" xfId="0" applyFont="1" applyFill="1" applyAlignment="1">
      <alignment horizontal="right" shrinkToFit="1"/>
    </xf>
    <xf numFmtId="0" fontId="28" fillId="0" borderId="8" xfId="0" applyFont="1" applyFill="1" applyBorder="1" applyAlignment="1">
      <alignment horizontal="left" vertical="top"/>
    </xf>
    <xf numFmtId="0" fontId="28" fillId="0" borderId="8" xfId="0" applyFont="1" applyFill="1" applyBorder="1" applyAlignment="1">
      <alignment horizontal="left" vertical="top" wrapText="1"/>
    </xf>
    <xf numFmtId="0" fontId="52" fillId="0" borderId="8" xfId="0" applyFont="1" applyFill="1" applyBorder="1" applyAlignment="1">
      <alignment horizontal="right" wrapText="1"/>
    </xf>
    <xf numFmtId="0" fontId="28" fillId="0" borderId="8" xfId="0" applyFont="1" applyFill="1" applyBorder="1" applyAlignment="1">
      <alignment horizontal="right"/>
    </xf>
    <xf numFmtId="168" fontId="28" fillId="0" borderId="8" xfId="0" applyNumberFormat="1" applyFont="1" applyFill="1" applyBorder="1" applyAlignment="1">
      <alignment horizontal="right"/>
    </xf>
    <xf numFmtId="0" fontId="28" fillId="0" borderId="8" xfId="0" applyFont="1" applyFill="1" applyBorder="1" applyAlignment="1">
      <alignment horizontal="right" wrapText="1"/>
    </xf>
    <xf numFmtId="0" fontId="46" fillId="0" borderId="0" xfId="0" applyFont="1" applyFill="1" applyAlignment="1">
      <alignment horizontal="left" vertical="top" wrapText="1"/>
    </xf>
    <xf numFmtId="167" fontId="28" fillId="0" borderId="0" xfId="0" applyNumberFormat="1" applyFont="1" applyFill="1" applyAlignment="1">
      <alignment horizontal="right"/>
    </xf>
    <xf numFmtId="4" fontId="0" fillId="0" borderId="0" xfId="0" applyNumberFormat="1" applyFill="1" applyAlignment="1">
      <alignment horizontal="right"/>
    </xf>
    <xf numFmtId="0" fontId="10" fillId="0" borderId="8" xfId="0" applyFont="1" applyFill="1" applyBorder="1"/>
    <xf numFmtId="0" fontId="10" fillId="0" borderId="0" xfId="0" applyFont="1" applyFill="1"/>
    <xf numFmtId="49" fontId="24" fillId="0" borderId="1" xfId="13" applyNumberFormat="1" applyFont="1" applyFill="1" applyBorder="1" applyAlignment="1">
      <alignment horizontal="center" vertical="center" wrapText="1"/>
    </xf>
    <xf numFmtId="14" fontId="59" fillId="0" borderId="3" xfId="28" applyNumberFormat="1" applyFont="1" applyFill="1" applyBorder="1" applyAlignment="1">
      <alignment horizontal="center"/>
    </xf>
    <xf numFmtId="0" fontId="59" fillId="0" borderId="3" xfId="28" applyFont="1" applyFill="1" applyBorder="1" applyAlignment="1">
      <alignment horizontal="center"/>
    </xf>
    <xf numFmtId="0" fontId="63" fillId="0" borderId="0" xfId="28" applyFont="1" applyFill="1" applyAlignment="1">
      <alignment horizontal="right"/>
    </xf>
    <xf numFmtId="0" fontId="59" fillId="0" borderId="15" xfId="28" applyFont="1" applyFill="1" applyBorder="1" applyAlignment="1">
      <alignment horizontal="left" wrapText="1"/>
    </xf>
    <xf numFmtId="0" fontId="59" fillId="0" borderId="0" xfId="28" applyFont="1" applyFill="1" applyAlignment="1">
      <alignment horizontal="left" wrapText="1"/>
    </xf>
    <xf numFmtId="0" fontId="59" fillId="0" borderId="0" xfId="28" applyFont="1" applyFill="1" applyAlignment="1">
      <alignment horizontal="right"/>
    </xf>
    <xf numFmtId="0" fontId="19" fillId="0" borderId="0" xfId="0" applyFont="1" applyFill="1" applyAlignment="1">
      <alignment horizontal="center"/>
    </xf>
    <xf numFmtId="0" fontId="63" fillId="0" borderId="2" xfId="28" applyFont="1" applyFill="1" applyBorder="1" applyAlignment="1">
      <alignment horizontal="center" vertical="center" wrapText="1"/>
    </xf>
    <xf numFmtId="0" fontId="59" fillId="0" borderId="9" xfId="28" applyFont="1" applyFill="1" applyBorder="1" applyAlignment="1">
      <alignment horizontal="center"/>
    </xf>
    <xf numFmtId="0" fontId="59" fillId="0" borderId="0" xfId="0" applyFont="1" applyFill="1" applyAlignment="1">
      <alignment horizontal="left" wrapText="1"/>
    </xf>
    <xf numFmtId="0" fontId="28" fillId="0" borderId="0" xfId="0" applyFont="1" applyFill="1" applyAlignment="1">
      <alignment horizontal="left" wrapText="1"/>
    </xf>
    <xf numFmtId="0" fontId="25" fillId="0" borderId="0" xfId="0" applyFont="1" applyFill="1" applyAlignment="1">
      <alignment horizontal="left" wrapText="1"/>
    </xf>
    <xf numFmtId="0" fontId="25" fillId="0" borderId="0" xfId="67" applyFont="1" applyFill="1" applyAlignment="1">
      <alignment horizontal="right"/>
    </xf>
    <xf numFmtId="0" fontId="25" fillId="0" borderId="2" xfId="67" applyFont="1" applyFill="1" applyBorder="1" applyAlignment="1">
      <alignment horizontal="center" vertical="center" wrapText="1"/>
    </xf>
    <xf numFmtId="0" fontId="25" fillId="0" borderId="9" xfId="67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wrapText="1"/>
    </xf>
    <xf numFmtId="169" fontId="28" fillId="0" borderId="0" xfId="0" applyNumberFormat="1" applyFont="1" applyFill="1" applyAlignment="1">
      <alignment horizontal="right"/>
    </xf>
    <xf numFmtId="0" fontId="25" fillId="0" borderId="0" xfId="0" applyFont="1" applyFill="1" applyAlignment="1">
      <alignment horizontal="left" vertical="top"/>
    </xf>
    <xf numFmtId="0" fontId="25" fillId="0" borderId="15" xfId="0" applyFont="1" applyFill="1" applyBorder="1" applyAlignment="1">
      <alignment horizontal="left" vertical="top"/>
    </xf>
    <xf numFmtId="169" fontId="25" fillId="0" borderId="0" xfId="0" applyNumberFormat="1" applyFont="1" applyFill="1" applyAlignment="1">
      <alignment horizontal="right"/>
    </xf>
    <xf numFmtId="14" fontId="25" fillId="0" borderId="1" xfId="67" applyNumberFormat="1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left" wrapText="1"/>
    </xf>
    <xf numFmtId="0" fontId="80" fillId="0" borderId="0" xfId="21" applyFont="1" applyFill="1" applyBorder="1" applyAlignment="1">
      <alignment horizontal="right" wrapText="1"/>
    </xf>
    <xf numFmtId="0" fontId="81" fillId="0" borderId="0" xfId="28" applyFont="1" applyFill="1" applyAlignment="1">
      <alignment horizontal="right"/>
    </xf>
    <xf numFmtId="0" fontId="81" fillId="0" borderId="0" xfId="28" applyFont="1" applyFill="1" applyAlignment="1"/>
    <xf numFmtId="0" fontId="78" fillId="0" borderId="0" xfId="28" applyFont="1" applyFill="1" applyAlignment="1">
      <alignment horizontal="center"/>
    </xf>
    <xf numFmtId="0" fontId="33" fillId="2" borderId="2" xfId="28" applyFont="1" applyFill="1" applyBorder="1" applyAlignment="1">
      <alignment horizontal="center" vertical="center" wrapText="1"/>
    </xf>
    <xf numFmtId="0" fontId="33" fillId="2" borderId="6" xfId="28" applyFont="1" applyFill="1" applyBorder="1" applyAlignment="1">
      <alignment horizontal="center" vertical="center" wrapText="1"/>
    </xf>
    <xf numFmtId="3" fontId="33" fillId="0" borderId="1" xfId="28" applyNumberFormat="1" applyFont="1" applyBorder="1" applyAlignment="1">
      <alignment horizontal="center" vertical="center" wrapText="1"/>
    </xf>
    <xf numFmtId="0" fontId="33" fillId="0" borderId="3" xfId="28" applyFont="1" applyBorder="1" applyAlignment="1">
      <alignment horizontal="center" vertical="center" wrapText="1"/>
    </xf>
    <xf numFmtId="0" fontId="33" fillId="0" borderId="4" xfId="28" applyFont="1" applyBorder="1" applyAlignment="1">
      <alignment horizontal="center" vertical="center" wrapText="1"/>
    </xf>
    <xf numFmtId="0" fontId="33" fillId="0" borderId="5" xfId="28" applyFont="1" applyBorder="1" applyAlignment="1">
      <alignment horizontal="center" vertical="center" wrapText="1"/>
    </xf>
    <xf numFmtId="0" fontId="33" fillId="2" borderId="2" xfId="23" applyFont="1" applyFill="1" applyBorder="1" applyAlignment="1">
      <alignment horizontal="center" vertical="center" wrapText="1"/>
    </xf>
    <xf numFmtId="0" fontId="33" fillId="2" borderId="6" xfId="23" applyFont="1" applyFill="1" applyBorder="1" applyAlignment="1">
      <alignment horizontal="center" vertical="center" wrapText="1"/>
    </xf>
    <xf numFmtId="0" fontId="33" fillId="0" borderId="2" xfId="28" applyFont="1" applyBorder="1" applyAlignment="1">
      <alignment horizontal="center" vertical="center" wrapText="1"/>
    </xf>
    <xf numFmtId="0" fontId="33" fillId="0" borderId="6" xfId="28" applyFont="1" applyBorder="1" applyAlignment="1">
      <alignment horizontal="center" vertical="center" wrapText="1"/>
    </xf>
    <xf numFmtId="3" fontId="33" fillId="0" borderId="2" xfId="28" applyNumberFormat="1" applyFont="1" applyBorder="1" applyAlignment="1">
      <alignment horizontal="center" vertical="center" wrapText="1"/>
    </xf>
    <xf numFmtId="3" fontId="33" fillId="0" borderId="6" xfId="28" applyNumberFormat="1" applyFont="1" applyBorder="1" applyAlignment="1">
      <alignment horizontal="center" vertical="center" wrapText="1"/>
    </xf>
    <xf numFmtId="0" fontId="33" fillId="2" borderId="3" xfId="28" applyFont="1" applyFill="1" applyBorder="1" applyAlignment="1">
      <alignment horizontal="center" vertical="center" wrapText="1"/>
    </xf>
    <xf numFmtId="0" fontId="33" fillId="2" borderId="4" xfId="28" applyFont="1" applyFill="1" applyBorder="1" applyAlignment="1">
      <alignment horizontal="center" vertical="center" wrapText="1"/>
    </xf>
    <xf numFmtId="0" fontId="33" fillId="2" borderId="5" xfId="28" applyFont="1" applyFill="1" applyBorder="1" applyAlignment="1">
      <alignment horizontal="center" vertical="center" wrapText="1"/>
    </xf>
    <xf numFmtId="0" fontId="18" fillId="4" borderId="15" xfId="0" applyFont="1" applyFill="1" applyBorder="1" applyAlignment="1">
      <alignment horizontal="center"/>
    </xf>
    <xf numFmtId="0" fontId="33" fillId="4" borderId="0" xfId="0" applyFont="1" applyFill="1" applyAlignment="1">
      <alignment horizontal="left" wrapText="1"/>
    </xf>
    <xf numFmtId="0" fontId="33" fillId="4" borderId="15" xfId="0" applyFont="1" applyFill="1" applyBorder="1" applyAlignment="1">
      <alignment horizontal="left" wrapText="1"/>
    </xf>
    <xf numFmtId="14" fontId="25" fillId="4" borderId="1" xfId="0" applyNumberFormat="1" applyFont="1" applyFill="1" applyBorder="1" applyAlignment="1">
      <alignment horizontal="center"/>
    </xf>
    <xf numFmtId="0" fontId="25" fillId="4" borderId="3" xfId="0" quotePrefix="1" applyFont="1" applyFill="1" applyBorder="1" applyAlignment="1">
      <alignment horizontal="center"/>
    </xf>
    <xf numFmtId="0" fontId="25" fillId="4" borderId="4" xfId="0" quotePrefix="1" applyFont="1" applyFill="1" applyBorder="1" applyAlignment="1">
      <alignment horizontal="center"/>
    </xf>
    <xf numFmtId="0" fontId="25" fillId="4" borderId="5" xfId="0" quotePrefix="1" applyFont="1" applyFill="1" applyBorder="1" applyAlignment="1">
      <alignment horizontal="center"/>
    </xf>
    <xf numFmtId="14" fontId="25" fillId="4" borderId="3" xfId="0" applyNumberFormat="1" applyFont="1" applyFill="1" applyBorder="1" applyAlignment="1">
      <alignment horizontal="center"/>
    </xf>
    <xf numFmtId="14" fontId="25" fillId="4" borderId="4" xfId="0" applyNumberFormat="1" applyFont="1" applyFill="1" applyBorder="1" applyAlignment="1">
      <alignment horizontal="center"/>
    </xf>
    <xf numFmtId="14" fontId="25" fillId="4" borderId="5" xfId="0" applyNumberFormat="1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9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wrapText="1"/>
    </xf>
    <xf numFmtId="0" fontId="29" fillId="5" borderId="0" xfId="0" applyFont="1" applyFill="1" applyAlignment="1">
      <alignment horizontal="center" wrapText="1"/>
    </xf>
    <xf numFmtId="169" fontId="28" fillId="5" borderId="0" xfId="0" applyNumberFormat="1" applyFont="1" applyFill="1" applyAlignment="1">
      <alignment horizontal="right"/>
    </xf>
    <xf numFmtId="0" fontId="19" fillId="4" borderId="0" xfId="0" applyFont="1" applyFill="1" applyAlignment="1">
      <alignment horizontal="center"/>
    </xf>
    <xf numFmtId="0" fontId="25" fillId="0" borderId="15" xfId="0" applyFont="1" applyBorder="1" applyAlignment="1">
      <alignment horizontal="left" wrapText="1"/>
    </xf>
    <xf numFmtId="0" fontId="25" fillId="0" borderId="9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15" fillId="4" borderId="0" xfId="0" applyFont="1" applyFill="1" applyAlignment="1">
      <alignment horizontal="right"/>
    </xf>
    <xf numFmtId="0" fontId="25" fillId="4" borderId="1" xfId="0" applyFont="1" applyFill="1" applyBorder="1" applyAlignment="1">
      <alignment horizontal="center"/>
    </xf>
    <xf numFmtId="0" fontId="25" fillId="4" borderId="1" xfId="0" quotePrefix="1" applyFont="1" applyFill="1" applyBorder="1" applyAlignment="1">
      <alignment horizontal="center"/>
    </xf>
    <xf numFmtId="49" fontId="25" fillId="4" borderId="9" xfId="0" applyNumberFormat="1" applyFont="1" applyFill="1" applyBorder="1" applyAlignment="1">
      <alignment horizontal="center"/>
    </xf>
    <xf numFmtId="49" fontId="25" fillId="4" borderId="8" xfId="0" applyNumberFormat="1" applyFont="1" applyFill="1" applyBorder="1" applyAlignment="1">
      <alignment horizontal="center"/>
    </xf>
    <xf numFmtId="49" fontId="25" fillId="4" borderId="10" xfId="0" applyNumberFormat="1" applyFont="1" applyFill="1" applyBorder="1" applyAlignment="1">
      <alignment horizontal="center"/>
    </xf>
    <xf numFmtId="49" fontId="25" fillId="4" borderId="11" xfId="0" applyNumberFormat="1" applyFont="1" applyFill="1" applyBorder="1" applyAlignment="1">
      <alignment horizontal="center"/>
    </xf>
    <xf numFmtId="49" fontId="25" fillId="4" borderId="15" xfId="0" applyNumberFormat="1" applyFont="1" applyFill="1" applyBorder="1" applyAlignment="1">
      <alignment horizontal="center"/>
    </xf>
    <xf numFmtId="49" fontId="25" fillId="4" borderId="12" xfId="0" applyNumberFormat="1" applyFont="1" applyFill="1" applyBorder="1" applyAlignment="1">
      <alignment horizontal="center"/>
    </xf>
    <xf numFmtId="0" fontId="25" fillId="4" borderId="0" xfId="0" applyFont="1" applyFill="1" applyAlignment="1">
      <alignment horizontal="left" wrapText="1"/>
    </xf>
    <xf numFmtId="0" fontId="25" fillId="4" borderId="15" xfId="21" applyFont="1" applyFill="1" applyBorder="1" applyAlignment="1">
      <alignment horizontal="left" wrapText="1"/>
    </xf>
    <xf numFmtId="0" fontId="25" fillId="4" borderId="0" xfId="0" applyFont="1" applyFill="1" applyAlignment="1">
      <alignment horizontal="right"/>
    </xf>
    <xf numFmtId="0" fontId="25" fillId="4" borderId="14" xfId="0" applyFont="1" applyFill="1" applyBorder="1" applyAlignment="1">
      <alignment horizontal="right"/>
    </xf>
    <xf numFmtId="0" fontId="25" fillId="4" borderId="3" xfId="0" applyFont="1" applyFill="1" applyBorder="1" applyAlignment="1">
      <alignment horizontal="center"/>
    </xf>
    <xf numFmtId="0" fontId="25" fillId="4" borderId="4" xfId="0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/>
    </xf>
    <xf numFmtId="0" fontId="27" fillId="4" borderId="8" xfId="21" applyFont="1" applyFill="1" applyBorder="1" applyAlignment="1">
      <alignment horizontal="center"/>
    </xf>
    <xf numFmtId="0" fontId="25" fillId="4" borderId="1" xfId="21" applyFont="1" applyFill="1" applyBorder="1" applyAlignment="1">
      <alignment horizontal="center"/>
    </xf>
    <xf numFmtId="0" fontId="43" fillId="4" borderId="0" xfId="21" applyFont="1" applyFill="1" applyAlignment="1">
      <alignment horizontal="left" wrapText="1"/>
    </xf>
    <xf numFmtId="0" fontId="27" fillId="4" borderId="8" xfId="0" applyFont="1" applyFill="1" applyBorder="1" applyAlignment="1">
      <alignment horizontal="center"/>
    </xf>
    <xf numFmtId="0" fontId="25" fillId="4" borderId="15" xfId="28" applyFont="1" applyFill="1" applyBorder="1" applyAlignment="1">
      <alignment horizontal="left" wrapText="1"/>
    </xf>
    <xf numFmtId="0" fontId="19" fillId="0" borderId="0" xfId="0" applyFont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28" fillId="5" borderId="0" xfId="0" applyFont="1" applyFill="1" applyAlignment="1">
      <alignment horizontal="left" wrapText="1"/>
    </xf>
    <xf numFmtId="169" fontId="28" fillId="5" borderId="8" xfId="0" applyNumberFormat="1" applyFont="1" applyFill="1" applyBorder="1" applyAlignment="1">
      <alignment horizontal="right"/>
    </xf>
    <xf numFmtId="169" fontId="48" fillId="5" borderId="8" xfId="0" applyNumberFormat="1" applyFont="1" applyFill="1" applyBorder="1" applyAlignment="1">
      <alignment horizontal="right"/>
    </xf>
    <xf numFmtId="0" fontId="28" fillId="5" borderId="0" xfId="0" applyFont="1" applyFill="1" applyAlignment="1">
      <alignment horizontal="right"/>
    </xf>
    <xf numFmtId="0" fontId="25" fillId="0" borderId="0" xfId="0" applyFont="1" applyAlignment="1">
      <alignment horizontal="left" wrapText="1"/>
    </xf>
    <xf numFmtId="169" fontId="25" fillId="0" borderId="0" xfId="0" applyNumberFormat="1" applyFont="1" applyAlignment="1">
      <alignment horizontal="right"/>
    </xf>
    <xf numFmtId="169" fontId="25" fillId="4" borderId="0" xfId="21" applyNumberFormat="1" applyFont="1" applyFill="1" applyAlignment="1">
      <alignment horizontal="right"/>
    </xf>
    <xf numFmtId="0" fontId="25" fillId="4" borderId="0" xfId="21" applyFont="1" applyFill="1" applyAlignment="1">
      <alignment horizontal="right"/>
    </xf>
    <xf numFmtId="169" fontId="25" fillId="0" borderId="0" xfId="0" applyNumberFormat="1" applyFont="1"/>
    <xf numFmtId="169" fontId="44" fillId="0" borderId="0" xfId="0" applyNumberFormat="1" applyFont="1" applyAlignment="1">
      <alignment horizontal="right"/>
    </xf>
    <xf numFmtId="169" fontId="28" fillId="4" borderId="0" xfId="21" applyNumberFormat="1" applyFont="1" applyFill="1" applyAlignment="1">
      <alignment horizontal="right"/>
    </xf>
    <xf numFmtId="167" fontId="28" fillId="4" borderId="0" xfId="21" applyNumberFormat="1" applyFont="1" applyFill="1" applyAlignment="1">
      <alignment horizontal="right"/>
    </xf>
    <xf numFmtId="169" fontId="28" fillId="0" borderId="15" xfId="0" applyNumberFormat="1" applyFont="1" applyBorder="1" applyAlignment="1">
      <alignment horizontal="right"/>
    </xf>
    <xf numFmtId="169" fontId="28" fillId="0" borderId="8" xfId="0" applyNumberFormat="1" applyFont="1" applyBorder="1" applyAlignment="1">
      <alignment horizontal="right"/>
    </xf>
    <xf numFmtId="0" fontId="29" fillId="4" borderId="0" xfId="0" applyFont="1" applyFill="1" applyAlignment="1">
      <alignment horizontal="center"/>
    </xf>
    <xf numFmtId="0" fontId="29" fillId="4" borderId="0" xfId="0" applyFont="1" applyFill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29" fillId="0" borderId="0" xfId="0" applyFont="1" applyAlignment="1">
      <alignment horizontal="center" wrapText="1"/>
    </xf>
    <xf numFmtId="0" fontId="28" fillId="0" borderId="0" xfId="0" applyFont="1" applyAlignment="1">
      <alignment horizontal="left" wrapText="1"/>
    </xf>
    <xf numFmtId="169" fontId="28" fillId="0" borderId="0" xfId="0" applyNumberFormat="1" applyFont="1" applyAlignment="1">
      <alignment horizontal="right"/>
    </xf>
    <xf numFmtId="0" fontId="28" fillId="0" borderId="0" xfId="0" applyFont="1" applyAlignment="1">
      <alignment horizontal="right"/>
    </xf>
    <xf numFmtId="0" fontId="28" fillId="4" borderId="0" xfId="0" applyFont="1" applyFill="1" applyAlignment="1">
      <alignment horizontal="left" wrapText="1"/>
    </xf>
    <xf numFmtId="169" fontId="59" fillId="0" borderId="0" xfId="21" applyNumberFormat="1" applyFont="1" applyFill="1" applyAlignment="1">
      <alignment horizontal="right"/>
    </xf>
    <xf numFmtId="0" fontId="63" fillId="0" borderId="0" xfId="0" applyFont="1" applyFill="1" applyAlignment="1">
      <alignment horizontal="left" wrapText="1"/>
    </xf>
    <xf numFmtId="0" fontId="59" fillId="0" borderId="0" xfId="0" applyFont="1" applyFill="1" applyAlignment="1">
      <alignment horizontal="left" wrapText="1"/>
    </xf>
    <xf numFmtId="0" fontId="65" fillId="0" borderId="0" xfId="0" applyFont="1" applyFill="1" applyAlignment="1">
      <alignment horizontal="left" wrapText="1"/>
    </xf>
    <xf numFmtId="0" fontId="59" fillId="0" borderId="15" xfId="28" applyFont="1" applyFill="1" applyBorder="1" applyAlignment="1">
      <alignment horizontal="left" wrapText="1"/>
    </xf>
    <xf numFmtId="49" fontId="59" fillId="0" borderId="9" xfId="28" applyNumberFormat="1" applyFont="1" applyFill="1" applyBorder="1" applyAlignment="1">
      <alignment horizontal="center"/>
    </xf>
    <xf numFmtId="49" fontId="59" fillId="0" borderId="8" xfId="28" applyNumberFormat="1" applyFont="1" applyFill="1" applyBorder="1" applyAlignment="1">
      <alignment horizontal="center"/>
    </xf>
    <xf numFmtId="49" fontId="59" fillId="0" borderId="10" xfId="28" applyNumberFormat="1" applyFont="1" applyFill="1" applyBorder="1" applyAlignment="1">
      <alignment horizontal="center"/>
    </xf>
    <xf numFmtId="49" fontId="59" fillId="0" borderId="11" xfId="28" applyNumberFormat="1" applyFont="1" applyFill="1" applyBorder="1" applyAlignment="1">
      <alignment horizontal="center"/>
    </xf>
    <xf numFmtId="49" fontId="59" fillId="0" borderId="15" xfId="28" applyNumberFormat="1" applyFont="1" applyFill="1" applyBorder="1" applyAlignment="1">
      <alignment horizontal="center"/>
    </xf>
    <xf numFmtId="49" fontId="59" fillId="0" borderId="12" xfId="28" applyNumberFormat="1" applyFont="1" applyFill="1" applyBorder="1" applyAlignment="1">
      <alignment horizontal="center"/>
    </xf>
    <xf numFmtId="0" fontId="71" fillId="0" borderId="8" xfId="28" applyFont="1" applyFill="1" applyBorder="1" applyAlignment="1">
      <alignment horizontal="center" vertical="top"/>
    </xf>
    <xf numFmtId="0" fontId="59" fillId="0" borderId="13" xfId="28" applyFont="1" applyFill="1" applyBorder="1" applyAlignment="1">
      <alignment horizontal="center"/>
    </xf>
    <xf numFmtId="0" fontId="59" fillId="0" borderId="0" xfId="28" applyFont="1" applyFill="1" applyBorder="1" applyAlignment="1">
      <alignment horizontal="center"/>
    </xf>
    <xf numFmtId="0" fontId="59" fillId="0" borderId="14" xfId="28" applyFont="1" applyFill="1" applyBorder="1" applyAlignment="1">
      <alignment horizontal="center"/>
    </xf>
    <xf numFmtId="0" fontId="59" fillId="0" borderId="11" xfId="28" applyFont="1" applyFill="1" applyBorder="1" applyAlignment="1">
      <alignment horizontal="center"/>
    </xf>
    <xf numFmtId="0" fontId="59" fillId="0" borderId="15" xfId="28" applyFont="1" applyFill="1" applyBorder="1" applyAlignment="1">
      <alignment horizontal="center"/>
    </xf>
    <xf numFmtId="0" fontId="59" fillId="0" borderId="12" xfId="28" applyFont="1" applyFill="1" applyBorder="1" applyAlignment="1">
      <alignment horizontal="center"/>
    </xf>
    <xf numFmtId="0" fontId="71" fillId="0" borderId="8" xfId="28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59" fillId="0" borderId="3" xfId="28" applyFont="1" applyFill="1" applyBorder="1" applyAlignment="1">
      <alignment horizontal="center"/>
    </xf>
    <xf numFmtId="0" fontId="59" fillId="0" borderId="4" xfId="28" applyFont="1" applyFill="1" applyBorder="1" applyAlignment="1">
      <alignment horizontal="center"/>
    </xf>
    <xf numFmtId="0" fontId="59" fillId="0" borderId="5" xfId="28" applyFont="1" applyFill="1" applyBorder="1" applyAlignment="1">
      <alignment horizontal="center"/>
    </xf>
    <xf numFmtId="0" fontId="63" fillId="0" borderId="2" xfId="28" applyFont="1" applyFill="1" applyBorder="1" applyAlignment="1">
      <alignment horizontal="center" vertical="center" wrapText="1"/>
    </xf>
    <xf numFmtId="0" fontId="63" fillId="0" borderId="6" xfId="28" applyFont="1" applyFill="1" applyBorder="1" applyAlignment="1">
      <alignment horizontal="center" vertical="center" wrapText="1"/>
    </xf>
    <xf numFmtId="0" fontId="63" fillId="0" borderId="3" xfId="28" applyFont="1" applyFill="1" applyBorder="1" applyAlignment="1">
      <alignment horizontal="center" vertical="center" wrapText="1"/>
    </xf>
    <xf numFmtId="0" fontId="63" fillId="0" borderId="5" xfId="28" applyFont="1" applyFill="1" applyBorder="1" applyAlignment="1">
      <alignment horizontal="center" vertical="center" wrapText="1"/>
    </xf>
    <xf numFmtId="0" fontId="59" fillId="0" borderId="9" xfId="28" applyFont="1" applyFill="1" applyBorder="1" applyAlignment="1">
      <alignment horizontal="center"/>
    </xf>
    <xf numFmtId="0" fontId="59" fillId="0" borderId="8" xfId="28" applyFont="1" applyFill="1" applyBorder="1" applyAlignment="1">
      <alignment horizontal="center"/>
    </xf>
    <xf numFmtId="0" fontId="59" fillId="0" borderId="10" xfId="28" applyFont="1" applyFill="1" applyBorder="1" applyAlignment="1">
      <alignment horizontal="center"/>
    </xf>
    <xf numFmtId="0" fontId="63" fillId="0" borderId="0" xfId="28" applyFont="1" applyFill="1" applyAlignment="1">
      <alignment horizontal="right"/>
    </xf>
    <xf numFmtId="0" fontId="59" fillId="0" borderId="3" xfId="28" quotePrefix="1" applyFont="1" applyFill="1" applyBorder="1" applyAlignment="1">
      <alignment horizontal="center"/>
    </xf>
    <xf numFmtId="0" fontId="59" fillId="0" borderId="4" xfId="28" quotePrefix="1" applyFont="1" applyFill="1" applyBorder="1" applyAlignment="1">
      <alignment horizontal="center"/>
    </xf>
    <xf numFmtId="0" fontId="59" fillId="0" borderId="5" xfId="28" quotePrefix="1" applyFont="1" applyFill="1" applyBorder="1" applyAlignment="1">
      <alignment horizontal="center"/>
    </xf>
    <xf numFmtId="0" fontId="59" fillId="0" borderId="0" xfId="28" applyFont="1" applyFill="1" applyAlignment="1">
      <alignment horizontal="left" wrapText="1"/>
    </xf>
    <xf numFmtId="0" fontId="59" fillId="0" borderId="0" xfId="28" applyFont="1" applyFill="1" applyAlignment="1">
      <alignment horizontal="right"/>
    </xf>
    <xf numFmtId="0" fontId="59" fillId="0" borderId="14" xfId="28" applyFont="1" applyFill="1" applyBorder="1" applyAlignment="1">
      <alignment horizontal="right"/>
    </xf>
    <xf numFmtId="14" fontId="59" fillId="0" borderId="3" xfId="28" applyNumberFormat="1" applyFont="1" applyFill="1" applyBorder="1" applyAlignment="1">
      <alignment horizontal="center"/>
    </xf>
    <xf numFmtId="14" fontId="59" fillId="0" borderId="4" xfId="28" applyNumberFormat="1" applyFont="1" applyFill="1" applyBorder="1" applyAlignment="1">
      <alignment horizontal="center"/>
    </xf>
    <xf numFmtId="14" fontId="59" fillId="0" borderId="5" xfId="28" applyNumberFormat="1" applyFont="1" applyFill="1" applyBorder="1" applyAlignment="1">
      <alignment horizontal="center"/>
    </xf>
    <xf numFmtId="0" fontId="25" fillId="0" borderId="2" xfId="67" applyFont="1" applyFill="1" applyBorder="1" applyAlignment="1">
      <alignment horizontal="center" vertical="center" wrapText="1"/>
    </xf>
    <xf numFmtId="0" fontId="25" fillId="0" borderId="6" xfId="67" applyFont="1" applyFill="1" applyBorder="1" applyAlignment="1">
      <alignment horizontal="center" vertical="center" wrapText="1"/>
    </xf>
    <xf numFmtId="0" fontId="25" fillId="0" borderId="9" xfId="67" applyFont="1" applyFill="1" applyBorder="1" applyAlignment="1">
      <alignment horizontal="center" vertical="center" wrapText="1"/>
    </xf>
    <xf numFmtId="0" fontId="25" fillId="0" borderId="13" xfId="67" applyFont="1" applyFill="1" applyBorder="1" applyAlignment="1">
      <alignment horizontal="center" vertical="center" wrapText="1"/>
    </xf>
    <xf numFmtId="0" fontId="25" fillId="0" borderId="10" xfId="67" applyFont="1" applyFill="1" applyBorder="1" applyAlignment="1">
      <alignment horizontal="center" vertical="center" wrapText="1"/>
    </xf>
    <xf numFmtId="0" fontId="25" fillId="0" borderId="0" xfId="67" applyFont="1" applyFill="1" applyAlignment="1">
      <alignment horizontal="right"/>
    </xf>
    <xf numFmtId="0" fontId="25" fillId="0" borderId="14" xfId="67" applyFont="1" applyFill="1" applyBorder="1" applyAlignment="1">
      <alignment horizontal="right"/>
    </xf>
    <xf numFmtId="0" fontId="25" fillId="0" borderId="0" xfId="67" applyFont="1" applyFill="1" applyAlignment="1">
      <alignment horizontal="left" vertical="center"/>
    </xf>
    <xf numFmtId="0" fontId="25" fillId="0" borderId="1" xfId="67" applyFont="1" applyFill="1" applyBorder="1" applyAlignment="1">
      <alignment horizontal="center"/>
    </xf>
    <xf numFmtId="0" fontId="25" fillId="0" borderId="8" xfId="40" applyFont="1" applyFill="1" applyBorder="1" applyAlignment="1">
      <alignment horizontal="center"/>
    </xf>
    <xf numFmtId="0" fontId="25" fillId="0" borderId="0" xfId="73" applyFont="1" applyFill="1" applyBorder="1" applyAlignment="1">
      <alignment horizontal="left" wrapText="1"/>
    </xf>
    <xf numFmtId="0" fontId="25" fillId="0" borderId="0" xfId="67" applyFont="1" applyFill="1" applyBorder="1" applyAlignment="1">
      <alignment horizontal="right"/>
    </xf>
    <xf numFmtId="0" fontId="25" fillId="0" borderId="15" xfId="21" applyFont="1" applyFill="1" applyBorder="1" applyAlignment="1">
      <alignment horizontal="center" wrapText="1"/>
    </xf>
    <xf numFmtId="0" fontId="25" fillId="0" borderId="15" xfId="40" applyFont="1" applyFill="1" applyBorder="1" applyAlignment="1">
      <alignment horizontal="left" wrapText="1"/>
    </xf>
    <xf numFmtId="0" fontId="25" fillId="0" borderId="0" xfId="40" applyFont="1" applyFill="1" applyAlignment="1">
      <alignment horizontal="left" wrapText="1"/>
    </xf>
    <xf numFmtId="0" fontId="25" fillId="0" borderId="15" xfId="40" applyFont="1" applyFill="1" applyBorder="1" applyAlignment="1">
      <alignment horizontal="left"/>
    </xf>
    <xf numFmtId="49" fontId="25" fillId="0" borderId="1" xfId="67" applyNumberFormat="1" applyFont="1" applyFill="1" applyBorder="1" applyAlignment="1">
      <alignment horizontal="center"/>
    </xf>
    <xf numFmtId="0" fontId="25" fillId="0" borderId="1" xfId="67" quotePrefix="1" applyFont="1" applyFill="1" applyBorder="1" applyAlignment="1">
      <alignment horizontal="center"/>
    </xf>
    <xf numFmtId="0" fontId="28" fillId="0" borderId="0" xfId="0" applyFont="1" applyFill="1" applyAlignment="1">
      <alignment horizontal="left" wrapText="1"/>
    </xf>
    <xf numFmtId="0" fontId="25" fillId="0" borderId="0" xfId="0" applyFont="1" applyFill="1" applyAlignment="1">
      <alignment horizontal="left" wrapText="1"/>
    </xf>
    <xf numFmtId="169" fontId="25" fillId="0" borderId="0" xfId="21" applyNumberFormat="1" applyFont="1" applyFill="1" applyAlignment="1">
      <alignment horizontal="right"/>
    </xf>
    <xf numFmtId="14" fontId="25" fillId="0" borderId="1" xfId="67" applyNumberFormat="1" applyFont="1" applyFill="1" applyBorder="1" applyAlignment="1">
      <alignment horizontal="center"/>
    </xf>
    <xf numFmtId="169" fontId="25" fillId="0" borderId="0" xfId="0" applyNumberFormat="1" applyFont="1" applyFill="1" applyAlignment="1">
      <alignment horizontal="right"/>
    </xf>
    <xf numFmtId="169" fontId="28" fillId="0" borderId="8" xfId="0" applyNumberFormat="1" applyFont="1" applyFill="1" applyBorder="1" applyAlignment="1">
      <alignment horizontal="right"/>
    </xf>
    <xf numFmtId="169" fontId="28" fillId="0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right"/>
    </xf>
    <xf numFmtId="0" fontId="29" fillId="0" borderId="0" xfId="0" applyFont="1" applyFill="1" applyAlignment="1">
      <alignment horizontal="center" wrapText="1"/>
    </xf>
    <xf numFmtId="0" fontId="25" fillId="0" borderId="0" xfId="0" applyFont="1" applyFill="1" applyAlignment="1">
      <alignment horizontal="left" vertical="top"/>
    </xf>
    <xf numFmtId="0" fontId="25" fillId="0" borderId="15" xfId="0" applyFont="1" applyFill="1" applyBorder="1" applyAlignment="1">
      <alignment horizontal="left" vertical="top"/>
    </xf>
    <xf numFmtId="0" fontId="25" fillId="0" borderId="15" xfId="0" applyFont="1" applyFill="1" applyBorder="1" applyAlignment="1">
      <alignment horizontal="left" wrapText="1"/>
    </xf>
    <xf numFmtId="169" fontId="28" fillId="0" borderId="8" xfId="28" applyNumberFormat="1" applyFont="1" applyFill="1" applyBorder="1" applyAlignment="1">
      <alignment horizontal="right"/>
    </xf>
    <xf numFmtId="0" fontId="25" fillId="0" borderId="2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63" fillId="0" borderId="0" xfId="22" applyFont="1" applyFill="1"/>
    <xf numFmtId="4" fontId="62" fillId="0" borderId="0" xfId="28" applyNumberFormat="1" applyFont="1" applyFill="1"/>
    <xf numFmtId="0" fontId="63" fillId="0" borderId="0" xfId="86" applyFont="1" applyFill="1" applyAlignment="1">
      <alignment horizontal="right"/>
    </xf>
    <xf numFmtId="0" fontId="72" fillId="0" borderId="0" xfId="85" applyFont="1" applyFill="1" applyAlignment="1">
      <alignment horizontal="right"/>
    </xf>
    <xf numFmtId="0" fontId="63" fillId="0" borderId="3" xfId="28" applyFont="1" applyFill="1" applyBorder="1" applyAlignment="1">
      <alignment horizontal="center"/>
    </xf>
    <xf numFmtId="0" fontId="63" fillId="0" borderId="5" xfId="28" applyFont="1" applyFill="1" applyBorder="1" applyAlignment="1">
      <alignment horizontal="center"/>
    </xf>
    <xf numFmtId="4" fontId="89" fillId="0" borderId="0" xfId="84" applyNumberFormat="1" applyFont="1" applyFill="1"/>
    <xf numFmtId="0" fontId="64" fillId="0" borderId="0" xfId="84" applyFont="1" applyFill="1"/>
    <xf numFmtId="0" fontId="63" fillId="0" borderId="0" xfId="83" applyFont="1" applyFill="1"/>
    <xf numFmtId="0" fontId="63" fillId="0" borderId="0" xfId="82" applyFont="1" applyFill="1"/>
    <xf numFmtId="0" fontId="63" fillId="0" borderId="3" xfId="28" quotePrefix="1" applyFont="1" applyFill="1" applyBorder="1" applyAlignment="1">
      <alignment horizontal="center"/>
    </xf>
    <xf numFmtId="0" fontId="63" fillId="0" borderId="5" xfId="28" quotePrefix="1" applyFont="1" applyFill="1" applyBorder="1" applyAlignment="1">
      <alignment horizontal="center"/>
    </xf>
    <xf numFmtId="0" fontId="59" fillId="0" borderId="15" xfId="83" applyFont="1" applyFill="1" applyBorder="1" applyAlignment="1">
      <alignment horizontal="left" wrapText="1"/>
    </xf>
    <xf numFmtId="49" fontId="63" fillId="0" borderId="9" xfId="28" applyNumberFormat="1" applyFont="1" applyFill="1" applyBorder="1" applyAlignment="1">
      <alignment horizontal="center"/>
    </xf>
    <xf numFmtId="49" fontId="63" fillId="0" borderId="10" xfId="28" applyNumberFormat="1" applyFont="1" applyFill="1" applyBorder="1" applyAlignment="1">
      <alignment horizontal="center"/>
    </xf>
    <xf numFmtId="0" fontId="63" fillId="0" borderId="15" xfId="28" applyFont="1" applyFill="1" applyBorder="1" applyAlignment="1">
      <alignment horizontal="left" vertical="top" wrapText="1"/>
    </xf>
    <xf numFmtId="49" fontId="63" fillId="0" borderId="11" xfId="28" applyNumberFormat="1" applyFont="1" applyFill="1" applyBorder="1" applyAlignment="1">
      <alignment horizontal="center"/>
    </xf>
    <xf numFmtId="49" fontId="63" fillId="0" borderId="12" xfId="28" applyNumberFormat="1" applyFont="1" applyFill="1" applyBorder="1" applyAlignment="1">
      <alignment horizontal="center"/>
    </xf>
    <xf numFmtId="0" fontId="63" fillId="0" borderId="8" xfId="28" applyFont="1" applyFill="1" applyBorder="1" applyAlignment="1">
      <alignment horizontal="center" vertical="top" wrapText="1"/>
    </xf>
    <xf numFmtId="0" fontId="63" fillId="0" borderId="0" xfId="28" applyFont="1" applyFill="1" applyBorder="1" applyAlignment="1">
      <alignment vertical="top"/>
    </xf>
    <xf numFmtId="0" fontId="63" fillId="0" borderId="9" xfId="28" applyFont="1" applyFill="1" applyBorder="1" applyAlignment="1">
      <alignment horizontal="center"/>
    </xf>
    <xf numFmtId="0" fontId="63" fillId="0" borderId="10" xfId="28" applyFont="1" applyFill="1" applyBorder="1" applyAlignment="1">
      <alignment horizontal="center"/>
    </xf>
    <xf numFmtId="0" fontId="63" fillId="0" borderId="0" xfId="28" applyFont="1" applyFill="1" applyBorder="1" applyAlignment="1">
      <alignment vertical="top" wrapText="1"/>
    </xf>
    <xf numFmtId="0" fontId="63" fillId="0" borderId="11" xfId="28" applyFont="1" applyFill="1" applyBorder="1" applyAlignment="1">
      <alignment horizontal="center"/>
    </xf>
    <xf numFmtId="0" fontId="63" fillId="0" borderId="12" xfId="28" applyFont="1" applyFill="1" applyBorder="1" applyAlignment="1">
      <alignment horizontal="center"/>
    </xf>
    <xf numFmtId="0" fontId="63" fillId="0" borderId="8" xfId="28" applyFont="1" applyFill="1" applyBorder="1" applyAlignment="1">
      <alignment horizontal="center" vertical="top"/>
    </xf>
    <xf numFmtId="0" fontId="63" fillId="0" borderId="0" xfId="28" applyFont="1" applyFill="1" applyBorder="1" applyAlignment="1"/>
    <xf numFmtId="4" fontId="62" fillId="0" borderId="0" xfId="83" applyNumberFormat="1" applyFont="1" applyFill="1"/>
    <xf numFmtId="0" fontId="63" fillId="0" borderId="0" xfId="40" applyFont="1" applyFill="1"/>
    <xf numFmtId="0" fontId="63" fillId="0" borderId="1" xfId="28" applyFont="1" applyFill="1" applyBorder="1" applyAlignment="1">
      <alignment horizontal="center"/>
    </xf>
    <xf numFmtId="0" fontId="63" fillId="0" borderId="9" xfId="28" applyFont="1" applyFill="1" applyBorder="1" applyAlignment="1">
      <alignment horizontal="center"/>
    </xf>
    <xf numFmtId="4" fontId="62" fillId="0" borderId="0" xfId="40" applyNumberFormat="1" applyFont="1" applyFill="1"/>
    <xf numFmtId="0" fontId="63" fillId="0" borderId="3" xfId="28" applyFont="1" applyFill="1" applyBorder="1" applyAlignment="1">
      <alignment horizontal="center"/>
    </xf>
    <xf numFmtId="14" fontId="63" fillId="0" borderId="1" xfId="28" applyNumberFormat="1" applyFont="1" applyFill="1" applyBorder="1" applyAlignment="1">
      <alignment horizontal="center"/>
    </xf>
    <xf numFmtId="0" fontId="63" fillId="0" borderId="2" xfId="22" applyFont="1" applyFill="1" applyBorder="1" applyAlignment="1">
      <alignment horizontal="center" vertical="center" wrapText="1"/>
    </xf>
    <xf numFmtId="0" fontId="63" fillId="0" borderId="2" xfId="22" applyFont="1" applyFill="1" applyBorder="1" applyAlignment="1">
      <alignment horizontal="center" vertical="center" wrapText="1"/>
    </xf>
    <xf numFmtId="0" fontId="63" fillId="0" borderId="3" xfId="22" applyFont="1" applyFill="1" applyBorder="1" applyAlignment="1">
      <alignment horizontal="center" vertical="center" wrapText="1"/>
    </xf>
    <xf numFmtId="0" fontId="63" fillId="0" borderId="5" xfId="22" applyFont="1" applyFill="1" applyBorder="1" applyAlignment="1">
      <alignment horizontal="center" vertical="center" wrapText="1"/>
    </xf>
    <xf numFmtId="0" fontId="63" fillId="0" borderId="6" xfId="22" applyFont="1" applyFill="1" applyBorder="1" applyAlignment="1">
      <alignment horizontal="center" vertical="center" wrapText="1"/>
    </xf>
    <xf numFmtId="0" fontId="63" fillId="0" borderId="6" xfId="22" applyFont="1" applyFill="1" applyBorder="1" applyAlignment="1">
      <alignment horizontal="center" vertical="center" wrapText="1"/>
    </xf>
    <xf numFmtId="0" fontId="63" fillId="0" borderId="9" xfId="22" applyFont="1" applyFill="1" applyBorder="1" applyAlignment="1">
      <alignment horizontal="center" vertical="center" wrapText="1"/>
    </xf>
    <xf numFmtId="0" fontId="72" fillId="0" borderId="2" xfId="22" applyFont="1" applyFill="1" applyBorder="1" applyAlignment="1">
      <alignment horizontal="center" vertical="center" wrapText="1"/>
    </xf>
    <xf numFmtId="0" fontId="63" fillId="0" borderId="0" xfId="81" applyFont="1" applyFill="1"/>
    <xf numFmtId="0" fontId="68" fillId="0" borderId="0" xfId="81" applyFont="1" applyFill="1" applyAlignment="1">
      <alignment horizontal="center"/>
    </xf>
    <xf numFmtId="4" fontId="63" fillId="0" borderId="0" xfId="81" applyNumberFormat="1" applyFont="1" applyFill="1" applyBorder="1" applyAlignment="1">
      <alignment horizontal="center"/>
    </xf>
    <xf numFmtId="0" fontId="63" fillId="0" borderId="0" xfId="81" applyFont="1" applyFill="1" applyBorder="1" applyAlignment="1">
      <alignment horizontal="center"/>
    </xf>
    <xf numFmtId="4" fontId="62" fillId="0" borderId="0" xfId="36" applyNumberFormat="1" applyFont="1" applyFill="1"/>
    <xf numFmtId="0" fontId="63" fillId="0" borderId="0" xfId="36" applyFont="1" applyFill="1"/>
    <xf numFmtId="0" fontId="88" fillId="0" borderId="0" xfId="81" applyFont="1" applyFill="1" applyAlignment="1">
      <alignment horizontal="center" vertical="center" wrapText="1"/>
    </xf>
    <xf numFmtId="0" fontId="88" fillId="0" borderId="0" xfId="81" applyFont="1" applyFill="1" applyAlignment="1">
      <alignment horizontal="center" vertical="center"/>
    </xf>
    <xf numFmtId="0" fontId="87" fillId="0" borderId="0" xfId="81" applyFont="1" applyFill="1" applyAlignment="1">
      <alignment horizontal="center" vertical="center" wrapText="1"/>
    </xf>
    <xf numFmtId="0" fontId="87" fillId="0" borderId="0" xfId="81" applyFont="1" applyFill="1" applyAlignment="1">
      <alignment horizontal="center" vertical="center"/>
    </xf>
    <xf numFmtId="0" fontId="63" fillId="0" borderId="25" xfId="81" applyFont="1" applyFill="1" applyBorder="1" applyAlignment="1">
      <alignment horizontal="center" vertical="center" wrapText="1"/>
    </xf>
    <xf numFmtId="0" fontId="62" fillId="0" borderId="32" xfId="81" applyFont="1" applyFill="1" applyBorder="1" applyAlignment="1">
      <alignment horizontal="center" vertical="center" wrapText="1"/>
    </xf>
    <xf numFmtId="0" fontId="62" fillId="0" borderId="50" xfId="81" applyFont="1" applyFill="1" applyBorder="1" applyAlignment="1">
      <alignment horizontal="center" vertical="center"/>
    </xf>
    <xf numFmtId="0" fontId="62" fillId="0" borderId="51" xfId="81" applyFont="1" applyFill="1" applyBorder="1" applyAlignment="1">
      <alignment horizontal="center" vertical="center"/>
    </xf>
    <xf numFmtId="0" fontId="62" fillId="0" borderId="49" xfId="81" applyFont="1" applyFill="1" applyBorder="1" applyAlignment="1">
      <alignment horizontal="center" vertical="center"/>
    </xf>
    <xf numFmtId="0" fontId="63" fillId="0" borderId="30" xfId="81" applyFont="1" applyFill="1" applyBorder="1" applyAlignment="1">
      <alignment horizontal="center" vertical="center" wrapText="1"/>
    </xf>
    <xf numFmtId="0" fontId="62" fillId="0" borderId="23" xfId="81" applyFont="1" applyFill="1" applyBorder="1" applyAlignment="1">
      <alignment horizontal="center" vertical="center" wrapText="1"/>
    </xf>
    <xf numFmtId="0" fontId="62" fillId="0" borderId="42" xfId="81" applyFont="1" applyFill="1" applyBorder="1" applyAlignment="1">
      <alignment horizontal="center" vertical="center" wrapText="1"/>
    </xf>
    <xf numFmtId="0" fontId="62" fillId="0" borderId="39" xfId="81" applyFont="1" applyFill="1" applyBorder="1" applyAlignment="1">
      <alignment horizontal="center" vertical="center" wrapText="1"/>
    </xf>
    <xf numFmtId="4" fontId="90" fillId="0" borderId="0" xfId="36" applyNumberFormat="1" applyFont="1" applyFill="1"/>
    <xf numFmtId="164" fontId="63" fillId="0" borderId="0" xfId="36" applyNumberFormat="1" applyFont="1" applyFill="1"/>
    <xf numFmtId="0" fontId="62" fillId="0" borderId="44" xfId="81" applyFont="1" applyFill="1" applyBorder="1" applyAlignment="1">
      <alignment horizontal="center" vertical="center" wrapText="1"/>
    </xf>
    <xf numFmtId="0" fontId="62" fillId="0" borderId="20" xfId="81" applyFont="1" applyFill="1" applyBorder="1" applyAlignment="1">
      <alignment horizontal="center" vertical="center" wrapText="1"/>
    </xf>
    <xf numFmtId="4" fontId="62" fillId="0" borderId="20" xfId="81" applyNumberFormat="1" applyFont="1" applyFill="1" applyBorder="1" applyAlignment="1">
      <alignment horizontal="center" vertical="center" wrapText="1"/>
    </xf>
    <xf numFmtId="0" fontId="63" fillId="0" borderId="17" xfId="81" applyFont="1" applyFill="1" applyBorder="1" applyAlignment="1">
      <alignment horizontal="center" vertical="center" wrapText="1"/>
    </xf>
    <xf numFmtId="0" fontId="62" fillId="0" borderId="29" xfId="81" applyFont="1" applyFill="1" applyBorder="1" applyAlignment="1">
      <alignment horizontal="center" vertical="center" wrapText="1"/>
    </xf>
    <xf numFmtId="0" fontId="62" fillId="0" borderId="37" xfId="81" applyFont="1" applyFill="1" applyBorder="1" applyAlignment="1">
      <alignment horizontal="center" vertical="center" wrapText="1"/>
    </xf>
    <xf numFmtId="4" fontId="62" fillId="0" borderId="27" xfId="81" applyNumberFormat="1" applyFont="1" applyFill="1" applyBorder="1" applyAlignment="1">
      <alignment horizontal="center" vertical="center" wrapText="1"/>
    </xf>
    <xf numFmtId="4" fontId="62" fillId="0" borderId="38" xfId="81" applyNumberFormat="1" applyFont="1" applyFill="1" applyBorder="1" applyAlignment="1">
      <alignment horizontal="center" vertical="center" wrapText="1"/>
    </xf>
    <xf numFmtId="49" fontId="62" fillId="0" borderId="0" xfId="36" applyNumberFormat="1" applyFont="1" applyFill="1"/>
    <xf numFmtId="3" fontId="63" fillId="0" borderId="36" xfId="81" applyNumberFormat="1" applyFont="1" applyFill="1" applyBorder="1" applyAlignment="1">
      <alignment horizontal="center" vertical="center"/>
    </xf>
    <xf numFmtId="3" fontId="63" fillId="0" borderId="50" xfId="81" applyNumberFormat="1" applyFont="1" applyFill="1" applyBorder="1" applyAlignment="1">
      <alignment horizontal="center" vertical="center"/>
    </xf>
    <xf numFmtId="3" fontId="63" fillId="0" borderId="49" xfId="81" applyNumberFormat="1" applyFont="1" applyFill="1" applyBorder="1" applyAlignment="1">
      <alignment horizontal="center" vertical="center"/>
    </xf>
    <xf numFmtId="4" fontId="62" fillId="0" borderId="0" xfId="36" applyNumberFormat="1" applyFont="1" applyFill="1" applyBorder="1"/>
    <xf numFmtId="0" fontId="63" fillId="0" borderId="32" xfId="81" applyFont="1" applyFill="1" applyBorder="1" applyAlignment="1">
      <alignment vertical="center" wrapText="1"/>
    </xf>
    <xf numFmtId="174" fontId="62" fillId="0" borderId="40" xfId="81" applyNumberFormat="1" applyFont="1" applyFill="1" applyBorder="1" applyAlignment="1">
      <alignment vertical="center"/>
    </xf>
    <xf numFmtId="165" fontId="62" fillId="0" borderId="40" xfId="81" applyNumberFormat="1" applyFont="1" applyFill="1" applyBorder="1" applyAlignment="1">
      <alignment vertical="center"/>
    </xf>
    <xf numFmtId="174" fontId="62" fillId="0" borderId="43" xfId="81" applyNumberFormat="1" applyFont="1" applyFill="1" applyBorder="1" applyAlignment="1">
      <alignment vertical="center"/>
    </xf>
    <xf numFmtId="174" fontId="62" fillId="0" borderId="55" xfId="81" applyNumberFormat="1" applyFont="1" applyFill="1" applyBorder="1" applyAlignment="1">
      <alignment vertical="center"/>
    </xf>
    <xf numFmtId="174" fontId="62" fillId="0" borderId="21" xfId="81" applyNumberFormat="1" applyFont="1" applyFill="1" applyBorder="1" applyAlignment="1">
      <alignment vertical="center"/>
    </xf>
    <xf numFmtId="174" fontId="62" fillId="0" borderId="22" xfId="81" applyNumberFormat="1" applyFont="1" applyFill="1" applyBorder="1" applyAlignment="1">
      <alignment vertical="center"/>
    </xf>
    <xf numFmtId="174" fontId="62" fillId="0" borderId="28" xfId="81" applyNumberFormat="1" applyFont="1" applyFill="1" applyBorder="1" applyAlignment="1">
      <alignment vertical="center"/>
    </xf>
    <xf numFmtId="174" fontId="62" fillId="0" borderId="56" xfId="81" applyNumberFormat="1" applyFont="1" applyFill="1" applyBorder="1" applyAlignment="1">
      <alignment vertical="center"/>
    </xf>
    <xf numFmtId="0" fontId="63" fillId="0" borderId="36" xfId="81" applyNumberFormat="1" applyFont="1" applyFill="1" applyBorder="1" applyAlignment="1">
      <alignment horizontal="center" vertical="center"/>
    </xf>
    <xf numFmtId="4" fontId="68" fillId="0" borderId="35" xfId="81" applyNumberFormat="1" applyFont="1" applyFill="1" applyBorder="1" applyAlignment="1">
      <alignment vertical="center" wrapText="1"/>
    </xf>
    <xf numFmtId="0" fontId="63" fillId="0" borderId="0" xfId="36" applyFont="1" applyFill="1" applyBorder="1" applyAlignment="1">
      <alignment vertical="center"/>
    </xf>
    <xf numFmtId="0" fontId="63" fillId="0" borderId="54" xfId="36" applyFont="1" applyFill="1" applyBorder="1" applyAlignment="1">
      <alignment vertical="center"/>
    </xf>
    <xf numFmtId="0" fontId="63" fillId="0" borderId="34" xfId="36" applyFont="1" applyFill="1" applyBorder="1" applyAlignment="1">
      <alignment vertical="center"/>
    </xf>
    <xf numFmtId="0" fontId="63" fillId="0" borderId="33" xfId="36" applyFont="1" applyFill="1" applyBorder="1" applyAlignment="1">
      <alignment vertical="center"/>
    </xf>
    <xf numFmtId="4" fontId="62" fillId="0" borderId="1" xfId="36" applyNumberFormat="1" applyFont="1" applyFill="1" applyBorder="1"/>
    <xf numFmtId="174" fontId="62" fillId="0" borderId="32" xfId="81" applyNumberFormat="1" applyFont="1" applyFill="1" applyBorder="1" applyAlignment="1">
      <alignment vertical="center"/>
    </xf>
    <xf numFmtId="174" fontId="62" fillId="0" borderId="23" xfId="81" applyNumberFormat="1" applyFont="1" applyFill="1" applyBorder="1" applyAlignment="1">
      <alignment vertical="center"/>
    </xf>
    <xf numFmtId="174" fontId="62" fillId="0" borderId="29" xfId="81" applyNumberFormat="1" applyFont="1" applyFill="1" applyBorder="1" applyAlignment="1">
      <alignment vertical="center"/>
    </xf>
    <xf numFmtId="4" fontId="63" fillId="0" borderId="0" xfId="81" applyNumberFormat="1" applyFont="1" applyFill="1"/>
    <xf numFmtId="0" fontId="62" fillId="0" borderId="0" xfId="36" applyFont="1" applyFill="1"/>
    <xf numFmtId="0" fontId="73" fillId="0" borderId="0" xfId="36" applyFont="1" applyFill="1" applyAlignment="1">
      <alignment horizontal="left" vertical="top" wrapText="1"/>
    </xf>
    <xf numFmtId="0" fontId="62" fillId="0" borderId="0" xfId="37" applyFont="1" applyFill="1"/>
    <xf numFmtId="2" fontId="84" fillId="0" borderId="0" xfId="70" applyNumberFormat="1" applyFont="1" applyFill="1"/>
    <xf numFmtId="0" fontId="62" fillId="0" borderId="0" xfId="12" applyFont="1" applyFill="1" applyAlignment="1">
      <alignment vertical="center" wrapText="1"/>
    </xf>
    <xf numFmtId="0" fontId="62" fillId="0" borderId="0" xfId="80" applyFont="1" applyFill="1" applyAlignment="1">
      <alignment horizontal="center" vertical="top" wrapText="1"/>
    </xf>
    <xf numFmtId="0" fontId="62" fillId="0" borderId="0" xfId="80" applyFont="1" applyFill="1" applyAlignment="1">
      <alignment vertical="top" wrapText="1"/>
    </xf>
    <xf numFmtId="0" fontId="73" fillId="0" borderId="0" xfId="37" applyFont="1" applyFill="1"/>
    <xf numFmtId="0" fontId="25" fillId="0" borderId="9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5" fillId="0" borderId="12" xfId="0" applyFont="1" applyFill="1" applyBorder="1" applyAlignment="1">
      <alignment horizontal="center" vertical="center" wrapText="1"/>
    </xf>
    <xf numFmtId="49" fontId="25" fillId="0" borderId="1" xfId="0" applyNumberFormat="1" applyFont="1" applyFill="1" applyBorder="1" applyAlignment="1">
      <alignment horizontal="center" vertical="center" wrapText="1"/>
    </xf>
    <xf numFmtId="0" fontId="70" fillId="0" borderId="0" xfId="0" applyFont="1" applyFill="1"/>
    <xf numFmtId="49" fontId="25" fillId="0" borderId="1" xfId="0" applyNumberFormat="1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/>
    </xf>
    <xf numFmtId="49" fontId="25" fillId="0" borderId="0" xfId="0" applyNumberFormat="1" applyFont="1" applyFill="1" applyAlignment="1">
      <alignment horizontal="left" vertical="top"/>
    </xf>
    <xf numFmtId="0" fontId="28" fillId="0" borderId="0" xfId="0" applyFont="1" applyFill="1"/>
    <xf numFmtId="169" fontId="0" fillId="0" borderId="0" xfId="0" applyNumberFormat="1" applyFill="1"/>
    <xf numFmtId="0" fontId="25" fillId="0" borderId="0" xfId="0" applyFont="1" applyFill="1" applyAlignment="1">
      <alignment horizontal="right" shrinkToFit="1"/>
    </xf>
    <xf numFmtId="0" fontId="44" fillId="0" borderId="15" xfId="0" applyFont="1" applyFill="1" applyBorder="1" applyAlignment="1">
      <alignment horizontal="left" vertical="top"/>
    </xf>
    <xf numFmtId="49" fontId="44" fillId="0" borderId="15" xfId="0" applyNumberFormat="1" applyFont="1" applyFill="1" applyBorder="1" applyAlignment="1">
      <alignment horizontal="left" vertical="top"/>
    </xf>
    <xf numFmtId="0" fontId="44" fillId="0" borderId="15" xfId="0" applyFont="1" applyFill="1" applyBorder="1" applyAlignment="1">
      <alignment horizontal="left" vertical="top" wrapText="1"/>
    </xf>
    <xf numFmtId="0" fontId="46" fillId="0" borderId="15" xfId="0" applyFont="1" applyFill="1" applyBorder="1" applyAlignment="1">
      <alignment horizontal="right" wrapText="1"/>
    </xf>
    <xf numFmtId="0" fontId="44" fillId="0" borderId="15" xfId="0" applyFont="1" applyFill="1" applyBorder="1" applyAlignment="1">
      <alignment horizontal="right"/>
    </xf>
    <xf numFmtId="168" fontId="44" fillId="0" borderId="15" xfId="0" applyNumberFormat="1" applyFont="1" applyFill="1" applyBorder="1" applyAlignment="1">
      <alignment horizontal="right"/>
    </xf>
    <xf numFmtId="0" fontId="44" fillId="0" borderId="15" xfId="0" applyFont="1" applyFill="1" applyBorder="1" applyAlignment="1">
      <alignment horizontal="right" wrapText="1"/>
    </xf>
    <xf numFmtId="169" fontId="44" fillId="0" borderId="15" xfId="0" applyNumberFormat="1" applyFont="1" applyFill="1" applyBorder="1" applyAlignment="1">
      <alignment horizontal="right"/>
    </xf>
    <xf numFmtId="0" fontId="47" fillId="0" borderId="0" xfId="0" applyFont="1" applyFill="1"/>
    <xf numFmtId="0" fontId="47" fillId="0" borderId="8" xfId="0" applyFont="1" applyFill="1" applyBorder="1"/>
    <xf numFmtId="49" fontId="47" fillId="0" borderId="8" xfId="0" applyNumberFormat="1" applyFont="1" applyFill="1" applyBorder="1"/>
    <xf numFmtId="0" fontId="48" fillId="0" borderId="8" xfId="0" applyFont="1" applyFill="1" applyBorder="1"/>
    <xf numFmtId="169" fontId="48" fillId="0" borderId="8" xfId="0" applyNumberFormat="1" applyFont="1" applyFill="1" applyBorder="1" applyAlignment="1">
      <alignment horizontal="right"/>
    </xf>
    <xf numFmtId="169" fontId="47" fillId="0" borderId="0" xfId="0" applyNumberFormat="1" applyFont="1" applyFill="1"/>
    <xf numFmtId="0" fontId="25" fillId="0" borderId="0" xfId="0" quotePrefix="1" applyFont="1" applyFill="1" applyAlignment="1">
      <alignment horizontal="right" wrapText="1"/>
    </xf>
    <xf numFmtId="167" fontId="0" fillId="0" borderId="0" xfId="0" applyNumberFormat="1" applyFill="1"/>
    <xf numFmtId="169" fontId="69" fillId="0" borderId="0" xfId="0" applyNumberFormat="1" applyFont="1" applyFill="1" applyAlignment="1">
      <alignment horizontal="right"/>
    </xf>
    <xf numFmtId="0" fontId="44" fillId="0" borderId="0" xfId="0" applyFont="1" applyFill="1" applyAlignment="1">
      <alignment horizontal="left" wrapText="1"/>
    </xf>
    <xf numFmtId="169" fontId="44" fillId="0" borderId="0" xfId="0" applyNumberFormat="1" applyFont="1" applyFill="1" applyAlignment="1">
      <alignment horizontal="right"/>
    </xf>
    <xf numFmtId="169" fontId="28" fillId="0" borderId="15" xfId="0" applyNumberFormat="1" applyFont="1" applyFill="1" applyBorder="1" applyAlignment="1">
      <alignment horizontal="right"/>
    </xf>
    <xf numFmtId="169" fontId="28" fillId="0" borderId="0" xfId="0" applyNumberFormat="1" applyFont="1" applyFill="1" applyBorder="1" applyAlignment="1">
      <alignment horizontal="right"/>
    </xf>
    <xf numFmtId="0" fontId="12" fillId="0" borderId="0" xfId="0" applyFont="1" applyFill="1"/>
    <xf numFmtId="0" fontId="91" fillId="0" borderId="0" xfId="0" applyFont="1" applyFill="1"/>
    <xf numFmtId="0" fontId="92" fillId="0" borderId="0" xfId="0" applyFont="1" applyFill="1" applyAlignment="1">
      <alignment horizontal="center"/>
    </xf>
    <xf numFmtId="0" fontId="27" fillId="0" borderId="0" xfId="0" applyFont="1" applyFill="1"/>
    <xf numFmtId="169" fontId="92" fillId="0" borderId="15" xfId="0" applyNumberFormat="1" applyFont="1" applyFill="1" applyBorder="1" applyAlignment="1">
      <alignment horizontal="right"/>
    </xf>
    <xf numFmtId="169" fontId="92" fillId="0" borderId="0" xfId="0" applyNumberFormat="1" applyFont="1" applyFill="1" applyBorder="1" applyAlignment="1">
      <alignment horizontal="right"/>
    </xf>
    <xf numFmtId="0" fontId="27" fillId="0" borderId="15" xfId="0" applyFont="1" applyFill="1" applyBorder="1" applyAlignment="1">
      <alignment horizontal="left" wrapText="1"/>
    </xf>
    <xf numFmtId="0" fontId="27" fillId="0" borderId="15" xfId="0" applyFont="1" applyFill="1" applyBorder="1" applyAlignment="1">
      <alignment horizontal="left" wrapText="1"/>
    </xf>
    <xf numFmtId="0" fontId="27" fillId="0" borderId="9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92" fillId="0" borderId="0" xfId="0" applyFont="1" applyFill="1" applyAlignment="1">
      <alignment horizontal="center" wrapText="1"/>
    </xf>
    <xf numFmtId="0" fontId="92" fillId="0" borderId="0" xfId="0" applyFont="1" applyFill="1" applyAlignment="1">
      <alignment horizontal="center" wrapText="1"/>
    </xf>
    <xf numFmtId="0" fontId="92" fillId="0" borderId="0" xfId="0" applyFont="1" applyFill="1" applyAlignment="1">
      <alignment horizontal="left" wrapText="1"/>
    </xf>
    <xf numFmtId="169" fontId="92" fillId="0" borderId="0" xfId="0" applyNumberFormat="1" applyFont="1" applyFill="1" applyAlignment="1">
      <alignment horizontal="right"/>
    </xf>
    <xf numFmtId="0" fontId="92" fillId="0" borderId="0" xfId="0" applyFont="1" applyFill="1" applyAlignment="1">
      <alignment horizontal="right"/>
    </xf>
    <xf numFmtId="0" fontId="27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left" vertical="top" wrapText="1"/>
    </xf>
    <xf numFmtId="0" fontId="93" fillId="0" borderId="0" xfId="0" applyFont="1" applyFill="1" applyAlignment="1">
      <alignment horizontal="right" wrapText="1"/>
    </xf>
    <xf numFmtId="0" fontId="27" fillId="0" borderId="0" xfId="0" applyFont="1" applyFill="1" applyAlignment="1">
      <alignment horizontal="right"/>
    </xf>
    <xf numFmtId="168" fontId="27" fillId="0" borderId="0" xfId="0" applyNumberFormat="1" applyFont="1" applyFill="1" applyAlignment="1">
      <alignment horizontal="right"/>
    </xf>
    <xf numFmtId="0" fontId="27" fillId="0" borderId="0" xfId="0" applyFont="1" applyFill="1" applyAlignment="1">
      <alignment horizontal="right" wrapText="1"/>
    </xf>
    <xf numFmtId="169" fontId="27" fillId="0" borderId="0" xfId="0" applyNumberFormat="1" applyFont="1" applyFill="1" applyAlignment="1">
      <alignment horizontal="right"/>
    </xf>
    <xf numFmtId="169" fontId="93" fillId="0" borderId="0" xfId="0" applyNumberFormat="1" applyFont="1" applyFill="1" applyAlignment="1">
      <alignment horizontal="right"/>
    </xf>
    <xf numFmtId="0" fontId="27" fillId="0" borderId="15" xfId="0" applyFont="1" applyFill="1" applyBorder="1" applyAlignment="1">
      <alignment horizontal="left" vertical="top"/>
    </xf>
    <xf numFmtId="0" fontId="27" fillId="0" borderId="15" xfId="0" applyFont="1" applyFill="1" applyBorder="1" applyAlignment="1">
      <alignment horizontal="left" vertical="top" wrapText="1"/>
    </xf>
    <xf numFmtId="0" fontId="93" fillId="0" borderId="15" xfId="0" applyFont="1" applyFill="1" applyBorder="1" applyAlignment="1">
      <alignment horizontal="right" wrapText="1"/>
    </xf>
    <xf numFmtId="0" fontId="27" fillId="0" borderId="15" xfId="0" applyFont="1" applyFill="1" applyBorder="1" applyAlignment="1">
      <alignment horizontal="right"/>
    </xf>
    <xf numFmtId="168" fontId="27" fillId="0" borderId="15" xfId="0" applyNumberFormat="1" applyFont="1" applyFill="1" applyBorder="1" applyAlignment="1">
      <alignment horizontal="right"/>
    </xf>
    <xf numFmtId="0" fontId="27" fillId="0" borderId="15" xfId="0" applyFont="1" applyFill="1" applyBorder="1" applyAlignment="1">
      <alignment horizontal="right" wrapText="1"/>
    </xf>
    <xf numFmtId="169" fontId="27" fillId="0" borderId="15" xfId="0" applyNumberFormat="1" applyFont="1" applyFill="1" applyBorder="1" applyAlignment="1">
      <alignment horizontal="right"/>
    </xf>
    <xf numFmtId="0" fontId="92" fillId="0" borderId="0" xfId="0" applyFont="1" applyFill="1"/>
    <xf numFmtId="169" fontId="12" fillId="0" borderId="0" xfId="0" applyNumberFormat="1" applyFont="1" applyFill="1"/>
    <xf numFmtId="0" fontId="27" fillId="0" borderId="0" xfId="0" applyFont="1" applyFill="1" applyAlignment="1">
      <alignment horizontal="right" shrinkToFit="1"/>
    </xf>
    <xf numFmtId="0" fontId="12" fillId="0" borderId="8" xfId="0" applyFont="1" applyFill="1" applyBorder="1"/>
    <xf numFmtId="0" fontId="92" fillId="0" borderId="8" xfId="0" applyFont="1" applyFill="1" applyBorder="1"/>
    <xf numFmtId="169" fontId="92" fillId="0" borderId="8" xfId="0" applyNumberFormat="1" applyFont="1" applyFill="1" applyBorder="1" applyAlignment="1">
      <alignment horizontal="right"/>
    </xf>
    <xf numFmtId="0" fontId="94" fillId="0" borderId="15" xfId="0" applyFont="1" applyFill="1" applyBorder="1" applyAlignment="1">
      <alignment horizontal="left" vertical="top"/>
    </xf>
    <xf numFmtId="0" fontId="94" fillId="0" borderId="15" xfId="0" applyFont="1" applyFill="1" applyBorder="1" applyAlignment="1">
      <alignment horizontal="left" vertical="top" wrapText="1"/>
    </xf>
    <xf numFmtId="0" fontId="95" fillId="0" borderId="15" xfId="0" applyFont="1" applyFill="1" applyBorder="1" applyAlignment="1">
      <alignment horizontal="right" wrapText="1"/>
    </xf>
    <xf numFmtId="0" fontId="94" fillId="0" borderId="15" xfId="0" applyFont="1" applyFill="1" applyBorder="1" applyAlignment="1">
      <alignment horizontal="right"/>
    </xf>
    <xf numFmtId="168" fontId="94" fillId="0" borderId="15" xfId="0" applyNumberFormat="1" applyFont="1" applyFill="1" applyBorder="1" applyAlignment="1">
      <alignment horizontal="right"/>
    </xf>
    <xf numFmtId="0" fontId="94" fillId="0" borderId="15" xfId="0" applyFont="1" applyFill="1" applyBorder="1" applyAlignment="1">
      <alignment horizontal="right" wrapText="1"/>
    </xf>
    <xf numFmtId="169" fontId="94" fillId="0" borderId="15" xfId="0" applyNumberFormat="1" applyFont="1" applyFill="1" applyBorder="1" applyAlignment="1">
      <alignment horizontal="right"/>
    </xf>
    <xf numFmtId="0" fontId="94" fillId="0" borderId="0" xfId="0" applyFont="1" applyFill="1"/>
    <xf numFmtId="0" fontId="94" fillId="0" borderId="8" xfId="0" applyFont="1" applyFill="1" applyBorder="1"/>
    <xf numFmtId="0" fontId="96" fillId="0" borderId="8" xfId="0" applyFont="1" applyFill="1" applyBorder="1"/>
    <xf numFmtId="169" fontId="96" fillId="0" borderId="8" xfId="0" applyNumberFormat="1" applyFont="1" applyFill="1" applyBorder="1" applyAlignment="1">
      <alignment horizontal="right"/>
    </xf>
    <xf numFmtId="169" fontId="94" fillId="0" borderId="0" xfId="0" applyNumberFormat="1" applyFont="1" applyFill="1"/>
    <xf numFmtId="0" fontId="27" fillId="0" borderId="0" xfId="0" quotePrefix="1" applyFont="1" applyFill="1" applyAlignment="1">
      <alignment horizontal="right" wrapText="1"/>
    </xf>
    <xf numFmtId="0" fontId="92" fillId="0" borderId="0" xfId="0" applyFont="1" applyFill="1" applyAlignment="1">
      <alignment horizontal="left" wrapText="1"/>
    </xf>
    <xf numFmtId="0" fontId="27" fillId="0" borderId="0" xfId="0" applyFont="1" applyFill="1" applyAlignment="1">
      <alignment horizontal="left" wrapText="1"/>
    </xf>
    <xf numFmtId="169" fontId="27" fillId="0" borderId="0" xfId="0" applyNumberFormat="1" applyFont="1" applyFill="1" applyAlignment="1">
      <alignment horizontal="right"/>
    </xf>
    <xf numFmtId="0" fontId="94" fillId="0" borderId="0" xfId="0" applyFont="1" applyFill="1" applyAlignment="1">
      <alignment horizontal="left" wrapText="1"/>
    </xf>
    <xf numFmtId="169" fontId="94" fillId="0" borderId="0" xfId="0" applyNumberFormat="1" applyFont="1" applyFill="1" applyAlignment="1">
      <alignment horizontal="right"/>
    </xf>
    <xf numFmtId="0" fontId="27" fillId="0" borderId="0" xfId="0" applyFont="1" applyFill="1" applyAlignment="1">
      <alignment horizontal="left" wrapText="1"/>
    </xf>
    <xf numFmtId="4" fontId="12" fillId="0" borderId="0" xfId="0" applyNumberFormat="1" applyFont="1" applyFill="1" applyAlignment="1">
      <alignment horizontal="right"/>
    </xf>
    <xf numFmtId="0" fontId="97" fillId="0" borderId="0" xfId="0" applyFont="1" applyFill="1"/>
    <xf numFmtId="0" fontId="71" fillId="0" borderId="0" xfId="0" applyFont="1" applyFill="1" applyAlignment="1">
      <alignment horizontal="left" wrapText="1"/>
    </xf>
    <xf numFmtId="4" fontId="71" fillId="0" borderId="0" xfId="45" applyNumberFormat="1" applyFont="1" applyFill="1"/>
    <xf numFmtId="0" fontId="98" fillId="0" borderId="0" xfId="21" applyFont="1" applyFill="1" applyAlignment="1">
      <alignment wrapText="1"/>
    </xf>
    <xf numFmtId="0" fontId="71" fillId="0" borderId="0" xfId="0" applyFont="1" applyFill="1" applyAlignment="1">
      <alignment horizontal="left" wrapText="1"/>
    </xf>
    <xf numFmtId="169" fontId="71" fillId="0" borderId="0" xfId="21" applyNumberFormat="1" applyFont="1" applyFill="1" applyAlignment="1"/>
    <xf numFmtId="0" fontId="71" fillId="0" borderId="0" xfId="21" applyFont="1" applyFill="1"/>
    <xf numFmtId="0" fontId="98" fillId="0" borderId="0" xfId="21" applyFont="1" applyFill="1"/>
    <xf numFmtId="0" fontId="98" fillId="0" borderId="0" xfId="0" applyFont="1" applyFill="1" applyAlignment="1">
      <alignment horizontal="left" wrapText="1"/>
    </xf>
    <xf numFmtId="169" fontId="98" fillId="0" borderId="0" xfId="21" applyNumberFormat="1" applyFont="1" applyFill="1" applyAlignment="1"/>
    <xf numFmtId="169" fontId="71" fillId="0" borderId="0" xfId="21" applyNumberFormat="1" applyFont="1" applyFill="1" applyAlignment="1">
      <alignment horizontal="right"/>
    </xf>
    <xf numFmtId="0" fontId="99" fillId="0" borderId="0" xfId="76" applyFont="1" applyFill="1" applyAlignment="1">
      <alignment horizontal="left"/>
    </xf>
    <xf numFmtId="0" fontId="100" fillId="0" borderId="0" xfId="76" applyFont="1" applyFill="1" applyAlignment="1">
      <alignment horizontal="left" wrapText="1"/>
    </xf>
    <xf numFmtId="4" fontId="99" fillId="0" borderId="0" xfId="76" applyNumberFormat="1" applyFont="1" applyFill="1" applyAlignment="1">
      <alignment horizontal="right" wrapText="1"/>
    </xf>
    <xf numFmtId="169" fontId="71" fillId="0" borderId="0" xfId="21" applyNumberFormat="1" applyFont="1" applyFill="1"/>
    <xf numFmtId="166" fontId="100" fillId="0" borderId="0" xfId="32" applyFont="1" applyFill="1" applyAlignment="1">
      <alignment horizontal="right" wrapText="1"/>
    </xf>
    <xf numFmtId="0" fontId="71" fillId="0" borderId="0" xfId="40" applyFont="1" applyFill="1" applyAlignment="1">
      <alignment wrapText="1"/>
    </xf>
    <xf numFmtId="170" fontId="100" fillId="0" borderId="0" xfId="32" applyNumberFormat="1" applyFont="1" applyFill="1" applyAlignment="1">
      <alignment horizontal="right" wrapText="1"/>
    </xf>
    <xf numFmtId="0" fontId="99" fillId="0" borderId="0" xfId="4" applyFont="1" applyFill="1"/>
    <xf numFmtId="0" fontId="71" fillId="0" borderId="0" xfId="28" applyFont="1" applyFill="1"/>
    <xf numFmtId="0" fontId="98" fillId="0" borderId="0" xfId="75" applyNumberFormat="1" applyFont="1" applyFill="1" applyBorder="1" applyAlignment="1">
      <alignment vertical="center"/>
    </xf>
    <xf numFmtId="0" fontId="99" fillId="0" borderId="0" xfId="40" applyFont="1" applyFill="1" applyBorder="1" applyAlignment="1"/>
    <xf numFmtId="0" fontId="99" fillId="0" borderId="0" xfId="41" applyFont="1" applyFill="1" applyBorder="1" applyAlignment="1"/>
    <xf numFmtId="170" fontId="98" fillId="0" borderId="0" xfId="42" applyNumberFormat="1" applyFont="1" applyFill="1" applyBorder="1" applyAlignment="1">
      <alignment horizontal="right"/>
    </xf>
    <xf numFmtId="172" fontId="99" fillId="0" borderId="0" xfId="42" applyNumberFormat="1" applyFont="1" applyFill="1" applyBorder="1"/>
    <xf numFmtId="164" fontId="71" fillId="0" borderId="0" xfId="74" applyFont="1" applyFill="1"/>
    <xf numFmtId="0" fontId="71" fillId="0" borderId="0" xfId="23" applyFont="1" applyFill="1"/>
    <xf numFmtId="0" fontId="100" fillId="0" borderId="0" xfId="75" applyNumberFormat="1" applyFont="1" applyFill="1" applyBorder="1" applyAlignment="1">
      <alignment vertical="center"/>
    </xf>
    <xf numFmtId="0" fontId="100" fillId="0" borderId="0" xfId="40" applyFont="1" applyFill="1" applyBorder="1" applyAlignment="1"/>
    <xf numFmtId="0" fontId="100" fillId="0" borderId="0" xfId="41" applyFont="1" applyFill="1" applyBorder="1" applyAlignment="1"/>
    <xf numFmtId="170" fontId="71" fillId="0" borderId="0" xfId="42" applyNumberFormat="1" applyFont="1" applyFill="1" applyBorder="1" applyAlignment="1">
      <alignment horizontal="right"/>
    </xf>
    <xf numFmtId="172" fontId="100" fillId="0" borderId="0" xfId="42" applyNumberFormat="1" applyFont="1" applyFill="1" applyBorder="1" applyAlignment="1">
      <alignment horizontal="right" vertical="center" wrapText="1"/>
    </xf>
    <xf numFmtId="172" fontId="100" fillId="0" borderId="0" xfId="42" applyNumberFormat="1" applyFont="1" applyFill="1" applyBorder="1"/>
    <xf numFmtId="172" fontId="71" fillId="0" borderId="0" xfId="42" applyNumberFormat="1" applyFont="1" applyFill="1" applyBorder="1" applyAlignment="1">
      <alignment horizontal="right"/>
    </xf>
    <xf numFmtId="0" fontId="25" fillId="0" borderId="0" xfId="0" applyFont="1" applyFill="1" applyBorder="1" applyAlignment="1">
      <alignment horizontal="left" wrapText="1"/>
    </xf>
    <xf numFmtId="4" fontId="25" fillId="0" borderId="15" xfId="0" applyNumberFormat="1" applyFont="1" applyFill="1" applyBorder="1" applyAlignment="1">
      <alignment horizontal="right"/>
    </xf>
    <xf numFmtId="0" fontId="0" fillId="0" borderId="15" xfId="0" applyFill="1" applyBorder="1"/>
    <xf numFmtId="0" fontId="15" fillId="0" borderId="15" xfId="0" applyFont="1" applyFill="1" applyBorder="1" applyAlignment="1">
      <alignment wrapText="1"/>
    </xf>
    <xf numFmtId="169" fontId="74" fillId="0" borderId="0" xfId="0" applyNumberFormat="1" applyFont="1" applyFill="1" applyAlignment="1">
      <alignment horizontal="right"/>
    </xf>
    <xf numFmtId="0" fontId="27" fillId="0" borderId="0" xfId="21" applyFont="1" applyFill="1"/>
    <xf numFmtId="4" fontId="27" fillId="0" borderId="0" xfId="45" applyNumberFormat="1" applyFont="1" applyFill="1"/>
    <xf numFmtId="4" fontId="27" fillId="0" borderId="0" xfId="46" applyNumberFormat="1" applyFont="1" applyFill="1"/>
    <xf numFmtId="169" fontId="27" fillId="0" borderId="0" xfId="21" applyNumberFormat="1" applyFont="1" applyFill="1" applyAlignment="1"/>
    <xf numFmtId="0" fontId="92" fillId="0" borderId="0" xfId="21" applyFont="1" applyFill="1"/>
    <xf numFmtId="167" fontId="92" fillId="0" borderId="0" xfId="21" applyNumberFormat="1" applyFont="1" applyFill="1" applyAlignment="1"/>
    <xf numFmtId="169" fontId="27" fillId="0" borderId="0" xfId="21" applyNumberFormat="1" applyFont="1" applyFill="1" applyAlignment="1">
      <alignment horizontal="right"/>
    </xf>
    <xf numFmtId="4" fontId="92" fillId="0" borderId="0" xfId="21" applyNumberFormat="1" applyFont="1" applyFill="1" applyAlignment="1">
      <alignment horizontal="right"/>
    </xf>
    <xf numFmtId="169" fontId="92" fillId="0" borderId="0" xfId="21" applyNumberFormat="1" applyFont="1" applyFill="1" applyAlignment="1"/>
    <xf numFmtId="0" fontId="15" fillId="0" borderId="0" xfId="67" applyFont="1" applyFill="1"/>
    <xf numFmtId="0" fontId="18" fillId="0" borderId="0" xfId="67" applyFont="1" applyFill="1"/>
    <xf numFmtId="0" fontId="15" fillId="0" borderId="0" xfId="67" applyFont="1" applyFill="1" applyAlignment="1">
      <alignment horizontal="right"/>
    </xf>
    <xf numFmtId="0" fontId="101" fillId="0" borderId="0" xfId="0" applyFont="1" applyFill="1"/>
    <xf numFmtId="0" fontId="15" fillId="0" borderId="1" xfId="67" applyFont="1" applyFill="1" applyBorder="1" applyAlignment="1">
      <alignment horizontal="center"/>
    </xf>
    <xf numFmtId="0" fontId="15" fillId="0" borderId="0" xfId="67" applyFont="1" applyFill="1" applyAlignment="1">
      <alignment horizontal="right"/>
    </xf>
    <xf numFmtId="0" fontId="15" fillId="0" borderId="1" xfId="67" quotePrefix="1" applyFont="1" applyFill="1" applyBorder="1" applyAlignment="1">
      <alignment horizontal="center"/>
    </xf>
    <xf numFmtId="0" fontId="15" fillId="0" borderId="0" xfId="40" applyFont="1" applyFill="1" applyAlignment="1">
      <alignment horizontal="left" wrapText="1"/>
    </xf>
    <xf numFmtId="0" fontId="15" fillId="0" borderId="15" xfId="40" applyFont="1" applyFill="1" applyBorder="1" applyAlignment="1">
      <alignment horizontal="left"/>
    </xf>
    <xf numFmtId="0" fontId="15" fillId="0" borderId="0" xfId="40" applyFont="1" applyFill="1"/>
    <xf numFmtId="0" fontId="15" fillId="0" borderId="8" xfId="40" applyFont="1" applyFill="1" applyBorder="1" applyAlignment="1">
      <alignment horizontal="center"/>
    </xf>
    <xf numFmtId="49" fontId="15" fillId="0" borderId="1" xfId="67" applyNumberFormat="1" applyFont="1" applyFill="1" applyBorder="1" applyAlignment="1">
      <alignment horizontal="center"/>
    </xf>
    <xf numFmtId="0" fontId="15" fillId="0" borderId="15" xfId="21" applyFont="1" applyFill="1" applyBorder="1" applyAlignment="1">
      <alignment horizontal="center" wrapText="1"/>
    </xf>
    <xf numFmtId="0" fontId="15" fillId="0" borderId="15" xfId="40" applyFont="1" applyFill="1" applyBorder="1" applyAlignment="1">
      <alignment horizontal="left" wrapText="1"/>
    </xf>
    <xf numFmtId="0" fontId="15" fillId="0" borderId="15" xfId="0" applyFont="1" applyFill="1" applyBorder="1" applyAlignment="1">
      <alignment horizontal="left" wrapText="1"/>
    </xf>
    <xf numFmtId="0" fontId="15" fillId="0" borderId="0" xfId="73" applyFont="1" applyFill="1" applyBorder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15" fillId="0" borderId="0" xfId="67" applyFont="1" applyFill="1" applyBorder="1" applyAlignment="1">
      <alignment horizontal="right"/>
    </xf>
    <xf numFmtId="0" fontId="15" fillId="0" borderId="14" xfId="67" applyFont="1" applyFill="1" applyBorder="1" applyAlignment="1">
      <alignment horizontal="right"/>
    </xf>
    <xf numFmtId="0" fontId="15" fillId="0" borderId="9" xfId="67" applyFont="1" applyFill="1" applyBorder="1" applyAlignment="1">
      <alignment horizontal="center"/>
    </xf>
    <xf numFmtId="0" fontId="15" fillId="0" borderId="0" xfId="67" applyFont="1" applyFill="1" applyAlignment="1">
      <alignment horizontal="left" vertical="center"/>
    </xf>
    <xf numFmtId="0" fontId="15" fillId="0" borderId="3" xfId="67" applyFont="1" applyFill="1" applyBorder="1" applyAlignment="1">
      <alignment horizontal="center"/>
    </xf>
    <xf numFmtId="14" fontId="15" fillId="0" borderId="1" xfId="67" applyNumberFormat="1" applyFont="1" applyFill="1" applyBorder="1" applyAlignment="1">
      <alignment horizontal="center"/>
    </xf>
    <xf numFmtId="0" fontId="15" fillId="0" borderId="2" xfId="67" applyFont="1" applyFill="1" applyBorder="1" applyAlignment="1">
      <alignment horizontal="center" vertical="center" wrapText="1"/>
    </xf>
    <xf numFmtId="0" fontId="15" fillId="0" borderId="9" xfId="67" applyFont="1" applyFill="1" applyBorder="1" applyAlignment="1">
      <alignment horizontal="center" vertical="center" wrapText="1"/>
    </xf>
    <xf numFmtId="0" fontId="15" fillId="0" borderId="10" xfId="67" applyFont="1" applyFill="1" applyBorder="1" applyAlignment="1">
      <alignment horizontal="center" vertical="center" wrapText="1"/>
    </xf>
    <xf numFmtId="0" fontId="15" fillId="0" borderId="6" xfId="67" applyFont="1" applyFill="1" applyBorder="1" applyAlignment="1">
      <alignment horizontal="center" vertical="center" wrapText="1"/>
    </xf>
    <xf numFmtId="0" fontId="15" fillId="0" borderId="13" xfId="67" applyFont="1" applyFill="1" applyBorder="1" applyAlignment="1">
      <alignment horizontal="center" vertical="center" wrapText="1"/>
    </xf>
    <xf numFmtId="0" fontId="15" fillId="0" borderId="9" xfId="67" applyFont="1" applyFill="1" applyBorder="1" applyAlignment="1">
      <alignment horizontal="center" vertical="center" wrapText="1"/>
    </xf>
    <xf numFmtId="0" fontId="15" fillId="0" borderId="2" xfId="67" applyFont="1" applyFill="1" applyBorder="1" applyAlignment="1">
      <alignment horizontal="center" vertical="center" wrapText="1"/>
    </xf>
    <xf numFmtId="14" fontId="15" fillId="0" borderId="3" xfId="67" applyNumberFormat="1" applyFont="1" applyFill="1" applyBorder="1" applyAlignment="1">
      <alignment horizontal="center"/>
    </xf>
    <xf numFmtId="14" fontId="15" fillId="0" borderId="1" xfId="67" applyNumberFormat="1" applyFont="1" applyFill="1" applyBorder="1" applyAlignment="1">
      <alignment horizontal="center"/>
    </xf>
    <xf numFmtId="0" fontId="15" fillId="0" borderId="0" xfId="67" applyFont="1" applyFill="1" applyBorder="1" applyAlignment="1">
      <alignment horizontal="center"/>
    </xf>
    <xf numFmtId="14" fontId="15" fillId="0" borderId="0" xfId="67" applyNumberFormat="1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5" fillId="0" borderId="15" xfId="0" applyFont="1" applyFill="1" applyBorder="1" applyAlignment="1">
      <alignment horizontal="left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wrapText="1"/>
    </xf>
    <xf numFmtId="0" fontId="18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right" wrapText="1"/>
    </xf>
    <xf numFmtId="0" fontId="15" fillId="0" borderId="0" xfId="0" applyFont="1" applyFill="1" applyAlignment="1">
      <alignment horizontal="right"/>
    </xf>
    <xf numFmtId="168" fontId="15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 wrapText="1"/>
    </xf>
    <xf numFmtId="169" fontId="15" fillId="0" borderId="0" xfId="0" applyNumberFormat="1" applyFont="1" applyFill="1" applyAlignment="1">
      <alignment horizontal="right"/>
    </xf>
    <xf numFmtId="169" fontId="30" fillId="0" borderId="0" xfId="0" applyNumberFormat="1" applyFont="1" applyFill="1" applyAlignment="1">
      <alignment horizontal="right"/>
    </xf>
    <xf numFmtId="169" fontId="18" fillId="0" borderId="8" xfId="0" applyNumberFormat="1" applyFont="1" applyFill="1" applyBorder="1" applyAlignment="1">
      <alignment horizontal="right"/>
    </xf>
    <xf numFmtId="169" fontId="101" fillId="0" borderId="0" xfId="0" applyNumberFormat="1" applyFont="1" applyFill="1"/>
    <xf numFmtId="0" fontId="30" fillId="0" borderId="0" xfId="0" applyFont="1" applyFill="1" applyAlignment="1">
      <alignment horizontal="left" vertical="top"/>
    </xf>
    <xf numFmtId="0" fontId="30" fillId="0" borderId="0" xfId="0" applyFont="1" applyFill="1" applyAlignment="1">
      <alignment horizontal="left" vertical="top" wrapText="1"/>
    </xf>
    <xf numFmtId="0" fontId="30" fillId="0" borderId="0" xfId="0" applyFont="1" applyFill="1" applyAlignment="1">
      <alignment horizontal="right"/>
    </xf>
    <xf numFmtId="168" fontId="30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right" shrinkToFit="1"/>
    </xf>
    <xf numFmtId="0" fontId="18" fillId="0" borderId="8" xfId="0" applyFont="1" applyFill="1" applyBorder="1" applyAlignment="1">
      <alignment horizontal="left" vertical="top"/>
    </xf>
    <xf numFmtId="0" fontId="18" fillId="0" borderId="8" xfId="0" applyFont="1" applyFill="1" applyBorder="1" applyAlignment="1">
      <alignment horizontal="left" vertical="top" wrapText="1"/>
    </xf>
    <xf numFmtId="0" fontId="102" fillId="0" borderId="8" xfId="0" applyFont="1" applyFill="1" applyBorder="1" applyAlignment="1">
      <alignment horizontal="right" wrapText="1"/>
    </xf>
    <xf numFmtId="0" fontId="18" fillId="0" borderId="8" xfId="0" applyFont="1" applyFill="1" applyBorder="1" applyAlignment="1">
      <alignment horizontal="right"/>
    </xf>
    <xf numFmtId="168" fontId="18" fillId="0" borderId="8" xfId="0" applyNumberFormat="1" applyFont="1" applyFill="1" applyBorder="1" applyAlignment="1">
      <alignment horizontal="right"/>
    </xf>
    <xf numFmtId="0" fontId="18" fillId="0" borderId="8" xfId="0" applyFont="1" applyFill="1" applyBorder="1" applyAlignment="1">
      <alignment horizontal="right" wrapText="1"/>
    </xf>
    <xf numFmtId="0" fontId="18" fillId="0" borderId="0" xfId="0" applyFont="1" applyFill="1" applyAlignment="1">
      <alignment horizontal="left" wrapText="1"/>
    </xf>
    <xf numFmtId="169" fontId="18" fillId="0" borderId="0" xfId="0" applyNumberFormat="1" applyFont="1" applyFill="1" applyAlignment="1">
      <alignment horizontal="right"/>
    </xf>
    <xf numFmtId="0" fontId="18" fillId="0" borderId="0" xfId="0" applyFont="1" applyFill="1" applyAlignment="1">
      <alignment horizontal="right"/>
    </xf>
    <xf numFmtId="0" fontId="15" fillId="0" borderId="0" xfId="0" applyFont="1" applyFill="1" applyAlignment="1">
      <alignment horizontal="left" vertical="top"/>
    </xf>
    <xf numFmtId="0" fontId="45" fillId="0" borderId="0" xfId="0" applyFont="1" applyFill="1" applyAlignment="1">
      <alignment horizontal="left" vertical="top" wrapText="1"/>
    </xf>
    <xf numFmtId="0" fontId="15" fillId="0" borderId="15" xfId="0" applyFont="1" applyFill="1" applyBorder="1" applyAlignment="1">
      <alignment horizontal="left" vertical="top"/>
    </xf>
    <xf numFmtId="0" fontId="101" fillId="0" borderId="8" xfId="0" applyFont="1" applyFill="1" applyBorder="1"/>
    <xf numFmtId="0" fontId="18" fillId="0" borderId="0" xfId="0" applyFont="1" applyFill="1" applyAlignment="1">
      <alignment horizontal="left" wrapText="1"/>
    </xf>
    <xf numFmtId="0" fontId="15" fillId="0" borderId="0" xfId="0" applyFont="1" applyFill="1" applyAlignment="1">
      <alignment horizontal="left" wrapText="1"/>
    </xf>
    <xf numFmtId="169" fontId="15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left" wrapText="1"/>
    </xf>
    <xf numFmtId="169" fontId="18" fillId="0" borderId="0" xfId="0" applyNumberFormat="1" applyFont="1" applyFill="1" applyAlignment="1">
      <alignment horizontal="right"/>
    </xf>
    <xf numFmtId="167" fontId="18" fillId="0" borderId="0" xfId="0" applyNumberFormat="1" applyFont="1" applyFill="1" applyAlignment="1">
      <alignment horizontal="right"/>
    </xf>
    <xf numFmtId="169" fontId="60" fillId="0" borderId="0" xfId="22" applyNumberFormat="1" applyFont="1" applyFill="1"/>
    <xf numFmtId="4" fontId="101" fillId="0" borderId="0" xfId="0" applyNumberFormat="1" applyFont="1" applyFill="1" applyAlignment="1">
      <alignment horizontal="right"/>
    </xf>
    <xf numFmtId="4" fontId="15" fillId="0" borderId="0" xfId="45" applyNumberFormat="1" applyFont="1" applyFill="1"/>
    <xf numFmtId="4" fontId="15" fillId="0" borderId="0" xfId="46" applyNumberFormat="1" applyFont="1" applyFill="1"/>
    <xf numFmtId="169" fontId="15" fillId="0" borderId="0" xfId="21" applyNumberFormat="1" applyFont="1" applyFill="1" applyAlignment="1"/>
    <xf numFmtId="167" fontId="18" fillId="0" borderId="0" xfId="21" applyNumberFormat="1" applyFont="1" applyFill="1" applyAlignment="1"/>
    <xf numFmtId="169" fontId="15" fillId="0" borderId="0" xfId="21" applyNumberFormat="1" applyFont="1" applyFill="1" applyAlignment="1">
      <alignment horizontal="right"/>
    </xf>
    <xf numFmtId="4" fontId="18" fillId="0" borderId="0" xfId="21" applyNumberFormat="1" applyFont="1" applyFill="1" applyAlignment="1">
      <alignment horizontal="right"/>
    </xf>
    <xf numFmtId="169" fontId="18" fillId="0" borderId="0" xfId="21" applyNumberFormat="1" applyFont="1" applyFill="1" applyAlignment="1"/>
    <xf numFmtId="0" fontId="103" fillId="0" borderId="0" xfId="67" applyFont="1" applyFill="1"/>
    <xf numFmtId="0" fontId="104" fillId="0" borderId="0" xfId="67" applyFont="1" applyFill="1"/>
    <xf numFmtId="0" fontId="103" fillId="0" borderId="0" xfId="67" applyFont="1" applyFill="1" applyAlignment="1">
      <alignment horizontal="right"/>
    </xf>
    <xf numFmtId="0" fontId="105" fillId="0" borderId="0" xfId="0" applyFont="1" applyFill="1"/>
    <xf numFmtId="0" fontId="103" fillId="0" borderId="1" xfId="67" applyFont="1" applyFill="1" applyBorder="1" applyAlignment="1">
      <alignment horizontal="center"/>
    </xf>
    <xf numFmtId="0" fontId="103" fillId="0" borderId="0" xfId="67" applyFont="1" applyFill="1" applyAlignment="1">
      <alignment horizontal="right"/>
    </xf>
    <xf numFmtId="0" fontId="103" fillId="0" borderId="1" xfId="67" quotePrefix="1" applyFont="1" applyFill="1" applyBorder="1" applyAlignment="1">
      <alignment horizontal="center"/>
    </xf>
    <xf numFmtId="0" fontId="103" fillId="0" borderId="0" xfId="40" applyFont="1" applyFill="1" applyAlignment="1">
      <alignment horizontal="left" wrapText="1"/>
    </xf>
    <xf numFmtId="0" fontId="103" fillId="0" borderId="15" xfId="40" applyFont="1" applyFill="1" applyBorder="1" applyAlignment="1">
      <alignment horizontal="left"/>
    </xf>
    <xf numFmtId="0" fontId="103" fillId="0" borderId="0" xfId="40" applyFont="1" applyFill="1"/>
    <xf numFmtId="0" fontId="103" fillId="0" borderId="8" xfId="40" applyFont="1" applyFill="1" applyBorder="1" applyAlignment="1">
      <alignment horizontal="center"/>
    </xf>
    <xf numFmtId="49" fontId="103" fillId="0" borderId="1" xfId="67" applyNumberFormat="1" applyFont="1" applyFill="1" applyBorder="1" applyAlignment="1">
      <alignment horizontal="center"/>
    </xf>
    <xf numFmtId="0" fontId="103" fillId="0" borderId="0" xfId="21" applyFont="1" applyFill="1"/>
    <xf numFmtId="0" fontId="103" fillId="0" borderId="15" xfId="21" applyFont="1" applyFill="1" applyBorder="1" applyAlignment="1">
      <alignment horizontal="center" wrapText="1"/>
    </xf>
    <xf numFmtId="0" fontId="103" fillId="0" borderId="15" xfId="40" applyFont="1" applyFill="1" applyBorder="1" applyAlignment="1">
      <alignment horizontal="left" wrapText="1"/>
    </xf>
    <xf numFmtId="0" fontId="103" fillId="0" borderId="15" xfId="0" applyFont="1" applyFill="1" applyBorder="1" applyAlignment="1">
      <alignment horizontal="left" wrapText="1"/>
    </xf>
    <xf numFmtId="0" fontId="103" fillId="0" borderId="0" xfId="73" applyFont="1" applyFill="1" applyBorder="1" applyAlignment="1">
      <alignment horizontal="left" wrapText="1"/>
    </xf>
    <xf numFmtId="0" fontId="103" fillId="0" borderId="0" xfId="0" applyFont="1" applyFill="1" applyBorder="1" applyAlignment="1">
      <alignment horizontal="left" wrapText="1"/>
    </xf>
    <xf numFmtId="0" fontId="103" fillId="0" borderId="0" xfId="67" applyFont="1" applyFill="1" applyBorder="1" applyAlignment="1">
      <alignment horizontal="right"/>
    </xf>
    <xf numFmtId="0" fontId="103" fillId="0" borderId="14" xfId="67" applyFont="1" applyFill="1" applyBorder="1" applyAlignment="1">
      <alignment horizontal="right"/>
    </xf>
    <xf numFmtId="0" fontId="103" fillId="0" borderId="9" xfId="67" applyFont="1" applyFill="1" applyBorder="1" applyAlignment="1">
      <alignment horizontal="center"/>
    </xf>
    <xf numFmtId="0" fontId="103" fillId="0" borderId="0" xfId="67" applyFont="1" applyFill="1" applyAlignment="1">
      <alignment horizontal="left" vertical="center"/>
    </xf>
    <xf numFmtId="0" fontId="103" fillId="0" borderId="3" xfId="67" applyFont="1" applyFill="1" applyBorder="1" applyAlignment="1">
      <alignment horizontal="center"/>
    </xf>
    <xf numFmtId="14" fontId="103" fillId="0" borderId="1" xfId="67" applyNumberFormat="1" applyFont="1" applyFill="1" applyBorder="1" applyAlignment="1">
      <alignment horizontal="center"/>
    </xf>
    <xf numFmtId="0" fontId="103" fillId="0" borderId="2" xfId="67" applyFont="1" applyFill="1" applyBorder="1" applyAlignment="1">
      <alignment horizontal="center" vertical="center" wrapText="1"/>
    </xf>
    <xf numFmtId="0" fontId="103" fillId="0" borderId="9" xfId="67" applyFont="1" applyFill="1" applyBorder="1" applyAlignment="1">
      <alignment horizontal="center" vertical="center" wrapText="1"/>
    </xf>
    <xf numFmtId="0" fontId="103" fillId="0" borderId="10" xfId="67" applyFont="1" applyFill="1" applyBorder="1" applyAlignment="1">
      <alignment horizontal="center" vertical="center" wrapText="1"/>
    </xf>
    <xf numFmtId="0" fontId="103" fillId="0" borderId="6" xfId="67" applyFont="1" applyFill="1" applyBorder="1" applyAlignment="1">
      <alignment horizontal="center" vertical="center" wrapText="1"/>
    </xf>
    <xf numFmtId="0" fontId="103" fillId="0" borderId="13" xfId="67" applyFont="1" applyFill="1" applyBorder="1" applyAlignment="1">
      <alignment horizontal="center" vertical="center" wrapText="1"/>
    </xf>
    <xf numFmtId="0" fontId="103" fillId="0" borderId="9" xfId="67" applyFont="1" applyFill="1" applyBorder="1" applyAlignment="1">
      <alignment horizontal="center" vertical="center" wrapText="1"/>
    </xf>
    <xf numFmtId="0" fontId="103" fillId="0" borderId="2" xfId="67" applyFont="1" applyFill="1" applyBorder="1" applyAlignment="1">
      <alignment horizontal="center" vertical="center" wrapText="1"/>
    </xf>
    <xf numFmtId="14" fontId="103" fillId="0" borderId="3" xfId="67" applyNumberFormat="1" applyFont="1" applyFill="1" applyBorder="1" applyAlignment="1">
      <alignment horizontal="center"/>
    </xf>
    <xf numFmtId="14" fontId="103" fillId="0" borderId="1" xfId="67" applyNumberFormat="1" applyFont="1" applyFill="1" applyBorder="1" applyAlignment="1">
      <alignment horizontal="center"/>
    </xf>
    <xf numFmtId="0" fontId="103" fillId="0" borderId="0" xfId="67" applyFont="1" applyFill="1" applyBorder="1" applyAlignment="1">
      <alignment horizontal="center"/>
    </xf>
    <xf numFmtId="14" fontId="103" fillId="0" borderId="0" xfId="67" applyNumberFormat="1" applyFont="1" applyFill="1" applyBorder="1" applyAlignment="1">
      <alignment horizontal="center"/>
    </xf>
    <xf numFmtId="0" fontId="104" fillId="0" borderId="0" xfId="0" applyFont="1" applyFill="1" applyAlignment="1">
      <alignment horizontal="center"/>
    </xf>
    <xf numFmtId="0" fontId="103" fillId="0" borderId="0" xfId="0" applyFont="1" applyFill="1"/>
    <xf numFmtId="169" fontId="104" fillId="0" borderId="15" xfId="0" applyNumberFormat="1" applyFont="1" applyFill="1" applyBorder="1" applyAlignment="1">
      <alignment horizontal="right"/>
    </xf>
    <xf numFmtId="0" fontId="103" fillId="0" borderId="15" xfId="0" applyFont="1" applyFill="1" applyBorder="1" applyAlignment="1">
      <alignment horizontal="left" wrapText="1"/>
    </xf>
    <xf numFmtId="0" fontId="103" fillId="0" borderId="1" xfId="0" applyFont="1" applyFill="1" applyBorder="1" applyAlignment="1">
      <alignment horizontal="center" vertical="center" wrapText="1"/>
    </xf>
    <xf numFmtId="0" fontId="103" fillId="0" borderId="2" xfId="0" applyFont="1" applyFill="1" applyBorder="1" applyAlignment="1">
      <alignment horizontal="center" vertical="center" wrapText="1"/>
    </xf>
    <xf numFmtId="0" fontId="103" fillId="0" borderId="7" xfId="0" applyFont="1" applyFill="1" applyBorder="1" applyAlignment="1">
      <alignment horizontal="center" vertical="center" wrapText="1"/>
    </xf>
    <xf numFmtId="0" fontId="103" fillId="0" borderId="6" xfId="0" applyFont="1" applyFill="1" applyBorder="1" applyAlignment="1">
      <alignment horizontal="center" vertical="center" wrapText="1"/>
    </xf>
    <xf numFmtId="0" fontId="103" fillId="0" borderId="1" xfId="0" applyFont="1" applyFill="1" applyBorder="1" applyAlignment="1">
      <alignment horizontal="center" vertical="center" wrapText="1"/>
    </xf>
    <xf numFmtId="0" fontId="104" fillId="0" borderId="0" xfId="0" applyFont="1" applyFill="1" applyAlignment="1">
      <alignment horizontal="center" wrapText="1"/>
    </xf>
    <xf numFmtId="0" fontId="104" fillId="0" borderId="0" xfId="0" applyFont="1" applyFill="1" applyAlignment="1">
      <alignment horizontal="center" wrapText="1"/>
    </xf>
    <xf numFmtId="0" fontId="103" fillId="0" borderId="0" xfId="0" applyFont="1" applyFill="1" applyAlignment="1">
      <alignment horizontal="left" vertical="top"/>
    </xf>
    <xf numFmtId="0" fontId="103" fillId="0" borderId="0" xfId="0" applyFont="1" applyFill="1" applyAlignment="1">
      <alignment horizontal="left" vertical="top" wrapText="1"/>
    </xf>
    <xf numFmtId="0" fontId="106" fillId="0" borderId="0" xfId="0" applyFont="1" applyFill="1" applyAlignment="1">
      <alignment horizontal="right" wrapText="1"/>
    </xf>
    <xf numFmtId="0" fontId="103" fillId="0" borderId="0" xfId="0" applyFont="1" applyFill="1" applyAlignment="1">
      <alignment horizontal="right"/>
    </xf>
    <xf numFmtId="168" fontId="103" fillId="0" borderId="0" xfId="0" applyNumberFormat="1" applyFont="1" applyFill="1" applyAlignment="1">
      <alignment horizontal="right"/>
    </xf>
    <xf numFmtId="0" fontId="103" fillId="0" borderId="0" xfId="0" applyFont="1" applyFill="1" applyAlignment="1">
      <alignment horizontal="right" wrapText="1"/>
    </xf>
    <xf numFmtId="169" fontId="103" fillId="0" borderId="0" xfId="0" applyNumberFormat="1" applyFont="1" applyFill="1" applyAlignment="1">
      <alignment horizontal="right"/>
    </xf>
    <xf numFmtId="169" fontId="106" fillId="0" borderId="0" xfId="0" applyNumberFormat="1" applyFont="1" applyFill="1" applyAlignment="1">
      <alignment horizontal="right"/>
    </xf>
    <xf numFmtId="169" fontId="104" fillId="0" borderId="8" xfId="0" applyNumberFormat="1" applyFont="1" applyFill="1" applyBorder="1" applyAlignment="1">
      <alignment horizontal="right"/>
    </xf>
    <xf numFmtId="169" fontId="105" fillId="0" borderId="0" xfId="0" applyNumberFormat="1" applyFont="1" applyFill="1"/>
    <xf numFmtId="0" fontId="106" fillId="0" borderId="0" xfId="0" applyFont="1" applyFill="1" applyAlignment="1">
      <alignment horizontal="left" vertical="top"/>
    </xf>
    <xf numFmtId="0" fontId="106" fillId="0" borderId="0" xfId="0" applyFont="1" applyFill="1" applyAlignment="1">
      <alignment horizontal="left" vertical="top" wrapText="1"/>
    </xf>
    <xf numFmtId="0" fontId="106" fillId="0" borderId="0" xfId="0" applyFont="1" applyFill="1" applyAlignment="1">
      <alignment horizontal="right"/>
    </xf>
    <xf numFmtId="168" fontId="106" fillId="0" borderId="0" xfId="0" applyNumberFormat="1" applyFont="1" applyFill="1" applyAlignment="1">
      <alignment horizontal="right"/>
    </xf>
    <xf numFmtId="0" fontId="106" fillId="0" borderId="0" xfId="0" applyFont="1" applyFill="1" applyAlignment="1">
      <alignment horizontal="right" shrinkToFit="1"/>
    </xf>
    <xf numFmtId="0" fontId="104" fillId="0" borderId="8" xfId="0" applyFont="1" applyFill="1" applyBorder="1" applyAlignment="1">
      <alignment horizontal="left" vertical="top"/>
    </xf>
    <xf numFmtId="0" fontId="104" fillId="0" borderId="8" xfId="0" applyFont="1" applyFill="1" applyBorder="1" applyAlignment="1">
      <alignment horizontal="left" vertical="top" wrapText="1"/>
    </xf>
    <xf numFmtId="0" fontId="107" fillId="0" borderId="8" xfId="0" applyFont="1" applyFill="1" applyBorder="1" applyAlignment="1">
      <alignment horizontal="right" wrapText="1"/>
    </xf>
    <xf numFmtId="0" fontId="104" fillId="0" borderId="8" xfId="0" applyFont="1" applyFill="1" applyBorder="1" applyAlignment="1">
      <alignment horizontal="right"/>
    </xf>
    <xf numFmtId="168" fontId="104" fillId="0" borderId="8" xfId="0" applyNumberFormat="1" applyFont="1" applyFill="1" applyBorder="1" applyAlignment="1">
      <alignment horizontal="right"/>
    </xf>
    <xf numFmtId="0" fontId="104" fillId="0" borderId="8" xfId="0" applyFont="1" applyFill="1" applyBorder="1" applyAlignment="1">
      <alignment horizontal="right" wrapText="1"/>
    </xf>
    <xf numFmtId="0" fontId="104" fillId="0" borderId="0" xfId="0" applyFont="1" applyFill="1" applyAlignment="1">
      <alignment horizontal="left" wrapText="1"/>
    </xf>
    <xf numFmtId="169" fontId="104" fillId="0" borderId="0" xfId="0" applyNumberFormat="1" applyFont="1" applyFill="1" applyAlignment="1">
      <alignment horizontal="right"/>
    </xf>
    <xf numFmtId="0" fontId="104" fillId="0" borderId="0" xfId="0" applyFont="1" applyFill="1" applyAlignment="1">
      <alignment horizontal="right"/>
    </xf>
    <xf numFmtId="0" fontId="103" fillId="0" borderId="0" xfId="0" applyFont="1" applyFill="1" applyAlignment="1">
      <alignment horizontal="left" vertical="top"/>
    </xf>
    <xf numFmtId="0" fontId="108" fillId="0" borderId="0" xfId="0" applyFont="1" applyFill="1" applyAlignment="1">
      <alignment horizontal="left" vertical="top" wrapText="1"/>
    </xf>
    <xf numFmtId="0" fontId="103" fillId="0" borderId="15" xfId="0" applyFont="1" applyFill="1" applyBorder="1" applyAlignment="1">
      <alignment horizontal="left" vertical="top"/>
    </xf>
    <xf numFmtId="0" fontId="103" fillId="0" borderId="0" xfId="48" applyFont="1" applyFill="1" applyAlignment="1">
      <alignment horizontal="left" vertical="top" wrapText="1"/>
    </xf>
    <xf numFmtId="0" fontId="106" fillId="0" borderId="0" xfId="48" applyFont="1" applyFill="1" applyAlignment="1">
      <alignment horizontal="right" wrapText="1"/>
    </xf>
    <xf numFmtId="0" fontId="103" fillId="0" borderId="0" xfId="48" applyFont="1" applyFill="1" applyAlignment="1">
      <alignment horizontal="right"/>
    </xf>
    <xf numFmtId="169" fontId="103" fillId="0" borderId="0" xfId="48" applyNumberFormat="1" applyFont="1" applyFill="1" applyAlignment="1">
      <alignment horizontal="right"/>
    </xf>
    <xf numFmtId="0" fontId="103" fillId="0" borderId="0" xfId="48" applyFont="1" applyFill="1" applyAlignment="1">
      <alignment horizontal="right" wrapText="1"/>
    </xf>
    <xf numFmtId="0" fontId="105" fillId="0" borderId="8" xfId="0" applyFont="1" applyFill="1" applyBorder="1"/>
    <xf numFmtId="0" fontId="104" fillId="0" borderId="0" xfId="0" applyFont="1" applyFill="1" applyAlignment="1">
      <alignment horizontal="left" wrapText="1"/>
    </xf>
    <xf numFmtId="0" fontId="103" fillId="0" borderId="0" xfId="0" applyFont="1" applyFill="1" applyAlignment="1">
      <alignment horizontal="left" wrapText="1"/>
    </xf>
    <xf numFmtId="169" fontId="103" fillId="0" borderId="0" xfId="0" applyNumberFormat="1" applyFont="1" applyFill="1" applyAlignment="1">
      <alignment horizontal="right"/>
    </xf>
    <xf numFmtId="0" fontId="103" fillId="0" borderId="0" xfId="0" applyFont="1" applyFill="1" applyAlignment="1">
      <alignment horizontal="left" wrapText="1"/>
    </xf>
    <xf numFmtId="169" fontId="104" fillId="0" borderId="0" xfId="0" applyNumberFormat="1" applyFont="1" applyFill="1" applyAlignment="1">
      <alignment horizontal="right"/>
    </xf>
    <xf numFmtId="167" fontId="104" fillId="0" borderId="0" xfId="0" applyNumberFormat="1" applyFont="1" applyFill="1" applyAlignment="1">
      <alignment horizontal="right"/>
    </xf>
    <xf numFmtId="0" fontId="109" fillId="0" borderId="0" xfId="22" applyFont="1" applyFill="1"/>
    <xf numFmtId="169" fontId="109" fillId="0" borderId="0" xfId="22" applyNumberFormat="1" applyFont="1" applyFill="1"/>
    <xf numFmtId="4" fontId="105" fillId="0" borderId="0" xfId="0" applyNumberFormat="1" applyFont="1" applyFill="1" applyAlignment="1">
      <alignment horizontal="right"/>
    </xf>
    <xf numFmtId="4" fontId="103" fillId="0" borderId="0" xfId="45" applyNumberFormat="1" applyFont="1" applyFill="1"/>
    <xf numFmtId="4" fontId="103" fillId="0" borderId="0" xfId="46" applyNumberFormat="1" applyFont="1" applyFill="1"/>
    <xf numFmtId="169" fontId="103" fillId="0" borderId="0" xfId="21" applyNumberFormat="1" applyFont="1" applyFill="1" applyAlignment="1"/>
    <xf numFmtId="0" fontId="104" fillId="0" borderId="0" xfId="21" applyFont="1" applyFill="1"/>
    <xf numFmtId="167" fontId="104" fillId="0" borderId="0" xfId="21" applyNumberFormat="1" applyFont="1" applyFill="1" applyAlignment="1"/>
    <xf numFmtId="169" fontId="103" fillId="0" borderId="0" xfId="21" applyNumberFormat="1" applyFont="1" applyFill="1" applyAlignment="1">
      <alignment horizontal="right"/>
    </xf>
    <xf numFmtId="4" fontId="104" fillId="0" borderId="0" xfId="21" applyNumberFormat="1" applyFont="1" applyFill="1" applyAlignment="1">
      <alignment horizontal="right"/>
    </xf>
    <xf numFmtId="169" fontId="104" fillId="0" borderId="0" xfId="21" applyNumberFormat="1" applyFont="1" applyFill="1" applyAlignment="1"/>
    <xf numFmtId="0" fontId="110" fillId="0" borderId="0" xfId="0" applyFont="1" applyFill="1" applyAlignment="1">
      <alignment horizontal="right" wrapText="1"/>
    </xf>
    <xf numFmtId="0" fontId="56" fillId="0" borderId="0" xfId="0" applyFont="1" applyFill="1" applyAlignment="1">
      <alignment horizontal="center"/>
    </xf>
    <xf numFmtId="169" fontId="10" fillId="0" borderId="0" xfId="0" applyNumberFormat="1" applyFont="1" applyFill="1"/>
    <xf numFmtId="4" fontId="43" fillId="0" borderId="0" xfId="0" applyNumberFormat="1" applyFont="1" applyFill="1"/>
    <xf numFmtId="4" fontId="10" fillId="0" borderId="0" xfId="0" applyNumberFormat="1" applyFont="1" applyFill="1" applyAlignment="1">
      <alignment horizontal="right"/>
    </xf>
    <xf numFmtId="0" fontId="111" fillId="0" borderId="0" xfId="0" applyFont="1" applyFill="1" applyAlignment="1">
      <alignment horizontal="center"/>
    </xf>
    <xf numFmtId="4" fontId="15" fillId="0" borderId="0" xfId="0" applyNumberFormat="1" applyFont="1" applyFill="1" applyAlignment="1">
      <alignment horizontal="right"/>
    </xf>
    <xf numFmtId="0" fontId="30" fillId="0" borderId="0" xfId="28" applyFont="1" applyFill="1" applyAlignment="1">
      <alignment horizontal="right" wrapText="1"/>
    </xf>
    <xf numFmtId="0" fontId="15" fillId="0" borderId="0" xfId="28" applyFont="1" applyFill="1" applyAlignment="1">
      <alignment horizontal="right"/>
    </xf>
    <xf numFmtId="169" fontId="15" fillId="0" borderId="0" xfId="28" applyNumberFormat="1" applyFont="1" applyFill="1" applyAlignment="1">
      <alignment horizontal="right"/>
    </xf>
    <xf numFmtId="0" fontId="15" fillId="0" borderId="0" xfId="28" applyFont="1" applyFill="1" applyAlignment="1">
      <alignment horizontal="right" wrapText="1"/>
    </xf>
    <xf numFmtId="4" fontId="38" fillId="0" borderId="0" xfId="0" applyNumberFormat="1" applyFont="1" applyFill="1"/>
    <xf numFmtId="0" fontId="45" fillId="0" borderId="0" xfId="28" applyFont="1" applyFill="1" applyAlignment="1">
      <alignment horizontal="left" vertical="top" wrapText="1"/>
    </xf>
    <xf numFmtId="0" fontId="15" fillId="0" borderId="0" xfId="28" applyFont="1" applyFill="1" applyAlignment="1">
      <alignment horizontal="left" vertical="top" wrapText="1"/>
    </xf>
    <xf numFmtId="0" fontId="15" fillId="0" borderId="8" xfId="28" applyFont="1" applyFill="1" applyBorder="1"/>
    <xf numFmtId="169" fontId="18" fillId="0" borderId="8" xfId="28" applyNumberFormat="1" applyFont="1" applyFill="1" applyBorder="1" applyAlignment="1">
      <alignment horizontal="right"/>
    </xf>
    <xf numFmtId="169" fontId="18" fillId="0" borderId="0" xfId="28" applyNumberFormat="1" applyFont="1" applyFill="1" applyAlignment="1">
      <alignment horizontal="right"/>
    </xf>
    <xf numFmtId="0" fontId="38" fillId="0" borderId="0" xfId="0" applyFont="1" applyFill="1"/>
    <xf numFmtId="0" fontId="57" fillId="0" borderId="0" xfId="0" applyFont="1" applyFill="1" applyAlignment="1">
      <alignment horizontal="left" wrapText="1"/>
    </xf>
    <xf numFmtId="0" fontId="57" fillId="0" borderId="0" xfId="0" applyFont="1" applyFill="1" applyAlignment="1">
      <alignment horizontal="left" wrapText="1"/>
    </xf>
    <xf numFmtId="171" fontId="38" fillId="0" borderId="0" xfId="0" applyNumberFormat="1" applyFont="1" applyFill="1"/>
    <xf numFmtId="169" fontId="28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/>
    </xf>
    <xf numFmtId="168" fontId="25" fillId="0" borderId="0" xfId="0" applyNumberFormat="1" applyFont="1" applyFill="1" applyBorder="1" applyAlignment="1">
      <alignment horizontal="right"/>
    </xf>
    <xf numFmtId="0" fontId="25" fillId="0" borderId="0" xfId="0" applyFont="1" applyFill="1" applyBorder="1" applyAlignment="1">
      <alignment horizontal="right" wrapText="1"/>
    </xf>
    <xf numFmtId="169" fontId="25" fillId="0" borderId="0" xfId="0" applyNumberFormat="1" applyFont="1" applyFill="1" applyBorder="1" applyAlignment="1">
      <alignment horizontal="right"/>
    </xf>
    <xf numFmtId="43" fontId="0" fillId="0" borderId="0" xfId="50" applyFont="1" applyFill="1"/>
    <xf numFmtId="0" fontId="27" fillId="0" borderId="0" xfId="87" applyFont="1" applyFill="1"/>
    <xf numFmtId="0" fontId="27" fillId="0" borderId="15" xfId="87" applyFont="1" applyFill="1" applyBorder="1" applyAlignment="1">
      <alignment horizontal="left" wrapText="1"/>
    </xf>
    <xf numFmtId="0" fontId="91" fillId="0" borderId="0" xfId="23" applyFont="1" applyFill="1" applyAlignment="1">
      <alignment horizontal="center" wrapText="1"/>
    </xf>
    <xf numFmtId="0" fontId="27" fillId="0" borderId="0" xfId="23" applyFont="1" applyFill="1" applyAlignment="1">
      <alignment horizontal="center"/>
    </xf>
    <xf numFmtId="169" fontId="92" fillId="0" borderId="0" xfId="87" applyNumberFormat="1" applyFont="1" applyFill="1" applyBorder="1" applyAlignment="1">
      <alignment horizontal="right"/>
    </xf>
    <xf numFmtId="0" fontId="27" fillId="0" borderId="15" xfId="87" applyFont="1" applyFill="1" applyBorder="1" applyAlignment="1">
      <alignment horizontal="left" wrapText="1"/>
    </xf>
    <xf numFmtId="0" fontId="27" fillId="0" borderId="9" xfId="87" applyFont="1" applyFill="1" applyBorder="1" applyAlignment="1">
      <alignment horizontal="center" vertical="center" wrapText="1"/>
    </xf>
    <xf numFmtId="0" fontId="27" fillId="0" borderId="10" xfId="87" applyFont="1" applyFill="1" applyBorder="1" applyAlignment="1">
      <alignment horizontal="center" vertical="center" wrapText="1"/>
    </xf>
    <xf numFmtId="0" fontId="27" fillId="0" borderId="2" xfId="87" applyFont="1" applyFill="1" applyBorder="1" applyAlignment="1">
      <alignment horizontal="center" vertical="center" wrapText="1"/>
    </xf>
    <xf numFmtId="0" fontId="27" fillId="0" borderId="11" xfId="87" applyFont="1" applyFill="1" applyBorder="1" applyAlignment="1">
      <alignment horizontal="center" vertical="center" wrapText="1"/>
    </xf>
    <xf numFmtId="0" fontId="27" fillId="0" borderId="12" xfId="87" applyFont="1" applyFill="1" applyBorder="1" applyAlignment="1">
      <alignment horizontal="center" vertical="center" wrapText="1"/>
    </xf>
    <xf numFmtId="0" fontId="27" fillId="0" borderId="7" xfId="87" applyFont="1" applyFill="1" applyBorder="1" applyAlignment="1">
      <alignment horizontal="center" vertical="center" wrapText="1"/>
    </xf>
    <xf numFmtId="0" fontId="27" fillId="0" borderId="2" xfId="87" applyFont="1" applyFill="1" applyBorder="1" applyAlignment="1">
      <alignment horizontal="center" vertical="center" wrapText="1"/>
    </xf>
    <xf numFmtId="0" fontId="27" fillId="0" borderId="6" xfId="87" applyFont="1" applyFill="1" applyBorder="1" applyAlignment="1">
      <alignment horizontal="center" vertical="center" wrapText="1"/>
    </xf>
    <xf numFmtId="0" fontId="27" fillId="0" borderId="1" xfId="87" applyFont="1" applyFill="1" applyBorder="1" applyAlignment="1">
      <alignment horizontal="center" vertical="center" wrapText="1"/>
    </xf>
    <xf numFmtId="0" fontId="92" fillId="0" borderId="8" xfId="23" applyFont="1" applyFill="1" applyBorder="1" applyAlignment="1">
      <alignment horizontal="left" vertical="center" wrapText="1"/>
    </xf>
    <xf numFmtId="0" fontId="92" fillId="0" borderId="8" xfId="87" applyFont="1" applyFill="1" applyBorder="1" applyAlignment="1">
      <alignment horizontal="left" vertical="center" wrapText="1"/>
    </xf>
    <xf numFmtId="0" fontId="27" fillId="0" borderId="8" xfId="23" applyFont="1" applyFill="1" applyBorder="1" applyAlignment="1">
      <alignment horizontal="center" vertical="center" wrapText="1"/>
    </xf>
    <xf numFmtId="0" fontId="92" fillId="0" borderId="0" xfId="23" applyFont="1" applyFill="1" applyBorder="1" applyAlignment="1"/>
    <xf numFmtId="0" fontId="27" fillId="0" borderId="0" xfId="23" applyFont="1" applyFill="1" applyBorder="1" applyAlignment="1"/>
    <xf numFmtId="0" fontId="27" fillId="0" borderId="0" xfId="87" applyFont="1" applyFill="1" applyBorder="1"/>
    <xf numFmtId="0" fontId="92" fillId="0" borderId="0" xfId="23" applyFont="1" applyFill="1" applyBorder="1" applyAlignment="1">
      <alignment horizontal="center"/>
    </xf>
    <xf numFmtId="0" fontId="27" fillId="0" borderId="0" xfId="23" applyFont="1" applyFill="1" applyBorder="1" applyAlignment="1">
      <alignment horizontal="center"/>
    </xf>
    <xf numFmtId="0" fontId="92" fillId="0" borderId="0" xfId="23" applyFont="1" applyFill="1" applyBorder="1" applyAlignment="1">
      <alignment horizontal="center" wrapText="1"/>
    </xf>
    <xf numFmtId="0" fontId="27" fillId="0" borderId="0" xfId="23" applyFont="1" applyFill="1" applyBorder="1" applyAlignment="1">
      <alignment horizontal="center" wrapText="1"/>
    </xf>
    <xf numFmtId="0" fontId="91" fillId="0" borderId="0" xfId="23" applyFont="1" applyFill="1" applyBorder="1" applyAlignment="1"/>
    <xf numFmtId="0" fontId="93" fillId="0" borderId="0" xfId="23" applyFont="1" applyFill="1" applyBorder="1" applyAlignment="1"/>
    <xf numFmtId="0" fontId="92" fillId="0" borderId="0" xfId="87" applyFont="1" applyFill="1" applyAlignment="1">
      <alignment horizontal="center" wrapText="1"/>
    </xf>
    <xf numFmtId="0" fontId="92" fillId="0" borderId="0" xfId="87" applyFont="1" applyFill="1" applyAlignment="1">
      <alignment horizontal="center" wrapText="1"/>
    </xf>
    <xf numFmtId="0" fontId="27" fillId="0" borderId="15" xfId="87" applyFont="1" applyFill="1" applyBorder="1" applyAlignment="1">
      <alignment horizontal="left" vertical="top"/>
    </xf>
    <xf numFmtId="0" fontId="27" fillId="0" borderId="15" xfId="87" applyFont="1" applyFill="1" applyBorder="1" applyAlignment="1">
      <alignment horizontal="left" vertical="top" wrapText="1"/>
    </xf>
    <xf numFmtId="0" fontId="93" fillId="0" borderId="15" xfId="87" applyFont="1" applyFill="1" applyBorder="1" applyAlignment="1">
      <alignment horizontal="right" wrapText="1"/>
    </xf>
    <xf numFmtId="0" fontId="27" fillId="0" borderId="15" xfId="87" applyFont="1" applyFill="1" applyBorder="1" applyAlignment="1">
      <alignment horizontal="right"/>
    </xf>
    <xf numFmtId="168" fontId="27" fillId="0" borderId="15" xfId="87" applyNumberFormat="1" applyFont="1" applyFill="1" applyBorder="1" applyAlignment="1">
      <alignment horizontal="right"/>
    </xf>
    <xf numFmtId="0" fontId="27" fillId="0" borderId="15" xfId="87" applyFont="1" applyFill="1" applyBorder="1" applyAlignment="1">
      <alignment horizontal="right" wrapText="1"/>
    </xf>
    <xf numFmtId="169" fontId="27" fillId="0" borderId="15" xfId="87" applyNumberFormat="1" applyFont="1" applyFill="1" applyBorder="1" applyAlignment="1">
      <alignment horizontal="right"/>
    </xf>
    <xf numFmtId="0" fontId="27" fillId="0" borderId="8" xfId="87" applyFont="1" applyFill="1" applyBorder="1"/>
    <xf numFmtId="0" fontId="92" fillId="0" borderId="8" xfId="87" applyFont="1" applyFill="1" applyBorder="1"/>
    <xf numFmtId="169" fontId="92" fillId="0" borderId="8" xfId="87" applyNumberFormat="1" applyFont="1" applyFill="1" applyBorder="1" applyAlignment="1">
      <alignment horizontal="right"/>
    </xf>
    <xf numFmtId="169" fontId="27" fillId="0" borderId="0" xfId="87" applyNumberFormat="1" applyFont="1" applyFill="1"/>
    <xf numFmtId="0" fontId="27" fillId="0" borderId="0" xfId="87" applyFont="1" applyFill="1" applyAlignment="1">
      <alignment horizontal="left" vertical="top"/>
    </xf>
    <xf numFmtId="0" fontId="27" fillId="0" borderId="0" xfId="87" applyFont="1" applyFill="1" applyAlignment="1">
      <alignment horizontal="left" vertical="top" wrapText="1"/>
    </xf>
    <xf numFmtId="0" fontId="93" fillId="0" borderId="0" xfId="87" applyFont="1" applyFill="1" applyAlignment="1">
      <alignment horizontal="right" wrapText="1"/>
    </xf>
    <xf numFmtId="0" fontId="27" fillId="0" borderId="0" xfId="87" applyFont="1" applyFill="1" applyAlignment="1">
      <alignment horizontal="right"/>
    </xf>
    <xf numFmtId="168" fontId="27" fillId="0" borderId="0" xfId="87" applyNumberFormat="1" applyFont="1" applyFill="1" applyAlignment="1">
      <alignment horizontal="right"/>
    </xf>
    <xf numFmtId="0" fontId="27" fillId="0" borderId="0" xfId="87" applyFont="1" applyFill="1" applyAlignment="1">
      <alignment horizontal="right" wrapText="1"/>
    </xf>
    <xf numFmtId="169" fontId="27" fillId="0" borderId="0" xfId="87" applyNumberFormat="1" applyFont="1" applyFill="1" applyAlignment="1">
      <alignment horizontal="right"/>
    </xf>
    <xf numFmtId="169" fontId="93" fillId="0" borderId="0" xfId="87" applyNumberFormat="1" applyFont="1" applyFill="1" applyAlignment="1">
      <alignment horizontal="right"/>
    </xf>
    <xf numFmtId="0" fontId="27" fillId="0" borderId="0" xfId="87" quotePrefix="1" applyFont="1" applyFill="1" applyAlignment="1">
      <alignment horizontal="right" wrapText="1"/>
    </xf>
    <xf numFmtId="0" fontId="92" fillId="0" borderId="0" xfId="87" applyFont="1" applyFill="1"/>
    <xf numFmtId="169" fontId="92" fillId="0" borderId="0" xfId="87" applyNumberFormat="1" applyFont="1" applyFill="1" applyBorder="1" applyAlignment="1">
      <alignment horizontal="right"/>
    </xf>
    <xf numFmtId="0" fontId="27" fillId="0" borderId="0" xfId="87" applyFont="1" applyFill="1" applyAlignment="1">
      <alignment horizontal="right" shrinkToFit="1"/>
    </xf>
    <xf numFmtId="0" fontId="92" fillId="0" borderId="0" xfId="87" applyFont="1" applyFill="1" applyAlignment="1">
      <alignment horizontal="left" wrapText="1"/>
    </xf>
    <xf numFmtId="169" fontId="92" fillId="0" borderId="0" xfId="87" applyNumberFormat="1" applyFont="1" applyFill="1" applyAlignment="1">
      <alignment horizontal="right"/>
    </xf>
    <xf numFmtId="0" fontId="92" fillId="0" borderId="0" xfId="87" applyFont="1" applyFill="1" applyAlignment="1">
      <alignment horizontal="right"/>
    </xf>
    <xf numFmtId="0" fontId="92" fillId="0" borderId="0" xfId="87" applyFont="1" applyFill="1" applyAlignment="1">
      <alignment horizontal="left" wrapText="1"/>
    </xf>
    <xf numFmtId="0" fontId="27" fillId="0" borderId="0" xfId="87" applyFont="1" applyFill="1" applyAlignment="1">
      <alignment horizontal="left" wrapText="1"/>
    </xf>
    <xf numFmtId="169" fontId="27" fillId="0" borderId="0" xfId="87" applyNumberFormat="1" applyFont="1" applyFill="1" applyAlignment="1">
      <alignment horizontal="right"/>
    </xf>
    <xf numFmtId="0" fontId="92" fillId="0" borderId="0" xfId="21" applyFont="1" applyFill="1" applyAlignment="1">
      <alignment wrapText="1"/>
    </xf>
    <xf numFmtId="0" fontId="27" fillId="0" borderId="0" xfId="28" applyFont="1" applyFill="1"/>
    <xf numFmtId="49" fontId="12" fillId="0" borderId="0" xfId="0" applyNumberFormat="1" applyFont="1" applyFill="1"/>
    <xf numFmtId="0" fontId="98" fillId="0" borderId="3" xfId="21" applyFont="1" applyFill="1" applyBorder="1" applyAlignment="1">
      <alignment horizontal="left" vertical="center" wrapText="1"/>
    </xf>
    <xf numFmtId="0" fontId="98" fillId="0" borderId="4" xfId="21" applyFont="1" applyFill="1" applyBorder="1" applyAlignment="1">
      <alignment horizontal="left" vertical="center" wrapText="1"/>
    </xf>
    <xf numFmtId="0" fontId="98" fillId="0" borderId="4" xfId="21" applyFont="1" applyFill="1" applyBorder="1" applyAlignment="1">
      <alignment wrapText="1"/>
    </xf>
    <xf numFmtId="0" fontId="98" fillId="0" borderId="5" xfId="21" applyFont="1" applyFill="1" applyBorder="1" applyAlignment="1">
      <alignment wrapText="1"/>
    </xf>
    <xf numFmtId="3" fontId="98" fillId="0" borderId="3" xfId="44" applyNumberFormat="1" applyFont="1" applyFill="1" applyBorder="1" applyAlignment="1">
      <alignment horizontal="right" vertical="center"/>
    </xf>
    <xf numFmtId="3" fontId="98" fillId="0" borderId="5" xfId="44" applyNumberFormat="1" applyFont="1" applyFill="1" applyBorder="1" applyAlignment="1">
      <alignment horizontal="right" vertical="center"/>
    </xf>
    <xf numFmtId="4" fontId="98" fillId="0" borderId="3" xfId="44" applyNumberFormat="1" applyFont="1" applyFill="1" applyBorder="1" applyAlignment="1">
      <alignment horizontal="right" vertical="center"/>
    </xf>
    <xf numFmtId="4" fontId="98" fillId="0" borderId="5" xfId="44" applyNumberFormat="1" applyFont="1" applyFill="1" applyBorder="1" applyAlignment="1">
      <alignment horizontal="right" vertical="center"/>
    </xf>
    <xf numFmtId="0" fontId="112" fillId="0" borderId="3" xfId="21" applyFont="1" applyFill="1" applyBorder="1" applyAlignment="1">
      <alignment horizontal="right" wrapText="1"/>
    </xf>
    <xf numFmtId="0" fontId="112" fillId="0" borderId="4" xfId="21" applyFont="1" applyFill="1" applyBorder="1" applyAlignment="1">
      <alignment horizontal="left" wrapText="1"/>
    </xf>
    <xf numFmtId="3" fontId="71" fillId="0" borderId="3" xfId="44" quotePrefix="1" applyNumberFormat="1" applyFont="1" applyFill="1" applyBorder="1" applyAlignment="1">
      <alignment horizontal="right" wrapText="1"/>
    </xf>
    <xf numFmtId="3" fontId="71" fillId="0" borderId="5" xfId="44" quotePrefix="1" applyNumberFormat="1" applyFont="1" applyFill="1" applyBorder="1" applyAlignment="1">
      <alignment horizontal="right" wrapText="1"/>
    </xf>
    <xf numFmtId="4" fontId="71" fillId="0" borderId="3" xfId="44" quotePrefix="1" applyNumberFormat="1" applyFont="1" applyFill="1" applyBorder="1" applyAlignment="1">
      <alignment horizontal="right" wrapText="1"/>
    </xf>
    <xf numFmtId="4" fontId="71" fillId="0" borderId="5" xfId="44" quotePrefix="1" applyNumberFormat="1" applyFont="1" applyFill="1" applyBorder="1" applyAlignment="1">
      <alignment horizontal="right" wrapText="1"/>
    </xf>
    <xf numFmtId="0" fontId="71" fillId="0" borderId="3" xfId="21" applyFont="1" applyFill="1" applyBorder="1" applyAlignment="1">
      <alignment horizontal="right" wrapText="1"/>
    </xf>
    <xf numFmtId="3" fontId="71" fillId="0" borderId="3" xfId="44" applyNumberFormat="1" applyFont="1" applyFill="1" applyBorder="1" applyAlignment="1">
      <alignment horizontal="right" wrapText="1"/>
    </xf>
    <xf numFmtId="3" fontId="71" fillId="0" borderId="5" xfId="44" applyNumberFormat="1" applyFont="1" applyFill="1" applyBorder="1" applyAlignment="1">
      <alignment horizontal="right" wrapText="1"/>
    </xf>
    <xf numFmtId="4" fontId="71" fillId="0" borderId="3" xfId="44" applyNumberFormat="1" applyFont="1" applyFill="1" applyBorder="1" applyAlignment="1">
      <alignment horizontal="right" wrapText="1"/>
    </xf>
    <xf numFmtId="4" fontId="71" fillId="0" borderId="5" xfId="44" applyNumberFormat="1" applyFont="1" applyFill="1" applyBorder="1" applyAlignment="1">
      <alignment horizontal="right" wrapText="1"/>
    </xf>
    <xf numFmtId="173" fontId="71" fillId="0" borderId="3" xfId="44" applyNumberFormat="1" applyFont="1" applyFill="1" applyBorder="1" applyAlignment="1">
      <alignment horizontal="right" wrapText="1"/>
    </xf>
    <xf numFmtId="173" fontId="71" fillId="0" borderId="5" xfId="44" applyNumberFormat="1" applyFont="1" applyFill="1" applyBorder="1" applyAlignment="1">
      <alignment horizontal="right" wrapText="1"/>
    </xf>
    <xf numFmtId="0" fontId="71" fillId="0" borderId="4" xfId="21" applyFont="1" applyFill="1" applyBorder="1" applyAlignment="1">
      <alignment horizontal="right" wrapText="1"/>
    </xf>
    <xf numFmtId="0" fontId="112" fillId="0" borderId="5" xfId="21" applyFont="1" applyFill="1" applyBorder="1" applyAlignment="1">
      <alignment horizontal="left" wrapText="1"/>
    </xf>
    <xf numFmtId="173" fontId="71" fillId="0" borderId="3" xfId="44" applyNumberFormat="1" applyFont="1" applyFill="1" applyBorder="1" applyAlignment="1">
      <alignment horizontal="center" wrapText="1"/>
    </xf>
    <xf numFmtId="173" fontId="71" fillId="0" borderId="5" xfId="44" applyNumberFormat="1" applyFont="1" applyFill="1" applyBorder="1" applyAlignment="1">
      <alignment horizontal="center" wrapText="1"/>
    </xf>
    <xf numFmtId="170" fontId="113" fillId="0" borderId="3" xfId="44" applyNumberFormat="1" applyFont="1" applyFill="1" applyBorder="1" applyAlignment="1">
      <alignment horizontal="right" wrapText="1"/>
    </xf>
    <xf numFmtId="170" fontId="113" fillId="0" borderId="5" xfId="44" applyNumberFormat="1" applyFont="1" applyFill="1" applyBorder="1" applyAlignment="1">
      <alignment horizontal="right" wrapText="1"/>
    </xf>
    <xf numFmtId="170" fontId="97" fillId="0" borderId="0" xfId="0" applyNumberFormat="1" applyFont="1" applyFill="1"/>
    <xf numFmtId="0" fontId="99" fillId="0" borderId="15" xfId="4" applyFont="1" applyFill="1" applyBorder="1" applyAlignment="1">
      <alignment horizontal="left" wrapText="1"/>
    </xf>
    <xf numFmtId="0" fontId="99" fillId="0" borderId="15" xfId="4" applyFont="1" applyFill="1" applyBorder="1"/>
    <xf numFmtId="0" fontId="99" fillId="0" borderId="15" xfId="21" applyFont="1" applyFill="1" applyBorder="1" applyAlignment="1">
      <alignment horizontal="right"/>
    </xf>
    <xf numFmtId="0" fontId="100" fillId="0" borderId="0" xfId="4" applyFont="1" applyFill="1"/>
    <xf numFmtId="49" fontId="100" fillId="0" borderId="8" xfId="78" applyNumberFormat="1" applyFont="1" applyFill="1" applyBorder="1" applyAlignment="1">
      <alignment horizontal="left" vertical="top"/>
    </xf>
    <xf numFmtId="0" fontId="100" fillId="0" borderId="8" xfId="4" applyFont="1" applyFill="1" applyBorder="1" applyAlignment="1">
      <alignment horizontal="right"/>
    </xf>
    <xf numFmtId="0" fontId="97" fillId="0" borderId="0" xfId="6" applyFont="1" applyFill="1"/>
    <xf numFmtId="0" fontId="99" fillId="0" borderId="15" xfId="21" applyFont="1" applyFill="1" applyBorder="1"/>
  </cellXfs>
  <cellStyles count="88">
    <cellStyle name="Normal 2" xfId="60"/>
    <cellStyle name="Обычный" xfId="0" builtinId="0"/>
    <cellStyle name="Обычный 10" xfId="5"/>
    <cellStyle name="Обычный 10 10 2" xfId="41"/>
    <cellStyle name="Обычный 10 3 2" xfId="28"/>
    <cellStyle name="Обычный 10 95" xfId="54"/>
    <cellStyle name="Обычный 100 2 2 3 3 2 3" xfId="84"/>
    <cellStyle name="Обычный 107 3 2 2 2 2" xfId="40"/>
    <cellStyle name="Обычный 11" xfId="6"/>
    <cellStyle name="Обычный 12" xfId="7"/>
    <cellStyle name="Обычный 13" xfId="24"/>
    <cellStyle name="Обычный 13 2" xfId="26"/>
    <cellStyle name="Обычный 14" xfId="25"/>
    <cellStyle name="Обычный 14 2" xfId="27"/>
    <cellStyle name="Обычный 15" xfId="48"/>
    <cellStyle name="Обычный 16" xfId="68"/>
    <cellStyle name="Обычный 16 2" xfId="87"/>
    <cellStyle name="Обычный 17" xfId="71"/>
    <cellStyle name="Обычный 2" xfId="1"/>
    <cellStyle name="Обычный 2 13 11 2 2" xfId="21"/>
    <cellStyle name="Обычный 2 13 2" xfId="36"/>
    <cellStyle name="Обычный 2 19" xfId="3"/>
    <cellStyle name="Обычный 2 2" xfId="2"/>
    <cellStyle name="Обычный 2 2 2" xfId="34"/>
    <cellStyle name="Обычный 2 2 2 2" xfId="63"/>
    <cellStyle name="Обычный 2 2 2 2 2" xfId="20"/>
    <cellStyle name="Обычный 2 3" xfId="8"/>
    <cellStyle name="Обычный 2 3 2" xfId="56"/>
    <cellStyle name="Обычный 2 3 2 3 2" xfId="81"/>
    <cellStyle name="Обычный 2 4" xfId="38"/>
    <cellStyle name="Обычный 2 4 2" xfId="70"/>
    <cellStyle name="Обычный 2 5" xfId="39"/>
    <cellStyle name="Обычный 2 5 2" xfId="61"/>
    <cellStyle name="Обычный 2 6" xfId="43"/>
    <cellStyle name="Обычный 2 7" xfId="49"/>
    <cellStyle name="Обычный 2 8" xfId="57"/>
    <cellStyle name="Обычный 22 2" xfId="46"/>
    <cellStyle name="Обычный 233" xfId="53"/>
    <cellStyle name="Обычный 234 2" xfId="55"/>
    <cellStyle name="Обычный 24" xfId="45"/>
    <cellStyle name="Обычный 3" xfId="9"/>
    <cellStyle name="Обычный 3 13" xfId="10"/>
    <cellStyle name="Обычный 3 2" xfId="11"/>
    <cellStyle name="Обычный 3 2 2" xfId="35"/>
    <cellStyle name="Обычный 3 2 2 2" xfId="33"/>
    <cellStyle name="Обычный 3 2 3" xfId="80"/>
    <cellStyle name="Обычный 3 2 36 2" xfId="67"/>
    <cellStyle name="Обычный 3 2 36 2 2" xfId="83"/>
    <cellStyle name="Обычный 3 3" xfId="12"/>
    <cellStyle name="Обычный 3 4" xfId="85"/>
    <cellStyle name="Обычный 3 4 2" xfId="22"/>
    <cellStyle name="Обычный 325 2" xfId="76"/>
    <cellStyle name="Обычный 4" xfId="13"/>
    <cellStyle name="Обычный 4 2 2" xfId="23"/>
    <cellStyle name="Обычный 4 2 2 2" xfId="77"/>
    <cellStyle name="Обычный 44" xfId="14"/>
    <cellStyle name="Обычный 5" xfId="4"/>
    <cellStyle name="Обычный 5 2" xfId="73"/>
    <cellStyle name="Обычный 5 2 2 2" xfId="82"/>
    <cellStyle name="Обычный 6" xfId="15"/>
    <cellStyle name="Обычный 7" xfId="16"/>
    <cellStyle name="Обычный 8" xfId="17"/>
    <cellStyle name="Обычный 8 2 2" xfId="58"/>
    <cellStyle name="Обычный 8 2 2 2" xfId="72"/>
    <cellStyle name="Обычный 8 8 3" xfId="29"/>
    <cellStyle name="Обычный 8 8 3 2" xfId="64"/>
    <cellStyle name="Обычный 9" xfId="18"/>
    <cellStyle name="Обычный 9 2" xfId="19"/>
    <cellStyle name="Обычный 9 2 2" xfId="37"/>
    <cellStyle name="Обычный_1933-Вариант ПМС 2" xfId="79"/>
    <cellStyle name="Обычный_РЕЕСТРЫ-внешний" xfId="51"/>
    <cellStyle name="Обычный_Ф2_Ф3_07_Андропов" xfId="86"/>
    <cellStyle name="Обычный_Ф3" xfId="78"/>
    <cellStyle name="Обычный_Ф-3 и реестр БНТ СМТ-БТС 2 2" xfId="75"/>
    <cellStyle name="Финансовый" xfId="50" builtinId="3"/>
    <cellStyle name="Финансовый 12 2 3" xfId="42"/>
    <cellStyle name="Финансовый 13 2" xfId="44"/>
    <cellStyle name="Финансовый 2" xfId="59"/>
    <cellStyle name="Финансовый 2 2" xfId="47"/>
    <cellStyle name="Финансовый 2 2 2" xfId="62"/>
    <cellStyle name="Финансовый 2 3" xfId="69"/>
    <cellStyle name="Финансовый 2 3 2" xfId="31"/>
    <cellStyle name="Финансовый 2 3 2 2" xfId="66"/>
    <cellStyle name="Финансовый 3" xfId="52"/>
    <cellStyle name="Финансовый 3 2" xfId="32"/>
    <cellStyle name="Финансовый 4" xfId="74"/>
    <cellStyle name="Финансовый 5" xfId="30"/>
    <cellStyle name="Финансовый 5 2" xfId="65"/>
  </cellStyles>
  <dxfs count="0"/>
  <tableStyles count="0" defaultTableStyle="TableStyleMedium9" defaultPivotStyle="PivotStyleLight16"/>
  <colors>
    <mruColors>
      <color rgb="FFF672F9"/>
      <color rgb="FFD8EEC0"/>
      <color rgb="FFBAE18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7.xml"/><Relationship Id="rId117" Type="http://schemas.openxmlformats.org/officeDocument/2006/relationships/sharedStrings" Target="sharedStrings.xml"/><Relationship Id="rId21" Type="http://schemas.openxmlformats.org/officeDocument/2006/relationships/externalLink" Target="externalLinks/externalLink2.xml"/><Relationship Id="rId42" Type="http://schemas.openxmlformats.org/officeDocument/2006/relationships/externalLink" Target="externalLinks/externalLink23.xml"/><Relationship Id="rId47" Type="http://schemas.openxmlformats.org/officeDocument/2006/relationships/externalLink" Target="externalLinks/externalLink28.xml"/><Relationship Id="rId63" Type="http://schemas.openxmlformats.org/officeDocument/2006/relationships/externalLink" Target="externalLinks/externalLink44.xml"/><Relationship Id="rId68" Type="http://schemas.openxmlformats.org/officeDocument/2006/relationships/externalLink" Target="externalLinks/externalLink49.xml"/><Relationship Id="rId84" Type="http://schemas.openxmlformats.org/officeDocument/2006/relationships/externalLink" Target="externalLinks/externalLink65.xml"/><Relationship Id="rId89" Type="http://schemas.openxmlformats.org/officeDocument/2006/relationships/externalLink" Target="externalLinks/externalLink70.xml"/><Relationship Id="rId112" Type="http://schemas.openxmlformats.org/officeDocument/2006/relationships/externalLink" Target="externalLinks/externalLink93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88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externalLink" Target="externalLinks/externalLink26.xml"/><Relationship Id="rId53" Type="http://schemas.openxmlformats.org/officeDocument/2006/relationships/externalLink" Target="externalLinks/externalLink34.xml"/><Relationship Id="rId58" Type="http://schemas.openxmlformats.org/officeDocument/2006/relationships/externalLink" Target="externalLinks/externalLink39.xml"/><Relationship Id="rId66" Type="http://schemas.openxmlformats.org/officeDocument/2006/relationships/externalLink" Target="externalLinks/externalLink47.xml"/><Relationship Id="rId74" Type="http://schemas.openxmlformats.org/officeDocument/2006/relationships/externalLink" Target="externalLinks/externalLink55.xml"/><Relationship Id="rId79" Type="http://schemas.openxmlformats.org/officeDocument/2006/relationships/externalLink" Target="externalLinks/externalLink60.xml"/><Relationship Id="rId87" Type="http://schemas.openxmlformats.org/officeDocument/2006/relationships/externalLink" Target="externalLinks/externalLink68.xml"/><Relationship Id="rId102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91.xml"/><Relationship Id="rId115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42.xml"/><Relationship Id="rId82" Type="http://schemas.openxmlformats.org/officeDocument/2006/relationships/externalLink" Target="externalLinks/externalLink63.xml"/><Relationship Id="rId90" Type="http://schemas.openxmlformats.org/officeDocument/2006/relationships/externalLink" Target="externalLinks/externalLink71.xml"/><Relationship Id="rId95" Type="http://schemas.openxmlformats.org/officeDocument/2006/relationships/externalLink" Target="externalLinks/externalLink76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48" Type="http://schemas.openxmlformats.org/officeDocument/2006/relationships/externalLink" Target="externalLinks/externalLink29.xml"/><Relationship Id="rId56" Type="http://schemas.openxmlformats.org/officeDocument/2006/relationships/externalLink" Target="externalLinks/externalLink37.xml"/><Relationship Id="rId64" Type="http://schemas.openxmlformats.org/officeDocument/2006/relationships/externalLink" Target="externalLinks/externalLink45.xml"/><Relationship Id="rId69" Type="http://schemas.openxmlformats.org/officeDocument/2006/relationships/externalLink" Target="externalLinks/externalLink50.xml"/><Relationship Id="rId77" Type="http://schemas.openxmlformats.org/officeDocument/2006/relationships/externalLink" Target="externalLinks/externalLink58.xml"/><Relationship Id="rId100" Type="http://schemas.openxmlformats.org/officeDocument/2006/relationships/externalLink" Target="externalLinks/externalLink81.xml"/><Relationship Id="rId105" Type="http://schemas.openxmlformats.org/officeDocument/2006/relationships/externalLink" Target="externalLinks/externalLink86.xml"/><Relationship Id="rId113" Type="http://schemas.openxmlformats.org/officeDocument/2006/relationships/externalLink" Target="externalLinks/externalLink94.xml"/><Relationship Id="rId118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2.xml"/><Relationship Id="rId72" Type="http://schemas.openxmlformats.org/officeDocument/2006/relationships/externalLink" Target="externalLinks/externalLink53.xml"/><Relationship Id="rId80" Type="http://schemas.openxmlformats.org/officeDocument/2006/relationships/externalLink" Target="externalLinks/externalLink61.xml"/><Relationship Id="rId85" Type="http://schemas.openxmlformats.org/officeDocument/2006/relationships/externalLink" Target="externalLinks/externalLink66.xml"/><Relationship Id="rId93" Type="http://schemas.openxmlformats.org/officeDocument/2006/relationships/externalLink" Target="externalLinks/externalLink74.xml"/><Relationship Id="rId98" Type="http://schemas.openxmlformats.org/officeDocument/2006/relationships/externalLink" Target="externalLinks/externalLink7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externalLink" Target="externalLinks/externalLink27.xml"/><Relationship Id="rId59" Type="http://schemas.openxmlformats.org/officeDocument/2006/relationships/externalLink" Target="externalLinks/externalLink40.xml"/><Relationship Id="rId67" Type="http://schemas.openxmlformats.org/officeDocument/2006/relationships/externalLink" Target="externalLinks/externalLink48.xml"/><Relationship Id="rId103" Type="http://schemas.openxmlformats.org/officeDocument/2006/relationships/externalLink" Target="externalLinks/externalLink84.xml"/><Relationship Id="rId108" Type="http://schemas.openxmlformats.org/officeDocument/2006/relationships/externalLink" Target="externalLinks/externalLink89.xml"/><Relationship Id="rId116" Type="http://schemas.openxmlformats.org/officeDocument/2006/relationships/styles" Target="styles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Relationship Id="rId54" Type="http://schemas.openxmlformats.org/officeDocument/2006/relationships/externalLink" Target="externalLinks/externalLink35.xml"/><Relationship Id="rId62" Type="http://schemas.openxmlformats.org/officeDocument/2006/relationships/externalLink" Target="externalLinks/externalLink43.xml"/><Relationship Id="rId70" Type="http://schemas.openxmlformats.org/officeDocument/2006/relationships/externalLink" Target="externalLinks/externalLink51.xml"/><Relationship Id="rId75" Type="http://schemas.openxmlformats.org/officeDocument/2006/relationships/externalLink" Target="externalLinks/externalLink56.xml"/><Relationship Id="rId83" Type="http://schemas.openxmlformats.org/officeDocument/2006/relationships/externalLink" Target="externalLinks/externalLink64.xml"/><Relationship Id="rId88" Type="http://schemas.openxmlformats.org/officeDocument/2006/relationships/externalLink" Target="externalLinks/externalLink69.xml"/><Relationship Id="rId91" Type="http://schemas.openxmlformats.org/officeDocument/2006/relationships/externalLink" Target="externalLinks/externalLink72.xml"/><Relationship Id="rId96" Type="http://schemas.openxmlformats.org/officeDocument/2006/relationships/externalLink" Target="externalLinks/externalLink77.xml"/><Relationship Id="rId111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49" Type="http://schemas.openxmlformats.org/officeDocument/2006/relationships/externalLink" Target="externalLinks/externalLink30.xml"/><Relationship Id="rId57" Type="http://schemas.openxmlformats.org/officeDocument/2006/relationships/externalLink" Target="externalLinks/externalLink38.xml"/><Relationship Id="rId106" Type="http://schemas.openxmlformats.org/officeDocument/2006/relationships/externalLink" Target="externalLinks/externalLink87.xml"/><Relationship Id="rId114" Type="http://schemas.openxmlformats.org/officeDocument/2006/relationships/externalLink" Target="externalLinks/externalLink9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2.xml"/><Relationship Id="rId44" Type="http://schemas.openxmlformats.org/officeDocument/2006/relationships/externalLink" Target="externalLinks/externalLink25.xml"/><Relationship Id="rId52" Type="http://schemas.openxmlformats.org/officeDocument/2006/relationships/externalLink" Target="externalLinks/externalLink33.xml"/><Relationship Id="rId60" Type="http://schemas.openxmlformats.org/officeDocument/2006/relationships/externalLink" Target="externalLinks/externalLink41.xml"/><Relationship Id="rId65" Type="http://schemas.openxmlformats.org/officeDocument/2006/relationships/externalLink" Target="externalLinks/externalLink46.xml"/><Relationship Id="rId73" Type="http://schemas.openxmlformats.org/officeDocument/2006/relationships/externalLink" Target="externalLinks/externalLink54.xml"/><Relationship Id="rId78" Type="http://schemas.openxmlformats.org/officeDocument/2006/relationships/externalLink" Target="externalLinks/externalLink59.xml"/><Relationship Id="rId81" Type="http://schemas.openxmlformats.org/officeDocument/2006/relationships/externalLink" Target="externalLinks/externalLink62.xml"/><Relationship Id="rId86" Type="http://schemas.openxmlformats.org/officeDocument/2006/relationships/externalLink" Target="externalLinks/externalLink67.xml"/><Relationship Id="rId94" Type="http://schemas.openxmlformats.org/officeDocument/2006/relationships/externalLink" Target="externalLinks/externalLink75.xml"/><Relationship Id="rId99" Type="http://schemas.openxmlformats.org/officeDocument/2006/relationships/externalLink" Target="externalLinks/externalLink80.xml"/><Relationship Id="rId101" Type="http://schemas.openxmlformats.org/officeDocument/2006/relationships/externalLink" Target="externalLinks/externalLink8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20.xml"/><Relationship Id="rId109" Type="http://schemas.openxmlformats.org/officeDocument/2006/relationships/externalLink" Target="externalLinks/externalLink90.xml"/><Relationship Id="rId34" Type="http://schemas.openxmlformats.org/officeDocument/2006/relationships/externalLink" Target="externalLinks/externalLink15.xml"/><Relationship Id="rId50" Type="http://schemas.openxmlformats.org/officeDocument/2006/relationships/externalLink" Target="externalLinks/externalLink31.xml"/><Relationship Id="rId55" Type="http://schemas.openxmlformats.org/officeDocument/2006/relationships/externalLink" Target="externalLinks/externalLink36.xml"/><Relationship Id="rId76" Type="http://schemas.openxmlformats.org/officeDocument/2006/relationships/externalLink" Target="externalLinks/externalLink57.xml"/><Relationship Id="rId97" Type="http://schemas.openxmlformats.org/officeDocument/2006/relationships/externalLink" Target="externalLinks/externalLink78.xml"/><Relationship Id="rId104" Type="http://schemas.openxmlformats.org/officeDocument/2006/relationships/externalLink" Target="externalLinks/externalLink85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2.xml"/><Relationship Id="rId92" Type="http://schemas.openxmlformats.org/officeDocument/2006/relationships/externalLink" Target="externalLinks/externalLink73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4;&#1041;&#1066;&#1045;&#1050;&#1058;&#1067;\281%20&#1082;&#1084;%20&#1051;&#1080;&#1093;&#1072;&#1103;\2007\281%20&#1082;&#1084;%20-%20&#1057;&#1077;&#1085;&#1090;&#1103;&#1073;&#1088;&#1100;,%202007%20&#1075;%20&#1073;&#1077;&#1079;%20&#1072;&#1088;&#1077;&#1085;&#1076;&#109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117&#1072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98_3\c\&#1052;&#1086;&#1080;%20&#1076;&#1086;&#1082;&#1091;&#1084;&#1077;&#1085;&#1090;&#1099;\&#1057;&#1084;&#1077;&#1090;&#1099;\&#1057;&#1084;&#1077;&#1090;&#1099;2\SMETA\SM13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16%20&#1052;&#1086;&#1089;&#1090;%20&#1074;%20&#1089;.%20&#1065;&#1091;&#1095;&#1100;&#1077;%20&#1082;&#1084;%202+400%20(&#1042;&#1086;&#1088;.%20&#1086;&#1073;&#1083;.)\&#1041;&#1072;&#1079;&#1072;%2091&#10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8%20&#1052;&#1086;&#1089;&#1090;%20&#1050;&#1088;&#1072;&#1089;&#1085;&#1072;&#1103;%20&#1082;&#1084;%20567%20(&#1042;&#1086;&#1088;.&#1086;&#1073;&#1083;.)\&#1041;&#1072;&#1079;&#1072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1%20%20&#1056;&#1077;&#1084;&#1086;&#1085;&#1090;%2046&#1050;&#1052;(&#1082;&#1072;&#1090;&#1072;&#1083;&#1086;&#1075;%20&#1052;.&#1086;&#1073;&#1083;.)\SM11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Users\&#1050;&#1080;&#1095;&#1080;&#1075;&#1080;&#1085;&#1072;&#1045;\&#1052;&#1086;&#1080;%20&#1076;&#1086;&#1082;&#1091;&#1084;&#1077;&#1085;&#1090;&#1099;\&#1057;&#1084;&#1077;&#1090;&#1099;\273%20&#1057;&#1086;&#1076;.&#1084;&#1086;&#1089;&#1090;%20&#1088;.&#1057;.&#1044;&#1086;&#1085;&#1077;&#1094;\SM11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4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97%2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0&#1056;&#1052;%20&#1052;&#1086;&#1089;&#1090;%20&#1055;&#1086;&#1075;&#1072;&#1088;&#1097;&#1080;&#1085;&#1072;%20&#1082;&#1084;%2037+146\&#1041;&#1072;&#1079;&#1072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6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02\users\&#1055;&#1069;&#1054;\&#1055;&#1088;&#1086;&#1095;&#1080;&#1077;%20&#1057;&#1058;&#1056;&#1054;&#1049;-&#1058;&#1056;&#1045;&#1057;&#1058;\&#1055;&#1088;&#1086;&#1095;&#1080;&#1077;%202011\&#1050;&#1057;-2%20&#1053;&#1054;&#1071;&#1041;&#1056;&#1068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8%20&#1052;&#1086;&#1089;&#1090;%20&#1050;&#1088;&#1072;&#1089;&#1085;&#1072;&#1103;%20&#1082;&#1084;%20567%20(&#1042;&#1086;&#1088;.&#1086;&#1073;&#1083;.)\&#1041;&#1072;&#1079;&#1072;%209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6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EXCEL\SMETA\SM7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9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448&#1058;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8%20&#1052;&#1086;&#1089;&#1090;%20&#1058;&#1091;&#1088;&#1076;&#1077;&#1081;%20&#1082;&#1084;%20284&#1082;&#1084;%20(&#1058;&#1091;&#1083;.&#1086;&#1073;&#1083;.)\&#1073;&#1072;&#1079;84%2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59B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2;&#1086;&#1080;%20&#1076;&#1086;&#1082;&#1091;&#1084;&#1077;&#1085;&#1090;&#1099;\&#1057;&#1084;&#1077;&#1090;&#1099;\222%20&#1052;&#1086;&#1089;&#1090;%20&#1063;&#1077;&#1088;&#1085;&#1072;&#1103;%20&#1050;&#1072;&#1083;&#1080;&#1090;&#1074;&#1072;%20&#1082;&#1084;%20209+780%20(&#1042;&#1086;&#1088;.&#1086;&#1073;&#1083;.)\198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5%20&#1052;&#1086;&#1089;&#1090;%20&#1055;&#1090;&#1072;&#1085;&#1100;%20&#1082;&#1084;%20123+100%20(&#1051;&#1080;&#1087;.&#1086;&#1073;&#1083;.)\&#1073;&#1072;&#1079;.91&#1072;&#1073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12%20&#1052;&#1086;&#1089;&#1090;%20&#1041;&#1077;&#1088;&#1077;&#1079;&#1086;&#1074;&#1082;&#1072;%20(&#1051;&#1080;&#1087;&#1077;&#1094;&#1082;&#1072;&#1103;%20&#1086;&#1073;&#1083;.)\&#1073;&#1072;&#1079;.91&#104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NDREEA%20CHITU\Bible%20prix\BASE%20DE%20DONNEES%20PRIX%20ANDREE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7%20&#1052;&#1086;&#1089;&#1090;%20&#1042;&#1086;&#1088;&#1086;&#1085;&#1077;&#1078;%20302+725%20(&#1051;&#1080;&#1087;.&#1086;&#1073;&#1083;.)\&#1073;&#1072;&#1079;.91&#1057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750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1%20%20&#1056;&#1077;&#1084;&#1086;&#1085;&#1090;%2046&#1050;&#1052;(&#1082;&#1072;&#1090;&#1072;&#1083;&#1086;&#1075;%20&#1052;.&#1086;&#1073;&#1083;.)\SM130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5%20&#1052;&#1086;&#1089;&#1090;%20&#1055;&#1090;&#1072;&#1085;&#1100;%20&#1082;&#1084;%20123+100%20(&#1051;&#1080;&#1087;.&#1086;&#1073;&#1083;.)\&#1058;&#1077;&#1082;&#1091;&#1097;.&#1076;&#1077;&#1082;&#1072;&#1073;&#1088;&#1100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7;&#1084;&#1077;&#1090;&#1099;\&#1057;&#1084;&#1077;&#1090;&#1099;%20&#1074;%20Excel\&#1040;&#1085;&#1076;&#1088;&#1077;&#1077;&#1074;%20&#1053;.&#1041;\300%20&#1082;&#1084;%20&#1055;&#1050;1%20&#1091;&#1095;-&#1082;&#1072;%20&#1041;&#1072;&#1083;&#1072;&#1096;&#1086;&#1074;-&#1048;&#1083;&#1100;&#1084;&#1077;&#1085;&#1100;%20(&#1042;&#1086;&#1083;&#1075;&#1086;&#1075;&#1088;&#1072;&#1076;&#1089;&#1082;&#1072;&#1103;%20&#1086;&#1073;&#1083;.)\&#1056;&#1072;&#1089;&#1095;&#1077;&#1090;&#1099;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%201\130-&#1084;.&#1087;.&#1054;&#1089;&#1082;&#1086;&#1083;%20-%20&#1072;.&#1076;.&#1063;&#1077;&#1088;&#1085;&#1103;&#1085;&#1082;&#1072;\&#1092;&#1086;&#1088;&#1084;&#1072;%203&#1084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retennikova_s\&#1089;&#1077;&#1090;&#1100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&#1054;&#1082;&#1090;&#1103;&#1073;&#1088;&#1100;1\&#1050;&#1091;&#1081;&#1073;&#1099;&#1096;&#1077;&#1074;&#1089;&#1082;&#1072;&#1103;%20&#1078;&#1076;\2004%20&#1075;&#1086;&#1076;\&#1054;&#1082;&#1090;&#1103;&#1073;&#1088;&#1100;%202004%20&#1075;\561-562%20&#1082;&#1084;%20-2001%20&#1075;.%20-%20&#1057;&#1077;&#1085;&#1090;&#1103;&#1073;&#1088;&#1100;,%202004%20&#1075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30ED5A1\1741-1742%20&#1050;&#1073;&#1096;.&#1078;.&#1076;.%20-%20&#1057;&#1077;&#1085;&#1090;&#1103;&#1073;&#1088;&#1100;,%202004%20&#107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4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6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server\sp$\Documents%20and%20Settings\&#1045;&#1083;&#1077;&#1085;&#1072;\&#1056;&#1072;&#1073;&#1086;&#1095;&#1080;&#1081;%20&#1089;&#1090;&#1086;&#1083;\&#1042;&#1067;&#1055;&#1054;&#1051;&#1053;&#1045;&#1053;&#1048;&#1045;%20&#1053;&#1054;&#1071;&#1041;&#1056;&#1068;\&#1050;&#1057;-2%20&#1086;&#1082;&#1090;&#1103;&#1073;&#1088;&#1100;_&#1085;&#1086;&#1103;&#1073;&#1088;&#1100;_EXEL\&#1089;&#1074;&#1086;&#1076;&#1085;&#1099;&#1081;%20&#1050;&#1057;-2_&#1086;&#1082;&#1090;&#1103;&#1073;&#1088;&#1100;_&#1085;&#1086;&#1103;&#1073;&#1088;&#1100;_2&#1080;&#1089;&#1087;&#1088;.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%201\130-&#1084;.&#1087;.&#1054;&#1089;&#1082;&#1086;&#1083;%20-%20&#1072;.&#1076;.&#1063;&#1077;&#1088;&#1085;&#1103;&#1085;&#1082;&#1072;\&#1052;&#1072;&#1088;&#1100;&#1077;&#1074;&#1082;&#1072;%20&#1101;&#1082;&#1089;.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ckup\economists\&#1054;&#1090;&#1076;&#1077;&#1083;%20&#1087;&#1086;%20&#1088;&#1072;&#1073;&#1086;&#1090;&#1077;%20&#1089;%20&#1047;%20&#1080;%20&#1055;\&#1042;&#1099;&#1093;&#1080;&#1085;&#1086;-&#1046;&#1091;&#1083;&#1077;&#1073;&#1080;&#1085;&#1086;\&#1055;&#1056;&#1054;&#1063;&#1048;&#1045;\&#1055;&#1056;&#1054;&#1063;&#1048;&#1045;%20&#1076;&#1083;&#1103;%20&#1052;&#1048;&#1055;\&#1070;&#1043;&#1057;&#1050;\&#1055;&#1088;&#1086;&#1077;&#1082;&#1090;%20&#1088;&#1072;&#1089;&#1095;&#1077;&#1090;&#1072;%20&#1042;&#1072;&#1093;&#1090;&#1086;&#1074;&#1086;&#1075;&#1086;%20&#1084;&#1077;&#1090;&#1086;&#1076;&#1072;%20(&#1072;&#1074;&#1075;&#1091;&#1089;&#1090;%202011-&#1084;&#1072;&#1081;%202012).xlsm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8%20&#1052;&#1086;&#1089;&#1090;%20&#1058;&#1091;&#1088;&#1076;&#1077;&#1081;%20&#1082;&#1084;%20284&#1082;&#1084;%20(&#1058;&#1091;&#1083;.&#1086;&#1073;&#1083;.)\&#1042;&#1040;&#1061;&#1058;&#1040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7;&#1084;&#1077;&#1090;&#1072;%20&#1057;&#1052;&#1056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7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55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92107%20&#1086;&#1089;&#1074;&#1077;&#1097;&#1077;&#1085;&#1080;&#1077;%20-%20&#1050;&#1057;-3%20(&#1057;&#1073;&#1086;&#1088;&#1082;&#1072;%20&#1087;&#1086;%20&#1050;&#1057;-2)1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o_natalia\&#1084;&#1086;&#1080;%20&#1076;&#1086;&#1082;&#1091;&#1084;&#1077;&#1085;&#1090;\EKK\P4_DY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86&#1082;%20&#1056;&#1077;&#1084;&#1086;&#1085;&#1090;%20&#1051;&#1080;&#1087;&#1077;&#1094;&#1082;-10%20&#1096;&#1072;&#1093;&#1090;&#1072;\SM130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PK\&#1054;&#1090;&#1076;&#1077;&#1083;%20&#1089;&#1090;&#1086;&#1080;&#1084;&#1086;&#1089;&#1090;&#1085;&#1086;&#1075;&#1086;%20&#1080;&#1085;&#1078;&#1080;&#1085;&#1080;&#1088;&#1080;&#1085;&#1075;&#1072;\&#1050;&#1086;&#1085;&#1090;&#1088;&#1072;&#1082;&#1090;%202\&#1040;&#1083;&#1084;&#1072;-&#1040;&#1090;&#1080;&#1085;&#1089;&#1082;&#1072;&#1103;\&#1056;&#1040;&#1057;&#1063;&#1045;&#1058;&#1067;\&#1055;&#1088;&#1086;&#1090;&#1086;&#1082;&#1086;&#1083;%20&#1044;&#1062;%20&#1089;%20&#1088;&#1072;&#1089;&#1095;&#1077;&#1090;&#1086;&#1084;%20(&#1056;&#1045;&#1047;&#1045;&#1056;&#1042;%20&#1044;&#1040;&#1063;&#1040;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server\sp$\Documents%20and%20Settings\&#1054;&#1083;&#1100;&#1075;&#1072;%20&#1056;\&#1056;&#1072;&#1073;&#1086;&#1095;&#1080;&#1081;%20&#1089;&#1090;&#1086;&#1083;\&#1079;&#1077;&#1084;&#1083;&#1077;&#1091;&#1089;&#1090;&#1088;&#1086;&#1081;&#1089;&#1090;&#1074;&#1086;\&#1089;&#1074;&#1086;&#1076;&#1085;&#1099;&#1081;%20&#1050;&#1057;-2_&#1086;&#1082;&#1090;&#1103;&#1073;&#1088;&#1100;_&#1085;&#1086;&#1103;&#1073;&#1088;&#1100;_2&#1080;&#1089;&#1087;&#1088;.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98_3\c\&#1052;&#1086;&#1080;%20&#1076;&#1086;&#1082;&#1091;&#1084;&#1077;&#1085;&#1090;&#1099;\&#1057;&#1084;&#1077;&#1090;&#1099;\&#1057;&#1084;&#1077;&#1090;&#1099;2\SMETA\SM161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86&#1082;%20&#1056;&#1077;&#1084;&#1086;&#1085;&#1090;%20&#1051;&#1080;&#1087;&#1077;&#1094;&#1082;-10%20&#1096;&#1072;&#1093;&#1090;&#1072;\SM155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97%20&#1043;&#1091;&#1073;&#1082;&#1080;&#1085;\SM97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EXCEL\SMETA\SM86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26%20&#1052;&#1086;&#1089;&#1090;&#1086;&#1074;&#1086;&#1075;&#1086;%20&#1089;&#1086;&#1086;&#1088;&#1091;&#1078;.%20&#1082;&#1084;%20276+645%20(&#1042;&#1086;&#1088;.&#1086;&#1073;&#1083;.)\&#1073;&#1072;&#1079;.1991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97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57;-3%20(&#1057;&#1073;&#1086;&#1088;&#1085;&#1072;&#1103;%20&#1087;&#1086;%20&#1050;&#1057;-2)%20v6%20-%20&#1082;&#1086;&#1087;&#1080;&#1103;1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retennikova_s\&#1089;&#1077;&#1090;&#1100;\Documents%20and%20Settings\&#1053;&#1072;&#1090;&#1072;\&#1052;&#1086;&#1080;%20&#1076;&#1086;&#1082;&#1091;&#1084;&#1077;&#1085;&#1090;&#1099;\2006%20&#1075;&#1086;&#1076;\1741-1742%20&#1050;&#1073;&#1096;%20&#1078;%20&#1076;%20%20-%20&#1071;&#1085;&#1074;&#1072;&#1088;&#1100;%20%202006%20&#1075;%20&#1057;%20&#1056;&#1045;&#1045;&#1057;&#1058;&#1056;&#1054;&#1052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d\&#1057;&#1084;&#1077;&#1090;&#1099;2\SMETA\SM159&#1076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M7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98_3\c\&#1052;&#1086;&#1080;%20&#1076;&#1086;&#1082;&#1091;&#1084;&#1077;&#1085;&#1090;&#1099;\&#1057;&#1084;&#1077;&#1090;&#1099;\&#1057;&#1084;&#1077;&#1090;&#1099;2\SMETA\SM159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0&#1056;&#1052;%20&#1052;&#1086;&#1089;&#1090;%20&#1055;&#1086;&#1075;&#1072;&#1088;&#1097;&#1080;&#1085;&#1072;%20&#1082;&#1084;%2037+146\SM17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7%20&#1052;&#1086;&#1089;&#1090;%20&#1056;&#1077;&#1087;&#1077;&#1094;%20&#1082;&#1084;%20434(&#1051;&#1080;&#1087;.%20&#1086;&#1073;&#1083;.)\&#1073;&#1072;&#1079;.9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2\d\&#1057;&#1084;&#1077;&#1090;&#1099;2\SMETA\SM162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2;&#1086;&#1080;%20&#1076;&#1086;&#1082;&#1091;&#1084;&#1077;&#1085;&#1090;&#1099;\&#1057;&#1084;&#1077;&#1090;&#1099;\259%20&#1052;&#1086;&#1089;&#1090;&#1086;&#1074;&#1086;&#1077;%20&#1089;&#1086;&#1086;&#1088;&#1091;&#1078;.%20&#1082;&#1084;296+242%20(&#1042;&#1086;&#1088;.&#1086;&#1073;&#1083;)\&#1073;&#1072;&#1079;.1991%20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81%20%20&#1056;&#1077;&#1084;&#1086;&#1085;&#1090;%2046&#1050;&#1052;(&#1082;&#1072;&#1090;&#1072;&#1083;&#1086;&#1075;%20&#1052;.&#1086;&#1073;&#1083;.)\SM162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16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175%20222&#1082;&#1084;\&#1058;&#1077;&#1082;&#1091;&#1097;.&#1094;&#1077;&#1085;&#1072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%200428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retennikova_s\&#1089;&#1077;&#1090;&#1100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462%20&#1082;&#1084;%20%20&#1055;&#1050;3-&#1055;&#1050;6%20-%20&#1057;&#1077;&#1085;&#1090;&#1103;&#1073;&#1088;&#1100;,%202004%20&#1075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&#1052;&#1086;&#1080;%20&#1076;&#1086;&#1082;&#1091;&#1084;&#1077;&#1085;&#1090;&#1099;\&#1057;&#1084;&#1077;&#1090;&#1099;\290%20&#1040;&#1074;&#1090;&#1086;&#1076;&#1086;&#1088;&#1086;&#1075;&#1072;%20&#1042;&#1077;&#1089;&#1077;&#1083;&#1086;&#1074;&#1082;&#1072;(&#1056;&#1086;&#1089;&#1090;&#1086;&#1074;&#1089;&#1082;&#1072;&#1103;%20&#1086;&#1073;&#1083;)\&#1090;&#1077;&#1082;%202003&#1075;&#104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\SM159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&#1054;&#1082;&#1090;&#1103;&#1073;&#1088;&#1100;1\&#1055;&#1088;&#1080;&#1074;&#1086;&#1083;&#1078;&#1089;&#1082;&#1072;&#1103;%20&#1078;&#1076;\2004%20&#1075;&#1086;&#1076;\&#1054;&#1082;&#1090;&#1103;&#1073;&#1088;&#1100;%202004%20&#1075;\274%20&#1082;&#1084;-2001%20&#1075;.%20(&#1082;&#1086;&#1088;&#1088;&#1077;&#1082;&#1090;)%20(&#1050;&#1086;&#1087;&#1080;&#1103;)%20-%20&#1057;&#1077;&#1085;&#1090;&#1103;&#1073;&#1088;&#1100;,%202004%20&#1075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86&#1082;%20&#1056;&#1077;&#1084;&#1086;&#1085;&#1090;%20&#1051;&#1080;&#1087;&#1077;&#1094;&#1082;-10%20&#1096;&#1072;&#1093;&#1090;&#1072;\SM174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10%20&#1052;&#1086;&#1089;&#1090;%20442%20&#1082;&#1084;%20(&#1051;&#1080;&#1087;&#1077;&#1094;&#1082;&#1072;&#1103;%20&#1086;&#1073;&#1083;.)\&#1073;&#1072;&#1079;.91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88;&#1086;\Documents%20and%20Settings\&#1055;&#1088;&#1086;&#1080;&#1079;&#1074;&#1086;&#1076;&#1089;&#1090;.-&#1090;&#1077;&#1093;.%20&#1086;&#1090;&#1076;\&#1052;&#1086;&#1080;%20&#1076;&#1086;&#1082;&#1091;&#1084;&#1077;&#1085;&#1090;&#1099;\&#1042;&#1099;&#1087;&#1086;&#1083;&#1085;&#1077;&#1085;&#1080;&#1077;\2004%20&#1075;&#1086;&#1076;\&#1054;&#1082;&#1090;&#1103;&#1073;&#1088;&#1100;%202004%20&#1075;\&#1054;&#1082;&#1090;&#1103;&#1073;&#1088;&#1100;1\&#1055;&#1088;&#1080;&#1074;&#1086;&#1083;&#1078;&#1089;&#1082;&#1072;&#1103;%20&#1078;&#1076;\2004%20&#1075;&#1086;&#1076;\&#1054;&#1082;&#1090;&#1103;&#1073;&#1088;&#1100;%202004%20&#1075;\1069&#1082;&#1084;%20&#1055;&#1050;9-1070&#1082;&#1084;&#1055;&#1050;7%20-%20&#1057;&#1077;&#1085;&#1090;&#1103;&#1073;&#1088;&#1100;,%202004%20&#1075;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0&#1056;&#1052;%20&#1052;&#1086;&#1089;&#1090;%20&#1055;&#1086;&#1075;&#1072;&#1088;&#1097;&#1080;&#1085;&#1072;%20&#1082;&#1084;%2037+146\&#1050;&#1086;&#1087;&#1080;&#1103;%20&#1058;&#1077;&#1082;&#1091;&#1097;&#1072;&#1103;%20&#1094;&#1077;&#1085;&#1072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208%20&#1052;&#1086;&#1089;&#1090;%20&#1050;&#1088;&#1072;&#1089;&#1085;&#1072;&#1103;%20&#1082;&#1084;%20567%20(&#1042;&#1086;&#1088;.&#1086;&#1073;&#1083;.)\&#1090;&#1077;&#1082;%20&#1050;&#1088;&#1072;&#1089;&#1085;&#1072;&#1103;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-file-server\&#1087;&#1072;&#1087;&#1082;&#1072;%20&#1086;&#1073;&#1084;&#1077;&#1085;&#1072;\Documents%20and%20Settings\&#1055;&#1080;&#1079;&#1080;&#1095;&#1040;&#1055;\Desktop\16&#1082;&#1084;%20&#1076;&#1083;&#1103;%20&#1055;&#1080;&#1079;&#1080;&#1095;&#1072;%20&#1040;\&#1057;&#1084;&#1077;&#1090;&#1099;%20&#1087;&#1086;%2016%20&#1082;&#1084;\&#1051;&#1086;&#1082;%20&#1089;&#1084;&#1077;&#1090;&#1072;%201-14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2557F43\&#1051;&#1086;&#1082;%20&#1089;&#1084;&#1077;&#1090;&#1072;%201-14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1\&#1050;&#1057;-3%20&#8470;21%20(&#1086;&#1090;&#1087;&#1088;&#1072;&#1074;&#1083;&#1077;&#1085;&#1086;)\&#1088;.17.55%2004.12%20!!!!%20&#1044;&#1040;&#1042;&#1040;&#1051;&#1068;&#1063;&#1045;&#1057;&#1050;&#1048;&#1049;%20&#1055;&#1056;&#1040;&#1049;&#1057;%2048837-&#1058;&#1055;&#1050;_5-0699-&#1056;-&#1057;&#1057;&#1056;2%20%2012-40%20-%20&#1044;&#1077;&#1082;&#1072;&#1073;&#1088;&#1100;,%202020%20&#1075;.%20&#1057;&#1090;&#1088;&#1086;&#1081;&#1084;&#1086;&#1085;&#1090;&#1072;&#1078;%202002%2004-12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1\&#1050;&#1057;-3%20&#8470;21%20(&#1086;&#1090;&#1087;&#1088;&#1072;&#1074;&#1083;&#1077;&#1085;&#1086;)\&#1056;.17.75_(49109-&#1058;&#1055;&#1050;_5-0867-&#1056;-&#1057;&#1057;&#1056;2%20&#1080;&#1079;&#1084;.1%20-%20&#1052;&#1072;&#1081;,%202020%20&#1075;.,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\c\&#1052;&#1086;&#1080;%20&#1076;&#1086;&#1082;&#1091;&#1084;&#1077;&#1085;&#1090;&#1099;\&#1057;&#1084;&#1077;&#1090;&#1099;\&#1057;&#1084;&#1077;&#1090;&#1099;2\Smeta%202001\SM120&#1072;.xls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1\&#1050;&#1057;-3%20&#8470;21%20(&#1086;&#1090;&#1087;&#1088;&#1072;&#1074;&#1083;&#1077;&#1085;&#1086;)\&#1088;.17.86_50444_12-4017-&#1051;-&#1056;-11.4.2.3.2-&#1050;%20-%20&#1040;&#1087;&#1088;&#1077;&#1083;&#1100;,%202020%20&#1075;.,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1\&#1050;&#1057;-3%20&#8470;21%20(&#1086;&#1090;&#1087;&#1088;&#1072;&#1074;&#1083;&#1077;&#1085;&#1086;)\&#1056;.17.94_(48701%20&#1076;&#1086;&#1087;.1)%2012-4017-&#1051;-&#1056;-11.4%20-%20&#1052;&#1072;&#1088;&#1090;,%202020%20&#1075;.,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1\&#1050;&#1057;-3%20&#8470;21%20(&#1086;&#1090;&#1087;&#1088;&#1072;&#1074;&#1083;&#1077;&#1085;&#1086;)\&#1056;.17.95_(48701%20&#1076;&#1086;&#1087;.1)%2012-4017-&#1051;-&#1056;-11.4%20-%20&#1040;&#1087;&#1088;&#1077;&#1083;&#1100;,%202020%20&#1075;.,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1\&#1050;&#1057;-3%20&#8470;21%20(&#1086;&#1090;&#1087;&#1088;&#1072;&#1074;&#1083;&#1077;&#1085;&#1086;)\&#1056;.17.96_(48701%20&#1076;&#1086;&#1087;.1)%2012-4017-&#1051;-&#1056;-11.4%20-%20&#1040;&#1087;&#1088;&#1077;&#1083;&#1100;,%202020%20&#1075;.,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1\&#1050;&#1057;-3%20&#8470;21%20(&#1086;&#1090;&#1087;&#1088;&#1072;&#1074;&#1083;&#1077;&#1085;&#1086;)\&#1056;.17.98_(48701%20&#1076;&#1086;&#1087;.1)%2012-4017-&#1051;-&#1056;-11.4%20-%20&#1052;&#1072;&#1081;,%202020%20&#1075;.,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4;&#1073;&#1098;&#1077;&#1082;&#1090;&#1099;\&#1040;&#1084;&#1080;&#1085;&#1100;&#1077;&#1074;&#1089;&#1082;&#1086;&#1077;\&#1042;&#1099;&#1087;&#1086;&#1083;&#1085;&#1077;&#1085;&#1080;&#1077;%2014.05.2020\12-4017-&#1051;-&#1056;-8.3.1-&#1042;&#1050;-&#1057;&#1052;1%20&#1048;&#1085;&#1078;&#1077;&#1085;%20-%20&#1052;&#1072;&#1081;,%202020%20&#1075;.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&#1050;&#1057;-3%20&#8470;%2021%20&#1071;&#1085;&#1074;&#1072;&#1088;&#1100;%2021\&#1088;.17.56%2005.12%20!!!%20&#1044;&#1040;&#1042;&#1040;&#1051;&#1068;&#1063;&#1045;&#1057;&#1050;&#1048;&#1049;%20&#1055;&#1056;&#1040;&#1049;&#1057;&#1067;%20%2048837-&#1058;&#1055;&#1050;_5-0699-&#1056;-&#1057;&#1057;&#1056;2%20%2012-40%20-%20&#1044;&#1077;&#1082;&#1072;&#1073;&#1088;&#1100;,%202020%20&#1075;.%20&#1089;&#1090;&#1088;&#1086;&#1081;&#1084;&#1086;&#1085;&#1090;&#1072;&#1078;%202002%2005.12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&#1050;&#1057;-3%20&#8470;%2021%20&#1071;&#1085;&#1074;&#1072;&#1088;&#1100;%2021\&#1088;.17.63%2012-4017-&#1051;-&#1056;-11.5.3-&#1054;&#1042;-&#1057;&#1052;1&#1050;%20(48%20-%20&#1054;&#1054;&#1054;%20&#1057;&#1090;&#1088;&#1086;&#1081;-&#1052;&#1086;&#1085;&#1090;&#1072;&#1078;%20%20&#1044;&#1077;&#1082;&#1072;&#1073;&#1088;&#1100;,%202020%20&#1075;.(&#8470;%2038)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&#1050;&#1057;-3%20&#8470;%2021%20&#1071;&#1085;&#1074;&#1072;&#1088;&#1100;%2021\&#1088;.17.93%2048645-&#1076;&#1086;&#1087;.1-&#1080;&#1079;&#1084;2.1%2012-4017-&#1051;-&#1056;%20-%20&#1044;&#1077;&#1082;&#1072;&#1073;&#1088;&#1100;,%202020%20&#1075;.%20&#1089;&#1090;&#1088;&#1086;&#1081;&#1084;&#1086;&#1085;&#1090;&#1072;&#1078;%2017.93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1\&#1050;&#1057;-3%20&#8470;21%20(&#1086;&#1090;&#1087;&#1088;&#1072;&#1074;&#1083;&#1077;&#1085;&#1086;)\&#1088;.21.10,%20&#1057;&#1052;2002,%20&#1071;&#1085;&#1074;&#1072;&#1088;&#1100;,%202021%20&#1075;.,%2049814-12-4017-&#1051;-&#1056;-11.3.3.4-&#1069;&#1054;1%20-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98_3\c\&#1052;&#1086;&#1080;%20&#1076;&#1086;&#1082;&#1091;&#1084;&#1077;&#1085;&#1090;&#1099;\&#1057;&#1084;&#1077;&#1090;&#1099;\&#1057;&#1084;&#1077;&#1090;&#1099;2\SMETA\SM162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1\&#1050;&#1057;-3%20&#8470;21%20(&#1086;&#1090;&#1087;&#1088;&#1072;&#1074;&#1083;&#1077;&#1085;&#1086;)\&#1088;.21.11,%20&#1071;&#1085;&#1074;&#1072;&#1088;&#1100;,%202021%20&#1075;.&#1057;&#1052;2002,%2049682-12-4017-&#1051;-&#1056;-11.5.6-&#1069;&#1054;-&#1057;&#1052;%20-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1\&#1050;&#1057;-3%20&#8470;21%20(&#1086;&#1090;&#1087;&#1088;&#1072;&#1074;&#1083;&#1077;&#1085;&#1086;)\&#1056;.21.12,%20&#1057;&#1052;2002,%20&#1071;&#1085;&#1074;&#1072;&#1088;&#1100;,%202021%20&#1075;.,%2048958%2012-4017-&#1051;-&#1056;-8.3.2-&#1069;&#1054;1-&#1057;&#1052;%20-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1\&#1050;&#1057;-3%20&#8470;21%20(&#1086;&#1090;&#1087;&#1088;&#1072;&#1074;&#1083;&#1077;&#1085;&#1086;)\&#1088;.21.13,%20&#1057;&#1052;2002,%20&#1071;&#1085;&#1074;&#1072;&#1088;&#1100;,%202021%20&#1075;.,%2049682-12-4017-&#1051;-&#1056;-11.5.6-&#1069;&#1054;-&#1057;&#1052;%20-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1\&#1050;&#1057;-3%20&#8470;21%20(&#1086;&#1090;&#1087;&#1088;&#1072;&#1074;&#1083;&#1077;&#1085;&#1086;)\&#1088;.21.14,%20&#1057;&#1052;2002,%20&#1071;&#1085;&#1074;&#1072;&#1088;&#1100;,%202021%20&#1075;.,%20%2048957-&#1058;&#1055;&#1050;_5-0782-&#1056;-&#1057;&#1057;&#1056;2-&#1080;&#1079;&#1084;1%20-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&#1050;&#1057;-3%20&#8470;%2021%20&#1071;&#1085;&#1074;&#1072;&#1088;&#1100;%2021\&#1088;.21.17%2048964-12-4017-&#1051;-&#1056;-8.3.3-&#1069;&#1052;2-&#1057;&#1052;%20-%20&#1054;&#1054;&#1054;%20_&#1057;&#1058;&#1056;&#1054;&#1049;-&#1052;&#1054;&#1053;&#1058;&#1040;&#1046;%202002_,%20&#1071;&#1085;&#1074;&#1072;&#1088;&#1100;,%202021%20&#1075;.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1052;&#1048;&#1055;-&#1057;&#1090;&#1088;&#1086;&#1081;%20&#8470;1\&#1057;&#1052;&#1045;&#1058;&#1053;&#1067;&#1049;%20&#1054;&#1058;&#1044;&#1045;&#1051;\&#1057;&#1091;&#1083;&#1080;&#1084;&#1072;\8%20&#1070;&#1047;%20&#1058;&#1055;&#1050;%20262-0619\&#1042;&#1099;&#1087;&#1086;&#1083;&#1085;&#1077;&#1085;&#1080;&#1077;\2020\8%20&#1057;&#1077;&#1085;&#1090;&#1103;&#1073;&#1088;&#1100;\&#1050;&#1057;-3%20&#8470;%2011%20&#1089;%2010%20&#1087;&#1086;%2030\12-4017-&#1051;-&#1056;-3.3.1-&#1042;&#1050;2-&#1057;&#1052;1%20(48825)%20-%20&#1057;&#1077;&#1085;&#1090;&#1103;&#1073;&#1088;&#1100;,%202020%20&#1075;.&#1057;&#1052;2002%20&#8470;11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С-2"/>
      <sheetName val="Source"/>
      <sheetName val="реестр новый "/>
      <sheetName val="КС-3 "/>
      <sheetName val="ВПДМ Май 2019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атрын"/>
      <sheetName val="зп мост"/>
      <sheetName val="зпподходы"/>
      <sheetName val="К.С.М."/>
      <sheetName val="Тр."/>
      <sheetName val="ПИР"/>
      <sheetName val="C.с"/>
      <sheetName val="П.з"/>
      <sheetName val="зим,"/>
      <sheetName val="эл"/>
      <sheetName val="ком"/>
      <sheetName val="C.с (р)"/>
      <sheetName val="П.з (2)"/>
      <sheetName val="сод"/>
      <sheetName val="Тр.(ж.д.)"/>
      <sheetName val="ч. щ. 2"/>
    </sheetNames>
    <sheetDataSet>
      <sheetData sheetId="0"/>
      <sheetData sheetId="1"/>
      <sheetData sheetId="2"/>
      <sheetData sheetId="3"/>
      <sheetData sheetId="4">
        <row r="36">
          <cell r="H36">
            <v>1.83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(дор.+мост)"/>
      <sheetName val="Тр.(дор.)"/>
      <sheetName val="Тр.  (мост)"/>
      <sheetName val="Сод.л.см"/>
      <sheetName val="Сод.р.в."/>
      <sheetName val="П.з.р.в"/>
      <sheetName val="П.з.л.см"/>
      <sheetName val="C.с"/>
      <sheetName val="В.ст.дор"/>
      <sheetName val="В.ст.мост"/>
      <sheetName val="Вр"/>
      <sheetName val="зим"/>
      <sheetName val="эл"/>
      <sheetName val="ПИРб"/>
      <sheetName val="ПИРт"/>
      <sheetName val="Тр."/>
      <sheetName val="FS_05"/>
      <sheetName val="2012(КСЛ) (2)"/>
      <sheetName val="12"/>
      <sheetName val="Тр.(ж.д.)"/>
      <sheetName val="ч. щ. 2"/>
    </sheetNames>
    <sheetDataSet>
      <sheetData sheetId="0"/>
      <sheetData sheetId="1">
        <row r="77">
          <cell r="H77">
            <v>497.25</v>
          </cell>
        </row>
      </sheetData>
      <sheetData sheetId="2"/>
      <sheetData sheetId="3"/>
      <sheetData sheetId="4">
        <row r="30">
          <cell r="P30">
            <v>10.14</v>
          </cell>
        </row>
      </sheetData>
      <sheetData sheetId="5"/>
      <sheetData sheetId="6"/>
      <sheetData sheetId="7"/>
      <sheetData sheetId="8"/>
      <sheetData sheetId="9">
        <row r="39">
          <cell r="D39">
            <v>6.12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 "/>
      <sheetName val="зимБ"/>
      <sheetName val="C.с  Б"/>
      <sheetName val="вахта Б"/>
      <sheetName val="ПИР"/>
      <sheetName val="сод.л.см."/>
      <sheetName val="ч. щ. 1"/>
      <sheetName val="ч. щ. 2"/>
      <sheetName val="П.з"/>
      <sheetName val="Тр.  (мост)"/>
      <sheetName val="Тр.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 "/>
      <sheetName val="C.с баз"/>
      <sheetName val="зим"/>
      <sheetName val="П.з"/>
      <sheetName val="сод.л.см."/>
      <sheetName val="ПИР"/>
      <sheetName val="об.смДБаз."/>
      <sheetName val="зимДБаз."/>
      <sheetName val="об.см.ДБаз.(1э)"/>
      <sheetName val="зим ДБаз.(1э)"/>
      <sheetName val="об.см.ДТек (1э)"/>
      <sheetName val="об.смДТек"/>
      <sheetName val="зим ДТек"/>
      <sheetName val="зимДТек(1э)"/>
      <sheetName val="Сод. к л.см.(1э)"/>
      <sheetName val="Сод. к л.см."/>
      <sheetName val="вах"/>
      <sheetName val="вр"/>
      <sheetName val="C.с"/>
      <sheetName val="Тр.  (мост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К.С.М. (2)"/>
      <sheetName val="Тр. "/>
      <sheetName val="вск1"/>
      <sheetName val="Р1"/>
      <sheetName val="ПИР"/>
      <sheetName val="П.з "/>
      <sheetName val="зим"/>
      <sheetName val="C.с"/>
      <sheetName val="C.с1п"/>
      <sheetName val="зим 1п"/>
      <sheetName val="Сод.р.в."/>
      <sheetName val="П.з.р.в."/>
      <sheetName val="тр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К.С.М. (2)"/>
      <sheetName val="Тр. "/>
      <sheetName val="вск1"/>
      <sheetName val="Р1"/>
      <sheetName val="ПИР"/>
      <sheetName val="П.з "/>
      <sheetName val="C.с"/>
      <sheetName val="зим"/>
    </sheetNames>
    <sheetDataSet>
      <sheetData sheetId="0"/>
      <sheetData sheetId="1"/>
      <sheetData sheetId="2"/>
      <sheetData sheetId="3">
        <row r="49">
          <cell r="P49">
            <v>33.584000000000003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"/>
      <sheetName val="К"/>
      <sheetName val="ч. щ. 1"/>
      <sheetName val="ч. щ. 2"/>
      <sheetName val="К.С.М."/>
      <sheetName val="Тр."/>
      <sheetName val="зим."/>
      <sheetName val="вах"/>
      <sheetName val="вр"/>
      <sheetName val="C.с"/>
      <sheetName val="П.з.л.см"/>
      <sheetName val="П.з.р.в"/>
      <sheetName val="Сод.л.см"/>
      <sheetName val="Сод.р.в."/>
      <sheetName val="К.С.М. (2)"/>
      <sheetName val="Приложение 15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>
        <row r="17">
          <cell r="F17">
            <v>23154</v>
          </cell>
        </row>
      </sheetData>
      <sheetData sheetId="8" refreshError="1">
        <row r="33">
          <cell r="G33">
            <v>60.84</v>
          </cell>
        </row>
      </sheetData>
      <sheetData sheetId="9" refreshError="1">
        <row r="28">
          <cell r="I28">
            <v>3.23</v>
          </cell>
        </row>
        <row r="58">
          <cell r="E58">
            <v>3.96</v>
          </cell>
        </row>
      </sheetData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Тр. (2)"/>
      <sheetName val="C.с "/>
      <sheetName val="C.с  (2)"/>
      <sheetName val="C.сбаз.и"/>
      <sheetName val="Р1 (2)"/>
      <sheetName val="Р1 (И)"/>
      <sheetName val="П.з "/>
      <sheetName val="сод"/>
      <sheetName val="сод (2)"/>
      <sheetName val="сод р.в."/>
      <sheetName val="П.з  (2)"/>
      <sheetName val="П.з  (3)"/>
      <sheetName val="К.С.М. (2)"/>
      <sheetName val="C.с"/>
      <sheetName val="вах"/>
      <sheetName val="вр"/>
      <sheetName val="зим."/>
      <sheetName val="mutual"/>
    </sheetNames>
    <sheetDataSet>
      <sheetData sheetId="0"/>
      <sheetData sheetId="1"/>
      <sheetData sheetId="2">
        <row r="42">
          <cell r="P42">
            <v>15.75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 "/>
      <sheetName val="об.смДБаз."/>
      <sheetName val="зимДБаз."/>
      <sheetName val="об.см.ДБаз.(1э)"/>
      <sheetName val="зим ДБаз.(1э)"/>
      <sheetName val="об.см.ДТек (1э)"/>
      <sheetName val="об.смДТек"/>
      <sheetName val="зим ДТек"/>
      <sheetName val="зимДТек(1э)"/>
      <sheetName val="Сод. к л.см.(1э)"/>
      <sheetName val="Сод. к л.см."/>
      <sheetName val="вах"/>
      <sheetName val="вр"/>
      <sheetName val="C.с"/>
      <sheetName val="зим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"/>
      <sheetName val="вск1"/>
      <sheetName val="Р1"/>
      <sheetName val="ПИР"/>
      <sheetName val="П.з "/>
      <sheetName val="C.с"/>
      <sheetName val="C.с (3)"/>
      <sheetName val="C.с (2)"/>
      <sheetName val="зим"/>
      <sheetName val="Рокно"/>
      <sheetName val="П.з  (2)"/>
      <sheetName val="C.с (4)"/>
      <sheetName val="вр"/>
      <sheetName val="Lots1127"/>
    </sheetNames>
    <sheetDataSet>
      <sheetData sheetId="0"/>
      <sheetData sheetId="1"/>
      <sheetData sheetId="2">
        <row r="18">
          <cell r="P18">
            <v>15.080000000000002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л.энергия"/>
      <sheetName val="аренда флота"/>
      <sheetName val="Эл.энергия без 100 кВт"/>
    </sheetNames>
    <sheetDataSet>
      <sheetData sheetId="0"/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 "/>
      <sheetName val="C.с баз"/>
      <sheetName val="зим"/>
      <sheetName val="П.з"/>
      <sheetName val="сод.л.см."/>
      <sheetName val="ПИР"/>
      <sheetName val="Фрез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.С.М."/>
      <sheetName val="Ф"/>
      <sheetName val="Bendra"/>
    </sheetNames>
    <sheetDataSet>
      <sheetData sheetId="0">
        <row r="113">
          <cell r="P113">
            <v>24.96</v>
          </cell>
        </row>
      </sheetData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Ер"/>
      <sheetName val="К"/>
      <sheetName val="Ф"/>
      <sheetName val="К.С.М."/>
      <sheetName val="Тр."/>
      <sheetName val="Тр. (2)"/>
      <sheetName val="а.б. 1 м"/>
      <sheetName val="битум"/>
      <sheetName val="Р1 "/>
      <sheetName val="ПИР"/>
      <sheetName val="C.с "/>
      <sheetName val="Р2"/>
      <sheetName val="П.з "/>
      <sheetName val="C.с  (2)"/>
      <sheetName val="C.с  (4)"/>
      <sheetName val="К.С.М. (2)"/>
    </sheetNames>
    <sheetDataSet>
      <sheetData sheetId="0"/>
      <sheetData sheetId="1"/>
      <sheetData sheetId="2"/>
      <sheetData sheetId="3">
        <row r="192">
          <cell r="P192">
            <v>26.808000000000003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Е.р."/>
      <sheetName val="К"/>
      <sheetName val="Ф"/>
      <sheetName val="К.С.М."/>
      <sheetName val="Тр."/>
      <sheetName val="ПИР"/>
      <sheetName val="C.с"/>
      <sheetName val="Р1"/>
      <sheetName val="Р2"/>
      <sheetName val="Р2 (2)"/>
      <sheetName val="Р3"/>
      <sheetName val="C.с (2)"/>
      <sheetName val="C.с (3)"/>
      <sheetName val="П.з"/>
      <sheetName val="сод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С.с"/>
      <sheetName val="С.с (2)"/>
      <sheetName val="Р1"/>
      <sheetName val="Р2"/>
      <sheetName val="П.з"/>
      <sheetName val="ПИР"/>
      <sheetName val="об"/>
      <sheetName val="мат"/>
      <sheetName val="К.С.М."/>
      <sheetName val="Ф"/>
    </sheetNames>
    <sheetDataSet>
      <sheetData sheetId="0"/>
      <sheetData sheetId="1"/>
      <sheetData sheetId="2">
        <row r="155">
          <cell r="K155">
            <v>585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Тр.ж.д."/>
      <sheetName val="Тр.ж.д. (1)"/>
      <sheetName val="ПИР"/>
      <sheetName val="C.с баз"/>
      <sheetName val="зим Б"/>
      <sheetName val="вах"/>
      <sheetName val="эл"/>
      <sheetName val="П.з"/>
      <sheetName val="сод"/>
      <sheetName val="сод.л.см."/>
      <sheetName val="сод.л.р.в.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"/>
      <sheetName val="КС-2"/>
      <sheetName val="3"/>
      <sheetName val="Inf"/>
    </sheetNames>
    <sheetDataSet>
      <sheetData sheetId="0">
        <row r="48">
          <cell r="H48">
            <v>65.84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ж.д."/>
      <sheetName val="сод"/>
      <sheetName val="ПИРБ"/>
      <sheetName val="C.с  Б"/>
      <sheetName val="зимБ"/>
      <sheetName val="вах"/>
      <sheetName val="Тр.(пут)"/>
      <sheetName val="Фм"/>
      <sheetName val="К.С.М. (ПУТ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C.с баз"/>
      <sheetName val="Тр."/>
      <sheetName val="зим Б"/>
      <sheetName val="сод.л.см."/>
      <sheetName val="П.з"/>
      <sheetName val="Об.см."/>
      <sheetName val="вах"/>
      <sheetName val="ПИР"/>
      <sheetName val="Тр.(пут)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баз"/>
      <sheetName val="зим Б"/>
      <sheetName val="сод.л.см."/>
      <sheetName val="П.з"/>
      <sheetName val="ПИР"/>
      <sheetName val="вах"/>
      <sheetName val="Об.см."/>
      <sheetName val="ТрМ. "/>
      <sheetName val="К.С.М. м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urnisseurs"/>
      <sheetName val="Catégories"/>
      <sheetName val="Diffuseurs"/>
      <sheetName val="Terminaux clim"/>
      <sheetName val="AERAULIQUE"/>
      <sheetName val="HYDRAULIQUE"/>
      <sheetName val="Source"/>
    </sheetNames>
    <sheetDataSet>
      <sheetData sheetId="0" refreshError="1"/>
      <sheetData sheetId="1">
        <row r="5">
          <cell r="B5" t="str">
            <v>Diffuseurs filtres</v>
          </cell>
        </row>
        <row r="6">
          <cell r="B6" t="str">
            <v>Diffuseurs petit débit</v>
          </cell>
        </row>
        <row r="7">
          <cell r="B7" t="str">
            <v>Diffuseurs à induction interne</v>
          </cell>
        </row>
        <row r="8">
          <cell r="B8" t="str">
            <v>Diffuseurs plafonniers perforés</v>
          </cell>
        </row>
        <row r="9">
          <cell r="B9" t="str">
            <v>Diffuseurs longue portée</v>
          </cell>
        </row>
        <row r="10">
          <cell r="B10" t="str">
            <v>Diffuseurs de sol/contre marche pour salle de spectacle</v>
          </cell>
        </row>
        <row r="11">
          <cell r="B11" t="str">
            <v>Buses de soufflages</v>
          </cell>
        </row>
        <row r="12">
          <cell r="B12" t="str">
            <v>Diffuseurs circulaires</v>
          </cell>
        </row>
        <row r="13">
          <cell r="B13" t="str">
            <v>Diffuseurs architecturaux</v>
          </cell>
        </row>
        <row r="14">
          <cell r="B14" t="str">
            <v>Diffuseurs à jets rotatif</v>
          </cell>
        </row>
        <row r="15">
          <cell r="B15" t="str">
            <v>Diffuseurs linéaires</v>
          </cell>
        </row>
        <row r="16">
          <cell r="B16" t="str">
            <v>Diffuseurs pour locaux de grandes hauteur</v>
          </cell>
        </row>
        <row r="17">
          <cell r="B17" t="str">
            <v>Diffuseurs à déplacements</v>
          </cell>
        </row>
        <row r="20">
          <cell r="B20" t="str">
            <v>Catégories de pompes</v>
          </cell>
        </row>
        <row r="22">
          <cell r="B22" t="str">
            <v>Pompes simples</v>
          </cell>
        </row>
        <row r="23">
          <cell r="B23" t="str">
            <v>Pompes doubles</v>
          </cell>
        </row>
        <row r="27">
          <cell r="B27" t="str">
            <v>Catégories de splits</v>
          </cell>
        </row>
        <row r="28">
          <cell r="B28" t="str">
            <v>Monosplit</v>
          </cell>
        </row>
        <row r="29">
          <cell r="B29" t="str">
            <v>Multisplit</v>
          </cell>
        </row>
        <row r="32">
          <cell r="B32" t="str">
            <v>Catégories d'échangeurs à plaques</v>
          </cell>
        </row>
        <row r="33">
          <cell r="B33" t="str">
            <v>465kW</v>
          </cell>
        </row>
        <row r="34">
          <cell r="B34" t="str">
            <v>950kW</v>
          </cell>
        </row>
        <row r="36">
          <cell r="B36" t="str">
            <v>Catégories de ventilo-convecteurs (VC)</v>
          </cell>
        </row>
        <row r="37">
          <cell r="B37" t="str">
            <v>2 tuyaux</v>
          </cell>
        </row>
        <row r="38">
          <cell r="B38" t="str">
            <v>4 tuyaux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баз"/>
      <sheetName val="зим Б"/>
      <sheetName val="ПИР б"/>
      <sheetName val="сод.л.см."/>
      <sheetName val="П.з"/>
      <sheetName val="Тр.(ж.д.)"/>
      <sheetName val="ч. щ. 2"/>
      <sheetName val="BDR02"/>
    </sheetNames>
    <sheetDataSet>
      <sheetData sheetId="0" refreshError="1"/>
      <sheetData sheetId="1">
        <row r="97">
          <cell r="H97">
            <v>6.27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"/>
      <sheetName val="Тр."/>
      <sheetName val="3"/>
    </sheetNames>
    <sheetDataSet>
      <sheetData sheetId="0">
        <row r="28">
          <cell r="H28">
            <v>238.77899999999997</v>
          </cell>
        </row>
      </sheetData>
      <sheetData sheetId="1" refreshError="1"/>
      <sheetData sheetId="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(дор.+мост)"/>
      <sheetName val="Тр.(дор.)"/>
      <sheetName val="Тр.  (мост)"/>
      <sheetName val="Сод.л.см"/>
      <sheetName val="Сод.р.в."/>
      <sheetName val="П.з.р.в"/>
      <sheetName val="П.з.л.см"/>
      <sheetName val="C.с"/>
      <sheetName val="В.ст.дор"/>
      <sheetName val="В.ст.мост"/>
      <sheetName val="Вр"/>
      <sheetName val="зим"/>
      <sheetName val="эл"/>
      <sheetName val="ПИРб"/>
      <sheetName val="ПИРт"/>
      <sheetName val="FS_05"/>
    </sheetNames>
    <sheetDataSet>
      <sheetData sheetId="0"/>
      <sheetData sheetId="1">
        <row r="77">
          <cell r="H77">
            <v>497.25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2"/>
      <sheetName val="сод.т.ц."/>
      <sheetName val="Возврат"/>
      <sheetName val="C.с "/>
      <sheetName val="зим "/>
      <sheetName val="эл т"/>
      <sheetName val="Об.см."/>
      <sheetName val="ПИР"/>
      <sheetName val="тр "/>
      <sheetName val="К.С.М."/>
      <sheetName val="Ф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им "/>
      <sheetName val="эл"/>
      <sheetName val="экспертиза"/>
      <sheetName val="содт"/>
      <sheetName val="июнь ТО-45"/>
      <sheetName val="Ф"/>
    </sheetNames>
    <sheetDataSet>
      <sheetData sheetId="0">
        <row r="31">
          <cell r="F31">
            <v>61643.700000000004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има"/>
      <sheetName val="Зима тек."/>
      <sheetName val="ф3"/>
      <sheetName val="ф3д"/>
      <sheetName val="ф3м"/>
      <sheetName val="Вр"/>
      <sheetName val="Вр тек"/>
      <sheetName val="эл"/>
      <sheetName val="эл т"/>
      <sheetName val="Макрос1"/>
      <sheetName val="Макрос2"/>
      <sheetName val="Макрос3"/>
      <sheetName val="для расчёта"/>
      <sheetName val="Февраль"/>
      <sheetName val="зим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Лист1"/>
      <sheetName val="Source"/>
      <sheetName val="SmtRes"/>
      <sheetName val="ClcRes"/>
      <sheetName val="зим 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 (2)"/>
      <sheetName val="Лист2"/>
      <sheetName val="Лист1"/>
      <sheetName val="Source"/>
      <sheetName val="SmtRes"/>
      <sheetName val="ClcRes"/>
      <sheetName val="Зима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Ер"/>
      <sheetName val="К"/>
      <sheetName val="Ф"/>
      <sheetName val="К.С.М."/>
      <sheetName val="Тр(мост)"/>
      <sheetName val="Тр(дор.)"/>
      <sheetName val="C.с "/>
      <sheetName val="зим"/>
      <sheetName val="П.з. л. c"/>
      <sheetName val="П.з.р.в."/>
      <sheetName val="ПИРб"/>
      <sheetName val="ПИРт"/>
      <sheetName val="Сод р.в."/>
      <sheetName val="Сод.л.см"/>
      <sheetName val="Лист1"/>
      <sheetName val="Зима"/>
      <sheetName val="XRate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21">
          <cell r="D21">
            <v>54.33</v>
          </cell>
        </row>
        <row r="25">
          <cell r="D25">
            <v>1.04</v>
          </cell>
        </row>
        <row r="28">
          <cell r="D28">
            <v>6.99</v>
          </cell>
        </row>
        <row r="36">
          <cell r="F36">
            <v>2.89</v>
          </cell>
        </row>
        <row r="39">
          <cell r="I39">
            <v>36.840000000000003</v>
          </cell>
        </row>
        <row r="49">
          <cell r="D49">
            <v>15.42</v>
          </cell>
        </row>
        <row r="52">
          <cell r="D52">
            <v>9.6999999999999993</v>
          </cell>
        </row>
        <row r="69">
          <cell r="D69">
            <v>159.82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.с  (2)"/>
      <sheetName val="ПИРб"/>
      <sheetName val="ПИРтек"/>
      <sheetName val="П.з.р.в."/>
      <sheetName val="К"/>
      <sheetName val="Ф"/>
      <sheetName val="К.С.М."/>
      <sheetName val="Тр."/>
      <sheetName val="Сод.кор."/>
      <sheetName val="Сод р.в."/>
      <sheetName val="Сод.л.см"/>
      <sheetName val="зим (2)"/>
      <sheetName val="вах (2)"/>
      <sheetName val="зим"/>
      <sheetName val="C.с "/>
      <sheetName val="вах"/>
      <sheetName val="ГИБДД"/>
      <sheetName val="эл"/>
      <sheetName val="П.з. л. c"/>
      <sheetName val="П.з. л. c (2)"/>
      <sheetName val="Лист1"/>
      <sheetName val="Зуевка,Прил 4."/>
      <sheetName val="Page1"/>
      <sheetName val="12"/>
      <sheetName val="C.с"/>
      <sheetName val="контрагенты"/>
    </sheetNames>
    <sheetDataSet>
      <sheetData sheetId="0">
        <row r="44">
          <cell r="H44">
            <v>46.16</v>
          </cell>
        </row>
        <row r="80">
          <cell r="I80">
            <v>1135.92</v>
          </cell>
        </row>
      </sheetData>
      <sheetData sheetId="1"/>
      <sheetData sheetId="2">
        <row r="52">
          <cell r="H52">
            <v>58.765040000000006</v>
          </cell>
        </row>
      </sheetData>
      <sheetData sheetId="3">
        <row r="51">
          <cell r="P51">
            <v>8.94</v>
          </cell>
        </row>
      </sheetData>
      <sheetData sheetId="4">
        <row r="35">
          <cell r="H35">
            <v>9.33</v>
          </cell>
        </row>
      </sheetData>
      <sheetData sheetId="5">
        <row r="52">
          <cell r="H52">
            <v>58.765040000000006</v>
          </cell>
        </row>
      </sheetData>
      <sheetData sheetId="6">
        <row r="51">
          <cell r="P51">
            <v>8.94</v>
          </cell>
        </row>
      </sheetData>
      <sheetData sheetId="7">
        <row r="35">
          <cell r="H35">
            <v>9.33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Н1_БНС"/>
      <sheetName val="ЭН2_БНС"/>
      <sheetName val="ЭН14_БНС"/>
      <sheetName val="1-1-4"/>
      <sheetName val="8-4_времен.дорога А-В"/>
      <sheetName val="2-4-9_дорога 3"/>
      <sheetName val="1-1-11_Зем.работы площадки"/>
      <sheetName val="1-1-8_островки"/>
      <sheetName val="9 навМОСТОВИК"/>
      <sheetName val="Эл.энергия без 100 кВт"/>
      <sheetName val="М2_БНС"/>
      <sheetName val="ЭН14_Ростверк"/>
      <sheetName val="ЭН14_СВСиУ"/>
      <sheetName val="ЭН15_БНС"/>
      <sheetName val="ЭН13_БНС"/>
      <sheetName val="ЭН13_СВСиУ"/>
      <sheetName val="ЭН3_БНС"/>
      <sheetName val="ЭН16_БНС"/>
      <sheetName val="Ф-2 надбавка ДВ%"/>
      <sheetName val="Ф-2 вах.метод"/>
      <sheetName val="перебазировка"/>
      <sheetName val="Аренда флота"/>
      <sheetName val="КС-3"/>
      <sheetName val="КС-3_ноябрь полная"/>
      <sheetName val="КС-3_ноябрь"/>
      <sheetName val="Реестр акто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общих данных"/>
      <sheetName val="Лист1"/>
      <sheetName val="Объектн.смета"/>
      <sheetName val="Зима"/>
      <sheetName val="Прочие"/>
      <sheetName val="Врем.здания"/>
      <sheetName val="Сметный расчет стоимости"/>
      <sheetName val="Отпускн.цена"/>
      <sheetName val="Кальк.тр.расх."/>
      <sheetName val="Кальк.стоим."/>
      <sheetName val="Форма прямых затрат"/>
      <sheetName val="Каталог"/>
      <sheetName val="Озеленение"/>
      <sheetName val="Вертик.планировка"/>
      <sheetName val="Автопавильон"/>
      <sheetName val="Пересечения и примыкания"/>
      <sheetName val=" Подготовительные работы"/>
      <sheetName val="Рекультивация"/>
      <sheetName val="Земляное полотно"/>
      <sheetName val="Дорожная одежда"/>
      <sheetName val="Объездные дороги"/>
      <sheetName val="Обстановка дороги"/>
      <sheetName val="Искусственные сооружения"/>
      <sheetName val="C.с "/>
      <sheetName val="зим "/>
    </sheetNames>
    <sheetDataSet>
      <sheetData sheetId="0" refreshError="1"/>
      <sheetData sheetId="1" refreshError="1"/>
      <sheetData sheetId="2" refreshError="1"/>
      <sheetData sheetId="3" refreshError="1">
        <row r="16">
          <cell r="E16">
            <v>6905</v>
          </cell>
        </row>
      </sheetData>
      <sheetData sheetId="4" refreshError="1"/>
      <sheetData sheetId="5" refreshError="1">
        <row r="11">
          <cell r="G11">
            <v>11835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40">
          <cell r="AJ40">
            <v>547</v>
          </cell>
        </row>
      </sheetData>
      <sheetData sheetId="13" refreshError="1">
        <row r="32">
          <cell r="AJ32">
            <v>104</v>
          </cell>
        </row>
      </sheetData>
      <sheetData sheetId="14" refreshError="1">
        <row r="133">
          <cell r="AJ133">
            <v>2055</v>
          </cell>
        </row>
      </sheetData>
      <sheetData sheetId="15" refreshError="1">
        <row r="58">
          <cell r="AJ58">
            <v>24880</v>
          </cell>
        </row>
      </sheetData>
      <sheetData sheetId="16" refreshError="1">
        <row r="15">
          <cell r="AJ15">
            <v>111</v>
          </cell>
        </row>
        <row r="20">
          <cell r="AJ20">
            <v>28</v>
          </cell>
        </row>
        <row r="26">
          <cell r="AJ26">
            <v>1520</v>
          </cell>
        </row>
        <row r="71">
          <cell r="AJ71">
            <v>39</v>
          </cell>
        </row>
      </sheetData>
      <sheetData sheetId="17" refreshError="1">
        <row r="24">
          <cell r="AJ24">
            <v>300</v>
          </cell>
        </row>
        <row r="51">
          <cell r="AJ51">
            <v>4809</v>
          </cell>
        </row>
      </sheetData>
      <sheetData sheetId="18" refreshError="1">
        <row r="49">
          <cell r="AJ49">
            <v>8292</v>
          </cell>
        </row>
        <row r="70">
          <cell r="AJ70">
            <v>5087</v>
          </cell>
        </row>
      </sheetData>
      <sheetData sheetId="19" refreshError="1">
        <row r="30">
          <cell r="AJ30">
            <v>166825</v>
          </cell>
        </row>
        <row r="51">
          <cell r="AJ51">
            <v>6450</v>
          </cell>
        </row>
        <row r="75">
          <cell r="AJ75">
            <v>10305</v>
          </cell>
        </row>
      </sheetData>
      <sheetData sheetId="20" refreshError="1">
        <row r="41">
          <cell r="AJ41">
            <v>4442</v>
          </cell>
        </row>
      </sheetData>
      <sheetData sheetId="21" refreshError="1">
        <row r="24">
          <cell r="AJ24">
            <v>476</v>
          </cell>
        </row>
        <row r="42">
          <cell r="AJ42">
            <v>1797</v>
          </cell>
        </row>
        <row r="66">
          <cell r="AJ66">
            <v>6532</v>
          </cell>
        </row>
        <row r="103">
          <cell r="AJ103">
            <v>1440</v>
          </cell>
        </row>
        <row r="121">
          <cell r="AJ121">
            <v>303</v>
          </cell>
        </row>
      </sheetData>
      <sheetData sheetId="22" refreshError="1">
        <row r="182">
          <cell r="AJ182">
            <v>30439</v>
          </cell>
        </row>
      </sheetData>
      <sheetData sheetId="23" refreshError="1"/>
      <sheetData sheetId="2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.2011"/>
      <sheetName val="09.2011"/>
      <sheetName val="10.2011"/>
      <sheetName val="11.2011"/>
      <sheetName val="12.2011"/>
      <sheetName val="01.2012"/>
      <sheetName val="02.2012"/>
      <sheetName val="03.2012"/>
      <sheetName val="04.2012"/>
      <sheetName val="05.2012"/>
      <sheetName val="06.2012"/>
      <sheetName val="07.2012"/>
      <sheetName val="08.2012"/>
      <sheetName val="09.2012"/>
      <sheetName val="05.2013"/>
      <sheetName val="06.2013"/>
      <sheetName val="07.2013"/>
      <sheetName val="08.2013"/>
      <sheetName val="09.2013"/>
      <sheetName val="Лист1"/>
      <sheetName val="Лист2"/>
      <sheetName val="Обстановка дороги"/>
      <sheetName val="Автопавильон"/>
      <sheetName val="Дорожная одежда"/>
      <sheetName val="Вертик.планировка"/>
      <sheetName val=" Подготовительные работы"/>
      <sheetName val="Врем.здания"/>
      <sheetName val="Земляное полотно"/>
      <sheetName val="Зима"/>
      <sheetName val="Объездные дороги"/>
      <sheetName val="Озеленение"/>
      <sheetName val="Пересечения и примыкания"/>
      <sheetName val="Рекультивация"/>
      <sheetName val="Искусственные сооружени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418">
          <cell r="C418" t="str">
            <v>Воробьев Борис Олегович</v>
          </cell>
          <cell r="D418" t="str">
            <v xml:space="preserve">мастер горный </v>
          </cell>
          <cell r="E418" t="str">
            <v>ЕВ20101156 937196</v>
          </cell>
          <cell r="F418">
            <v>2587</v>
          </cell>
          <cell r="G418">
            <v>2192.73</v>
          </cell>
          <cell r="H418">
            <v>0</v>
          </cell>
        </row>
        <row r="419">
          <cell r="C419" t="str">
            <v>Довбня Владислав Сергеевич</v>
          </cell>
          <cell r="D419" t="str">
            <v>маркшейдер</v>
          </cell>
          <cell r="E419" t="str">
            <v>ГВ2010105 484666</v>
          </cell>
          <cell r="F419">
            <v>1776.4</v>
          </cell>
          <cell r="G419">
            <v>1505.77</v>
          </cell>
          <cell r="H419">
            <v>0</v>
          </cell>
        </row>
        <row r="420">
          <cell r="C420" t="str">
            <v>Коротун Павел Владимирович</v>
          </cell>
          <cell r="D420" t="str">
            <v xml:space="preserve">мастер горный </v>
          </cell>
          <cell r="E420" t="str">
            <v>ВЛ2010086 112755</v>
          </cell>
          <cell r="F420">
            <v>1567.5</v>
          </cell>
          <cell r="G420">
            <v>1328.74</v>
          </cell>
          <cell r="H420">
            <v>1121.96</v>
          </cell>
        </row>
        <row r="421">
          <cell r="E421" t="str">
            <v>ВЛ2010086 115206</v>
          </cell>
          <cell r="F421">
            <v>1323.5</v>
          </cell>
          <cell r="G421">
            <v>1121.96</v>
          </cell>
          <cell r="H421">
            <v>0</v>
          </cell>
        </row>
        <row r="422">
          <cell r="C422" t="str">
            <v>Криворотов Сергей Александрович</v>
          </cell>
          <cell r="D422" t="str">
            <v>помощник электромеханика</v>
          </cell>
          <cell r="E422">
            <v>67061257322652</v>
          </cell>
          <cell r="F422">
            <v>1933.4</v>
          </cell>
          <cell r="G422">
            <v>1638.47</v>
          </cell>
          <cell r="H422">
            <v>0</v>
          </cell>
        </row>
        <row r="423">
          <cell r="C423" t="str">
            <v>Петров Андрей Юрьевич</v>
          </cell>
          <cell r="D423" t="str">
            <v>маркшейдер</v>
          </cell>
          <cell r="E423" t="str">
            <v>ВЛ2010086 036508</v>
          </cell>
          <cell r="F423">
            <v>997</v>
          </cell>
          <cell r="G423">
            <v>845.26</v>
          </cell>
          <cell r="H423">
            <v>1328.73</v>
          </cell>
        </row>
        <row r="424">
          <cell r="E424" t="str">
            <v>ВБ2010078 340498</v>
          </cell>
          <cell r="F424">
            <v>1567.5</v>
          </cell>
          <cell r="G424">
            <v>1328.73</v>
          </cell>
          <cell r="H424">
            <v>0</v>
          </cell>
        </row>
        <row r="425">
          <cell r="C425" t="str">
            <v>Рыбчак Евгений Васильевич</v>
          </cell>
          <cell r="D425" t="str">
            <v>маркшейдер</v>
          </cell>
          <cell r="E425" t="str">
            <v>ГВ2010105 484666</v>
          </cell>
          <cell r="F425">
            <v>2090</v>
          </cell>
          <cell r="G425">
            <v>1771.49</v>
          </cell>
          <cell r="H425">
            <v>0</v>
          </cell>
        </row>
        <row r="426">
          <cell r="H426">
            <v>0</v>
          </cell>
        </row>
        <row r="427">
          <cell r="C427" t="str">
            <v>Агарков Евгений Григорьевич</v>
          </cell>
          <cell r="D427" t="str">
            <v>электрогазосварщик занятый на резке и ручной сварке о/г.р.</v>
          </cell>
          <cell r="E427" t="str">
            <v>ЯИ2010707 201951</v>
          </cell>
          <cell r="F427">
            <v>1567.5</v>
          </cell>
          <cell r="G427">
            <v>1328.73</v>
          </cell>
          <cell r="H427">
            <v>1638.82</v>
          </cell>
        </row>
        <row r="428">
          <cell r="E428" t="str">
            <v>РЖ2007013875451</v>
          </cell>
          <cell r="F428">
            <v>1933.4</v>
          </cell>
          <cell r="G428">
            <v>1638.82</v>
          </cell>
          <cell r="H428">
            <v>0</v>
          </cell>
        </row>
        <row r="429">
          <cell r="C429" t="str">
            <v>Акимов Сергей Владимирович</v>
          </cell>
          <cell r="D429" t="str">
            <v>электросварщик ручной сварки о/г.р.</v>
          </cell>
          <cell r="E429" t="str">
            <v>ЮЭ2010697 044257</v>
          </cell>
          <cell r="F429">
            <v>997</v>
          </cell>
          <cell r="G429">
            <v>845.26</v>
          </cell>
          <cell r="H429">
            <v>1121.96</v>
          </cell>
        </row>
        <row r="430">
          <cell r="E430" t="str">
            <v>ЕВ2010156 935749</v>
          </cell>
          <cell r="F430">
            <v>1323.5</v>
          </cell>
          <cell r="G430">
            <v>1121.96</v>
          </cell>
          <cell r="H430">
            <v>0</v>
          </cell>
        </row>
        <row r="431">
          <cell r="C431" t="str">
            <v>Алексеев Александр Борисович</v>
          </cell>
          <cell r="D431" t="str">
            <v>проходчик на поверхностных работах</v>
          </cell>
          <cell r="E431">
            <v>304848</v>
          </cell>
          <cell r="F431">
            <v>1000</v>
          </cell>
          <cell r="G431">
            <v>847.46</v>
          </cell>
          <cell r="H431">
            <v>847.46</v>
          </cell>
        </row>
        <row r="432">
          <cell r="E432">
            <v>84440</v>
          </cell>
          <cell r="F432">
            <v>1000</v>
          </cell>
          <cell r="G432">
            <v>847.46</v>
          </cell>
          <cell r="H432">
            <v>0</v>
          </cell>
        </row>
        <row r="433">
          <cell r="C433" t="str">
            <v>Алексеев Юрий Семенович</v>
          </cell>
          <cell r="D433" t="str">
            <v>проходчик на поверхностных работах</v>
          </cell>
          <cell r="E433" t="str">
            <v>АИ2010032 717580</v>
          </cell>
          <cell r="F433">
            <v>1428.1</v>
          </cell>
          <cell r="G433">
            <v>1210.6099999999999</v>
          </cell>
          <cell r="H433">
            <v>0</v>
          </cell>
        </row>
        <row r="434">
          <cell r="C434" t="str">
            <v>Андреев Максим Николаевич</v>
          </cell>
          <cell r="D434" t="str">
            <v>электрослесарь (слесарь) дежурный и по ремонту оборудования</v>
          </cell>
          <cell r="E434" t="str">
            <v>ЮЭ2010697 947958</v>
          </cell>
          <cell r="F434">
            <v>1079.5999999999999</v>
          </cell>
          <cell r="G434">
            <v>915.27</v>
          </cell>
          <cell r="H434">
            <v>1195.5999999999999</v>
          </cell>
        </row>
        <row r="435">
          <cell r="E435" t="str">
            <v>АП2010037 985201</v>
          </cell>
          <cell r="F435">
            <v>1410.4</v>
          </cell>
          <cell r="G435">
            <v>1195.5999999999999</v>
          </cell>
          <cell r="H435">
            <v>0</v>
          </cell>
        </row>
        <row r="436">
          <cell r="C436" t="str">
            <v>Андрющенко Алексей Федорович</v>
          </cell>
          <cell r="D436" t="str">
            <v>электрогазосварщик занятый на резке и ручной сварке о/г.р.</v>
          </cell>
          <cell r="E436" t="str">
            <v>ГВ2010105 564922</v>
          </cell>
          <cell r="F436">
            <v>1567.5</v>
          </cell>
          <cell r="G436">
            <v>1328.73</v>
          </cell>
          <cell r="H436">
            <v>1638.82</v>
          </cell>
        </row>
        <row r="437">
          <cell r="E437" t="str">
            <v>АП2010037 926474</v>
          </cell>
          <cell r="F437">
            <v>1933.4</v>
          </cell>
          <cell r="G437">
            <v>1638.82</v>
          </cell>
          <cell r="H437">
            <v>0</v>
          </cell>
        </row>
        <row r="438">
          <cell r="C438" t="str">
            <v>Анкудинов Василий Юрьевич</v>
          </cell>
          <cell r="D438" t="str">
            <v>электрогазосварщик занятый на резке и ручной сварке о/г.р.</v>
          </cell>
          <cell r="E438" t="str">
            <v>ЧБ2010571 782752</v>
          </cell>
          <cell r="F438">
            <v>2090.3000000000002</v>
          </cell>
          <cell r="G438">
            <v>1771.79</v>
          </cell>
          <cell r="H438">
            <v>0</v>
          </cell>
        </row>
        <row r="439">
          <cell r="C439" t="str">
            <v>Апарович Виталий Геннадьевич</v>
          </cell>
          <cell r="D439" t="str">
            <v xml:space="preserve">горнорабочий </v>
          </cell>
          <cell r="E439" t="str">
            <v>ВЕ2010082 594261</v>
          </cell>
          <cell r="F439">
            <v>997</v>
          </cell>
          <cell r="G439">
            <v>845.26</v>
          </cell>
          <cell r="H439">
            <v>915.27</v>
          </cell>
        </row>
        <row r="440">
          <cell r="E440" t="str">
            <v>ГМ2010113 442850</v>
          </cell>
          <cell r="F440">
            <v>1079.5999999999999</v>
          </cell>
          <cell r="G440">
            <v>915.27</v>
          </cell>
          <cell r="H440">
            <v>0</v>
          </cell>
        </row>
        <row r="441">
          <cell r="C441" t="str">
            <v>Арнаутов Александр Александрович</v>
          </cell>
          <cell r="D441" t="str">
            <v>электрослесарь (слесарь) дежурный и по ремонту оборудования</v>
          </cell>
          <cell r="E441" t="str">
            <v>ВЛ2010086 113339</v>
          </cell>
          <cell r="F441">
            <v>1079.5999999999999</v>
          </cell>
          <cell r="G441">
            <v>915.27</v>
          </cell>
          <cell r="H441">
            <v>0</v>
          </cell>
        </row>
        <row r="442">
          <cell r="C442" t="str">
            <v>Базулин Александр Васильевич</v>
          </cell>
          <cell r="D442" t="str">
            <v>электрослесарь (слесарь) дежурный и по ремонту оборудования</v>
          </cell>
          <cell r="E442" t="str">
            <v>АИ2010032 739055</v>
          </cell>
          <cell r="F442">
            <v>1567.5</v>
          </cell>
          <cell r="G442">
            <v>1328.73</v>
          </cell>
          <cell r="H442">
            <v>1638.82</v>
          </cell>
        </row>
        <row r="443">
          <cell r="E443" t="str">
            <v>АИ2010032 739056</v>
          </cell>
          <cell r="F443">
            <v>1933.4</v>
          </cell>
          <cell r="G443">
            <v>1638.82</v>
          </cell>
          <cell r="H443">
            <v>0</v>
          </cell>
        </row>
        <row r="444">
          <cell r="C444" t="str">
            <v>Баклаженко Артем Сергеевич</v>
          </cell>
          <cell r="D444" t="str">
            <v>электрогазосварщик занятый на резке и ручной сварке о/г.р.</v>
          </cell>
          <cell r="E444" t="str">
            <v>ЩН2010633 911801</v>
          </cell>
          <cell r="F444">
            <v>1567.5</v>
          </cell>
          <cell r="G444">
            <v>1328.73</v>
          </cell>
          <cell r="H444">
            <v>1647.39</v>
          </cell>
        </row>
        <row r="445">
          <cell r="E445" t="str">
            <v>АП2010037 946007</v>
          </cell>
          <cell r="F445">
            <v>1943.5</v>
          </cell>
          <cell r="G445">
            <v>1647.39</v>
          </cell>
          <cell r="H445">
            <v>0</v>
          </cell>
        </row>
        <row r="446">
          <cell r="C446" t="str">
            <v>Белоусов Павел Анатольевич</v>
          </cell>
          <cell r="D446" t="str">
            <v>электрослесарь (слесарь) дежурный и по ремонту оборудования</v>
          </cell>
          <cell r="E446" t="str">
            <v>АК2010033 066391</v>
          </cell>
          <cell r="F446">
            <v>1567.5</v>
          </cell>
          <cell r="G446">
            <v>1328.73</v>
          </cell>
          <cell r="H446">
            <v>1328.73</v>
          </cell>
        </row>
        <row r="447">
          <cell r="E447" t="str">
            <v>ГВ2010105 484918</v>
          </cell>
          <cell r="F447">
            <v>1567.5</v>
          </cell>
          <cell r="G447">
            <v>1328.73</v>
          </cell>
          <cell r="H447">
            <v>0</v>
          </cell>
        </row>
        <row r="448">
          <cell r="C448" t="str">
            <v>Бида Андрей Александрович</v>
          </cell>
          <cell r="D448" t="str">
            <v>электросварщик ручной сварки</v>
          </cell>
          <cell r="E448" t="str">
            <v>ЕВ2010156 949692</v>
          </cell>
          <cell r="F448">
            <v>1079.5999999999999</v>
          </cell>
          <cell r="G448">
            <v>915.27</v>
          </cell>
          <cell r="H448">
            <v>0</v>
          </cell>
        </row>
        <row r="449">
          <cell r="C449" t="str">
            <v>Билалов Сергей Владимирович</v>
          </cell>
          <cell r="D449" t="str">
            <v>электрогазосварщик занятый на резке и ручной сварке о/г.р.</v>
          </cell>
          <cell r="E449" t="str">
            <v>ЮЭ2010697 915756</v>
          </cell>
          <cell r="F449">
            <v>1079.5999999999999</v>
          </cell>
          <cell r="G449">
            <v>915.27</v>
          </cell>
          <cell r="H449">
            <v>1121.96</v>
          </cell>
        </row>
        <row r="450">
          <cell r="E450" t="str">
            <v>ЕВ2010156 933744</v>
          </cell>
          <cell r="F450">
            <v>1323.5</v>
          </cell>
          <cell r="G450">
            <v>1121.96</v>
          </cell>
          <cell r="H450">
            <v>0</v>
          </cell>
        </row>
        <row r="451">
          <cell r="C451" t="str">
            <v>Богосов Аркадий Николаевич</v>
          </cell>
          <cell r="D451" t="str">
            <v>горнорабочий о/г.р</v>
          </cell>
          <cell r="E451" t="str">
            <v>ЧБ2010571 838105</v>
          </cell>
          <cell r="F451">
            <v>1567.5</v>
          </cell>
          <cell r="G451">
            <v>1328.73</v>
          </cell>
          <cell r="H451">
            <v>2303.4899999999998</v>
          </cell>
        </row>
        <row r="452">
          <cell r="E452" t="str">
            <v>ЧБ2010571 838101</v>
          </cell>
          <cell r="F452">
            <v>2717.7</v>
          </cell>
          <cell r="G452">
            <v>2303.4899999999998</v>
          </cell>
          <cell r="H452">
            <v>0</v>
          </cell>
        </row>
        <row r="453">
          <cell r="C453" t="str">
            <v>Бондарев Иван Викторович</v>
          </cell>
          <cell r="D453" t="str">
            <v>горнорабочий о/г.р</v>
          </cell>
          <cell r="E453" t="str">
            <v>ЕВ2010156 929750</v>
          </cell>
          <cell r="F453">
            <v>1149</v>
          </cell>
          <cell r="G453">
            <v>974.08</v>
          </cell>
          <cell r="H453">
            <v>0</v>
          </cell>
        </row>
        <row r="454">
          <cell r="C454" t="str">
            <v>Вальков Виктор Анатольевич</v>
          </cell>
          <cell r="D454" t="str">
            <v>электрослесарь (слесарь) дежурный и по ремонту оборудования</v>
          </cell>
          <cell r="E454" t="str">
            <v>ВЛ2010086 291148</v>
          </cell>
          <cell r="F454">
            <v>1567.5</v>
          </cell>
          <cell r="G454">
            <v>1328.73</v>
          </cell>
          <cell r="H454">
            <v>1638.82</v>
          </cell>
        </row>
        <row r="455">
          <cell r="E455" t="str">
            <v>ЕГ2010157 235219</v>
          </cell>
          <cell r="F455">
            <v>1933.4</v>
          </cell>
          <cell r="G455">
            <v>1638.82</v>
          </cell>
          <cell r="H455">
            <v>0</v>
          </cell>
        </row>
        <row r="456">
          <cell r="C456" t="str">
            <v>Ведерников Олег Владимирович</v>
          </cell>
          <cell r="D456" t="str">
            <v>проходчик на поверхностных работах</v>
          </cell>
          <cell r="E456" t="str">
            <v>АК2010033 139317</v>
          </cell>
          <cell r="F456">
            <v>1497.9</v>
          </cell>
          <cell r="G456">
            <v>1269.75</v>
          </cell>
          <cell r="H456">
            <v>0</v>
          </cell>
        </row>
        <row r="457">
          <cell r="C457" t="str">
            <v>Винников Алексей Николаевич</v>
          </cell>
          <cell r="D457" t="str">
            <v xml:space="preserve">горнорабочий </v>
          </cell>
          <cell r="E457" t="str">
            <v>ЮЭ2010697 915796</v>
          </cell>
          <cell r="F457">
            <v>1079.5999999999999</v>
          </cell>
          <cell r="G457">
            <v>915.27</v>
          </cell>
          <cell r="H457">
            <v>1121.96</v>
          </cell>
        </row>
        <row r="458">
          <cell r="E458" t="str">
            <v>ГЕ2010108 884777</v>
          </cell>
          <cell r="F458">
            <v>1323.5</v>
          </cell>
          <cell r="G458">
            <v>1121.96</v>
          </cell>
          <cell r="H458">
            <v>0</v>
          </cell>
        </row>
        <row r="459">
          <cell r="C459" t="str">
            <v>Винтоняк Алексей Николаевич</v>
          </cell>
          <cell r="D459" t="str">
            <v xml:space="preserve">горнорабочий </v>
          </cell>
          <cell r="E459" t="str">
            <v>ВЛ2010086 113338</v>
          </cell>
          <cell r="F459">
            <v>1079.5999999999999</v>
          </cell>
          <cell r="G459">
            <v>915.27</v>
          </cell>
          <cell r="H459">
            <v>915.27</v>
          </cell>
        </row>
        <row r="460">
          <cell r="E460" t="str">
            <v>ЕВ2010156 910420</v>
          </cell>
          <cell r="F460">
            <v>1079.5999999999999</v>
          </cell>
          <cell r="G460">
            <v>915.27</v>
          </cell>
          <cell r="H460">
            <v>0</v>
          </cell>
        </row>
        <row r="461">
          <cell r="C461" t="str">
            <v>Войнов Геннадий Викторович</v>
          </cell>
          <cell r="D461" t="str">
            <v xml:space="preserve">горнорабочий </v>
          </cell>
          <cell r="E461" t="str">
            <v>ЮЭ2010697 350911</v>
          </cell>
          <cell r="F461">
            <v>1497.9</v>
          </cell>
          <cell r="G461">
            <v>1269.75</v>
          </cell>
          <cell r="H461">
            <v>1774.5</v>
          </cell>
        </row>
        <row r="462">
          <cell r="E462" t="str">
            <v>РЖ2007013736492</v>
          </cell>
          <cell r="F462">
            <v>2093.5</v>
          </cell>
          <cell r="G462">
            <v>1774.5</v>
          </cell>
          <cell r="H462">
            <v>0</v>
          </cell>
        </row>
        <row r="463">
          <cell r="C463" t="str">
            <v>Галибин Сергей Валентинович</v>
          </cell>
          <cell r="D463" t="str">
            <v>электрослесарь (слесарь) дежурный и по ремонту оборудования</v>
          </cell>
          <cell r="E463" t="str">
            <v>ЮЭ2010697 016177</v>
          </cell>
          <cell r="F463">
            <v>1567.5</v>
          </cell>
          <cell r="G463">
            <v>1328.73</v>
          </cell>
          <cell r="H463">
            <v>1328.73</v>
          </cell>
        </row>
        <row r="464">
          <cell r="E464" t="str">
            <v>ГВ20101105 484858</v>
          </cell>
          <cell r="F464">
            <v>1567.5</v>
          </cell>
          <cell r="G464">
            <v>1328.73</v>
          </cell>
          <cell r="H464">
            <v>0</v>
          </cell>
        </row>
        <row r="465">
          <cell r="C465" t="str">
            <v>Гамидов Ардаш Юсифович</v>
          </cell>
          <cell r="D465" t="str">
            <v>проходчик на поверхностных работах</v>
          </cell>
          <cell r="E465" t="str">
            <v>ЧБ2010571 838108</v>
          </cell>
          <cell r="F465">
            <v>1567.5</v>
          </cell>
          <cell r="G465">
            <v>1328.73</v>
          </cell>
          <cell r="H465">
            <v>0</v>
          </cell>
        </row>
        <row r="466">
          <cell r="C466" t="str">
            <v>Гамидов Юсиф Ашраф Оглы</v>
          </cell>
          <cell r="D466" t="str">
            <v xml:space="preserve">горнорабочий </v>
          </cell>
          <cell r="E466" t="str">
            <v>ЧБ2010571 838106</v>
          </cell>
          <cell r="F466">
            <v>1567.5</v>
          </cell>
          <cell r="G466">
            <v>1328.73</v>
          </cell>
          <cell r="H466">
            <v>2303.4899999999998</v>
          </cell>
        </row>
        <row r="467">
          <cell r="E467" t="str">
            <v>ГЕ2010108 884914</v>
          </cell>
          <cell r="F467">
            <v>2717.7</v>
          </cell>
          <cell r="G467">
            <v>2303.4899999999998</v>
          </cell>
          <cell r="H467">
            <v>0</v>
          </cell>
        </row>
        <row r="468">
          <cell r="C468" t="str">
            <v>Ганусевич Олег Валерьевич</v>
          </cell>
          <cell r="D468" t="str">
            <v>электрослесарь (слесарь) дежурный и по ремонту оборудования</v>
          </cell>
          <cell r="E468" t="str">
            <v>ШГ2010599 055457</v>
          </cell>
          <cell r="F468">
            <v>1218.9000000000001</v>
          </cell>
          <cell r="G468">
            <v>1033.31</v>
          </cell>
          <cell r="H468">
            <v>887.8</v>
          </cell>
        </row>
        <row r="469">
          <cell r="E469">
            <v>72670400448801</v>
          </cell>
          <cell r="F469">
            <v>1047.5999999999999</v>
          </cell>
          <cell r="G469">
            <v>887.8</v>
          </cell>
          <cell r="H469">
            <v>0</v>
          </cell>
        </row>
        <row r="470">
          <cell r="C470" t="str">
            <v>Гладченко Виктор Иванович</v>
          </cell>
          <cell r="D470" t="str">
            <v>электрослесарь (слесарь) дежурный и по ремонту оборудования</v>
          </cell>
          <cell r="E470" t="str">
            <v>ГБ2010104 241427</v>
          </cell>
          <cell r="F470">
            <v>1149</v>
          </cell>
          <cell r="G470">
            <v>974.08</v>
          </cell>
          <cell r="H470">
            <v>1195.5999999999999</v>
          </cell>
        </row>
        <row r="471">
          <cell r="E471" t="str">
            <v>ШГ2010599 055905</v>
          </cell>
          <cell r="F471">
            <v>1410.4</v>
          </cell>
          <cell r="G471">
            <v>1195.5999999999999</v>
          </cell>
          <cell r="H471">
            <v>0</v>
          </cell>
        </row>
        <row r="472">
          <cell r="C472" t="str">
            <v>Гольченко Антон Николаевич</v>
          </cell>
          <cell r="D472" t="str">
            <v>электрогазосварщик занятый на резке и ручной сварке о/г.р.</v>
          </cell>
          <cell r="E472" t="str">
            <v>ЧБ2010571 780643</v>
          </cell>
          <cell r="F472">
            <v>1079.5999999999999</v>
          </cell>
          <cell r="G472">
            <v>915.27</v>
          </cell>
          <cell r="H472">
            <v>915.27</v>
          </cell>
        </row>
        <row r="473">
          <cell r="E473" t="str">
            <v>ЕВ2010156 910423</v>
          </cell>
          <cell r="F473">
            <v>1079.5999999999999</v>
          </cell>
          <cell r="G473">
            <v>915.27</v>
          </cell>
          <cell r="H473">
            <v>0</v>
          </cell>
        </row>
        <row r="474">
          <cell r="C474" t="str">
            <v>Гулов Руслан Викторович</v>
          </cell>
          <cell r="D474" t="str">
            <v xml:space="preserve">горнорабочий </v>
          </cell>
          <cell r="E474" t="str">
            <v>ЮЭ2010697 947117</v>
          </cell>
          <cell r="F474">
            <v>1079.5999999999999</v>
          </cell>
          <cell r="G474">
            <v>915.27</v>
          </cell>
          <cell r="H474">
            <v>0</v>
          </cell>
        </row>
        <row r="475">
          <cell r="C475" t="str">
            <v>Гуляев Валерий Александрович</v>
          </cell>
          <cell r="D475" t="str">
            <v>электрослесарь (слесарь) дежурный и по ремонту оборудования</v>
          </cell>
          <cell r="E475" t="str">
            <v>ЕВ2010156 932705</v>
          </cell>
          <cell r="F475">
            <v>978.2</v>
          </cell>
          <cell r="G475">
            <v>829.34</v>
          </cell>
          <cell r="H475">
            <v>0</v>
          </cell>
        </row>
        <row r="476">
          <cell r="C476" t="str">
            <v>Гусак Александр Леонидович</v>
          </cell>
          <cell r="D476" t="str">
            <v>электросварщик ручной сварки</v>
          </cell>
          <cell r="E476" t="str">
            <v>ШБ2010597 746109</v>
          </cell>
          <cell r="F476">
            <v>1567.5</v>
          </cell>
          <cell r="G476">
            <v>1328.73</v>
          </cell>
          <cell r="H476">
            <v>1638.82</v>
          </cell>
        </row>
        <row r="477">
          <cell r="E477" t="str">
            <v>ШБ2010597 746110</v>
          </cell>
          <cell r="F477">
            <v>1933.4</v>
          </cell>
          <cell r="G477">
            <v>1638.82</v>
          </cell>
          <cell r="H477">
            <v>0</v>
          </cell>
        </row>
        <row r="478">
          <cell r="C478" t="str">
            <v>Гущин Владимир Петрович</v>
          </cell>
          <cell r="D478" t="str">
            <v>электрослесарь (слесарь) дежурный и по ремонту оборудования</v>
          </cell>
          <cell r="E478" t="str">
            <v>ЮЭ2010697 915679</v>
          </cell>
          <cell r="F478">
            <v>1079.5999999999999</v>
          </cell>
          <cell r="G478">
            <v>915.27</v>
          </cell>
          <cell r="H478">
            <v>1121.96</v>
          </cell>
        </row>
        <row r="479">
          <cell r="E479" t="str">
            <v>АП2010037 917662</v>
          </cell>
          <cell r="F479">
            <v>1323.5</v>
          </cell>
          <cell r="G479">
            <v>1121.96</v>
          </cell>
          <cell r="H479">
            <v>0</v>
          </cell>
        </row>
        <row r="480">
          <cell r="C480" t="str">
            <v>Денщиков Алексей Владимирович</v>
          </cell>
          <cell r="D480" t="str">
            <v>электрогазосварщик, занятый на резке и ручной сварке</v>
          </cell>
          <cell r="E480" t="str">
            <v>АИ2010032 739054</v>
          </cell>
          <cell r="F480">
            <v>1567.5</v>
          </cell>
          <cell r="G480">
            <v>1328.73</v>
          </cell>
          <cell r="H480">
            <v>1638.82</v>
          </cell>
        </row>
        <row r="481">
          <cell r="E481" t="str">
            <v>ГМ2010113 481488</v>
          </cell>
          <cell r="F481">
            <v>1933.4</v>
          </cell>
          <cell r="G481">
            <v>1638.82</v>
          </cell>
          <cell r="H481">
            <v>0</v>
          </cell>
        </row>
        <row r="482">
          <cell r="C482" t="str">
            <v>Дзюба Сергей Александрович</v>
          </cell>
          <cell r="D482" t="str">
            <v>электросварщик ручной сварки</v>
          </cell>
          <cell r="E482" t="str">
            <v>АП2010037 900163</v>
          </cell>
          <cell r="F482">
            <v>1009.6</v>
          </cell>
          <cell r="G482">
            <v>855.94</v>
          </cell>
          <cell r="H482">
            <v>0</v>
          </cell>
        </row>
        <row r="483">
          <cell r="C483" t="str">
            <v>Доценко Сергей Григорьевич</v>
          </cell>
          <cell r="D483" t="str">
            <v>электрогазосварщик, занятый на резке и ручной сварке</v>
          </cell>
          <cell r="E483" t="str">
            <v>АК2010033 047159</v>
          </cell>
          <cell r="F483">
            <v>1497.9</v>
          </cell>
          <cell r="G483">
            <v>1269.75</v>
          </cell>
          <cell r="H483">
            <v>1491.2</v>
          </cell>
        </row>
        <row r="484">
          <cell r="E484" t="str">
            <v>ГМ2010113 493568</v>
          </cell>
          <cell r="F484">
            <v>1759.2</v>
          </cell>
          <cell r="G484">
            <v>1491.2</v>
          </cell>
          <cell r="H484">
            <v>0</v>
          </cell>
        </row>
        <row r="485">
          <cell r="C485" t="str">
            <v>Драгунцов Александр Владимирович</v>
          </cell>
          <cell r="D485" t="str">
            <v>проходчик на поверхностных работах</v>
          </cell>
          <cell r="E485" t="str">
            <v>ЧБ2010571 481918</v>
          </cell>
          <cell r="F485">
            <v>1149</v>
          </cell>
          <cell r="G485">
            <v>974.08</v>
          </cell>
          <cell r="H485">
            <v>888.15</v>
          </cell>
        </row>
        <row r="486">
          <cell r="E486" t="str">
            <v>ГВ2010105 484856</v>
          </cell>
          <cell r="F486">
            <v>1047.5999999999999</v>
          </cell>
          <cell r="G486">
            <v>888.15</v>
          </cell>
          <cell r="H486">
            <v>0</v>
          </cell>
        </row>
        <row r="487">
          <cell r="C487" t="str">
            <v>Дударов Муса Кантемирович</v>
          </cell>
          <cell r="D487" t="str">
            <v>проходчик на поверхностных работах</v>
          </cell>
          <cell r="E487" t="str">
            <v>ВЛ2010086 288225</v>
          </cell>
          <cell r="F487">
            <v>1567.5</v>
          </cell>
          <cell r="G487">
            <v>1328.73</v>
          </cell>
          <cell r="H487">
            <v>1328.73</v>
          </cell>
        </row>
        <row r="488">
          <cell r="E488" t="str">
            <v>ГВ 2010105 484901</v>
          </cell>
          <cell r="F488">
            <v>1567.5</v>
          </cell>
          <cell r="G488">
            <v>1328.73</v>
          </cell>
          <cell r="H488">
            <v>0</v>
          </cell>
        </row>
        <row r="489">
          <cell r="C489" t="str">
            <v>Дужик Виктор Васильевич</v>
          </cell>
          <cell r="D489" t="str">
            <v>горнорабочий</v>
          </cell>
          <cell r="E489" t="str">
            <v>ЮЭ2010697 915803</v>
          </cell>
          <cell r="F489">
            <v>1079.5999999999999</v>
          </cell>
          <cell r="G489">
            <v>915.27</v>
          </cell>
          <cell r="H489">
            <v>1121.96</v>
          </cell>
        </row>
        <row r="490">
          <cell r="E490" t="str">
            <v>ЕВ2010156 969278</v>
          </cell>
          <cell r="F490">
            <v>1323.5</v>
          </cell>
          <cell r="G490">
            <v>1121.96</v>
          </cell>
          <cell r="H490">
            <v>0</v>
          </cell>
        </row>
        <row r="491">
          <cell r="C491" t="str">
            <v>Дьяков Андрей Николаевич</v>
          </cell>
          <cell r="D491" t="str">
            <v xml:space="preserve">горнорабочий </v>
          </cell>
          <cell r="E491" t="str">
            <v>ЮЭ2010697 915803</v>
          </cell>
          <cell r="F491">
            <v>1428.1</v>
          </cell>
          <cell r="G491">
            <v>1210.6099999999999</v>
          </cell>
          <cell r="H491">
            <v>1771.79</v>
          </cell>
        </row>
        <row r="492">
          <cell r="E492" t="str">
            <v>ГВ2010105 484855</v>
          </cell>
          <cell r="F492">
            <v>2090.3000000000002</v>
          </cell>
          <cell r="G492">
            <v>1771.79</v>
          </cell>
          <cell r="H492">
            <v>0</v>
          </cell>
        </row>
        <row r="493">
          <cell r="C493" t="str">
            <v>Ермилов Роман Юрьевич</v>
          </cell>
          <cell r="D493" t="str">
            <v>электрогазосварщик, занятый на резке и ручной сварке</v>
          </cell>
          <cell r="E493" t="str">
            <v>ЮЭ2010697 915624</v>
          </cell>
          <cell r="F493">
            <v>1149</v>
          </cell>
          <cell r="G493">
            <v>974.08</v>
          </cell>
          <cell r="H493">
            <v>0</v>
          </cell>
        </row>
        <row r="494">
          <cell r="C494" t="str">
            <v>Жмыхов Игорь Иванович</v>
          </cell>
          <cell r="D494" t="str">
            <v>электросварщик ручной сварки</v>
          </cell>
          <cell r="E494" t="str">
            <v>ЮМ2010684 418031</v>
          </cell>
          <cell r="F494">
            <v>997</v>
          </cell>
          <cell r="G494">
            <v>845.26</v>
          </cell>
          <cell r="H494">
            <v>0</v>
          </cell>
        </row>
        <row r="495">
          <cell r="C495" t="str">
            <v>Жуков Анатолий Николаевич</v>
          </cell>
          <cell r="D495" t="str">
            <v>электрогазосварщик, занятый на резке и ручной сварке</v>
          </cell>
          <cell r="E495" t="str">
            <v>ЕВ2010156 949691</v>
          </cell>
          <cell r="F495">
            <v>1079.5999999999999</v>
          </cell>
          <cell r="G495">
            <v>915.27</v>
          </cell>
          <cell r="H495">
            <v>0</v>
          </cell>
        </row>
        <row r="496">
          <cell r="C496" t="str">
            <v>Журба Дмитрий Александрович</v>
          </cell>
          <cell r="D496" t="str">
            <v>проходчик на поверхностных работах</v>
          </cell>
          <cell r="E496" t="str">
            <v>ЮЭ2010697 350581</v>
          </cell>
          <cell r="F496">
            <v>1497.9</v>
          </cell>
          <cell r="G496">
            <v>1269.75</v>
          </cell>
          <cell r="H496">
            <v>0</v>
          </cell>
        </row>
        <row r="497">
          <cell r="C497" t="str">
            <v>Загребин Вадим Викторович</v>
          </cell>
          <cell r="D497" t="str">
            <v>электрослесарь (слесарь) дежурный и по ремонту оборудования</v>
          </cell>
          <cell r="E497" t="str">
            <v>ВЛ2010086 116694</v>
          </cell>
          <cell r="F497">
            <v>1079.5999999999999</v>
          </cell>
          <cell r="G497">
            <v>915.27</v>
          </cell>
          <cell r="H497">
            <v>1121.96</v>
          </cell>
        </row>
        <row r="498">
          <cell r="E498" t="str">
            <v>ВЛ2010086 116697</v>
          </cell>
          <cell r="F498">
            <v>1323.5</v>
          </cell>
          <cell r="G498">
            <v>1121.96</v>
          </cell>
          <cell r="H498">
            <v>0</v>
          </cell>
        </row>
        <row r="499">
          <cell r="C499" t="str">
            <v>Зайцев Вадим Валентинович</v>
          </cell>
          <cell r="D499" t="str">
            <v>электрогазосварщик, занятый на резке и ручной сварке</v>
          </cell>
          <cell r="E499" t="str">
            <v>АИ2010032 739053</v>
          </cell>
          <cell r="F499">
            <v>1567.5</v>
          </cell>
          <cell r="G499">
            <v>1328.73</v>
          </cell>
          <cell r="H499">
            <v>1638.82</v>
          </cell>
        </row>
        <row r="500">
          <cell r="E500" t="str">
            <v>ГМ2010113 481489</v>
          </cell>
          <cell r="F500">
            <v>1933.4</v>
          </cell>
          <cell r="G500">
            <v>1638.82</v>
          </cell>
          <cell r="H500">
            <v>0</v>
          </cell>
        </row>
        <row r="501">
          <cell r="C501" t="str">
            <v>Зюзик Сергей Анатольевич</v>
          </cell>
          <cell r="D501" t="str">
            <v>горнорабочий о/г.р</v>
          </cell>
          <cell r="E501" t="str">
            <v>ШГ2010599 055441</v>
          </cell>
          <cell r="F501">
            <v>1218.9000000000001</v>
          </cell>
          <cell r="G501">
            <v>1033.31</v>
          </cell>
          <cell r="H501">
            <v>1417.04</v>
          </cell>
        </row>
        <row r="502">
          <cell r="E502" t="str">
            <v>ЕВ2010156 930318</v>
          </cell>
          <cell r="F502">
            <v>1671.7</v>
          </cell>
          <cell r="G502">
            <v>1417.04</v>
          </cell>
          <cell r="H502">
            <v>0</v>
          </cell>
        </row>
        <row r="503">
          <cell r="C503" t="str">
            <v>Иванов Илья Витальевич</v>
          </cell>
          <cell r="D503" t="str">
            <v>горнорабочий о/г.р</v>
          </cell>
          <cell r="E503" t="str">
            <v>ВЛ2010086 1163340</v>
          </cell>
          <cell r="F503">
            <v>1079.5999999999999</v>
          </cell>
          <cell r="G503">
            <v>915.27</v>
          </cell>
          <cell r="H503">
            <v>0</v>
          </cell>
        </row>
        <row r="504">
          <cell r="C504" t="str">
            <v>Ищенко Геннадий Павлович</v>
          </cell>
          <cell r="D504" t="str">
            <v>электрослесарь (слесарь) дежурный и по ремонту оборудования</v>
          </cell>
          <cell r="E504" t="str">
            <v>ВА2010077 860858</v>
          </cell>
          <cell r="F504">
            <v>1079.5999999999999</v>
          </cell>
          <cell r="G504">
            <v>915.27</v>
          </cell>
          <cell r="H504">
            <v>0</v>
          </cell>
        </row>
        <row r="505">
          <cell r="C505" t="str">
            <v>Ищенко Иван Владимирович</v>
          </cell>
          <cell r="D505" t="str">
            <v>горнорабочий о/г.р</v>
          </cell>
          <cell r="E505" t="str">
            <v>ШГ2010599 061768</v>
          </cell>
          <cell r="F505">
            <v>1060.7</v>
          </cell>
          <cell r="G505">
            <v>899.25</v>
          </cell>
          <cell r="H505">
            <v>0</v>
          </cell>
        </row>
        <row r="506">
          <cell r="C506" t="str">
            <v>Кальсин Андрей Аркадьевич</v>
          </cell>
          <cell r="D506" t="str">
            <v>электрослесарь (слесарь) дежурный и по ремонту оборудования о/г.р</v>
          </cell>
          <cell r="E506" t="str">
            <v>ЧБ2010571 780715</v>
          </cell>
          <cell r="F506">
            <v>1149</v>
          </cell>
          <cell r="G506">
            <v>974.08</v>
          </cell>
          <cell r="H506">
            <v>0</v>
          </cell>
        </row>
        <row r="507">
          <cell r="C507" t="str">
            <v>Каппес Николай Владимирович</v>
          </cell>
          <cell r="D507" t="str">
            <v xml:space="preserve">горнорабочий </v>
          </cell>
          <cell r="E507" t="str">
            <v>АЕ2010030 537020</v>
          </cell>
          <cell r="F507">
            <v>2090.3000000000002</v>
          </cell>
          <cell r="G507">
            <v>1771.79</v>
          </cell>
          <cell r="H507">
            <v>1151.53</v>
          </cell>
        </row>
        <row r="508">
          <cell r="E508" t="str">
            <v>ЕВ2010156 966284</v>
          </cell>
          <cell r="F508">
            <v>1358.4</v>
          </cell>
          <cell r="G508">
            <v>1151.53</v>
          </cell>
          <cell r="H508">
            <v>0</v>
          </cell>
        </row>
        <row r="509">
          <cell r="C509" t="str">
            <v>Карунин Павел Николаевич</v>
          </cell>
          <cell r="D509" t="str">
            <v>горнорабочий на маркшейдерских работах</v>
          </cell>
          <cell r="E509" t="str">
            <v>ЮЭ2010697  953260</v>
          </cell>
          <cell r="F509">
            <v>1077.3</v>
          </cell>
          <cell r="G509">
            <v>912.97</v>
          </cell>
          <cell r="H509">
            <v>0</v>
          </cell>
        </row>
        <row r="510">
          <cell r="C510" t="str">
            <v>Катенев Юрий Николаевич</v>
          </cell>
          <cell r="D510" t="str">
            <v xml:space="preserve">горнорабочий </v>
          </cell>
          <cell r="E510" t="str">
            <v>ЮЭ2010697 044864</v>
          </cell>
          <cell r="F510">
            <v>1079.5999999999999</v>
          </cell>
          <cell r="G510">
            <v>915.27</v>
          </cell>
          <cell r="H510">
            <v>0</v>
          </cell>
        </row>
        <row r="511">
          <cell r="C511" t="str">
            <v>Кижватов Сергей Александрович</v>
          </cell>
          <cell r="D511" t="str">
            <v xml:space="preserve">горнорабочий </v>
          </cell>
          <cell r="E511" t="str">
            <v>ЧБ2010571 481939</v>
          </cell>
          <cell r="F511">
            <v>1079.5999999999999</v>
          </cell>
          <cell r="G511">
            <v>915.27</v>
          </cell>
          <cell r="H511">
            <v>0</v>
          </cell>
        </row>
        <row r="512">
          <cell r="C512" t="str">
            <v>Клочко Евгений Владимирович</v>
          </cell>
          <cell r="D512" t="str">
            <v>электрогазосварщик, занятый на резке и ручной сварке</v>
          </cell>
          <cell r="E512" t="str">
            <v>ШБ2010597 906572</v>
          </cell>
          <cell r="F512">
            <v>1497.9</v>
          </cell>
          <cell r="G512">
            <v>1269.75</v>
          </cell>
          <cell r="H512">
            <v>1269.75</v>
          </cell>
        </row>
        <row r="513">
          <cell r="E513" t="str">
            <v>ЕВ2010156 982871</v>
          </cell>
          <cell r="F513">
            <v>1497.9</v>
          </cell>
          <cell r="G513">
            <v>1269.75</v>
          </cell>
          <cell r="H513">
            <v>0</v>
          </cell>
        </row>
        <row r="514">
          <cell r="C514" t="str">
            <v>Клочков Роман Леонидович</v>
          </cell>
          <cell r="D514" t="str">
            <v xml:space="preserve">горнорабочий </v>
          </cell>
          <cell r="E514" t="str">
            <v>ШГ2010599 055440</v>
          </cell>
          <cell r="F514">
            <v>1218.9000000000001</v>
          </cell>
          <cell r="G514">
            <v>1033.31</v>
          </cell>
          <cell r="H514">
            <v>1417.04</v>
          </cell>
        </row>
        <row r="515">
          <cell r="E515" t="str">
            <v>ЕВ2010156 930317</v>
          </cell>
          <cell r="F515">
            <v>1671.7</v>
          </cell>
          <cell r="G515">
            <v>1417.04</v>
          </cell>
          <cell r="H515">
            <v>0</v>
          </cell>
        </row>
        <row r="516">
          <cell r="C516" t="str">
            <v>Князев Руслан Анатольевич</v>
          </cell>
          <cell r="D516" t="str">
            <v>проходчик на поверхностных работах</v>
          </cell>
          <cell r="E516" t="str">
            <v>ЭТ2010663 937311</v>
          </cell>
          <cell r="F516">
            <v>2160.4</v>
          </cell>
          <cell r="G516">
            <v>1831.2</v>
          </cell>
          <cell r="H516">
            <v>2266.96</v>
          </cell>
        </row>
        <row r="517">
          <cell r="E517" t="str">
            <v>ЕВ2010156 983791</v>
          </cell>
          <cell r="F517">
            <v>2674.6</v>
          </cell>
          <cell r="G517">
            <v>2266.96</v>
          </cell>
          <cell r="H517">
            <v>0</v>
          </cell>
        </row>
        <row r="518">
          <cell r="C518" t="str">
            <v>Колесников Юрий Викторович</v>
          </cell>
          <cell r="D518" t="str">
            <v>электрогазосварщик, занятый на резке и ручной сварке</v>
          </cell>
          <cell r="E518" t="str">
            <v>ВЛ2010086 114622</v>
          </cell>
          <cell r="F518">
            <v>1079.5999999999999</v>
          </cell>
          <cell r="G518">
            <v>915.27</v>
          </cell>
          <cell r="H518">
            <v>974.08</v>
          </cell>
        </row>
        <row r="519">
          <cell r="E519" t="str">
            <v>ЕВ2010156 929751</v>
          </cell>
          <cell r="F519">
            <v>1149</v>
          </cell>
          <cell r="G519">
            <v>974.08</v>
          </cell>
          <cell r="H519">
            <v>0</v>
          </cell>
        </row>
        <row r="520">
          <cell r="C520" t="str">
            <v>Колесниченко Виталий Геннадьевич</v>
          </cell>
          <cell r="D520" t="str">
            <v>проходчик на поверхностных работах</v>
          </cell>
          <cell r="E520" t="str">
            <v>ЮЭ2010697 044005</v>
          </cell>
          <cell r="F520">
            <v>1218.9000000000001</v>
          </cell>
          <cell r="G520">
            <v>1033.31</v>
          </cell>
          <cell r="H520">
            <v>0</v>
          </cell>
        </row>
        <row r="521">
          <cell r="C521" t="str">
            <v>Колесниченко Геннадий Георгиевич</v>
          </cell>
          <cell r="D521" t="str">
            <v>электрослесарь (слесарь) дежурный и по ремонту оборудования о/г.р</v>
          </cell>
          <cell r="E521" t="str">
            <v>ЮЭ2010697 043723</v>
          </cell>
          <cell r="F521">
            <v>1149</v>
          </cell>
          <cell r="G521">
            <v>974.08</v>
          </cell>
          <cell r="H521">
            <v>915.27</v>
          </cell>
        </row>
        <row r="522">
          <cell r="E522" t="str">
            <v>ГВ2010105 485459</v>
          </cell>
          <cell r="F522">
            <v>1079.5999999999999</v>
          </cell>
          <cell r="G522">
            <v>915.27</v>
          </cell>
          <cell r="H522">
            <v>0</v>
          </cell>
        </row>
        <row r="523">
          <cell r="C523" t="str">
            <v>Колпаков Вадим Михайлович</v>
          </cell>
          <cell r="D523" t="str">
            <v>электрогазосварщик, занятый на резке и ручной сварке</v>
          </cell>
          <cell r="E523" t="str">
            <v>ШБ2010597 880190</v>
          </cell>
          <cell r="F523">
            <v>1664.6</v>
          </cell>
          <cell r="G523">
            <v>1411.02</v>
          </cell>
          <cell r="H523">
            <v>1638.82</v>
          </cell>
        </row>
        <row r="524">
          <cell r="E524" t="str">
            <v>АП2010037 923577</v>
          </cell>
          <cell r="F524">
            <v>1933.4</v>
          </cell>
          <cell r="G524">
            <v>1638.82</v>
          </cell>
          <cell r="H524">
            <v>0</v>
          </cell>
        </row>
        <row r="525">
          <cell r="C525" t="str">
            <v>Кострубин Геннадий Иванович</v>
          </cell>
          <cell r="D525" t="str">
            <v xml:space="preserve">горнорабочий </v>
          </cell>
          <cell r="E525" t="str">
            <v>ГЕ2010108 884613</v>
          </cell>
          <cell r="F525">
            <v>1079.5999999999999</v>
          </cell>
          <cell r="G525">
            <v>915.27</v>
          </cell>
          <cell r="H525">
            <v>0</v>
          </cell>
        </row>
        <row r="526">
          <cell r="C526" t="str">
            <v>Котляров Александр Николаевич</v>
          </cell>
          <cell r="D526" t="str">
            <v>проходчик на поверхностных работах</v>
          </cell>
          <cell r="E526" t="str">
            <v>ЮЭ2010697 947645</v>
          </cell>
          <cell r="F526">
            <v>1079.5999999999999</v>
          </cell>
          <cell r="G526">
            <v>915.27</v>
          </cell>
          <cell r="H526">
            <v>1121.96</v>
          </cell>
        </row>
        <row r="527">
          <cell r="E527">
            <v>2007013716621</v>
          </cell>
          <cell r="F527">
            <v>1323.5</v>
          </cell>
          <cell r="G527">
            <v>1121.96</v>
          </cell>
          <cell r="H527">
            <v>0</v>
          </cell>
        </row>
        <row r="528">
          <cell r="C528" t="str">
            <v>Котляров Геннадий Иванович</v>
          </cell>
          <cell r="D528" t="str">
            <v>проходчик на поверхностных работах</v>
          </cell>
          <cell r="E528" t="str">
            <v>ЮЭ2010697 978754</v>
          </cell>
          <cell r="F528">
            <v>1257</v>
          </cell>
          <cell r="G528">
            <v>1065.5999999999999</v>
          </cell>
          <cell r="H528">
            <v>2081.79</v>
          </cell>
        </row>
        <row r="529">
          <cell r="E529" t="str">
            <v>ЕВ2010156 981365</v>
          </cell>
          <cell r="F529">
            <v>2456.1</v>
          </cell>
          <cell r="G529">
            <v>2081.79</v>
          </cell>
          <cell r="H529">
            <v>0</v>
          </cell>
        </row>
        <row r="530">
          <cell r="C530" t="str">
            <v>Корныш Олег Григорьевич</v>
          </cell>
          <cell r="D530" t="str">
            <v>электрогазосварщик, занятый на резке и ручной сварке</v>
          </cell>
          <cell r="E530" t="str">
            <v>ЧБ2010571 847643</v>
          </cell>
          <cell r="F530">
            <v>1776.4</v>
          </cell>
          <cell r="G530">
            <v>1505.77</v>
          </cell>
          <cell r="H530">
            <v>0</v>
          </cell>
        </row>
        <row r="531">
          <cell r="C531" t="str">
            <v>Кравцов Владимир Сергеевич</v>
          </cell>
          <cell r="D531" t="str">
            <v>электрогазосварщик, занятый на резке и ручной сварке</v>
          </cell>
          <cell r="E531" t="str">
            <v>ВЛ2010086 113342</v>
          </cell>
          <cell r="F531">
            <v>1079.5999999999999</v>
          </cell>
          <cell r="G531">
            <v>915.27</v>
          </cell>
          <cell r="H531">
            <v>915.27</v>
          </cell>
        </row>
        <row r="532">
          <cell r="E532" t="str">
            <v>ЕВ2010156 910422</v>
          </cell>
          <cell r="F532">
            <v>1079.5999999999999</v>
          </cell>
          <cell r="G532">
            <v>915.27</v>
          </cell>
          <cell r="H532">
            <v>0</v>
          </cell>
        </row>
        <row r="533">
          <cell r="C533" t="str">
            <v>Кравченко Вадим Анатольевич</v>
          </cell>
          <cell r="D533" t="str">
            <v xml:space="preserve">горнорабочий </v>
          </cell>
          <cell r="E533" t="str">
            <v>ГЕ2010108 884614</v>
          </cell>
          <cell r="F533">
            <v>1079.5999999999999</v>
          </cell>
          <cell r="G533">
            <v>915.27</v>
          </cell>
          <cell r="H533">
            <v>0</v>
          </cell>
        </row>
        <row r="534">
          <cell r="C534" t="str">
            <v>Кривощеков Александр Павлович</v>
          </cell>
          <cell r="D534" t="str">
            <v>проходчик на поверхностных работах</v>
          </cell>
          <cell r="E534" t="str">
            <v>ЧБ2010571 780995</v>
          </cell>
          <cell r="F534">
            <v>1149</v>
          </cell>
          <cell r="G534">
            <v>974.08</v>
          </cell>
          <cell r="H534">
            <v>1121.96</v>
          </cell>
        </row>
        <row r="535">
          <cell r="E535" t="str">
            <v>ЕВ2010156 968125</v>
          </cell>
          <cell r="F535">
            <v>1323.5</v>
          </cell>
          <cell r="G535">
            <v>1121.96</v>
          </cell>
          <cell r="H535">
            <v>0</v>
          </cell>
        </row>
        <row r="536">
          <cell r="C536" t="str">
            <v>Кривченков Александр Федорович</v>
          </cell>
          <cell r="D536" t="str">
            <v xml:space="preserve">горнорабочий </v>
          </cell>
          <cell r="E536" t="str">
            <v>ШГ2010599 052815</v>
          </cell>
          <cell r="F536">
            <v>1149</v>
          </cell>
          <cell r="G536">
            <v>974.08</v>
          </cell>
          <cell r="H536">
            <v>0</v>
          </cell>
        </row>
        <row r="537">
          <cell r="C537" t="str">
            <v>Кропачев Антон Александрович</v>
          </cell>
          <cell r="D537" t="str">
            <v>проходчик на поверхностных работах</v>
          </cell>
          <cell r="E537" t="str">
            <v>ЧБ2010571 780836</v>
          </cell>
          <cell r="F537">
            <v>997</v>
          </cell>
          <cell r="G537">
            <v>845.26</v>
          </cell>
          <cell r="H537">
            <v>1121.96</v>
          </cell>
        </row>
        <row r="538">
          <cell r="E538" t="str">
            <v>ЕВ2010156 971786</v>
          </cell>
          <cell r="F538">
            <v>1323.5</v>
          </cell>
          <cell r="G538">
            <v>1121.96</v>
          </cell>
          <cell r="H538">
            <v>0</v>
          </cell>
        </row>
        <row r="539">
          <cell r="C539" t="str">
            <v>Кузин Иван Владимирович</v>
          </cell>
          <cell r="D539" t="str">
            <v>горнорабочий</v>
          </cell>
          <cell r="E539" t="str">
            <v>ШГ2010599 061095</v>
          </cell>
          <cell r="F539">
            <v>1149</v>
          </cell>
          <cell r="G539">
            <v>974.08</v>
          </cell>
          <cell r="H539">
            <v>0</v>
          </cell>
        </row>
        <row r="540">
          <cell r="C540" t="str">
            <v>Кузнецов Вячеслав Анатольевич</v>
          </cell>
          <cell r="D540" t="str">
            <v>проходчик на поверхностных работах</v>
          </cell>
          <cell r="E540" t="str">
            <v>ЮЭ2010697 043972</v>
          </cell>
          <cell r="F540">
            <v>1149</v>
          </cell>
          <cell r="G540">
            <v>974.08</v>
          </cell>
          <cell r="H540">
            <v>0</v>
          </cell>
        </row>
        <row r="541">
          <cell r="C541" t="str">
            <v>Кузнецовский Алексей Борисович</v>
          </cell>
          <cell r="D541" t="str">
            <v>электрогазосварщик, занятый на резке и ручной сварке</v>
          </cell>
          <cell r="E541" t="str">
            <v>ЧБ2010571 562555</v>
          </cell>
          <cell r="F541">
            <v>1428.1</v>
          </cell>
          <cell r="G541">
            <v>1210.6099999999999</v>
          </cell>
          <cell r="H541">
            <v>1210.6099999999999</v>
          </cell>
        </row>
        <row r="542">
          <cell r="E542" t="str">
            <v>ЕВ2010156 930609</v>
          </cell>
          <cell r="F542">
            <v>1428.1</v>
          </cell>
          <cell r="G542">
            <v>1210.6099999999999</v>
          </cell>
          <cell r="H542">
            <v>0</v>
          </cell>
        </row>
        <row r="543">
          <cell r="C543" t="str">
            <v>Кулагин Дмитрий Геннадьевич</v>
          </cell>
          <cell r="D543" t="str">
            <v>проходчик на поверхностных работах</v>
          </cell>
          <cell r="E543" t="str">
            <v>ЕЛ2010163 001788</v>
          </cell>
          <cell r="F543">
            <v>1251.7</v>
          </cell>
          <cell r="G543">
            <v>1061.1099999999999</v>
          </cell>
          <cell r="H543">
            <v>1491.2</v>
          </cell>
        </row>
        <row r="544">
          <cell r="E544">
            <v>2007013712364</v>
          </cell>
          <cell r="F544">
            <v>1759.2</v>
          </cell>
          <cell r="G544">
            <v>1491.2</v>
          </cell>
          <cell r="H544">
            <v>0</v>
          </cell>
        </row>
        <row r="545">
          <cell r="C545" t="str">
            <v>Лабутин Евгений Петрович</v>
          </cell>
          <cell r="D545" t="str">
            <v>проходчик на поверхностных работах</v>
          </cell>
          <cell r="E545" t="str">
            <v>ЮЭ2010697 044639</v>
          </cell>
          <cell r="F545">
            <v>1079.5999999999999</v>
          </cell>
          <cell r="G545">
            <v>915.27</v>
          </cell>
          <cell r="H545">
            <v>0</v>
          </cell>
        </row>
        <row r="546">
          <cell r="C546" t="str">
            <v>Лаврик Виктор Александрович</v>
          </cell>
          <cell r="D546" t="str">
            <v>проходчик на поверхностных работах</v>
          </cell>
          <cell r="E546" t="str">
            <v>ЮЛ2010683 554343</v>
          </cell>
          <cell r="F546">
            <v>1497.9</v>
          </cell>
          <cell r="G546">
            <v>1269.75</v>
          </cell>
          <cell r="H546">
            <v>1269.75</v>
          </cell>
        </row>
        <row r="547">
          <cell r="E547" t="str">
            <v>ЮЛ2010683 554344</v>
          </cell>
          <cell r="F547">
            <v>1497.9</v>
          </cell>
          <cell r="G547">
            <v>1269.75</v>
          </cell>
          <cell r="H547">
            <v>0</v>
          </cell>
        </row>
        <row r="548">
          <cell r="C548" t="str">
            <v>Лаптев Иван Климентьевич</v>
          </cell>
          <cell r="D548" t="str">
            <v>проходчик на поверхностных работах</v>
          </cell>
          <cell r="E548" t="str">
            <v>АИ2010032 666146</v>
          </cell>
          <cell r="F548">
            <v>2299.4</v>
          </cell>
          <cell r="G548">
            <v>1948.99</v>
          </cell>
          <cell r="H548">
            <v>1328.73</v>
          </cell>
        </row>
        <row r="549">
          <cell r="E549" t="str">
            <v>ГВ2010105 484812</v>
          </cell>
          <cell r="F549">
            <v>1567.5</v>
          </cell>
          <cell r="G549">
            <v>1328.73</v>
          </cell>
          <cell r="H549">
            <v>0</v>
          </cell>
        </row>
        <row r="550">
          <cell r="C550" t="str">
            <v>Лелин Денис Игоревич</v>
          </cell>
          <cell r="D550" t="str">
            <v xml:space="preserve">горнорабочий </v>
          </cell>
          <cell r="E550" t="str">
            <v>ЕВ2010156 729241</v>
          </cell>
          <cell r="F550">
            <v>1149</v>
          </cell>
          <cell r="G550">
            <v>974.08</v>
          </cell>
          <cell r="H550">
            <v>0</v>
          </cell>
        </row>
        <row r="551">
          <cell r="C551" t="str">
            <v>Лихота Анатолий Анатольевич</v>
          </cell>
          <cell r="D551" t="str">
            <v>электрогазосварщик, занятый на резке и ручной сварке</v>
          </cell>
          <cell r="E551" t="str">
            <v>ЮЭ2010697 707341</v>
          </cell>
          <cell r="F551">
            <v>1428.1</v>
          </cell>
          <cell r="G551">
            <v>1210.6099999999999</v>
          </cell>
          <cell r="H551">
            <v>1417.3</v>
          </cell>
        </row>
        <row r="552">
          <cell r="E552" t="str">
            <v>ЕВ2010156  903721</v>
          </cell>
          <cell r="F552">
            <v>1672</v>
          </cell>
          <cell r="G552">
            <v>1417.3</v>
          </cell>
          <cell r="H552">
            <v>0</v>
          </cell>
        </row>
        <row r="553">
          <cell r="C553" t="str">
            <v>Мамаев Игорь Николаевич</v>
          </cell>
          <cell r="D553" t="str">
            <v>электрослесарь (слесарь) дежурный и по ремонту оборудования</v>
          </cell>
          <cell r="E553" t="str">
            <v>ЧБ2010571 196465</v>
          </cell>
          <cell r="F553">
            <v>1079.5999999999999</v>
          </cell>
          <cell r="G553">
            <v>915.27</v>
          </cell>
          <cell r="H553">
            <v>974.08</v>
          </cell>
        </row>
        <row r="554">
          <cell r="E554" t="str">
            <v>ВЕ2010082 117643</v>
          </cell>
          <cell r="F554">
            <v>1149</v>
          </cell>
          <cell r="G554">
            <v>974.08</v>
          </cell>
          <cell r="H554">
            <v>0</v>
          </cell>
        </row>
        <row r="555">
          <cell r="C555" t="str">
            <v>Мардасов Александр Федорович</v>
          </cell>
          <cell r="D555" t="str">
            <v>проходчик на поверхностных работах</v>
          </cell>
          <cell r="E555" t="str">
            <v>ЯИ2010707  977521</v>
          </cell>
          <cell r="F555">
            <v>1358.4</v>
          </cell>
          <cell r="G555">
            <v>1151.53</v>
          </cell>
          <cell r="H555">
            <v>1233.82</v>
          </cell>
        </row>
        <row r="556">
          <cell r="E556" t="str">
            <v>ЕВ2010156 935930</v>
          </cell>
          <cell r="F556">
            <v>1455.5</v>
          </cell>
          <cell r="G556">
            <v>1233.82</v>
          </cell>
          <cell r="H556">
            <v>0</v>
          </cell>
        </row>
        <row r="557">
          <cell r="C557" t="str">
            <v>Михайлов Олег Викторович</v>
          </cell>
          <cell r="D557" t="str">
            <v>проходчик на поверхностных работах</v>
          </cell>
          <cell r="E557" t="str">
            <v>ЮЭ2010697 909697</v>
          </cell>
          <cell r="F557">
            <v>1149</v>
          </cell>
          <cell r="G557">
            <v>974.08</v>
          </cell>
          <cell r="H557">
            <v>0</v>
          </cell>
        </row>
        <row r="558">
          <cell r="C558" t="str">
            <v>Мягков Максим Александрович</v>
          </cell>
          <cell r="D558" t="str">
            <v>проходчик на поверхностных работах</v>
          </cell>
          <cell r="E558" t="str">
            <v>ЯИ2010707 201881</v>
          </cell>
          <cell r="F558">
            <v>1567.5</v>
          </cell>
          <cell r="G558">
            <v>1328.73</v>
          </cell>
          <cell r="H558">
            <v>1638.82</v>
          </cell>
        </row>
        <row r="559">
          <cell r="E559" t="str">
            <v>АП2010037 936096</v>
          </cell>
          <cell r="F559">
            <v>1933.4</v>
          </cell>
          <cell r="G559">
            <v>1638.82</v>
          </cell>
          <cell r="H559">
            <v>0</v>
          </cell>
        </row>
        <row r="560">
          <cell r="C560" t="str">
            <v>Назаров Владимир Александрович</v>
          </cell>
          <cell r="D560" t="str">
            <v>проходчик на поверхностных работах</v>
          </cell>
          <cell r="E560" t="str">
            <v>ЮЭ2010697 896074</v>
          </cell>
          <cell r="F560">
            <v>1894.7</v>
          </cell>
          <cell r="G560">
            <v>1677.38</v>
          </cell>
          <cell r="H560">
            <v>2414.16</v>
          </cell>
        </row>
        <row r="561">
          <cell r="E561" t="str">
            <v>ГВ2010105 485465</v>
          </cell>
          <cell r="F561">
            <v>2848.3</v>
          </cell>
          <cell r="G561">
            <v>2414.16</v>
          </cell>
          <cell r="H561">
            <v>0</v>
          </cell>
        </row>
        <row r="562">
          <cell r="C562" t="str">
            <v>Наумов Николай Сергеевич</v>
          </cell>
          <cell r="D562" t="str">
            <v xml:space="preserve">горнорабочий </v>
          </cell>
          <cell r="E562" t="str">
            <v>АИ2010032 751791</v>
          </cell>
          <cell r="F562">
            <v>1060.7</v>
          </cell>
          <cell r="G562">
            <v>899.25</v>
          </cell>
          <cell r="H562">
            <v>0</v>
          </cell>
        </row>
        <row r="563">
          <cell r="C563" t="str">
            <v>Наумович Андрей Александрович</v>
          </cell>
          <cell r="D563" t="str">
            <v xml:space="preserve">горнорабочий </v>
          </cell>
          <cell r="E563" t="str">
            <v xml:space="preserve"> ЮЭ2010697 947116</v>
          </cell>
          <cell r="F563">
            <v>1079.5999999999999</v>
          </cell>
          <cell r="G563">
            <v>915.27</v>
          </cell>
          <cell r="H563">
            <v>0</v>
          </cell>
        </row>
        <row r="564">
          <cell r="C564" t="str">
            <v>Невмержицкий Сергей Александрович</v>
          </cell>
          <cell r="D564" t="str">
            <v>электрослесарь (слесарь) дежурный и по ремонту оборудования</v>
          </cell>
          <cell r="E564" t="str">
            <v>ВЛ2010086 291149</v>
          </cell>
          <cell r="F564">
            <v>1567.5</v>
          </cell>
          <cell r="G564">
            <v>1328.73</v>
          </cell>
          <cell r="H564">
            <v>1638.82</v>
          </cell>
        </row>
        <row r="565">
          <cell r="E565" t="str">
            <v xml:space="preserve"> ЕГ2010157 235218</v>
          </cell>
          <cell r="F565">
            <v>1933.4</v>
          </cell>
          <cell r="G565">
            <v>1638.82</v>
          </cell>
          <cell r="H565">
            <v>0</v>
          </cell>
        </row>
        <row r="566">
          <cell r="C566" t="str">
            <v>Орищенко Алексей Викторович</v>
          </cell>
          <cell r="D566" t="str">
            <v>проходчик на поверхностных работах</v>
          </cell>
          <cell r="E566" t="str">
            <v>ЧБ2010571 780572</v>
          </cell>
          <cell r="F566">
            <v>1079.5999999999999</v>
          </cell>
          <cell r="G566">
            <v>915.27</v>
          </cell>
          <cell r="H566">
            <v>0</v>
          </cell>
        </row>
        <row r="567">
          <cell r="C567" t="str">
            <v>Осауленко Александр Олегович</v>
          </cell>
          <cell r="D567" t="str">
            <v>горнорабочий</v>
          </cell>
          <cell r="E567" t="str">
            <v>ЮЭ2010697 947965</v>
          </cell>
          <cell r="F567">
            <v>1079.5999999999999</v>
          </cell>
          <cell r="G567">
            <v>915.27</v>
          </cell>
          <cell r="H567">
            <v>0</v>
          </cell>
        </row>
        <row r="568">
          <cell r="C568" t="str">
            <v>Павлов Петр Алексеевич</v>
          </cell>
          <cell r="D568" t="str">
            <v>электрогазосварщик, занятый на резке и ручной сварке</v>
          </cell>
          <cell r="E568" t="str">
            <v>ШБ2010597 788521</v>
          </cell>
          <cell r="F568">
            <v>1497.9</v>
          </cell>
          <cell r="G568">
            <v>1269.75</v>
          </cell>
          <cell r="H568">
            <v>1269.75</v>
          </cell>
        </row>
        <row r="569">
          <cell r="E569" t="str">
            <v>ГМ2010113 132537</v>
          </cell>
          <cell r="F569">
            <v>1497.9</v>
          </cell>
          <cell r="G569">
            <v>1269.75</v>
          </cell>
          <cell r="H569">
            <v>0</v>
          </cell>
        </row>
        <row r="570">
          <cell r="C570" t="str">
            <v>Пак Роман Валерьевич</v>
          </cell>
          <cell r="D570" t="str">
            <v>электрогазосварщик, занятый на резке и ручной сварке</v>
          </cell>
          <cell r="E570" t="str">
            <v>АК2010033 139316</v>
          </cell>
          <cell r="F570">
            <v>1497.9</v>
          </cell>
          <cell r="G570">
            <v>1269.75</v>
          </cell>
          <cell r="H570">
            <v>2192.73</v>
          </cell>
        </row>
        <row r="571">
          <cell r="E571" t="str">
            <v>АК2010033 139319</v>
          </cell>
          <cell r="F571">
            <v>2587</v>
          </cell>
          <cell r="G571">
            <v>2192.73</v>
          </cell>
          <cell r="H571">
            <v>0</v>
          </cell>
        </row>
        <row r="572">
          <cell r="C572" t="str">
            <v>Пигарев Алексей Владимирович</v>
          </cell>
          <cell r="D572" t="str">
            <v>проходчик на поверхностных работах</v>
          </cell>
          <cell r="E572" t="str">
            <v>ЮЭ2010697 044863</v>
          </cell>
          <cell r="F572">
            <v>1080</v>
          </cell>
          <cell r="G572">
            <v>915.25</v>
          </cell>
          <cell r="H572">
            <v>1195.5999999999999</v>
          </cell>
        </row>
        <row r="573">
          <cell r="E573" t="str">
            <v>ЕВ2010156 990797</v>
          </cell>
          <cell r="F573">
            <v>1410.4</v>
          </cell>
          <cell r="G573">
            <v>1195.5999999999999</v>
          </cell>
          <cell r="H573">
            <v>0</v>
          </cell>
        </row>
        <row r="574">
          <cell r="C574" t="str">
            <v>Плаченов Владимир Владимирович</v>
          </cell>
          <cell r="D574" t="str">
            <v>проходчик на поверхностных работах</v>
          </cell>
          <cell r="E574" t="str">
            <v>ЮЭ2010697 896071</v>
          </cell>
          <cell r="F574">
            <v>1894.7</v>
          </cell>
          <cell r="G574">
            <v>1677.38</v>
          </cell>
          <cell r="H574">
            <v>1638.82</v>
          </cell>
        </row>
        <row r="575">
          <cell r="E575" t="str">
            <v>ГВ2010105 485466</v>
          </cell>
          <cell r="F575">
            <v>1933.4</v>
          </cell>
          <cell r="G575">
            <v>1638.82</v>
          </cell>
          <cell r="H575">
            <v>0</v>
          </cell>
        </row>
        <row r="576">
          <cell r="C576" t="str">
            <v>Плешаков Юрий Викторович</v>
          </cell>
          <cell r="D576" t="str">
            <v>электрослесарь (слесарь) дежурный и по ремонту оборудования</v>
          </cell>
          <cell r="E576" t="str">
            <v>ЕВ2010156 970147</v>
          </cell>
          <cell r="F576">
            <v>1323.5</v>
          </cell>
          <cell r="G576">
            <v>1121.96</v>
          </cell>
          <cell r="H576">
            <v>0</v>
          </cell>
        </row>
        <row r="577">
          <cell r="C577" t="str">
            <v>Плотников Андрей Витальевич</v>
          </cell>
          <cell r="D577" t="str">
            <v>электрослесарь (слесарь) дежурный и по ремонту оборудования</v>
          </cell>
          <cell r="E577" t="str">
            <v>ЧБ2010571 780714</v>
          </cell>
          <cell r="F577">
            <v>1149</v>
          </cell>
          <cell r="G577">
            <v>974.08</v>
          </cell>
          <cell r="H577">
            <v>0</v>
          </cell>
        </row>
        <row r="578">
          <cell r="C578" t="str">
            <v>Подустов Андрей Александрович</v>
          </cell>
          <cell r="D578" t="str">
            <v xml:space="preserve">горнорабочий </v>
          </cell>
          <cell r="E578" t="str">
            <v>ЮЭ2010697 896072</v>
          </cell>
          <cell r="F578">
            <v>1894.7</v>
          </cell>
          <cell r="G578">
            <v>1677.38</v>
          </cell>
          <cell r="H578">
            <v>2414.16</v>
          </cell>
        </row>
        <row r="579">
          <cell r="E579" t="str">
            <v>ГВ2010105 485464</v>
          </cell>
          <cell r="F579">
            <v>2848.3</v>
          </cell>
          <cell r="G579">
            <v>2414.16</v>
          </cell>
          <cell r="H579">
            <v>0</v>
          </cell>
        </row>
        <row r="580">
          <cell r="C580" t="str">
            <v>Поклонцев Сергей Владимирович</v>
          </cell>
          <cell r="D580" t="str">
            <v>проходчик на поверхностных работах</v>
          </cell>
          <cell r="E580" t="str">
            <v>ЮЭ2010697 706921</v>
          </cell>
          <cell r="F580">
            <v>1428.1</v>
          </cell>
          <cell r="G580">
            <v>1210.6099999999999</v>
          </cell>
          <cell r="H580">
            <v>0</v>
          </cell>
        </row>
        <row r="581">
          <cell r="C581" t="str">
            <v>Поляков Игорь Юрьевич</v>
          </cell>
          <cell r="D581" t="str">
            <v>электрослесарь (слесарь) дежурный и по ремонту оборудования</v>
          </cell>
          <cell r="E581" t="str">
            <v>БГ2010104 241527</v>
          </cell>
          <cell r="F581">
            <v>1149</v>
          </cell>
          <cell r="G581">
            <v>974.08</v>
          </cell>
          <cell r="H581">
            <v>1195.5999999999999</v>
          </cell>
        </row>
        <row r="582">
          <cell r="E582" t="str">
            <v xml:space="preserve">ШГ2010599 061841 </v>
          </cell>
          <cell r="F582">
            <v>1410.4</v>
          </cell>
          <cell r="G582">
            <v>1195.5999999999999</v>
          </cell>
          <cell r="H582">
            <v>0</v>
          </cell>
        </row>
        <row r="583">
          <cell r="C583" t="str">
            <v>Потелещенко Олег Вадимович</v>
          </cell>
          <cell r="D583" t="str">
            <v>электрогазосварщик, занятый на резке и ручной сварке</v>
          </cell>
          <cell r="E583" t="str">
            <v>ЮЭ2010697               915753</v>
          </cell>
          <cell r="F583">
            <v>1079.5999999999999</v>
          </cell>
          <cell r="G583">
            <v>915.27</v>
          </cell>
          <cell r="H583">
            <v>1121.96</v>
          </cell>
        </row>
        <row r="584">
          <cell r="E584" t="str">
            <v>ГЕ2010108 885126</v>
          </cell>
          <cell r="F584">
            <v>1323.5</v>
          </cell>
          <cell r="G584">
            <v>1121.96</v>
          </cell>
          <cell r="H584">
            <v>0</v>
          </cell>
        </row>
        <row r="585">
          <cell r="C585" t="str">
            <v>Починков Михаил Юрьевич</v>
          </cell>
          <cell r="D585" t="str">
            <v>электрослесарь (слесарь) дежурный и по ремонту оборудования</v>
          </cell>
          <cell r="E585" t="str">
            <v>ШГ2010599 055458</v>
          </cell>
          <cell r="F585">
            <v>1218.9000000000001</v>
          </cell>
          <cell r="G585">
            <v>1033.31</v>
          </cell>
          <cell r="H585">
            <v>887.8</v>
          </cell>
        </row>
        <row r="586">
          <cell r="E586">
            <v>72670400448801</v>
          </cell>
          <cell r="F586">
            <v>1047.5999999999999</v>
          </cell>
          <cell r="G586">
            <v>887.8</v>
          </cell>
          <cell r="H586">
            <v>0</v>
          </cell>
        </row>
        <row r="587">
          <cell r="C587" t="str">
            <v>Прокошев Евгений Евгеньевич</v>
          </cell>
          <cell r="D587" t="str">
            <v>электрогазосварщик занятый на резке и ручной сварке о/г.р.</v>
          </cell>
          <cell r="E587" t="str">
            <v>ГВ2010105 484819</v>
          </cell>
          <cell r="F587">
            <v>1428.1</v>
          </cell>
          <cell r="G587">
            <v>1210.6099999999999</v>
          </cell>
          <cell r="H587">
            <v>0</v>
          </cell>
        </row>
        <row r="588">
          <cell r="C588" t="str">
            <v>Пудов Алексей Владимирович</v>
          </cell>
          <cell r="D588" t="str">
            <v xml:space="preserve">горнорабочий </v>
          </cell>
          <cell r="E588" t="str">
            <v>ЮЭ2010697 915755</v>
          </cell>
          <cell r="F588">
            <v>1079.5999999999999</v>
          </cell>
          <cell r="G588">
            <v>915.27</v>
          </cell>
          <cell r="H588">
            <v>1036.03</v>
          </cell>
        </row>
        <row r="589">
          <cell r="E589" t="str">
            <v>АП2010037 917305</v>
          </cell>
          <cell r="F589">
            <v>1222.0999999999999</v>
          </cell>
          <cell r="G589">
            <v>1036.03</v>
          </cell>
          <cell r="H589">
            <v>0</v>
          </cell>
        </row>
        <row r="590">
          <cell r="C590" t="str">
            <v>Рожков Александр Викторович</v>
          </cell>
          <cell r="D590" t="str">
            <v xml:space="preserve">горнорабочий </v>
          </cell>
          <cell r="E590" t="str">
            <v>ГВ2010105 484857</v>
          </cell>
          <cell r="F590">
            <v>1047.5999999999999</v>
          </cell>
          <cell r="G590">
            <v>888.15</v>
          </cell>
          <cell r="H590">
            <v>0</v>
          </cell>
        </row>
        <row r="591">
          <cell r="C591" t="str">
            <v>Романов Владимир Вячеславович</v>
          </cell>
          <cell r="D591" t="str">
            <v>электрогазосварщик занятый на резке и ручной сварке о/г.р.</v>
          </cell>
          <cell r="E591" t="str">
            <v>АК2010033 042398</v>
          </cell>
          <cell r="F591">
            <v>1567.5</v>
          </cell>
          <cell r="G591">
            <v>1328.73</v>
          </cell>
          <cell r="H591">
            <v>1210.6099999999999</v>
          </cell>
        </row>
        <row r="592">
          <cell r="E592" t="str">
            <v>АК2010033 042399</v>
          </cell>
          <cell r="F592">
            <v>1428.1</v>
          </cell>
          <cell r="G592">
            <v>1210.6099999999999</v>
          </cell>
          <cell r="H592">
            <v>0</v>
          </cell>
        </row>
        <row r="593">
          <cell r="C593" t="str">
            <v>Самсонов Геннадий Владимирович</v>
          </cell>
          <cell r="D593" t="str">
            <v>электрогазосварщик занятый на резке и ручной сварке о/г.р.</v>
          </cell>
          <cell r="E593" t="str">
            <v>ГВ2010105 591882</v>
          </cell>
          <cell r="F593">
            <v>1567.5</v>
          </cell>
          <cell r="G593">
            <v>1328.74</v>
          </cell>
          <cell r="H593">
            <v>0</v>
          </cell>
        </row>
        <row r="594">
          <cell r="C594" t="str">
            <v>Сапожников Валентин Александрович</v>
          </cell>
          <cell r="D594" t="str">
            <v>проходчик на поверхностных работах</v>
          </cell>
          <cell r="E594" t="str">
            <v>ЧБ2010571 780578</v>
          </cell>
          <cell r="F594">
            <v>1079.5999999999999</v>
          </cell>
          <cell r="G594">
            <v>915.27</v>
          </cell>
          <cell r="H594">
            <v>0</v>
          </cell>
        </row>
        <row r="595">
          <cell r="C595" t="str">
            <v>Серобаба Игорь Владимирович</v>
          </cell>
          <cell r="D595" t="str">
            <v>проходчик на поверхностных работах</v>
          </cell>
          <cell r="E595" t="str">
            <v>ВЛ2010086 494644</v>
          </cell>
          <cell r="F595">
            <v>1497.9</v>
          </cell>
          <cell r="G595">
            <v>1269.75</v>
          </cell>
          <cell r="H595">
            <v>1638.82</v>
          </cell>
        </row>
        <row r="596">
          <cell r="E596" t="str">
            <v>ВБ2010078 961611</v>
          </cell>
          <cell r="F596">
            <v>1933.4</v>
          </cell>
          <cell r="G596">
            <v>1638.82</v>
          </cell>
          <cell r="H596">
            <v>0</v>
          </cell>
        </row>
        <row r="597">
          <cell r="C597" t="str">
            <v>Сиднеков Олег Анатольевич</v>
          </cell>
          <cell r="D597" t="str">
            <v>электрогазосварщик, занятый на резке и ручной сварке</v>
          </cell>
          <cell r="E597" t="str">
            <v>ЩН2010633 911284</v>
          </cell>
          <cell r="F597">
            <v>1567.5</v>
          </cell>
          <cell r="G597">
            <v>1328.73</v>
          </cell>
          <cell r="H597">
            <v>1638.82</v>
          </cell>
        </row>
        <row r="598">
          <cell r="E598" t="str">
            <v>АП2010037  912322</v>
          </cell>
          <cell r="F598">
            <v>1933.4</v>
          </cell>
          <cell r="G598">
            <v>1638.82</v>
          </cell>
          <cell r="H598">
            <v>0</v>
          </cell>
        </row>
        <row r="599">
          <cell r="C599" t="str">
            <v>Сидоренко Николай Анатольевич</v>
          </cell>
          <cell r="D599" t="str">
            <v xml:space="preserve">горнорабочий </v>
          </cell>
          <cell r="E599" t="str">
            <v>ЮЭ2010697 947179</v>
          </cell>
          <cell r="F599">
            <v>1776.4</v>
          </cell>
          <cell r="G599">
            <v>1505.77</v>
          </cell>
          <cell r="H599">
            <v>899.25</v>
          </cell>
        </row>
        <row r="600">
          <cell r="E600">
            <v>2007013737483</v>
          </cell>
          <cell r="F600">
            <v>1060.7</v>
          </cell>
          <cell r="G600">
            <v>899.25</v>
          </cell>
          <cell r="H600">
            <v>0</v>
          </cell>
        </row>
        <row r="601">
          <cell r="C601" t="str">
            <v>Синцов Дмитрий Александрович</v>
          </cell>
          <cell r="D601" t="str">
            <v>электрогазосварщик, занятый на резке и ручной сварке</v>
          </cell>
          <cell r="E601" t="str">
            <v>ВЛ2010086 113349</v>
          </cell>
          <cell r="F601">
            <v>1079.5999999999999</v>
          </cell>
          <cell r="G601">
            <v>915.27</v>
          </cell>
          <cell r="H601">
            <v>0</v>
          </cell>
        </row>
        <row r="602">
          <cell r="C602" t="str">
            <v>Сирота Александр Лазаревич</v>
          </cell>
          <cell r="D602" t="str">
            <v>машинист компрессорных установок</v>
          </cell>
          <cell r="E602" t="str">
            <v>ВЛ2010086 289990</v>
          </cell>
          <cell r="F602">
            <v>1567.5</v>
          </cell>
          <cell r="G602">
            <v>1328.73</v>
          </cell>
          <cell r="H602">
            <v>1638.82</v>
          </cell>
        </row>
        <row r="603">
          <cell r="E603" t="str">
            <v>ЕВ2010156  987044</v>
          </cell>
          <cell r="F603">
            <v>1933.4</v>
          </cell>
          <cell r="G603">
            <v>1638.82</v>
          </cell>
          <cell r="H603">
            <v>0</v>
          </cell>
        </row>
        <row r="604">
          <cell r="C604" t="str">
            <v>Скориков Денис Сергеевич</v>
          </cell>
          <cell r="D604" t="str">
            <v xml:space="preserve">горнорабочий </v>
          </cell>
          <cell r="E604" t="str">
            <v>ЮЭ2010697 499556</v>
          </cell>
          <cell r="F604">
            <v>1497.9</v>
          </cell>
          <cell r="G604">
            <v>1269.75</v>
          </cell>
          <cell r="H604">
            <v>1371.79</v>
          </cell>
        </row>
        <row r="605">
          <cell r="E605" t="str">
            <v>АП2010037 926476</v>
          </cell>
          <cell r="F605">
            <v>1618.3</v>
          </cell>
          <cell r="G605">
            <v>1371.79</v>
          </cell>
          <cell r="H605">
            <v>0</v>
          </cell>
        </row>
        <row r="606">
          <cell r="C606" t="str">
            <v>Скориков Евгений Сергеевич</v>
          </cell>
          <cell r="D606" t="str">
            <v xml:space="preserve">горнорабочий </v>
          </cell>
          <cell r="E606" t="str">
            <v>ЮЭ2010697 499554</v>
          </cell>
          <cell r="F606">
            <v>1428.1</v>
          </cell>
          <cell r="G606">
            <v>1210.6099999999999</v>
          </cell>
          <cell r="H606">
            <v>0</v>
          </cell>
        </row>
        <row r="607">
          <cell r="C607" t="str">
            <v>Скориков Сергей Викторович</v>
          </cell>
          <cell r="D607" t="str">
            <v>проходчик на поверхностных работах</v>
          </cell>
          <cell r="E607" t="str">
            <v>ЮЭ2010697 499557</v>
          </cell>
          <cell r="F607">
            <v>1497.9</v>
          </cell>
          <cell r="G607">
            <v>1269.75</v>
          </cell>
          <cell r="H607">
            <v>1371.79</v>
          </cell>
        </row>
        <row r="608">
          <cell r="E608" t="str">
            <v>АП2010037 926475</v>
          </cell>
          <cell r="F608">
            <v>1618.3</v>
          </cell>
          <cell r="G608">
            <v>1371.79</v>
          </cell>
          <cell r="H608">
            <v>0</v>
          </cell>
        </row>
        <row r="609">
          <cell r="C609" t="str">
            <v>Скотинников Андрей Николаевич</v>
          </cell>
          <cell r="D609" t="str">
            <v>проходчик на поверхностных работах</v>
          </cell>
          <cell r="E609" t="str">
            <v>ЧБ2010571 780644</v>
          </cell>
          <cell r="F609">
            <v>1079.5999999999999</v>
          </cell>
          <cell r="G609">
            <v>915.27</v>
          </cell>
          <cell r="H609">
            <v>0</v>
          </cell>
        </row>
        <row r="610">
          <cell r="C610" t="str">
            <v>Соболев Андрей Васильевич</v>
          </cell>
          <cell r="D610" t="str">
            <v xml:space="preserve">горнорабочий </v>
          </cell>
          <cell r="E610" t="str">
            <v>ЮЭ2010697 947180</v>
          </cell>
          <cell r="F610">
            <v>1776.4</v>
          </cell>
          <cell r="G610">
            <v>1505.77</v>
          </cell>
          <cell r="H610">
            <v>915.27</v>
          </cell>
        </row>
        <row r="611">
          <cell r="E611">
            <v>2007012507288</v>
          </cell>
          <cell r="F611">
            <v>1079.5999999999999</v>
          </cell>
          <cell r="G611">
            <v>915.27</v>
          </cell>
          <cell r="H611">
            <v>0</v>
          </cell>
        </row>
        <row r="612">
          <cell r="C612" t="str">
            <v>Соломенцев Валерий Викторович</v>
          </cell>
          <cell r="D612" t="str">
            <v>электрогазосварщик, занятый на резке и ручной сварке</v>
          </cell>
          <cell r="E612" t="str">
            <v>ГЕ2010108 884612</v>
          </cell>
          <cell r="F612">
            <v>1149</v>
          </cell>
          <cell r="G612">
            <v>974.08</v>
          </cell>
          <cell r="H612">
            <v>0</v>
          </cell>
        </row>
        <row r="613">
          <cell r="C613" t="str">
            <v>Сорокин Григорий Александрович</v>
          </cell>
          <cell r="D613" t="str">
            <v>электрослесарь (слесарь) дежурный и по ремонту оборудования</v>
          </cell>
          <cell r="E613" t="str">
            <v>ВЛ2010086 116695</v>
          </cell>
          <cell r="F613">
            <v>1079.5999999999999</v>
          </cell>
          <cell r="G613">
            <v>915.27</v>
          </cell>
          <cell r="H613">
            <v>1121.96</v>
          </cell>
        </row>
        <row r="614">
          <cell r="E614" t="str">
            <v>ВЛ2010086 116698</v>
          </cell>
          <cell r="F614">
            <v>1323.5</v>
          </cell>
          <cell r="G614">
            <v>1121.96</v>
          </cell>
          <cell r="H614">
            <v>0</v>
          </cell>
        </row>
        <row r="615">
          <cell r="C615" t="str">
            <v>Степанов Николай Григорьевич</v>
          </cell>
          <cell r="D615" t="str">
            <v>проходчик на поверхностных работах</v>
          </cell>
          <cell r="E615" t="str">
            <v>ШГ2010599 055459</v>
          </cell>
          <cell r="F615">
            <v>1218.9000000000001</v>
          </cell>
          <cell r="G615">
            <v>1033.31</v>
          </cell>
          <cell r="H615">
            <v>1033.31</v>
          </cell>
        </row>
        <row r="616">
          <cell r="E616" t="str">
            <v>ГЕ2010108 884622</v>
          </cell>
          <cell r="F616">
            <v>1218.9000000000001</v>
          </cell>
          <cell r="G616">
            <v>1033.31</v>
          </cell>
          <cell r="H616">
            <v>0</v>
          </cell>
        </row>
        <row r="617">
          <cell r="C617" t="str">
            <v>Стетюха Сергей Анатольевич</v>
          </cell>
          <cell r="D617" t="str">
            <v>электрогазосварщик, занятый на резке и ручной сварке</v>
          </cell>
          <cell r="E617" t="str">
            <v>ЮЭ2010697 044120</v>
          </cell>
          <cell r="F617">
            <v>1149</v>
          </cell>
          <cell r="G617">
            <v>974.08</v>
          </cell>
          <cell r="H617">
            <v>0</v>
          </cell>
        </row>
        <row r="618">
          <cell r="C618" t="str">
            <v>Стешенко Александр Владимирович</v>
          </cell>
          <cell r="D618" t="str">
            <v>электрогазосварщик, занятый на резке и ручной сварке</v>
          </cell>
          <cell r="E618" t="str">
            <v>ЧБ2010571 847641</v>
          </cell>
          <cell r="F618">
            <v>1776.4</v>
          </cell>
          <cell r="G618">
            <v>1505.77</v>
          </cell>
          <cell r="H618">
            <v>0</v>
          </cell>
        </row>
        <row r="619">
          <cell r="C619" t="str">
            <v>Сухов Алексей Федорович</v>
          </cell>
          <cell r="D619" t="str">
            <v xml:space="preserve">горнорабочий </v>
          </cell>
          <cell r="E619" t="str">
            <v>АЕ2010030 412831</v>
          </cell>
          <cell r="F619">
            <v>940</v>
          </cell>
          <cell r="G619">
            <v>796.96</v>
          </cell>
          <cell r="H619">
            <v>0</v>
          </cell>
        </row>
        <row r="620">
          <cell r="C620" t="str">
            <v>Сухляк Юрий Алексеевич</v>
          </cell>
          <cell r="D620" t="str">
            <v>электрогазосварщик, занятый на резке и ручной сварке</v>
          </cell>
          <cell r="E620" t="str">
            <v>ЧБ2010571 985085</v>
          </cell>
          <cell r="F620">
            <v>1567.5</v>
          </cell>
          <cell r="G620">
            <v>1328.73</v>
          </cell>
          <cell r="H620">
            <v>1491.2</v>
          </cell>
        </row>
        <row r="621">
          <cell r="E621" t="str">
            <v>АП2010037  937779</v>
          </cell>
          <cell r="F621">
            <v>1759.2</v>
          </cell>
          <cell r="G621">
            <v>1491.2</v>
          </cell>
          <cell r="H621">
            <v>0</v>
          </cell>
        </row>
        <row r="622">
          <cell r="C622" t="str">
            <v>Сытник Александр Анатольевич</v>
          </cell>
          <cell r="D622" t="str">
            <v>проходчик на поверхностных работах</v>
          </cell>
          <cell r="E622" t="str">
            <v>ЮЭ2010697 909675</v>
          </cell>
          <cell r="F622">
            <v>1047.5999999999999</v>
          </cell>
          <cell r="G622">
            <v>888.15</v>
          </cell>
          <cell r="H622">
            <v>0</v>
          </cell>
        </row>
        <row r="623">
          <cell r="C623" t="str">
            <v>Тарабановский Андрей Викторович</v>
          </cell>
          <cell r="D623" t="str">
            <v>электрослесарь (слесарь) дежурный и по ремонту оборудования</v>
          </cell>
          <cell r="E623" t="str">
            <v>ЧБ2010571 780664</v>
          </cell>
          <cell r="F623">
            <v>1060.7</v>
          </cell>
          <cell r="G623">
            <v>899.25</v>
          </cell>
          <cell r="H623">
            <v>915.27</v>
          </cell>
        </row>
        <row r="624">
          <cell r="E624" t="str">
            <v>ЧБ2010571  780665</v>
          </cell>
          <cell r="F624">
            <v>1079.5999999999999</v>
          </cell>
          <cell r="G624">
            <v>915.27</v>
          </cell>
          <cell r="H624">
            <v>0</v>
          </cell>
        </row>
        <row r="625">
          <cell r="C625" t="str">
            <v>Татевосян Арсен Георгиевич</v>
          </cell>
          <cell r="D625" t="str">
            <v>электрогазосварщик, занятый на резке и ручной сварке</v>
          </cell>
          <cell r="E625" t="str">
            <v>АК2010033 046135</v>
          </cell>
          <cell r="F625">
            <v>1315.4</v>
          </cell>
          <cell r="G625">
            <v>1115.0899999999999</v>
          </cell>
          <cell r="H625">
            <v>0</v>
          </cell>
        </row>
        <row r="626">
          <cell r="C626" t="str">
            <v>Тербулатов Эльдар Исмаилович</v>
          </cell>
          <cell r="D626" t="str">
            <v>машинист передвижной дизельной электростанции</v>
          </cell>
          <cell r="E626" t="str">
            <v>ВЛ2010086 289992</v>
          </cell>
          <cell r="F626">
            <v>1567.5</v>
          </cell>
          <cell r="G626">
            <v>1328.73</v>
          </cell>
          <cell r="H626">
            <v>0</v>
          </cell>
        </row>
        <row r="627">
          <cell r="C627" t="str">
            <v>Тилов Мухажир Камалович</v>
          </cell>
          <cell r="D627" t="str">
            <v>электросварщик ручной сварки</v>
          </cell>
          <cell r="E627" t="str">
            <v>ВЛ2010086 289993</v>
          </cell>
          <cell r="F627">
            <v>1567.5</v>
          </cell>
          <cell r="G627">
            <v>1328.73</v>
          </cell>
          <cell r="H627">
            <v>0</v>
          </cell>
        </row>
        <row r="628">
          <cell r="C628" t="str">
            <v>Тимохин Александр Викторович</v>
          </cell>
          <cell r="D628" t="str">
            <v>электрогазосварщик, занятый на резке и ручной сварке</v>
          </cell>
          <cell r="E628" t="str">
            <v>ЮЭ2010697 945205</v>
          </cell>
          <cell r="F628">
            <v>1567.5</v>
          </cell>
          <cell r="G628">
            <v>1328.74</v>
          </cell>
          <cell r="H628">
            <v>0</v>
          </cell>
        </row>
        <row r="629">
          <cell r="C629" t="str">
            <v>Тишков Дмитрий Владимирович</v>
          </cell>
          <cell r="D629" t="str">
            <v>электрогазосварщик, занятый на резке и ручной сварке</v>
          </cell>
          <cell r="E629" t="str">
            <v>ЧБ2010571 847642</v>
          </cell>
          <cell r="F629">
            <v>1776.4</v>
          </cell>
          <cell r="G629">
            <v>1505.77</v>
          </cell>
          <cell r="H629">
            <v>1343.31</v>
          </cell>
        </row>
        <row r="630">
          <cell r="E630" t="str">
            <v>АП2010037 902886</v>
          </cell>
          <cell r="F630">
            <v>1584.7</v>
          </cell>
          <cell r="G630">
            <v>1343.31</v>
          </cell>
          <cell r="H630">
            <v>0</v>
          </cell>
        </row>
        <row r="631">
          <cell r="C631" t="str">
            <v>Толиченко Максим Станиславович</v>
          </cell>
          <cell r="D631" t="str">
            <v>электрогазосварщик, занятый на резке и ручной сварке</v>
          </cell>
          <cell r="E631" t="str">
            <v>ЕВ2010156 969540</v>
          </cell>
          <cell r="F631">
            <v>1497.7</v>
          </cell>
          <cell r="G631">
            <v>1269.5899999999999</v>
          </cell>
          <cell r="H631">
            <v>0</v>
          </cell>
        </row>
        <row r="632">
          <cell r="C632" t="str">
            <v>Улецкий Геннадий Гаврилович</v>
          </cell>
          <cell r="D632" t="str">
            <v>электросварщик ручной сварки</v>
          </cell>
          <cell r="E632" t="str">
            <v>ЮЭ2010697 043616</v>
          </cell>
          <cell r="F632">
            <v>1060.7</v>
          </cell>
          <cell r="G632">
            <v>899.25</v>
          </cell>
          <cell r="H632">
            <v>974.08</v>
          </cell>
        </row>
        <row r="633">
          <cell r="E633" t="str">
            <v>ГМ2010113 494191</v>
          </cell>
          <cell r="F633">
            <v>1149</v>
          </cell>
          <cell r="G633">
            <v>974.08</v>
          </cell>
          <cell r="H633">
            <v>0</v>
          </cell>
        </row>
        <row r="634">
          <cell r="C634" t="str">
            <v>Урсу Лилиян Иванович</v>
          </cell>
          <cell r="D634" t="str">
            <v xml:space="preserve">горнорабочий </v>
          </cell>
          <cell r="E634" t="str">
            <v>АК2010033 139315</v>
          </cell>
          <cell r="F634">
            <v>1497.9</v>
          </cell>
          <cell r="G634">
            <v>1269.75</v>
          </cell>
          <cell r="H634">
            <v>0</v>
          </cell>
        </row>
        <row r="635">
          <cell r="C635" t="str">
            <v>Федоров Алексей Алексеевич</v>
          </cell>
          <cell r="D635" t="str">
            <v>электрослесарь дежурный и по ремонту оборудования</v>
          </cell>
          <cell r="E635" t="str">
            <v>АК2010033 138481</v>
          </cell>
          <cell r="F635">
            <v>1497.9</v>
          </cell>
          <cell r="G635">
            <v>1269.75</v>
          </cell>
          <cell r="H635">
            <v>0</v>
          </cell>
        </row>
        <row r="636">
          <cell r="C636" t="str">
            <v>Федоров Игорь Александрович</v>
          </cell>
          <cell r="D636" t="str">
            <v>проходчик на поверхностных работах</v>
          </cell>
          <cell r="E636" t="str">
            <v>ГЕ2010108  884611</v>
          </cell>
          <cell r="F636">
            <v>1149</v>
          </cell>
          <cell r="G636">
            <v>974.08</v>
          </cell>
          <cell r="H636">
            <v>0</v>
          </cell>
        </row>
        <row r="637">
          <cell r="C637" t="str">
            <v>Федотов Дмитрий Витальевич</v>
          </cell>
          <cell r="D637" t="str">
            <v>проходчик на поверхностных работах</v>
          </cell>
          <cell r="E637" t="str">
            <v>ЯИ2010707 201892</v>
          </cell>
          <cell r="F637">
            <v>1567.5</v>
          </cell>
          <cell r="G637">
            <v>1328.73</v>
          </cell>
          <cell r="H637">
            <v>0</v>
          </cell>
        </row>
        <row r="638">
          <cell r="C638" t="str">
            <v>Фесиков Владимир Александрович</v>
          </cell>
          <cell r="D638" t="str">
            <v>горнорабочий</v>
          </cell>
          <cell r="E638" t="str">
            <v>ЮЭ2010697 915977</v>
          </cell>
          <cell r="F638">
            <v>1079.5999999999999</v>
          </cell>
          <cell r="G638">
            <v>915.27</v>
          </cell>
          <cell r="H638">
            <v>0</v>
          </cell>
        </row>
        <row r="639">
          <cell r="C639" t="str">
            <v>Фефилов Валерий Леонидович</v>
          </cell>
          <cell r="D639" t="str">
            <v>электрослесарь дежурный и по ремонту оборудования</v>
          </cell>
          <cell r="E639" t="str">
            <v>ЮМ2010684 418040</v>
          </cell>
          <cell r="F639">
            <v>1149</v>
          </cell>
          <cell r="G639">
            <v>974.08</v>
          </cell>
          <cell r="H639">
            <v>915.27</v>
          </cell>
        </row>
        <row r="640">
          <cell r="E640" t="str">
            <v>ГВ2010105 485455</v>
          </cell>
          <cell r="F640">
            <v>1079.5999999999999</v>
          </cell>
          <cell r="G640">
            <v>915.27</v>
          </cell>
          <cell r="H640">
            <v>0</v>
          </cell>
        </row>
        <row r="641">
          <cell r="C641" t="str">
            <v>Фомин Алексей Николаевич</v>
          </cell>
          <cell r="D641" t="str">
            <v>проходчик на поверхностных работах</v>
          </cell>
          <cell r="E641" t="str">
            <v>ВЕ2010082 594260</v>
          </cell>
          <cell r="F641">
            <v>997</v>
          </cell>
          <cell r="G641">
            <v>845.26</v>
          </cell>
          <cell r="H641">
            <v>0</v>
          </cell>
        </row>
        <row r="642">
          <cell r="C642" t="str">
            <v>Чайко Александр Тимофеевич</v>
          </cell>
          <cell r="D642" t="str">
            <v>элекрогазосварщик занятый на резке и ручной сварке о/г.р.</v>
          </cell>
          <cell r="E642" t="str">
            <v>ВЛ2010086 048698</v>
          </cell>
          <cell r="F642">
            <v>1497.9</v>
          </cell>
          <cell r="G642">
            <v>1269.75</v>
          </cell>
          <cell r="H642">
            <v>1565.1</v>
          </cell>
        </row>
        <row r="643">
          <cell r="E643" t="str">
            <v>ВЛ2010086 048699</v>
          </cell>
          <cell r="F643">
            <v>1846.4</v>
          </cell>
          <cell r="G643">
            <v>1565.1</v>
          </cell>
          <cell r="H643">
            <v>0</v>
          </cell>
        </row>
        <row r="644">
          <cell r="C644" t="str">
            <v>Черновол Анатолий Алексеевич</v>
          </cell>
          <cell r="D644" t="str">
            <v>электрослесарь (слесарь) дежурный и по ремонту оборудования</v>
          </cell>
          <cell r="E644" t="str">
            <v>АИ2010032 765058</v>
          </cell>
          <cell r="F644">
            <v>1567.5</v>
          </cell>
          <cell r="G644">
            <v>1328.73</v>
          </cell>
          <cell r="H644">
            <v>1328.73</v>
          </cell>
        </row>
        <row r="645">
          <cell r="E645" t="str">
            <v>АИ2010032 767958</v>
          </cell>
          <cell r="F645">
            <v>1567.5</v>
          </cell>
          <cell r="G645">
            <v>1328.73</v>
          </cell>
          <cell r="H645">
            <v>0</v>
          </cell>
        </row>
        <row r="646">
          <cell r="C646" t="str">
            <v>Чеховской Андрей Николаевич</v>
          </cell>
          <cell r="D646" t="str">
            <v>электрогазосварщик, занятый на резке и ручной сварке</v>
          </cell>
          <cell r="E646" t="str">
            <v>ВЛ2010086 117382</v>
          </cell>
          <cell r="F646">
            <v>1149</v>
          </cell>
          <cell r="G646">
            <v>974.08</v>
          </cell>
          <cell r="H646">
            <v>0</v>
          </cell>
        </row>
        <row r="647">
          <cell r="C647" t="str">
            <v>Чмиль Денис Сергеевич</v>
          </cell>
          <cell r="D647" t="str">
            <v>проходчик на поверхностных работах</v>
          </cell>
          <cell r="E647" t="str">
            <v>ГМ2010113 446847</v>
          </cell>
          <cell r="F647">
            <v>1079.5999999999999</v>
          </cell>
          <cell r="G647">
            <v>915.27</v>
          </cell>
          <cell r="H647">
            <v>0</v>
          </cell>
        </row>
        <row r="648">
          <cell r="C648" t="str">
            <v>Харлампьев Валентин Юрьевич</v>
          </cell>
          <cell r="D648" t="str">
            <v>проходчик на поверхностных работах</v>
          </cell>
          <cell r="E648" t="str">
            <v>АИ2010032 666147</v>
          </cell>
          <cell r="F648">
            <v>2299.4</v>
          </cell>
          <cell r="G648">
            <v>1948.99</v>
          </cell>
          <cell r="H648">
            <v>1948.99</v>
          </cell>
        </row>
        <row r="649">
          <cell r="E649" t="str">
            <v>ГМ2010113 446433</v>
          </cell>
          <cell r="F649">
            <v>2299.4</v>
          </cell>
          <cell r="G649">
            <v>1948.99</v>
          </cell>
          <cell r="H649">
            <v>0</v>
          </cell>
        </row>
        <row r="650">
          <cell r="C650" t="str">
            <v>Хворостенко Анатолий Николаевич</v>
          </cell>
          <cell r="D650" t="str">
            <v>элекрогазосварщик занятый на резке и ручной сварке о/г.р.</v>
          </cell>
          <cell r="E650" t="str">
            <v>АК2010033 139653</v>
          </cell>
          <cell r="F650">
            <v>2090.3000000000002</v>
          </cell>
          <cell r="G650">
            <v>1771.79</v>
          </cell>
          <cell r="H650">
            <v>2192.73</v>
          </cell>
        </row>
        <row r="651">
          <cell r="E651" t="str">
            <v>ЕВ2010156 961733</v>
          </cell>
          <cell r="F651">
            <v>2587</v>
          </cell>
          <cell r="G651">
            <v>2192.73</v>
          </cell>
          <cell r="H651">
            <v>0</v>
          </cell>
        </row>
        <row r="652">
          <cell r="C652" t="str">
            <v>Христофоров Геннадий Дмитриевич</v>
          </cell>
          <cell r="D652" t="str">
            <v>проходчик на поверхностных работах</v>
          </cell>
          <cell r="E652" t="str">
            <v>ЮЭ2010697 896073</v>
          </cell>
          <cell r="F652">
            <v>1894.7</v>
          </cell>
          <cell r="G652">
            <v>1677.38</v>
          </cell>
          <cell r="H652">
            <v>1638.82</v>
          </cell>
        </row>
        <row r="653">
          <cell r="E653" t="str">
            <v>ГВ2010105 485467</v>
          </cell>
          <cell r="F653">
            <v>1933.4</v>
          </cell>
          <cell r="G653">
            <v>1638.82</v>
          </cell>
          <cell r="H653">
            <v>0</v>
          </cell>
        </row>
        <row r="654">
          <cell r="C654" t="str">
            <v>Шарапова Оксана Михайловна</v>
          </cell>
          <cell r="D654" t="str">
            <v>горнорабочий на маркшейдерских работах</v>
          </cell>
          <cell r="E654" t="str">
            <v>ВЕ2010082 694605</v>
          </cell>
          <cell r="F654">
            <v>2111.8000000000002</v>
          </cell>
          <cell r="G654">
            <v>1790.01</v>
          </cell>
          <cell r="H654">
            <v>0</v>
          </cell>
        </row>
        <row r="655">
          <cell r="C655" t="str">
            <v>Шаталов Олег Николаевич</v>
          </cell>
          <cell r="D655" t="str">
            <v>электросварщик ручной сварки</v>
          </cell>
          <cell r="E655" t="str">
            <v>ЮЭ2010697 896080</v>
          </cell>
          <cell r="F655">
            <v>1567.5</v>
          </cell>
          <cell r="G655">
            <v>1328.73</v>
          </cell>
          <cell r="H655">
            <v>1269.5899999999999</v>
          </cell>
        </row>
        <row r="656">
          <cell r="E656" t="str">
            <v>ГВ2010105 485325</v>
          </cell>
          <cell r="F656">
            <v>1497.7</v>
          </cell>
          <cell r="G656">
            <v>1269.5899999999999</v>
          </cell>
          <cell r="H656">
            <v>0</v>
          </cell>
        </row>
        <row r="657">
          <cell r="C657" t="str">
            <v>Шевченко Александр Викторович</v>
          </cell>
          <cell r="D657" t="str">
            <v>горнорабочий</v>
          </cell>
          <cell r="E657" t="str">
            <v xml:space="preserve">ГЕ2010108 885127                </v>
          </cell>
          <cell r="F657">
            <v>1323.5</v>
          </cell>
          <cell r="G657">
            <v>1121.96</v>
          </cell>
          <cell r="H657">
            <v>0</v>
          </cell>
        </row>
        <row r="658">
          <cell r="C658" t="str">
            <v>Шевченко Николай Алексеевич</v>
          </cell>
          <cell r="D658" t="str">
            <v>электросварщик ручной сварки</v>
          </cell>
          <cell r="E658" t="str">
            <v>ЧБ2010571 562554</v>
          </cell>
          <cell r="F658">
            <v>1428.1</v>
          </cell>
          <cell r="G658">
            <v>1210.6099999999999</v>
          </cell>
          <cell r="H658">
            <v>0</v>
          </cell>
        </row>
        <row r="659">
          <cell r="C659" t="str">
            <v>Шеин Валерий Сергеевич</v>
          </cell>
          <cell r="D659" t="str">
            <v>машинист компрессорных установок</v>
          </cell>
          <cell r="E659" t="str">
            <v>АК2010086 288224</v>
          </cell>
          <cell r="F659">
            <v>1567.5</v>
          </cell>
          <cell r="G659">
            <v>1328.73</v>
          </cell>
          <cell r="H659">
            <v>1328.73</v>
          </cell>
        </row>
        <row r="660">
          <cell r="E660" t="str">
            <v>ГВ2010105 484900</v>
          </cell>
          <cell r="F660">
            <v>1567.5</v>
          </cell>
          <cell r="G660">
            <v>1328.73</v>
          </cell>
          <cell r="H660">
            <v>0</v>
          </cell>
        </row>
        <row r="661">
          <cell r="C661" t="str">
            <v>Шиян Игорь Анатольевич</v>
          </cell>
          <cell r="D661" t="str">
            <v>электрослесарь (слесарь) дежурный и по ремонту оборудования</v>
          </cell>
          <cell r="E661" t="str">
            <v>ЧБ2010571 780651</v>
          </cell>
          <cell r="F661">
            <v>1218.9000000000001</v>
          </cell>
          <cell r="G661">
            <v>1033.31</v>
          </cell>
          <cell r="H661">
            <v>915.27</v>
          </cell>
        </row>
        <row r="662">
          <cell r="E662" t="str">
            <v>ГВ2010105 485454</v>
          </cell>
          <cell r="F662">
            <v>1079.5999999999999</v>
          </cell>
          <cell r="G662">
            <v>915.27</v>
          </cell>
          <cell r="H662">
            <v>0</v>
          </cell>
        </row>
        <row r="663">
          <cell r="C663" t="str">
            <v>Шквира Славик Тамазович</v>
          </cell>
          <cell r="D663" t="str">
            <v>электрогазосварщик, занятый на резке и ручной сварке</v>
          </cell>
          <cell r="E663" t="str">
            <v>ЯЯ2010725 200706</v>
          </cell>
          <cell r="F663">
            <v>2090.3000000000002</v>
          </cell>
          <cell r="G663">
            <v>1771.79</v>
          </cell>
          <cell r="H663">
            <v>0</v>
          </cell>
        </row>
        <row r="664">
          <cell r="C664" t="str">
            <v>Шульга Александр Александрович</v>
          </cell>
          <cell r="D664" t="str">
            <v>электрослесарь (слесарь) дежурный и по ремонту оборудования</v>
          </cell>
          <cell r="E664" t="str">
            <v>ЧБ2010571 780829</v>
          </cell>
          <cell r="F664">
            <v>997</v>
          </cell>
          <cell r="G664">
            <v>845.26</v>
          </cell>
          <cell r="H664">
            <v>0</v>
          </cell>
        </row>
        <row r="665">
          <cell r="C665" t="str">
            <v>Шумский Сергей Евгеньевич</v>
          </cell>
          <cell r="D665" t="str">
            <v>проходчик на поверхностных работах</v>
          </cell>
          <cell r="E665" t="str">
            <v>ЮЭ2010697 947327</v>
          </cell>
          <cell r="F665">
            <v>1079.5999999999999</v>
          </cell>
          <cell r="G665">
            <v>915.27</v>
          </cell>
          <cell r="H665">
            <v>0</v>
          </cell>
        </row>
        <row r="666">
          <cell r="C666" t="str">
            <v>Янченко Владимир Дмитриевич</v>
          </cell>
          <cell r="D666" t="str">
            <v>электрогазосварщик, занятый на резке и ручной сварке</v>
          </cell>
          <cell r="E666" t="str">
            <v>АК 2010033 138480</v>
          </cell>
          <cell r="F666">
            <v>1497.9</v>
          </cell>
          <cell r="G666">
            <v>1269.75</v>
          </cell>
          <cell r="H666">
            <v>1601.09</v>
          </cell>
        </row>
        <row r="667">
          <cell r="E667" t="str">
            <v>ЕВ2010156  720772</v>
          </cell>
          <cell r="F667">
            <v>1804.1</v>
          </cell>
          <cell r="G667">
            <v>1601.09</v>
          </cell>
          <cell r="H667">
            <v>0</v>
          </cell>
        </row>
        <row r="668">
          <cell r="C668" t="str">
            <v>Яценко Андрей Николаевич</v>
          </cell>
          <cell r="D668" t="str">
            <v>проходчик на поверхностных работах</v>
          </cell>
          <cell r="E668" t="str">
            <v>ЮЭ2010697 909674</v>
          </cell>
          <cell r="F668">
            <v>1047.5999999999999</v>
          </cell>
          <cell r="G668">
            <v>888.15</v>
          </cell>
          <cell r="H668">
            <v>0</v>
          </cell>
        </row>
        <row r="669">
          <cell r="H669">
            <v>0</v>
          </cell>
        </row>
        <row r="670">
          <cell r="H670">
            <v>0</v>
          </cell>
        </row>
        <row r="671">
          <cell r="C671" t="str">
            <v>Дьяковский Владимир Иванович</v>
          </cell>
          <cell r="D671" t="str">
            <v>машинист крана автомобильного</v>
          </cell>
          <cell r="E671" t="str">
            <v>ЮЭ2010697 858765</v>
          </cell>
          <cell r="F671">
            <v>2299.4</v>
          </cell>
          <cell r="G671">
            <v>1948.99</v>
          </cell>
          <cell r="H671">
            <v>0</v>
          </cell>
        </row>
        <row r="672">
          <cell r="C672" t="str">
            <v>Запорожец Сергей Анатольевич</v>
          </cell>
          <cell r="D672" t="str">
            <v>машинист крана автомобильного</v>
          </cell>
          <cell r="E672" t="str">
            <v>ВЕ2010082 694597</v>
          </cell>
          <cell r="F672">
            <v>2090.3000000000002</v>
          </cell>
          <cell r="G672">
            <v>1771.79</v>
          </cell>
          <cell r="H672">
            <v>0</v>
          </cell>
        </row>
        <row r="673">
          <cell r="C673" t="str">
            <v>Зайцев Тимофей Иванович</v>
          </cell>
          <cell r="D673" t="str">
            <v>машинист крана автомобильного</v>
          </cell>
          <cell r="E673" t="str">
            <v>ВЛ2010086 228064</v>
          </cell>
          <cell r="F673">
            <v>3397.3</v>
          </cell>
          <cell r="G673">
            <v>2879.42</v>
          </cell>
          <cell r="H673">
            <v>0</v>
          </cell>
        </row>
        <row r="674">
          <cell r="C674" t="str">
            <v>Румянцев Сергей Рафаилович</v>
          </cell>
          <cell r="D674" t="str">
            <v>машинист крана автомобильного</v>
          </cell>
          <cell r="E674" t="str">
            <v>ЮЭ2010697 885743</v>
          </cell>
          <cell r="F674">
            <v>2299.4</v>
          </cell>
          <cell r="G674">
            <v>1948.99</v>
          </cell>
          <cell r="H674">
            <v>0</v>
          </cell>
        </row>
        <row r="675">
          <cell r="C675" t="str">
            <v>Рыков Сергей Николаевич</v>
          </cell>
          <cell r="D675" t="str">
            <v>машинист крана автомобильного</v>
          </cell>
          <cell r="E675" t="str">
            <v>ГВ2010105 484528</v>
          </cell>
          <cell r="F675">
            <v>933.2</v>
          </cell>
          <cell r="G675">
            <v>791.2</v>
          </cell>
          <cell r="H675">
            <v>0</v>
          </cell>
        </row>
        <row r="676">
          <cell r="C676" t="str">
            <v>Сергеев Юрий Николаевич</v>
          </cell>
          <cell r="D676" t="str">
            <v>машинист бульдозера</v>
          </cell>
          <cell r="E676" t="str">
            <v>ЮЭ2010697 564194</v>
          </cell>
          <cell r="F676">
            <v>1567.5</v>
          </cell>
          <cell r="G676">
            <v>1328.73</v>
          </cell>
          <cell r="H676">
            <v>0</v>
          </cell>
        </row>
        <row r="677">
          <cell r="C677" t="str">
            <v>Снимщиков Александр Иванович</v>
          </cell>
          <cell r="D677" t="str">
            <v>машинист бульдозера</v>
          </cell>
          <cell r="E677" t="str">
            <v>ЯЯ2010725 295954</v>
          </cell>
          <cell r="F677">
            <v>1497.9</v>
          </cell>
          <cell r="G677">
            <v>1269.75</v>
          </cell>
          <cell r="H677">
            <v>1638.82</v>
          </cell>
        </row>
        <row r="678">
          <cell r="E678" t="str">
            <v>АС2010039 807528</v>
          </cell>
          <cell r="F678">
            <v>1933.4</v>
          </cell>
          <cell r="G678">
            <v>1638.82</v>
          </cell>
          <cell r="H678">
            <v>0</v>
          </cell>
        </row>
        <row r="679">
          <cell r="H679">
            <v>0</v>
          </cell>
        </row>
        <row r="680">
          <cell r="C680" t="str">
            <v>Агафонов Андрей Андреевич</v>
          </cell>
          <cell r="D680" t="str">
            <v>водитель автомобиля</v>
          </cell>
          <cell r="E680" t="str">
            <v>ГВ2010105 484557</v>
          </cell>
          <cell r="F680">
            <v>2194.9</v>
          </cell>
          <cell r="G680">
            <v>1860.43</v>
          </cell>
          <cell r="H680">
            <v>0</v>
          </cell>
        </row>
        <row r="681">
          <cell r="C681" t="str">
            <v>Галашев Сергей Павлович</v>
          </cell>
          <cell r="D681" t="str">
            <v>водитель автомобиля</v>
          </cell>
          <cell r="E681" t="str">
            <v>ГВ2010105 484526</v>
          </cell>
          <cell r="F681">
            <v>1428.1</v>
          </cell>
          <cell r="G681">
            <v>1210.6099999999999</v>
          </cell>
          <cell r="H681">
            <v>0</v>
          </cell>
        </row>
        <row r="682">
          <cell r="C682" t="str">
            <v>Горлатов Андрей Владимирович</v>
          </cell>
          <cell r="D682" t="str">
            <v>водитель автомобиля</v>
          </cell>
          <cell r="E682" t="str">
            <v>АИ2010032 718731</v>
          </cell>
          <cell r="F682">
            <v>2090.3000000000002</v>
          </cell>
          <cell r="G682">
            <v>1771.79</v>
          </cell>
          <cell r="H682">
            <v>0</v>
          </cell>
        </row>
        <row r="683">
          <cell r="C683" t="str">
            <v>Жердев Руслан Геннадьевич</v>
          </cell>
          <cell r="D683" t="str">
            <v>водитель автомобиля</v>
          </cell>
          <cell r="E683" t="str">
            <v>ГЕ2010108 884636</v>
          </cell>
          <cell r="F683">
            <v>2194.9</v>
          </cell>
          <cell r="G683">
            <v>1860.43</v>
          </cell>
          <cell r="H683">
            <v>0</v>
          </cell>
        </row>
        <row r="684">
          <cell r="C684" t="str">
            <v>Лукьянов Юрий Александрович</v>
          </cell>
          <cell r="D684" t="str">
            <v>водитель автомобиля</v>
          </cell>
          <cell r="E684" t="str">
            <v>ЩН2010633 306677</v>
          </cell>
          <cell r="F684">
            <v>1497.9</v>
          </cell>
          <cell r="G684">
            <v>1269.75</v>
          </cell>
          <cell r="H684">
            <v>0</v>
          </cell>
        </row>
        <row r="685">
          <cell r="C685" t="str">
            <v>Хачидзе Аркадий Элвардович</v>
          </cell>
          <cell r="D685" t="str">
            <v>водитель автомобиля</v>
          </cell>
          <cell r="E685" t="str">
            <v>ВЕ2010082 694540</v>
          </cell>
          <cell r="F685">
            <v>2194.9</v>
          </cell>
          <cell r="G685">
            <v>1860.43</v>
          </cell>
          <cell r="H685">
            <v>0</v>
          </cell>
        </row>
        <row r="686">
          <cell r="C686" t="str">
            <v>Шахмаев Геннадий Геннадьевич</v>
          </cell>
          <cell r="D686" t="str">
            <v>водитель автомобиля</v>
          </cell>
          <cell r="E686" t="str">
            <v>ВЕ2010082 694539</v>
          </cell>
          <cell r="F686">
            <v>2194.9</v>
          </cell>
          <cell r="G686">
            <v>1860.43</v>
          </cell>
          <cell r="H686">
            <v>0</v>
          </cell>
        </row>
        <row r="687">
          <cell r="H687">
            <v>0</v>
          </cell>
        </row>
        <row r="688">
          <cell r="C688" t="str">
            <v>Гондарев Анатолий Алексеевич</v>
          </cell>
          <cell r="D688" t="str">
            <v>водитель автомобиля</v>
          </cell>
          <cell r="E688" t="str">
            <v>АК2010033 048062</v>
          </cell>
          <cell r="F688">
            <v>1497.9</v>
          </cell>
          <cell r="G688">
            <v>1269.75</v>
          </cell>
          <cell r="H688">
            <v>0</v>
          </cell>
        </row>
        <row r="689">
          <cell r="C689" t="str">
            <v>Рожновский Владимир Николаевич</v>
          </cell>
          <cell r="D689" t="str">
            <v>водитель автомобиля</v>
          </cell>
          <cell r="E689" t="str">
            <v>ГВ2010105 484722</v>
          </cell>
          <cell r="F689">
            <v>2194.9</v>
          </cell>
          <cell r="G689">
            <v>1860.43</v>
          </cell>
          <cell r="H689">
            <v>0</v>
          </cell>
        </row>
        <row r="690">
          <cell r="H690">
            <v>0</v>
          </cell>
        </row>
        <row r="691">
          <cell r="C691" t="str">
            <v>Бондаренко Вячеслав Борисович</v>
          </cell>
          <cell r="D691" t="str">
            <v>водитель автобуса</v>
          </cell>
          <cell r="E691" t="str">
            <v>АИ2010032 753822</v>
          </cell>
          <cell r="F691">
            <v>1671.7</v>
          </cell>
          <cell r="G691">
            <v>1417.04</v>
          </cell>
          <cell r="H691">
            <v>0</v>
          </cell>
        </row>
        <row r="692">
          <cell r="C692" t="str">
            <v>Костин Валерий Павлович</v>
          </cell>
          <cell r="D692" t="str">
            <v>водитель автобуса</v>
          </cell>
          <cell r="E692" t="str">
            <v>ГВ2010105 484569</v>
          </cell>
          <cell r="F692">
            <v>1149</v>
          </cell>
          <cell r="G692">
            <v>974.08</v>
          </cell>
          <cell r="H692">
            <v>0</v>
          </cell>
        </row>
        <row r="693">
          <cell r="H693">
            <v>0</v>
          </cell>
        </row>
        <row r="694">
          <cell r="H694">
            <v>0</v>
          </cell>
        </row>
        <row r="695">
          <cell r="C695" t="str">
            <v>Мажугин Александр Петрович</v>
          </cell>
          <cell r="D695" t="str">
            <v>механик автомобильной колонны</v>
          </cell>
          <cell r="E695" t="str">
            <v>АК2010033 183193</v>
          </cell>
          <cell r="F695">
            <v>2090.3000000000002</v>
          </cell>
          <cell r="G695">
            <v>1771.79</v>
          </cell>
          <cell r="H695">
            <v>0</v>
          </cell>
        </row>
        <row r="696">
          <cell r="H696">
            <v>0</v>
          </cell>
        </row>
        <row r="697">
          <cell r="C697" t="str">
            <v>Головченко Сергей Евгеньевич</v>
          </cell>
          <cell r="D697" t="str">
            <v>слесарь по ремонту автомобилей</v>
          </cell>
          <cell r="E697" t="str">
            <v>ЧБ2010571 838022</v>
          </cell>
          <cell r="F697">
            <v>2194.9</v>
          </cell>
          <cell r="G697">
            <v>1860.43</v>
          </cell>
          <cell r="H697">
            <v>0</v>
          </cell>
        </row>
        <row r="698">
          <cell r="C698" t="str">
            <v>Усанов Михаил Юрьевич</v>
          </cell>
          <cell r="D698" t="str">
            <v>слесарь по ремонту автомобилей</v>
          </cell>
          <cell r="E698" t="str">
            <v>ГВ2010105 484527</v>
          </cell>
          <cell r="F698">
            <v>1428.1</v>
          </cell>
          <cell r="G698">
            <v>1210.6099999999999</v>
          </cell>
          <cell r="H698">
            <v>0</v>
          </cell>
        </row>
        <row r="699">
          <cell r="H699">
            <v>0</v>
          </cell>
        </row>
        <row r="700">
          <cell r="C700" t="str">
            <v>Горохова Алена Николаевна</v>
          </cell>
          <cell r="D700" t="str">
            <v>инженер-лаборант</v>
          </cell>
          <cell r="E700" t="str">
            <v>АИ2010032 675079</v>
          </cell>
          <cell r="F700">
            <v>2299.4</v>
          </cell>
          <cell r="G700">
            <v>1948.99</v>
          </cell>
          <cell r="H700">
            <v>1948.99</v>
          </cell>
        </row>
        <row r="701">
          <cell r="E701" t="str">
            <v>АИ2010032 675080</v>
          </cell>
          <cell r="F701">
            <v>2299.4</v>
          </cell>
          <cell r="G701">
            <v>1948.99</v>
          </cell>
          <cell r="H701">
            <v>0</v>
          </cell>
        </row>
        <row r="702">
          <cell r="C702" t="str">
            <v>Карпенко Любовь Валентиновна</v>
          </cell>
          <cell r="D702" t="str">
            <v>инженер II категории</v>
          </cell>
          <cell r="E702" t="str">
            <v>ЮЭ2010697 351279</v>
          </cell>
          <cell r="F702">
            <v>2717.7</v>
          </cell>
          <cell r="G702">
            <v>2303.4899999999998</v>
          </cell>
          <cell r="H702">
            <v>1774.15</v>
          </cell>
        </row>
        <row r="703">
          <cell r="E703">
            <v>8236124764931</v>
          </cell>
          <cell r="F703">
            <v>2093.5</v>
          </cell>
          <cell r="G703">
            <v>1774.15</v>
          </cell>
          <cell r="H703">
            <v>0</v>
          </cell>
        </row>
        <row r="704">
          <cell r="C704" t="str">
            <v>Итого:</v>
          </cell>
          <cell r="G704">
            <v>352202</v>
          </cell>
        </row>
        <row r="936">
          <cell r="C936" t="str">
            <v>Воробьев Борис Олегович</v>
          </cell>
          <cell r="D936" t="str">
            <v xml:space="preserve">Мастер горный </v>
          </cell>
          <cell r="E936" t="str">
            <v>ЮЭ 2010697 679976</v>
          </cell>
          <cell r="F936">
            <v>2587</v>
          </cell>
          <cell r="G936">
            <v>2192.73</v>
          </cell>
          <cell r="H936">
            <v>0</v>
          </cell>
        </row>
        <row r="937">
          <cell r="C937" t="str">
            <v>Довбня Владислав Сергеевич</v>
          </cell>
          <cell r="D937" t="str">
            <v>Маркшейдер</v>
          </cell>
          <cell r="E937" t="str">
            <v>ГВ 2010104 292357</v>
          </cell>
          <cell r="F937">
            <v>2194.6</v>
          </cell>
          <cell r="G937">
            <v>1860.18</v>
          </cell>
          <cell r="H937">
            <v>0</v>
          </cell>
        </row>
        <row r="938">
          <cell r="C938" t="str">
            <v>Коротун Павел Владимирович</v>
          </cell>
          <cell r="D938" t="str">
            <v xml:space="preserve">Мастер горный </v>
          </cell>
          <cell r="E938" t="str">
            <v>ВЛ 2010086 115207</v>
          </cell>
          <cell r="F938">
            <v>1933.4</v>
          </cell>
          <cell r="G938">
            <v>1638.82</v>
          </cell>
          <cell r="H938">
            <v>0</v>
          </cell>
        </row>
        <row r="939">
          <cell r="C939" t="str">
            <v>Криворотов Сергей Александрович</v>
          </cell>
          <cell r="D939" t="str">
            <v>Помощник электромеханика</v>
          </cell>
          <cell r="E939" t="str">
            <v>ГК 2010111 280617</v>
          </cell>
          <cell r="F939">
            <v>1933.4</v>
          </cell>
          <cell r="G939">
            <v>1638.82</v>
          </cell>
          <cell r="H939">
            <v>0</v>
          </cell>
        </row>
        <row r="940">
          <cell r="C940" t="str">
            <v>Матяшов Роман Игоревич</v>
          </cell>
          <cell r="D940" t="str">
            <v>Помощник электромеханика</v>
          </cell>
          <cell r="E940" t="str">
            <v>ЦМ 2010554 058439</v>
          </cell>
          <cell r="F940">
            <v>1410.4</v>
          </cell>
          <cell r="G940">
            <v>1195.5999999999999</v>
          </cell>
          <cell r="H940">
            <v>0</v>
          </cell>
        </row>
        <row r="941">
          <cell r="C941" t="str">
            <v>Петров Андрей Юрьевич</v>
          </cell>
          <cell r="D941" t="str">
            <v>Маркшейдер</v>
          </cell>
          <cell r="E941" t="str">
            <v>ГЕ2010108 884710</v>
          </cell>
          <cell r="F941">
            <v>1933.4</v>
          </cell>
          <cell r="G941">
            <v>1638.82</v>
          </cell>
          <cell r="H941">
            <v>0</v>
          </cell>
        </row>
        <row r="942">
          <cell r="C942" t="str">
            <v>Рыбчак Евгений Васильевич</v>
          </cell>
          <cell r="D942" t="str">
            <v>Маркшейдер</v>
          </cell>
          <cell r="E942" t="str">
            <v>АК 2010033 153548</v>
          </cell>
          <cell r="F942">
            <v>2587</v>
          </cell>
          <cell r="G942">
            <v>2192.73</v>
          </cell>
          <cell r="H942">
            <v>0</v>
          </cell>
        </row>
        <row r="943">
          <cell r="C943" t="str">
            <v>Фролов Дмитрий Юрьевич</v>
          </cell>
          <cell r="D943" t="str">
            <v>Помощник электромеханика</v>
          </cell>
          <cell r="E943" t="str">
            <v>ВЛ2010086 292193</v>
          </cell>
          <cell r="F943">
            <v>2299.4</v>
          </cell>
          <cell r="G943">
            <v>1948.99</v>
          </cell>
          <cell r="H943">
            <v>2414.16</v>
          </cell>
        </row>
        <row r="944">
          <cell r="E944" t="str">
            <v>ВЛ 2010086 292194</v>
          </cell>
          <cell r="F944">
            <v>2848.3</v>
          </cell>
          <cell r="G944">
            <v>2414.16</v>
          </cell>
          <cell r="H944">
            <v>0</v>
          </cell>
        </row>
        <row r="945">
          <cell r="C945" t="str">
            <v>Шунин Роман Витальевич</v>
          </cell>
          <cell r="D945" t="str">
            <v xml:space="preserve">Мастер горный </v>
          </cell>
          <cell r="E945" t="str">
            <v>АП 2010037  961462</v>
          </cell>
          <cell r="F945">
            <v>1220.3</v>
          </cell>
          <cell r="G945">
            <v>1034.5</v>
          </cell>
          <cell r="H945">
            <v>0</v>
          </cell>
        </row>
        <row r="946">
          <cell r="H946">
            <v>0</v>
          </cell>
        </row>
        <row r="947">
          <cell r="C947" t="str">
            <v>Абашев Рустам Хакимуллович</v>
          </cell>
          <cell r="D947" t="str">
            <v>электрогазосварщик занятый на резке и ручной сварке о/г.р.</v>
          </cell>
          <cell r="E947" t="str">
            <v>АП 2010037 984852</v>
          </cell>
          <cell r="F947">
            <v>1149</v>
          </cell>
          <cell r="G947">
            <v>974.08</v>
          </cell>
          <cell r="H947">
            <v>974.08</v>
          </cell>
        </row>
        <row r="948">
          <cell r="E948" t="str">
            <v>БЭ 2010074 922072</v>
          </cell>
          <cell r="F948">
            <v>1149</v>
          </cell>
          <cell r="G948">
            <v>974.08</v>
          </cell>
          <cell r="H948">
            <v>0</v>
          </cell>
        </row>
        <row r="949">
          <cell r="C949" t="str">
            <v>Акимов Сергей Владимирович</v>
          </cell>
          <cell r="D949" t="str">
            <v>электросварщик ручной сварки о/г.р.</v>
          </cell>
          <cell r="E949" t="str">
            <v>ЮЭ 2010684 418372</v>
          </cell>
          <cell r="F949">
            <v>1410.4</v>
          </cell>
          <cell r="G949">
            <v>1195.5999999999999</v>
          </cell>
          <cell r="H949">
            <v>1121.96</v>
          </cell>
        </row>
        <row r="950">
          <cell r="E950" t="str">
            <v>АП 2010037 309955</v>
          </cell>
          <cell r="F950">
            <v>1323.5</v>
          </cell>
          <cell r="G950">
            <v>1121.96</v>
          </cell>
          <cell r="H950">
            <v>0</v>
          </cell>
        </row>
        <row r="951">
          <cell r="C951" t="str">
            <v>Алексеев Юрий Семенович</v>
          </cell>
          <cell r="D951" t="str">
            <v>проходчик на поверхностных работах</v>
          </cell>
          <cell r="E951" t="str">
            <v>АИ 2010032 720752</v>
          </cell>
          <cell r="F951">
            <v>3083.7</v>
          </cell>
          <cell r="G951">
            <v>2613.65</v>
          </cell>
          <cell r="H951">
            <v>2192.73</v>
          </cell>
        </row>
        <row r="952">
          <cell r="E952" t="str">
            <v>ГЕ 2010108 885345</v>
          </cell>
          <cell r="F952">
            <v>2587</v>
          </cell>
          <cell r="G952">
            <v>2192.73</v>
          </cell>
          <cell r="H952">
            <v>0</v>
          </cell>
        </row>
        <row r="953">
          <cell r="C953" t="str">
            <v>Алелеков Виктор Николаевич</v>
          </cell>
          <cell r="D953" t="str">
            <v>электросварщик ручной сварки о/г.р.</v>
          </cell>
          <cell r="E953" t="str">
            <v>АЕ 2010030 521255</v>
          </cell>
          <cell r="F953">
            <v>3083.7</v>
          </cell>
          <cell r="G953">
            <v>2613.65</v>
          </cell>
          <cell r="H953">
            <v>2192.73</v>
          </cell>
        </row>
        <row r="954">
          <cell r="E954" t="str">
            <v>ЯИ 2010707 811691</v>
          </cell>
          <cell r="F954">
            <v>2587</v>
          </cell>
          <cell r="G954">
            <v>2192.73</v>
          </cell>
          <cell r="H954">
            <v>0</v>
          </cell>
        </row>
        <row r="955">
          <cell r="C955" t="str">
            <v>Ангиленко Игорь Вадимович</v>
          </cell>
          <cell r="D955" t="str">
            <v>проходчик на поверхностных работах</v>
          </cell>
          <cell r="E955" t="str">
            <v>ЮЭ 2010697 045338</v>
          </cell>
          <cell r="F955">
            <v>1323.5</v>
          </cell>
          <cell r="G955">
            <v>1121.96</v>
          </cell>
          <cell r="H955">
            <v>0</v>
          </cell>
        </row>
        <row r="956">
          <cell r="C956" t="str">
            <v>Андреев Максим Николаевич</v>
          </cell>
          <cell r="D956" t="str">
            <v>электрослесарь (слесарь) дежурный и по ремонту оборудования</v>
          </cell>
          <cell r="E956" t="str">
            <v>ЮЭ 2010697 948871</v>
          </cell>
          <cell r="F956">
            <v>1410.4</v>
          </cell>
          <cell r="G956">
            <v>1195.5999999999999</v>
          </cell>
          <cell r="H956">
            <v>0</v>
          </cell>
        </row>
        <row r="957">
          <cell r="C957" t="str">
            <v>Антонов Алексей Евгеньевич</v>
          </cell>
          <cell r="D957" t="str">
            <v>электрослесарь (слесарь) дежурный и по ремонту оборудования</v>
          </cell>
          <cell r="E957" t="str">
            <v>ЧБ 2010571 781269</v>
          </cell>
          <cell r="F957">
            <v>1323.5</v>
          </cell>
          <cell r="G957">
            <v>1121.96</v>
          </cell>
          <cell r="H957">
            <v>0</v>
          </cell>
        </row>
        <row r="958">
          <cell r="C958" t="str">
            <v>Апарович Виталий Геннадьевич</v>
          </cell>
          <cell r="D958" t="str">
            <v xml:space="preserve">горнорабочий </v>
          </cell>
          <cell r="E958" t="str">
            <v>ЮМ 2010684 419531</v>
          </cell>
          <cell r="F958">
            <v>1567.4</v>
          </cell>
          <cell r="G958">
            <v>1328.65</v>
          </cell>
          <cell r="H958">
            <v>1121.96</v>
          </cell>
        </row>
        <row r="959">
          <cell r="E959" t="str">
            <v>АС 2010039 821065</v>
          </cell>
          <cell r="F959">
            <v>1323.5</v>
          </cell>
          <cell r="G959">
            <v>1121.96</v>
          </cell>
          <cell r="H959">
            <v>0</v>
          </cell>
        </row>
        <row r="960">
          <cell r="C960" t="str">
            <v>Артюхин Александр Николаевич</v>
          </cell>
          <cell r="D960" t="str">
            <v>электросварщик ручной сварки о/г.р.</v>
          </cell>
          <cell r="E960" t="str">
            <v>ЮЭ 2010697 046197</v>
          </cell>
          <cell r="F960">
            <v>1410.4</v>
          </cell>
          <cell r="G960">
            <v>1195.5999999999999</v>
          </cell>
          <cell r="H960">
            <v>0</v>
          </cell>
        </row>
        <row r="961">
          <cell r="C961" t="str">
            <v>Базовой Евгений Викторович</v>
          </cell>
          <cell r="D961" t="str">
            <v>электрогазосварщик занятый на резке и ручной сварке о/г.р.</v>
          </cell>
          <cell r="E961" t="str">
            <v>С 2007014 122585</v>
          </cell>
          <cell r="F961">
            <v>1323.5</v>
          </cell>
          <cell r="G961">
            <v>1121.96</v>
          </cell>
          <cell r="H961">
            <v>0</v>
          </cell>
        </row>
        <row r="962">
          <cell r="C962" t="str">
            <v>Базулин Александр Васильевич</v>
          </cell>
          <cell r="D962" t="str">
            <v>электрослесарь (слесарь) дежурный и по ремонту оборудования</v>
          </cell>
          <cell r="E962" t="str">
            <v>ВЛ 2010086 294776</v>
          </cell>
          <cell r="F962">
            <v>1933.4</v>
          </cell>
          <cell r="G962">
            <v>1638.82</v>
          </cell>
          <cell r="H962">
            <v>1638.82</v>
          </cell>
        </row>
        <row r="963">
          <cell r="E963" t="str">
            <v>АП 2010037  352620</v>
          </cell>
          <cell r="F963">
            <v>1933.4</v>
          </cell>
          <cell r="G963">
            <v>1638.82</v>
          </cell>
          <cell r="H963">
            <v>0</v>
          </cell>
        </row>
        <row r="964">
          <cell r="C964" t="str">
            <v>Барков Алексей Александрович</v>
          </cell>
          <cell r="D964" t="str">
            <v xml:space="preserve">горнорабочий </v>
          </cell>
          <cell r="E964" t="str">
            <v>Г 2010003 752298</v>
          </cell>
          <cell r="F964">
            <v>2107.9</v>
          </cell>
          <cell r="G964">
            <v>1786.71</v>
          </cell>
          <cell r="H964">
            <v>1786.71</v>
          </cell>
        </row>
        <row r="965">
          <cell r="E965" t="str">
            <v>ГМ 2010113 964481</v>
          </cell>
          <cell r="F965">
            <v>2107.9</v>
          </cell>
          <cell r="G965">
            <v>1786.71</v>
          </cell>
          <cell r="H965">
            <v>0</v>
          </cell>
        </row>
        <row r="966">
          <cell r="C966" t="str">
            <v>Беловолов Геннадий Анатольевич</v>
          </cell>
          <cell r="D966" t="str">
            <v>проходчик на поверхностных работах</v>
          </cell>
          <cell r="E966" t="str">
            <v>ГВ 2010105 485390</v>
          </cell>
          <cell r="F966">
            <v>1584.7</v>
          </cell>
          <cell r="G966">
            <v>1343.31</v>
          </cell>
          <cell r="H966">
            <v>0</v>
          </cell>
        </row>
        <row r="967">
          <cell r="C967" t="str">
            <v>Белоусов Павел Анатольевич</v>
          </cell>
          <cell r="D967" t="str">
            <v>электрослесарь (слесарь) дежурный и по ремонту оборудования</v>
          </cell>
          <cell r="E967" t="str">
            <v>ВЛ 2010086 425340</v>
          </cell>
          <cell r="F967">
            <v>2299.4</v>
          </cell>
          <cell r="G967">
            <v>1948.99</v>
          </cell>
          <cell r="H967">
            <v>0</v>
          </cell>
        </row>
        <row r="968">
          <cell r="C968" t="str">
            <v>Бида Андрей Александрович</v>
          </cell>
          <cell r="D968" t="str">
            <v>электросварщик ручной сварки</v>
          </cell>
          <cell r="E968" t="str">
            <v>ЮЭ 2010697 915566</v>
          </cell>
          <cell r="F968">
            <v>1323.5</v>
          </cell>
          <cell r="G968">
            <v>1121.96</v>
          </cell>
          <cell r="H968">
            <v>0</v>
          </cell>
        </row>
        <row r="969">
          <cell r="C969" t="str">
            <v>Билалов Сергей Владимирович</v>
          </cell>
          <cell r="D969" t="str">
            <v>электрогазосварщик занятый на резке и ручной сварке о/г.р.</v>
          </cell>
          <cell r="E969" t="str">
            <v>ЕГ 2010157 714135</v>
          </cell>
          <cell r="F969">
            <v>1497.7</v>
          </cell>
          <cell r="G969">
            <v>1269.5899999999999</v>
          </cell>
          <cell r="H969">
            <v>1121.96</v>
          </cell>
        </row>
        <row r="970">
          <cell r="E970" t="str">
            <v xml:space="preserve">С 200701 4122586              </v>
          </cell>
          <cell r="F970">
            <v>1323.5</v>
          </cell>
          <cell r="G970">
            <v>1121.96</v>
          </cell>
          <cell r="H970">
            <v>0</v>
          </cell>
        </row>
        <row r="971">
          <cell r="C971" t="str">
            <v>Богатырев Сергей Александрович</v>
          </cell>
          <cell r="D971" t="str">
            <v>проходчик на поверхностных работах</v>
          </cell>
          <cell r="E971" t="str">
            <v>ГВ 2010105 485391</v>
          </cell>
          <cell r="F971">
            <v>1584.7</v>
          </cell>
          <cell r="G971">
            <v>1343.31</v>
          </cell>
          <cell r="H971">
            <v>0</v>
          </cell>
        </row>
        <row r="972">
          <cell r="C972" t="str">
            <v>Бондарев Иван Викторович</v>
          </cell>
          <cell r="D972" t="str">
            <v>горнорабочий о/г.р</v>
          </cell>
          <cell r="E972" t="str">
            <v>ЮЭ 2010697 045833</v>
          </cell>
          <cell r="F972">
            <v>1323.5</v>
          </cell>
          <cell r="G972">
            <v>1121.96</v>
          </cell>
          <cell r="H972">
            <v>1121.96</v>
          </cell>
        </row>
        <row r="973">
          <cell r="E973" t="str">
            <v>ГМ 2010113 963743</v>
          </cell>
          <cell r="F973">
            <v>1323.5</v>
          </cell>
          <cell r="G973">
            <v>1121.96</v>
          </cell>
          <cell r="H973">
            <v>0</v>
          </cell>
        </row>
        <row r="974">
          <cell r="C974" t="str">
            <v>Вальков Виктор Анатольевич</v>
          </cell>
          <cell r="D974" t="str">
            <v>электрослесарь (слесарь) дежурный и по ремонту оборудования</v>
          </cell>
          <cell r="E974" t="str">
            <v>ГК 2010111 280618</v>
          </cell>
          <cell r="F974">
            <v>1933.4</v>
          </cell>
          <cell r="G974">
            <v>1638.82</v>
          </cell>
          <cell r="H974">
            <v>1638.82</v>
          </cell>
        </row>
        <row r="975">
          <cell r="E975" t="str">
            <v>АП 2010037  307482</v>
          </cell>
          <cell r="F975">
            <v>1933.4</v>
          </cell>
          <cell r="G975">
            <v>1638.82</v>
          </cell>
          <cell r="H975">
            <v>0</v>
          </cell>
        </row>
        <row r="976">
          <cell r="C976" t="str">
            <v>Володин Сергей Николаевич</v>
          </cell>
          <cell r="D976" t="str">
            <v>проходчик на поверхностных работах</v>
          </cell>
          <cell r="E976" t="str">
            <v>АП 2010037 986263</v>
          </cell>
          <cell r="F976">
            <v>1323.5</v>
          </cell>
          <cell r="G976">
            <v>1121.96</v>
          </cell>
          <cell r="H976">
            <v>0</v>
          </cell>
        </row>
        <row r="977">
          <cell r="C977" t="str">
            <v>Волчков Игорь Николаевич</v>
          </cell>
          <cell r="D977" t="str">
            <v>электросварщик ручной сварки</v>
          </cell>
          <cell r="E977" t="str">
            <v>ЕГ 2010157 714341</v>
          </cell>
          <cell r="F977">
            <v>1497.7</v>
          </cell>
          <cell r="G977">
            <v>1269.5899999999999</v>
          </cell>
          <cell r="H977">
            <v>0</v>
          </cell>
        </row>
        <row r="978">
          <cell r="C978" t="str">
            <v>Воробьев Андрей Сергеевич</v>
          </cell>
          <cell r="D978" t="str">
            <v>проходчик на поверхностных работах</v>
          </cell>
          <cell r="E978" t="str">
            <v>Р 2007013 717568</v>
          </cell>
          <cell r="F978">
            <v>1410.4</v>
          </cell>
          <cell r="G978">
            <v>1195.5999999999999</v>
          </cell>
          <cell r="H978">
            <v>1099.96</v>
          </cell>
        </row>
        <row r="979">
          <cell r="E979" t="str">
            <v>С 2007014 119399</v>
          </cell>
          <cell r="F979">
            <v>1299.9000000000001</v>
          </cell>
          <cell r="G979">
            <v>1099.96</v>
          </cell>
          <cell r="H979">
            <v>0</v>
          </cell>
        </row>
        <row r="980">
          <cell r="C980" t="str">
            <v>Галибин Сергей Валентинович</v>
          </cell>
          <cell r="D980" t="str">
            <v>электрослесарь (слесарь) дежурный и по ремонту оборудования</v>
          </cell>
          <cell r="E980" t="str">
            <v>ВЛ 2010086 583662</v>
          </cell>
          <cell r="F980">
            <v>2299.4</v>
          </cell>
          <cell r="G980">
            <v>1948.99</v>
          </cell>
          <cell r="H980">
            <v>1638.82</v>
          </cell>
        </row>
        <row r="981">
          <cell r="E981" t="str">
            <v>АС 2010039 828547</v>
          </cell>
          <cell r="F981">
            <v>1933.4</v>
          </cell>
          <cell r="G981">
            <v>1638.82</v>
          </cell>
          <cell r="H981">
            <v>0</v>
          </cell>
        </row>
        <row r="982">
          <cell r="C982" t="str">
            <v>Гамидов Юсиф Ашраф Оглы</v>
          </cell>
          <cell r="D982" t="str">
            <v xml:space="preserve">горнорабочий </v>
          </cell>
          <cell r="E982" t="str">
            <v>ГБ 2010104 257029</v>
          </cell>
          <cell r="F982">
            <v>2717.7</v>
          </cell>
          <cell r="G982">
            <v>2303.4899999999998</v>
          </cell>
          <cell r="H982">
            <v>0</v>
          </cell>
        </row>
        <row r="983">
          <cell r="C983" t="str">
            <v>Ганусевич Олег Валерьевич</v>
          </cell>
          <cell r="D983" t="str">
            <v>электрослесарь (слесарь) дежурный и по ремонту оборудования</v>
          </cell>
          <cell r="E983" t="str">
            <v>ГБ 2010104 243593</v>
          </cell>
          <cell r="F983">
            <v>1497.7</v>
          </cell>
          <cell r="G983">
            <v>1269.5899999999999</v>
          </cell>
          <cell r="H983">
            <v>1564.75</v>
          </cell>
        </row>
        <row r="984">
          <cell r="E984" t="str">
            <v>734203 60767094</v>
          </cell>
          <cell r="F984">
            <v>1846.4</v>
          </cell>
          <cell r="G984">
            <v>1564.75</v>
          </cell>
          <cell r="H984">
            <v>0</v>
          </cell>
        </row>
        <row r="985">
          <cell r="C985" t="str">
            <v>Герасименко Владислав Владиславович</v>
          </cell>
          <cell r="D985" t="str">
            <v>проходчик на поверхностных работах</v>
          </cell>
          <cell r="E985" t="str">
            <v>ГБ 2010104 243416</v>
          </cell>
          <cell r="F985">
            <v>1410.4</v>
          </cell>
          <cell r="G985">
            <v>1195.5999999999999</v>
          </cell>
          <cell r="H985">
            <v>0</v>
          </cell>
        </row>
        <row r="986">
          <cell r="C986" t="str">
            <v>Гладченко Виктор Иванович</v>
          </cell>
          <cell r="D986" t="str">
            <v>электрослесарь (слесарь) дежурный и по ремонту оборудования</v>
          </cell>
          <cell r="E986" t="str">
            <v>ГБ 2010104 241884</v>
          </cell>
          <cell r="F986">
            <v>1410.4</v>
          </cell>
          <cell r="G986">
            <v>1195.5999999999999</v>
          </cell>
          <cell r="H986">
            <v>1195.5999999999999</v>
          </cell>
        </row>
        <row r="987">
          <cell r="E987" t="str">
            <v>ГБ 2010104 241885</v>
          </cell>
          <cell r="F987">
            <v>1410.4</v>
          </cell>
          <cell r="G987">
            <v>1195.5999999999999</v>
          </cell>
          <cell r="H987">
            <v>0</v>
          </cell>
        </row>
        <row r="988">
          <cell r="C988" t="str">
            <v>Гулов Руслан Викторович</v>
          </cell>
          <cell r="D988" t="str">
            <v xml:space="preserve">горнорабочий </v>
          </cell>
          <cell r="E988" t="str">
            <v>АП 2010037 331712</v>
          </cell>
          <cell r="F988">
            <v>1410.4</v>
          </cell>
          <cell r="G988">
            <v>1195.5999999999999</v>
          </cell>
          <cell r="H988">
            <v>0</v>
          </cell>
        </row>
        <row r="989">
          <cell r="C989" t="str">
            <v>Гуляев Валерий Александрович</v>
          </cell>
          <cell r="D989" t="str">
            <v>электрослесарь (слесарь) дежурный и по ремонту оборудования</v>
          </cell>
          <cell r="E989" t="str">
            <v>ВЛ 2010086 117244</v>
          </cell>
          <cell r="F989">
            <v>1323.5</v>
          </cell>
          <cell r="G989">
            <v>1121.96</v>
          </cell>
          <cell r="H989">
            <v>0</v>
          </cell>
        </row>
        <row r="990">
          <cell r="C990" t="str">
            <v>Гусак Александр Леонидович</v>
          </cell>
          <cell r="D990" t="str">
            <v>электросварщик ручной сварки</v>
          </cell>
          <cell r="E990" t="str">
            <v>ШБ 2010597 746610</v>
          </cell>
          <cell r="F990">
            <v>1933.4</v>
          </cell>
          <cell r="G990">
            <v>1638.82</v>
          </cell>
          <cell r="H990">
            <v>0</v>
          </cell>
        </row>
        <row r="991">
          <cell r="C991" t="str">
            <v>Гущин Владимир Петрович</v>
          </cell>
          <cell r="D991" t="str">
            <v>электрослесарь (слесарь) дежурный и по ремонту оборудования</v>
          </cell>
          <cell r="E991" t="str">
            <v>ЕГ 2010157 714107</v>
          </cell>
          <cell r="F991">
            <v>1323.5</v>
          </cell>
          <cell r="G991">
            <v>1121.96</v>
          </cell>
          <cell r="H991">
            <v>1121.96</v>
          </cell>
        </row>
        <row r="992">
          <cell r="E992" t="str">
            <v>БЭ 2010074 924362</v>
          </cell>
          <cell r="F992">
            <v>1323.5</v>
          </cell>
          <cell r="G992">
            <v>1121.96</v>
          </cell>
          <cell r="H992">
            <v>0</v>
          </cell>
        </row>
        <row r="993">
          <cell r="C993" t="str">
            <v>Дзюбин Анатолий Владимирович</v>
          </cell>
          <cell r="D993" t="str">
            <v>электрогазосварщик занятый на резке и ручной сварке о/г.р.</v>
          </cell>
          <cell r="E993" t="str">
            <v>АП 2010037 964170</v>
          </cell>
          <cell r="F993">
            <v>1864.4</v>
          </cell>
          <cell r="G993">
            <v>1583.1</v>
          </cell>
          <cell r="H993">
            <v>0</v>
          </cell>
        </row>
        <row r="994">
          <cell r="C994" t="str">
            <v>Дзюбин Владимир Владимирович</v>
          </cell>
          <cell r="D994" t="str">
            <v>электрогазосварщик занятый на резке и ручной сварке о/г.р.</v>
          </cell>
          <cell r="E994" t="str">
            <v>АП 2010037 964171</v>
          </cell>
          <cell r="F994">
            <v>1864.4</v>
          </cell>
          <cell r="G994">
            <v>1583.1</v>
          </cell>
          <cell r="H994">
            <v>0</v>
          </cell>
        </row>
        <row r="995">
          <cell r="C995" t="str">
            <v>Дзюбин Юрий Владимирович</v>
          </cell>
          <cell r="D995" t="str">
            <v>электрогазосварщик занятый на резке и ручной сварке о/г.р.</v>
          </cell>
          <cell r="E995" t="str">
            <v>АП2010037 964169</v>
          </cell>
          <cell r="F995">
            <v>1864.4</v>
          </cell>
          <cell r="G995">
            <v>1583.1</v>
          </cell>
          <cell r="H995">
            <v>0</v>
          </cell>
        </row>
        <row r="996">
          <cell r="C996" t="str">
            <v>Драгунцов Александр Владимирович</v>
          </cell>
          <cell r="D996" t="str">
            <v>проходчик на поверхностных работах</v>
          </cell>
          <cell r="E996" t="str">
            <v>ЮЭ 2010697 045662</v>
          </cell>
          <cell r="F996">
            <v>1671.7</v>
          </cell>
          <cell r="G996">
            <v>1417.04</v>
          </cell>
          <cell r="H996">
            <v>1101.96</v>
          </cell>
        </row>
        <row r="997">
          <cell r="E997" t="str">
            <v>ЮЭ 2010697 045345</v>
          </cell>
          <cell r="F997">
            <v>1299.9000000000001</v>
          </cell>
          <cell r="G997">
            <v>1101.96</v>
          </cell>
          <cell r="H997">
            <v>0</v>
          </cell>
        </row>
        <row r="998">
          <cell r="C998" t="str">
            <v>Дударов Муса Кантемирович</v>
          </cell>
          <cell r="D998" t="str">
            <v>проходчик на поверхностных работах</v>
          </cell>
          <cell r="E998" t="str">
            <v>ВЛ 2010086 293471</v>
          </cell>
          <cell r="F998">
            <v>1933.4</v>
          </cell>
          <cell r="G998">
            <v>1638.82</v>
          </cell>
          <cell r="H998">
            <v>0</v>
          </cell>
        </row>
        <row r="999">
          <cell r="C999" t="str">
            <v>Дужик Виктор Васильевич</v>
          </cell>
          <cell r="D999" t="str">
            <v>горнорабочий</v>
          </cell>
          <cell r="E999" t="str">
            <v>ЮЭ 2010697 949326</v>
          </cell>
          <cell r="F999">
            <v>1497.7</v>
          </cell>
          <cell r="G999">
            <v>1269.5899999999999</v>
          </cell>
          <cell r="H999">
            <v>1121.96</v>
          </cell>
        </row>
        <row r="1000">
          <cell r="E1000" t="str">
            <v>С 2007014  122587</v>
          </cell>
          <cell r="F1000">
            <v>1323.5</v>
          </cell>
          <cell r="G1000">
            <v>1121.96</v>
          </cell>
          <cell r="H1000">
            <v>0</v>
          </cell>
        </row>
        <row r="1001">
          <cell r="C1001" t="str">
            <v>Дьяков Андрей Николаевич</v>
          </cell>
          <cell r="D1001" t="str">
            <v xml:space="preserve">горнорабочий </v>
          </cell>
          <cell r="E1001" t="str">
            <v>ЯИ 2010707 811703</v>
          </cell>
          <cell r="F1001">
            <v>3083.7</v>
          </cell>
          <cell r="G1001">
            <v>2613.65</v>
          </cell>
          <cell r="H1001">
            <v>2303.4899999999998</v>
          </cell>
        </row>
        <row r="1002">
          <cell r="E1002" t="str">
            <v>С 2007014 110679</v>
          </cell>
          <cell r="F1002">
            <v>2717.7</v>
          </cell>
          <cell r="G1002">
            <v>2303.4899999999998</v>
          </cell>
          <cell r="H1002">
            <v>0</v>
          </cell>
        </row>
        <row r="1003">
          <cell r="C1003" t="str">
            <v>Ермилов Роман Юрьевич</v>
          </cell>
          <cell r="D1003" t="str">
            <v>электрогазосварщик, занятый на резке и ручной сварке</v>
          </cell>
          <cell r="E1003" t="str">
            <v>ЕГ 2010157 714245</v>
          </cell>
          <cell r="F1003">
            <v>1497.7</v>
          </cell>
          <cell r="G1003">
            <v>1269.5899999999999</v>
          </cell>
          <cell r="H1003">
            <v>0</v>
          </cell>
        </row>
        <row r="1004">
          <cell r="C1004" t="str">
            <v>Журба Дмитрий Александрович</v>
          </cell>
          <cell r="D1004" t="str">
            <v>проходчик на поверхностных работах</v>
          </cell>
          <cell r="E1004" t="str">
            <v>ЦН 2010555 973532</v>
          </cell>
          <cell r="F1004">
            <v>3240</v>
          </cell>
          <cell r="G1004">
            <v>2746.05</v>
          </cell>
          <cell r="H1004">
            <v>0</v>
          </cell>
        </row>
        <row r="1005">
          <cell r="C1005" t="str">
            <v>Зорькин Виталий Сергеевич</v>
          </cell>
          <cell r="D1005" t="str">
            <v>проходчик на поверхностных работах</v>
          </cell>
          <cell r="E1005" t="str">
            <v>ЮЭ 2010697 948518</v>
          </cell>
          <cell r="F1005">
            <v>1567.4</v>
          </cell>
          <cell r="G1005">
            <v>1328.65</v>
          </cell>
          <cell r="H1005">
            <v>0</v>
          </cell>
        </row>
        <row r="1006">
          <cell r="C1006" t="str">
            <v>Зюзик Сергей Анатольевич</v>
          </cell>
          <cell r="D1006" t="str">
            <v>горнорабочий о/г.р</v>
          </cell>
          <cell r="E1006" t="str">
            <v>ГБ 2010104 240521</v>
          </cell>
          <cell r="F1006">
            <v>1410.4</v>
          </cell>
          <cell r="G1006">
            <v>1195.5999999999999</v>
          </cell>
          <cell r="H1006">
            <v>1101.96</v>
          </cell>
        </row>
        <row r="1007">
          <cell r="E1007" t="str">
            <v>ШГ 2010599  061979</v>
          </cell>
          <cell r="F1007">
            <v>1299.9000000000001</v>
          </cell>
          <cell r="G1007">
            <v>1101.96</v>
          </cell>
          <cell r="H1007">
            <v>0</v>
          </cell>
        </row>
        <row r="1008">
          <cell r="C1008" t="str">
            <v>Камышников Александр Сергеевич</v>
          </cell>
          <cell r="D1008" t="str">
            <v>проходчик на поверхностных работах</v>
          </cell>
          <cell r="E1008" t="str">
            <v>АП 2010037 986262</v>
          </cell>
          <cell r="F1008">
            <v>1323.5</v>
          </cell>
          <cell r="G1008">
            <v>1121.96</v>
          </cell>
          <cell r="H1008">
            <v>0</v>
          </cell>
        </row>
        <row r="1009">
          <cell r="C1009" t="str">
            <v>Каппес Николай Владимирович</v>
          </cell>
          <cell r="D1009" t="str">
            <v xml:space="preserve">горнорабочий </v>
          </cell>
          <cell r="E1009" t="str">
            <v>ВЛ 2010086 593867</v>
          </cell>
          <cell r="F1009">
            <v>3083.7</v>
          </cell>
          <cell r="G1009">
            <v>2613.65</v>
          </cell>
          <cell r="H1009">
            <v>1417.3</v>
          </cell>
        </row>
        <row r="1010">
          <cell r="E1010" t="str">
            <v>АС 2010039 837382</v>
          </cell>
          <cell r="F1010">
            <v>1672</v>
          </cell>
          <cell r="G1010">
            <v>1417.3</v>
          </cell>
          <cell r="H1010">
            <v>0</v>
          </cell>
        </row>
        <row r="1011">
          <cell r="C1011" t="str">
            <v>Карунин Павел Николаевич</v>
          </cell>
          <cell r="D1011" t="str">
            <v>горнорабочий на маркшейдерских работах</v>
          </cell>
          <cell r="E1011" t="str">
            <v>ГЕ 2010108 884911</v>
          </cell>
          <cell r="F1011">
            <v>1933.4</v>
          </cell>
          <cell r="G1011">
            <v>1638.82</v>
          </cell>
          <cell r="H1011">
            <v>0</v>
          </cell>
        </row>
        <row r="1012">
          <cell r="C1012" t="str">
            <v>Катенев Юрий Николаевич</v>
          </cell>
          <cell r="D1012" t="str">
            <v xml:space="preserve">горнорабочий </v>
          </cell>
          <cell r="E1012" t="str">
            <v>ЮЭ 2010697 046857</v>
          </cell>
          <cell r="F1012">
            <v>1410.4</v>
          </cell>
          <cell r="G1012">
            <v>1195.5999999999999</v>
          </cell>
          <cell r="H1012">
            <v>1121.96</v>
          </cell>
        </row>
        <row r="1013">
          <cell r="E1013" t="str">
            <v>АП 2010037 347343</v>
          </cell>
          <cell r="F1013">
            <v>1323.5</v>
          </cell>
          <cell r="G1013">
            <v>1121.96</v>
          </cell>
          <cell r="H1013">
            <v>0</v>
          </cell>
        </row>
        <row r="1014">
          <cell r="C1014" t="str">
            <v>Клочко Евгений Владимирович</v>
          </cell>
          <cell r="D1014" t="str">
            <v>электрогазосварщик, занятый на резке и ручной сварке</v>
          </cell>
          <cell r="E1014" t="str">
            <v>ШБ 2010597 907069</v>
          </cell>
          <cell r="F1014">
            <v>2194.8000000000002</v>
          </cell>
          <cell r="G1014">
            <v>1860.34</v>
          </cell>
          <cell r="H1014">
            <v>1565.1</v>
          </cell>
        </row>
        <row r="1015">
          <cell r="E1015" t="str">
            <v>ЕВ 2010156  997272</v>
          </cell>
          <cell r="F1015">
            <v>1846.4</v>
          </cell>
          <cell r="G1015">
            <v>1565.1</v>
          </cell>
          <cell r="H1015">
            <v>0</v>
          </cell>
        </row>
        <row r="1016">
          <cell r="C1016" t="str">
            <v>Клочков Роман Леонидович</v>
          </cell>
          <cell r="D1016" t="str">
            <v xml:space="preserve">горнорабочий </v>
          </cell>
          <cell r="E1016" t="str">
            <v>ГБ 2010104 243524</v>
          </cell>
          <cell r="F1016">
            <v>1410.4</v>
          </cell>
          <cell r="G1016">
            <v>1195.5999999999999</v>
          </cell>
          <cell r="H1016">
            <v>1101.96</v>
          </cell>
        </row>
        <row r="1017">
          <cell r="E1017" t="str">
            <v>ГЕ 2010108 885332</v>
          </cell>
          <cell r="F1017">
            <v>1299.9000000000001</v>
          </cell>
          <cell r="G1017">
            <v>1101.96</v>
          </cell>
          <cell r="H1017">
            <v>0</v>
          </cell>
        </row>
        <row r="1018">
          <cell r="C1018" t="str">
            <v>Князев Руслан Анатольевич</v>
          </cell>
          <cell r="D1018" t="str">
            <v>проходчик на поверхностных работах</v>
          </cell>
          <cell r="E1018" t="str">
            <v>ЭУ 2010664 192881</v>
          </cell>
          <cell r="F1018">
            <v>2674.6</v>
          </cell>
          <cell r="G1018">
            <v>2266.96</v>
          </cell>
          <cell r="H1018">
            <v>0</v>
          </cell>
        </row>
        <row r="1019">
          <cell r="C1019" t="str">
            <v>Колесников Юрий Викторович</v>
          </cell>
          <cell r="D1019" t="str">
            <v>электрогазосварщик, занятый на резке и ручной сварке</v>
          </cell>
          <cell r="E1019" t="str">
            <v>ЧБ 2010571 781309</v>
          </cell>
          <cell r="F1019">
            <v>1443.6</v>
          </cell>
          <cell r="G1019">
            <v>1223.74</v>
          </cell>
          <cell r="H1019">
            <v>1121.96</v>
          </cell>
        </row>
        <row r="1020">
          <cell r="E1020" t="str">
            <v>ГМ 2010113 963752</v>
          </cell>
          <cell r="F1020">
            <v>1323.5</v>
          </cell>
          <cell r="G1020">
            <v>1121.96</v>
          </cell>
          <cell r="H1020">
            <v>0</v>
          </cell>
        </row>
        <row r="1021">
          <cell r="C1021" t="str">
            <v>Колпаков Вадим Михайлович</v>
          </cell>
          <cell r="D1021" t="str">
            <v>электрогазосварщик, занятый на резке и ручной сварке</v>
          </cell>
          <cell r="E1021" t="str">
            <v>ШБ 2010597 837090</v>
          </cell>
          <cell r="F1021">
            <v>1933.4</v>
          </cell>
          <cell r="G1021">
            <v>1638.82</v>
          </cell>
          <cell r="H1021">
            <v>1638.82</v>
          </cell>
        </row>
        <row r="1022">
          <cell r="E1022" t="str">
            <v>АП 2010037 312763</v>
          </cell>
          <cell r="F1022">
            <v>1933.4</v>
          </cell>
          <cell r="G1022">
            <v>1638.82</v>
          </cell>
          <cell r="H1022">
            <v>0</v>
          </cell>
        </row>
        <row r="1023">
          <cell r="C1023" t="str">
            <v>Котляров Александр Николаевич</v>
          </cell>
          <cell r="D1023" t="str">
            <v>проходчик на поверхностных работах</v>
          </cell>
          <cell r="E1023" t="str">
            <v>ЮЭ 2010697 948626</v>
          </cell>
          <cell r="F1023">
            <v>1323.5</v>
          </cell>
          <cell r="G1023">
            <v>1121.96</v>
          </cell>
          <cell r="H1023">
            <v>1101.96</v>
          </cell>
        </row>
        <row r="1024">
          <cell r="E1024" t="str">
            <v>ГМ 2010113 963717</v>
          </cell>
          <cell r="F1024">
            <v>1299.9000000000001</v>
          </cell>
          <cell r="G1024">
            <v>1101.96</v>
          </cell>
          <cell r="H1024">
            <v>0</v>
          </cell>
        </row>
        <row r="1025">
          <cell r="C1025" t="str">
            <v>Котляров Геннадий Сергеевич</v>
          </cell>
          <cell r="D1025" t="str">
            <v>проходчик на поверхностных работах</v>
          </cell>
          <cell r="E1025" t="str">
            <v>ЮЭ 2010697 982868</v>
          </cell>
          <cell r="F1025">
            <v>1672</v>
          </cell>
          <cell r="G1025">
            <v>1417.3</v>
          </cell>
          <cell r="H1025">
            <v>1417.3</v>
          </cell>
        </row>
        <row r="1026">
          <cell r="E1026" t="str">
            <v>БР 2010064  188744</v>
          </cell>
          <cell r="F1026">
            <v>1672</v>
          </cell>
          <cell r="G1026">
            <v>1417.3</v>
          </cell>
          <cell r="H1026">
            <v>0</v>
          </cell>
        </row>
        <row r="1027">
          <cell r="C1027" t="str">
            <v>Кравцов Владимир Сергеевич</v>
          </cell>
          <cell r="D1027" t="str">
            <v>электрогазосварщик, занятый на резке и ручной сварке</v>
          </cell>
          <cell r="E1027" t="str">
            <v>ЧБ 2010571 781284</v>
          </cell>
          <cell r="F1027">
            <v>1323.5</v>
          </cell>
          <cell r="G1027">
            <v>1121.96</v>
          </cell>
          <cell r="H1027">
            <v>0</v>
          </cell>
        </row>
        <row r="1028">
          <cell r="C1028" t="str">
            <v>Кривощеков Александр Павлович</v>
          </cell>
          <cell r="D1028" t="str">
            <v>проходчик на поверхностных работах</v>
          </cell>
          <cell r="E1028" t="str">
            <v>ЧБ 2010571 781591</v>
          </cell>
          <cell r="F1028">
            <v>1497.7</v>
          </cell>
          <cell r="G1028">
            <v>1269.5899999999999</v>
          </cell>
          <cell r="H1028">
            <v>1034.5</v>
          </cell>
        </row>
        <row r="1029">
          <cell r="E1029" t="str">
            <v>АП2010037 352608</v>
          </cell>
          <cell r="F1029">
            <v>1220.3</v>
          </cell>
          <cell r="G1029">
            <v>1034.5</v>
          </cell>
          <cell r="H1029">
            <v>0</v>
          </cell>
        </row>
        <row r="1030">
          <cell r="C1030" t="str">
            <v>Кривченков Александр Федорович</v>
          </cell>
          <cell r="D1030" t="str">
            <v xml:space="preserve">горнорабочий </v>
          </cell>
          <cell r="E1030" t="str">
            <v>ШГ 2010599 061621</v>
          </cell>
          <cell r="F1030">
            <v>1410.4</v>
          </cell>
          <cell r="G1030">
            <v>1195.5999999999999</v>
          </cell>
          <cell r="H1030">
            <v>1195.5999999999999</v>
          </cell>
        </row>
        <row r="1031">
          <cell r="E1031" t="str">
            <v>ГБ 2010104 240882</v>
          </cell>
          <cell r="F1031">
            <v>1410.4</v>
          </cell>
          <cell r="G1031">
            <v>1195.5999999999999</v>
          </cell>
          <cell r="H1031">
            <v>0</v>
          </cell>
        </row>
        <row r="1032">
          <cell r="C1032" t="str">
            <v>Кропачев Антон Александрович</v>
          </cell>
          <cell r="D1032" t="str">
            <v>проходчик на поверхностных работах</v>
          </cell>
          <cell r="E1032" t="str">
            <v>ЧБ 2010571 781563</v>
          </cell>
          <cell r="F1032">
            <v>1323.5</v>
          </cell>
          <cell r="G1032">
            <v>1121.96</v>
          </cell>
          <cell r="H1032">
            <v>0</v>
          </cell>
        </row>
        <row r="1033">
          <cell r="C1033" t="str">
            <v>Кузин Иван Владимирович</v>
          </cell>
          <cell r="D1033" t="str">
            <v>горнорабочий</v>
          </cell>
          <cell r="E1033" t="str">
            <v>ШГ 2010599 063558</v>
          </cell>
          <cell r="F1033">
            <v>1671.7</v>
          </cell>
          <cell r="G1033">
            <v>1417.04</v>
          </cell>
          <cell r="H1033">
            <v>1565.1</v>
          </cell>
        </row>
        <row r="1034">
          <cell r="E1034" t="str">
            <v>С 2007014 105739</v>
          </cell>
          <cell r="F1034">
            <v>1846.4</v>
          </cell>
          <cell r="G1034">
            <v>1565.1</v>
          </cell>
          <cell r="H1034">
            <v>0</v>
          </cell>
        </row>
        <row r="1035">
          <cell r="C1035" t="str">
            <v>Кузнецов Владислав Анатольевич</v>
          </cell>
          <cell r="D1035" t="str">
            <v>Проходчик на поверхностных работах</v>
          </cell>
          <cell r="E1035" t="str">
            <v>ЮЭ 2010697 044820</v>
          </cell>
          <cell r="F1035">
            <v>1323.5</v>
          </cell>
          <cell r="G1035">
            <v>1121.96</v>
          </cell>
          <cell r="H1035">
            <v>1121.96</v>
          </cell>
        </row>
        <row r="1036">
          <cell r="E1036" t="str">
            <v>АС 2010039 826298</v>
          </cell>
          <cell r="F1036">
            <v>1323.5</v>
          </cell>
          <cell r="G1036">
            <v>1121.96</v>
          </cell>
          <cell r="H1036">
            <v>0</v>
          </cell>
        </row>
        <row r="1037">
          <cell r="C1037" t="str">
            <v>Кузнецовский Алексей Борисович</v>
          </cell>
          <cell r="D1037" t="str">
            <v>электрогазосварщик, занятый на резке и ручной сварке</v>
          </cell>
          <cell r="E1037" t="str">
            <v>ЮЭ 2010697 657391</v>
          </cell>
          <cell r="F1037">
            <v>2587</v>
          </cell>
          <cell r="G1037">
            <v>2192.73</v>
          </cell>
          <cell r="H1037">
            <v>0</v>
          </cell>
        </row>
        <row r="1038">
          <cell r="C1038" t="str">
            <v>Кулагин Дмитрий Геннадьевич</v>
          </cell>
          <cell r="D1038" t="str">
            <v>проходчик на поверхностных работах</v>
          </cell>
          <cell r="E1038" t="str">
            <v>ЕЛ 2010163 003229</v>
          </cell>
          <cell r="F1038">
            <v>1618.3</v>
          </cell>
          <cell r="G1038">
            <v>1371.79</v>
          </cell>
          <cell r="H1038">
            <v>1491.2</v>
          </cell>
        </row>
        <row r="1039">
          <cell r="E1039" t="str">
            <v>С 2007014 117464</v>
          </cell>
          <cell r="F1039">
            <v>1759.2</v>
          </cell>
          <cell r="G1039">
            <v>1491.2</v>
          </cell>
          <cell r="H1039">
            <v>0</v>
          </cell>
        </row>
        <row r="1040">
          <cell r="C1040" t="str">
            <v>Лаврик Виктор Александрович</v>
          </cell>
          <cell r="D1040" t="str">
            <v>проходчик на поверхностных работах</v>
          </cell>
          <cell r="E1040" t="str">
            <v>ЮЛ 2010683 554434</v>
          </cell>
          <cell r="F1040">
            <v>2194.8000000000002</v>
          </cell>
          <cell r="G1040">
            <v>1860.34</v>
          </cell>
          <cell r="H1040">
            <v>0</v>
          </cell>
        </row>
        <row r="1041">
          <cell r="C1041" t="str">
            <v>Ландин Руслан Сергеевич</v>
          </cell>
          <cell r="D1041" t="str">
            <v>проходчик на поверхностных работах</v>
          </cell>
          <cell r="E1041" t="str">
            <v>ЦН 2010555 974859</v>
          </cell>
          <cell r="F1041">
            <v>1443.6</v>
          </cell>
          <cell r="G1041">
            <v>1223.74</v>
          </cell>
          <cell r="H1041">
            <v>0</v>
          </cell>
        </row>
        <row r="1042">
          <cell r="C1042" t="str">
            <v>Лаптев Иван Климентьевич</v>
          </cell>
          <cell r="D1042" t="str">
            <v>проходчик на поверхностных работах</v>
          </cell>
          <cell r="E1042" t="str">
            <v>ВЛ 2010086 179193</v>
          </cell>
          <cell r="F1042">
            <v>3397.3</v>
          </cell>
          <cell r="G1042">
            <v>2879.42</v>
          </cell>
          <cell r="H1042">
            <v>0</v>
          </cell>
        </row>
        <row r="1043">
          <cell r="C1043" t="str">
            <v>Лелин Денис Игоревич</v>
          </cell>
          <cell r="D1043" t="str">
            <v xml:space="preserve">горнорабочий </v>
          </cell>
          <cell r="E1043" t="str">
            <v>ЮЭ 2010697 045557</v>
          </cell>
          <cell r="F1043">
            <v>1567.4</v>
          </cell>
          <cell r="G1043">
            <v>1328.65</v>
          </cell>
          <cell r="H1043">
            <v>0</v>
          </cell>
        </row>
        <row r="1044">
          <cell r="C1044" t="str">
            <v>Лихота Анатолий Анатольевич</v>
          </cell>
          <cell r="D1044" t="str">
            <v>электрогазосварщик, занятый на резке и ручной сварке</v>
          </cell>
          <cell r="E1044" t="str">
            <v>ЮЭ 2010697 678562</v>
          </cell>
          <cell r="F1044">
            <v>1618.3</v>
          </cell>
          <cell r="G1044">
            <v>1371.79</v>
          </cell>
          <cell r="H1044">
            <v>1491.2</v>
          </cell>
        </row>
        <row r="1045">
          <cell r="E1045" t="str">
            <v>ЮЭ 2010697 733126</v>
          </cell>
          <cell r="F1045">
            <v>1759.2</v>
          </cell>
          <cell r="G1045">
            <v>1491.2</v>
          </cell>
          <cell r="H1045">
            <v>0</v>
          </cell>
        </row>
        <row r="1046">
          <cell r="C1046" t="str">
            <v>Мамаев Игорь Николаевич</v>
          </cell>
          <cell r="D1046" t="str">
            <v>электрослесарь (слесарь) дежурный и по ремонту оборудования</v>
          </cell>
          <cell r="E1046" t="str">
            <v>ВЛ 2010086 119372</v>
          </cell>
          <cell r="F1046">
            <v>1323.5</v>
          </cell>
          <cell r="G1046">
            <v>1121.96</v>
          </cell>
          <cell r="H1046">
            <v>0</v>
          </cell>
        </row>
        <row r="1047">
          <cell r="C1047" t="str">
            <v>Мардасов Александр Федорович</v>
          </cell>
          <cell r="D1047" t="str">
            <v>проходчик на поверхностных работах</v>
          </cell>
          <cell r="E1047" t="str">
            <v>ВЛ 2010086 120027</v>
          </cell>
          <cell r="F1047">
            <v>2194.8000000000002</v>
          </cell>
          <cell r="G1047">
            <v>1860.34</v>
          </cell>
          <cell r="H1047">
            <v>835.01</v>
          </cell>
        </row>
        <row r="1048">
          <cell r="E1048" t="str">
            <v>АС 2010039 829412</v>
          </cell>
          <cell r="F1048">
            <v>984.9</v>
          </cell>
          <cell r="G1048">
            <v>835.01</v>
          </cell>
          <cell r="H1048">
            <v>0</v>
          </cell>
        </row>
        <row r="1049">
          <cell r="C1049" t="str">
            <v>Минаев Дмитрий Анатольевич</v>
          </cell>
          <cell r="D1049" t="str">
            <v>проходчик на поверхностных работах</v>
          </cell>
          <cell r="E1049" t="str">
            <v>ЮМ 2010684 418337</v>
          </cell>
          <cell r="F1049">
            <v>1567.4</v>
          </cell>
          <cell r="G1049">
            <v>1328.65</v>
          </cell>
          <cell r="H1049">
            <v>1121.96</v>
          </cell>
        </row>
        <row r="1050">
          <cell r="E1050" t="str">
            <v>ГМ 2010113 963736</v>
          </cell>
          <cell r="F1050">
            <v>1323.5</v>
          </cell>
          <cell r="G1050">
            <v>1121.96</v>
          </cell>
          <cell r="H1050">
            <v>0</v>
          </cell>
        </row>
        <row r="1051">
          <cell r="C1051" t="str">
            <v>Михайлов Олег Викторович</v>
          </cell>
          <cell r="D1051" t="str">
            <v>проходчик на поверхностных работах</v>
          </cell>
          <cell r="E1051" t="str">
            <v>ЮМ 2010684 581285</v>
          </cell>
          <cell r="F1051">
            <v>1634.5</v>
          </cell>
          <cell r="G1051">
            <v>1385.52</v>
          </cell>
          <cell r="H1051">
            <v>0</v>
          </cell>
        </row>
        <row r="1052">
          <cell r="C1052" t="str">
            <v>Мягков Максим Александрович</v>
          </cell>
          <cell r="D1052" t="str">
            <v>проходчик на поверхностных работах</v>
          </cell>
          <cell r="E1052" t="str">
            <v>АК 2010033 074065</v>
          </cell>
          <cell r="F1052">
            <v>1933.4</v>
          </cell>
          <cell r="G1052">
            <v>1638.82</v>
          </cell>
          <cell r="H1052">
            <v>0</v>
          </cell>
        </row>
        <row r="1053">
          <cell r="C1053" t="str">
            <v>Наумов Николай Сергеевич</v>
          </cell>
          <cell r="D1053" t="str">
            <v xml:space="preserve">горнорабочий </v>
          </cell>
          <cell r="E1053" t="str">
            <v>ГБ 2010104 622573</v>
          </cell>
          <cell r="F1053">
            <v>1671.7</v>
          </cell>
          <cell r="G1053">
            <v>1417.04</v>
          </cell>
          <cell r="H1053">
            <v>0</v>
          </cell>
        </row>
        <row r="1054">
          <cell r="C1054" t="str">
            <v>Невмержицкий Сергей Александрович</v>
          </cell>
          <cell r="D1054" t="str">
            <v>электрослесарь (слесарь) дежурный и по ремонту оборудования</v>
          </cell>
          <cell r="E1054" t="str">
            <v>ГК 2010111 280619</v>
          </cell>
          <cell r="F1054">
            <v>1933.4</v>
          </cell>
          <cell r="G1054">
            <v>1638.82</v>
          </cell>
          <cell r="H1054">
            <v>1638.82</v>
          </cell>
        </row>
        <row r="1055">
          <cell r="E1055" t="str">
            <v xml:space="preserve"> АП 2010037 307481</v>
          </cell>
          <cell r="F1055">
            <v>1933.4</v>
          </cell>
          <cell r="G1055">
            <v>1638.82</v>
          </cell>
          <cell r="H1055">
            <v>0</v>
          </cell>
        </row>
        <row r="1056">
          <cell r="C1056" t="str">
            <v>Никитин Михаил Сергеевич</v>
          </cell>
          <cell r="D1056" t="str">
            <v>проходчик на поверхностных работах</v>
          </cell>
          <cell r="E1056" t="str">
            <v>ГЕ 2010108 885373</v>
          </cell>
          <cell r="F1056">
            <v>1323.5</v>
          </cell>
          <cell r="G1056">
            <v>1121.96</v>
          </cell>
          <cell r="H1056">
            <v>0</v>
          </cell>
        </row>
        <row r="1057">
          <cell r="C1057" t="str">
            <v>Павлов Петр Алексеевич</v>
          </cell>
          <cell r="D1057" t="str">
            <v>электрогазосварщик, занятый на резке и ручной сварке</v>
          </cell>
          <cell r="E1057" t="str">
            <v>ВЛ 2010086 051812</v>
          </cell>
          <cell r="F1057">
            <v>2194.8000000000002</v>
          </cell>
          <cell r="G1057">
            <v>1860.34</v>
          </cell>
          <cell r="H1057">
            <v>0</v>
          </cell>
        </row>
        <row r="1058">
          <cell r="C1058" t="str">
            <v>Папазов Сергей Николаевич</v>
          </cell>
          <cell r="D1058" t="str">
            <v xml:space="preserve">горнорабочий </v>
          </cell>
          <cell r="E1058" t="str">
            <v>ВЛ 2010086 228644</v>
          </cell>
          <cell r="F1058">
            <v>2299.4</v>
          </cell>
          <cell r="G1058">
            <v>1948.99</v>
          </cell>
          <cell r="H1058">
            <v>0</v>
          </cell>
        </row>
        <row r="1059">
          <cell r="C1059" t="str">
            <v>Пигарев Алексей Владимирович</v>
          </cell>
          <cell r="D1059" t="str">
            <v>проходчик на поверхностных работах</v>
          </cell>
          <cell r="E1059" t="str">
            <v>ЮЭ 2010697 045989</v>
          </cell>
          <cell r="F1059">
            <v>1357.6</v>
          </cell>
          <cell r="G1059">
            <v>1150.8599999999999</v>
          </cell>
          <cell r="H1059">
            <v>1427.46</v>
          </cell>
        </row>
        <row r="1060">
          <cell r="E1060" t="str">
            <v>АП 2010037 347342</v>
          </cell>
          <cell r="F1060">
            <v>1684.4</v>
          </cell>
          <cell r="G1060">
            <v>1427.46</v>
          </cell>
          <cell r="H1060">
            <v>0</v>
          </cell>
        </row>
        <row r="1061">
          <cell r="C1061" t="str">
            <v>Поляков Игорь Юрьевич</v>
          </cell>
          <cell r="D1061" t="str">
            <v>электрослесарь (слесарь) дежурный и по ремонту оборудования</v>
          </cell>
          <cell r="E1061" t="str">
            <v>ГБ 2010104 245273</v>
          </cell>
          <cell r="F1061">
            <v>1497.7</v>
          </cell>
          <cell r="G1061">
            <v>1269.5899999999999</v>
          </cell>
          <cell r="H1061">
            <v>0</v>
          </cell>
        </row>
        <row r="1062">
          <cell r="C1062" t="str">
            <v>Починков Михаил Юрьевич</v>
          </cell>
          <cell r="D1062" t="str">
            <v>электрослесарь (слесарь) дежурный и по ремонту оборудования</v>
          </cell>
          <cell r="E1062" t="str">
            <v>ГБ 2010104 243594</v>
          </cell>
          <cell r="F1062">
            <v>1497.7</v>
          </cell>
          <cell r="G1062">
            <v>1269.5899999999999</v>
          </cell>
          <cell r="H1062">
            <v>1564.75</v>
          </cell>
        </row>
        <row r="1063">
          <cell r="E1063">
            <v>73420360767094</v>
          </cell>
          <cell r="F1063">
            <v>1846.4</v>
          </cell>
          <cell r="G1063">
            <v>1564.75</v>
          </cell>
          <cell r="H1063">
            <v>0</v>
          </cell>
        </row>
        <row r="1064">
          <cell r="C1064" t="str">
            <v>Прима Николай Алексеевич</v>
          </cell>
          <cell r="D1064" t="str">
            <v>Слесарь по ремонту оборудования</v>
          </cell>
          <cell r="E1064" t="str">
            <v>АП2010037 312762</v>
          </cell>
          <cell r="F1064">
            <v>1933.4</v>
          </cell>
          <cell r="G1064">
            <v>1638.82</v>
          </cell>
          <cell r="H1064">
            <v>0</v>
          </cell>
        </row>
        <row r="1065">
          <cell r="C1065" t="str">
            <v>Прокошев Евгений Евгеньевич</v>
          </cell>
          <cell r="D1065" t="str">
            <v>электрогазосварщик занятый на резке и ручной сварке о/г.р.</v>
          </cell>
          <cell r="E1065" t="str">
            <v>АК 2010033 050493</v>
          </cell>
          <cell r="F1065">
            <v>2194.8000000000002</v>
          </cell>
          <cell r="G1065">
            <v>1860.34</v>
          </cell>
          <cell r="H1065">
            <v>1491.2</v>
          </cell>
        </row>
        <row r="1066">
          <cell r="E1066" t="str">
            <v>АК 2010033 050494</v>
          </cell>
          <cell r="F1066">
            <v>1759.2</v>
          </cell>
          <cell r="G1066">
            <v>1491.2</v>
          </cell>
          <cell r="H1066">
            <v>0</v>
          </cell>
        </row>
        <row r="1067">
          <cell r="C1067" t="str">
            <v>Пудов Алексей Владимирович</v>
          </cell>
          <cell r="D1067" t="str">
            <v xml:space="preserve">горнорабочий </v>
          </cell>
          <cell r="E1067" t="str">
            <v>ЕГ 2010157 714288</v>
          </cell>
          <cell r="F1067">
            <v>1497.7</v>
          </cell>
          <cell r="G1067">
            <v>1269.5899999999999</v>
          </cell>
          <cell r="H1067">
            <v>0</v>
          </cell>
        </row>
        <row r="1068">
          <cell r="C1068" t="str">
            <v>Пятак Виталий Сергеевич</v>
          </cell>
          <cell r="D1068" t="str">
            <v>электрогазосварщик занятый на резке и ручной сварке о/г.р.</v>
          </cell>
          <cell r="E1068" t="str">
            <v>ЕГ 2010157 714241</v>
          </cell>
          <cell r="F1068">
            <v>1497.7</v>
          </cell>
          <cell r="G1068">
            <v>1269.5899999999999</v>
          </cell>
          <cell r="H1068">
            <v>1121.96</v>
          </cell>
        </row>
        <row r="1069">
          <cell r="E1069" t="str">
            <v>БЭ 2010074 902565</v>
          </cell>
          <cell r="F1069">
            <v>1323.5</v>
          </cell>
          <cell r="G1069">
            <v>1121.96</v>
          </cell>
          <cell r="H1069">
            <v>0</v>
          </cell>
        </row>
        <row r="1070">
          <cell r="C1070" t="str">
            <v>Рожков Александр Викторович</v>
          </cell>
          <cell r="D1070" t="str">
            <v xml:space="preserve">горнорабочий </v>
          </cell>
          <cell r="E1070" t="str">
            <v>ЮЭ 2010697 045663</v>
          </cell>
          <cell r="F1070">
            <v>1671.7</v>
          </cell>
          <cell r="G1070">
            <v>1417.04</v>
          </cell>
          <cell r="H1070">
            <v>1101.96</v>
          </cell>
        </row>
        <row r="1071">
          <cell r="E1071" t="str">
            <v>ЮЭ 2010697 045346</v>
          </cell>
          <cell r="F1071">
            <v>1299.9000000000001</v>
          </cell>
          <cell r="G1071">
            <v>1101.96</v>
          </cell>
          <cell r="H1071">
            <v>0</v>
          </cell>
        </row>
        <row r="1072">
          <cell r="C1072" t="str">
            <v>Романов Владимир Вячеславович</v>
          </cell>
          <cell r="D1072" t="str">
            <v>электрогазосварщик занятый на резке и ручной сварке о/г.р.</v>
          </cell>
          <cell r="E1072" t="str">
            <v>ВЛ 2010086 548761</v>
          </cell>
          <cell r="F1072">
            <v>2090.4</v>
          </cell>
          <cell r="G1072">
            <v>1771.87</v>
          </cell>
          <cell r="H1072">
            <v>1491.2</v>
          </cell>
        </row>
        <row r="1073">
          <cell r="E1073" t="str">
            <v>АК 2010033 047711</v>
          </cell>
          <cell r="F1073">
            <v>1759.2</v>
          </cell>
          <cell r="G1073">
            <v>1491.2</v>
          </cell>
          <cell r="H1073">
            <v>0</v>
          </cell>
        </row>
        <row r="1074">
          <cell r="C1074" t="str">
            <v>Рыковский Сергей Викторович</v>
          </cell>
          <cell r="D1074" t="str">
            <v>проходчик на поверхностных работах</v>
          </cell>
          <cell r="E1074" t="str">
            <v>ЮЭ 2010697 911408</v>
          </cell>
          <cell r="F1074">
            <v>1410.4</v>
          </cell>
          <cell r="G1074">
            <v>1195.5999999999999</v>
          </cell>
          <cell r="H1074">
            <v>0</v>
          </cell>
        </row>
        <row r="1075">
          <cell r="C1075" t="str">
            <v>Рытов Александр Иванович</v>
          </cell>
          <cell r="D1075" t="str">
            <v>электрогазосварщик занятый на резке и ручной сварке о/г.р.</v>
          </cell>
          <cell r="E1075" t="str">
            <v>ЯИ 2010707 811683</v>
          </cell>
          <cell r="F1075">
            <v>3083.7</v>
          </cell>
          <cell r="G1075">
            <v>2613.65</v>
          </cell>
          <cell r="H1075">
            <v>2192.73</v>
          </cell>
        </row>
        <row r="1076">
          <cell r="E1076" t="str">
            <v>ЯИ 2010707 811684</v>
          </cell>
          <cell r="F1076">
            <v>2587</v>
          </cell>
          <cell r="G1076">
            <v>2192.73</v>
          </cell>
          <cell r="H1076">
            <v>0</v>
          </cell>
        </row>
        <row r="1077">
          <cell r="C1077" t="str">
            <v>Самаров Сергей Иванович</v>
          </cell>
          <cell r="D1077" t="str">
            <v>электрогазосварщик занятый на резке и ручной сварке о/г.р.</v>
          </cell>
          <cell r="E1077" t="str">
            <v>С 2007014 812747</v>
          </cell>
          <cell r="F1077">
            <v>1396.3</v>
          </cell>
          <cell r="G1077">
            <v>1183.6600000000001</v>
          </cell>
          <cell r="H1077">
            <v>0</v>
          </cell>
        </row>
        <row r="1078">
          <cell r="C1078" t="str">
            <v>Самсонов Геннадий Владимирович</v>
          </cell>
          <cell r="D1078" t="str">
            <v>электрогазосварщик занятый на резке и ручной сварке о/г.р.</v>
          </cell>
          <cell r="E1078" t="str">
            <v>ГЕ 2010108 884617</v>
          </cell>
          <cell r="F1078">
            <v>1323.5</v>
          </cell>
          <cell r="G1078">
            <v>1121.96</v>
          </cell>
          <cell r="H1078">
            <v>1101.96</v>
          </cell>
        </row>
        <row r="1079">
          <cell r="E1079" t="str">
            <v>ЮЭ 2010697 045743</v>
          </cell>
          <cell r="F1079">
            <v>1299.9000000000001</v>
          </cell>
          <cell r="G1079">
            <v>1101.96</v>
          </cell>
          <cell r="H1079">
            <v>0</v>
          </cell>
        </row>
        <row r="1080">
          <cell r="C1080" t="str">
            <v>Сиднеков Олег Анатольевич</v>
          </cell>
          <cell r="D1080" t="str">
            <v>электрогазосварщик, занятый на резке и ручной сварке</v>
          </cell>
          <cell r="E1080" t="str">
            <v>ГБ 2010104 256418</v>
          </cell>
          <cell r="F1080">
            <v>2142.6999999999998</v>
          </cell>
          <cell r="G1080">
            <v>1892.82</v>
          </cell>
          <cell r="H1080">
            <v>0</v>
          </cell>
        </row>
        <row r="1081">
          <cell r="C1081" t="str">
            <v>Синцов Дмитрий Александрович</v>
          </cell>
          <cell r="D1081" t="str">
            <v>электрогазосварщик, занятый на резке и ручной сварке</v>
          </cell>
          <cell r="E1081" t="str">
            <v>ЧБ 2010571 781051</v>
          </cell>
          <cell r="F1081">
            <v>1443.6</v>
          </cell>
          <cell r="G1081">
            <v>1223.74</v>
          </cell>
          <cell r="H1081">
            <v>1034.5</v>
          </cell>
        </row>
        <row r="1082">
          <cell r="E1082" t="str">
            <v>АП 2010037  961461</v>
          </cell>
          <cell r="F1082">
            <v>1220.3</v>
          </cell>
          <cell r="G1082">
            <v>1034.5</v>
          </cell>
          <cell r="H1082">
            <v>0</v>
          </cell>
        </row>
        <row r="1083">
          <cell r="C1083" t="str">
            <v>Сирота Александр Лазаревич</v>
          </cell>
          <cell r="D1083" t="str">
            <v>машинист компрессорных установок</v>
          </cell>
          <cell r="E1083" t="str">
            <v>ВЛ 2010086 294083</v>
          </cell>
          <cell r="F1083">
            <v>1933.4</v>
          </cell>
          <cell r="G1083">
            <v>1638.82</v>
          </cell>
          <cell r="H1083">
            <v>1638.82</v>
          </cell>
        </row>
        <row r="1084">
          <cell r="E1084" t="str">
            <v>АП 2010037 356439</v>
          </cell>
          <cell r="F1084">
            <v>1933.4</v>
          </cell>
          <cell r="G1084">
            <v>1638.82</v>
          </cell>
          <cell r="H1084">
            <v>0</v>
          </cell>
        </row>
        <row r="1085">
          <cell r="C1085" t="str">
            <v>Соломенцев Валерий Викторович</v>
          </cell>
          <cell r="D1085" t="str">
            <v>электрогазосварщик, занятый на резке и ручной сварке</v>
          </cell>
          <cell r="E1085" t="str">
            <v>ЮЭ 2010697 948645</v>
          </cell>
          <cell r="F1085">
            <v>1323.5</v>
          </cell>
          <cell r="G1085">
            <v>1121.96</v>
          </cell>
          <cell r="H1085">
            <v>1101.96</v>
          </cell>
        </row>
        <row r="1086">
          <cell r="E1086" t="str">
            <v>ГЕ 2010108 885335</v>
          </cell>
          <cell r="F1086">
            <v>1299.9000000000001</v>
          </cell>
          <cell r="G1086">
            <v>1101.96</v>
          </cell>
          <cell r="H1086">
            <v>0</v>
          </cell>
        </row>
        <row r="1087">
          <cell r="C1087" t="str">
            <v>Степанов Николай Григорьевич</v>
          </cell>
          <cell r="D1087" t="str">
            <v>проходчик на поверхностных работах</v>
          </cell>
          <cell r="E1087" t="str">
            <v>ГБ 2010104 243417</v>
          </cell>
          <cell r="F1087">
            <v>1410.4</v>
          </cell>
          <cell r="G1087">
            <v>1195.5999999999999</v>
          </cell>
          <cell r="H1087">
            <v>0</v>
          </cell>
        </row>
        <row r="1088">
          <cell r="C1088" t="str">
            <v>Степовой Юрий Анатольевич</v>
          </cell>
          <cell r="D1088" t="str">
            <v>электрогазосварщик, занятый на резке и ручной сварке</v>
          </cell>
          <cell r="E1088" t="str">
            <v>АЕ 2010030 521257</v>
          </cell>
          <cell r="F1088">
            <v>3083.7</v>
          </cell>
          <cell r="G1088">
            <v>2613.65</v>
          </cell>
          <cell r="H1088">
            <v>0</v>
          </cell>
        </row>
        <row r="1089">
          <cell r="C1089" t="str">
            <v>Стетюха Сергей Анатольевич</v>
          </cell>
          <cell r="D1089" t="str">
            <v>электрогазосварщик, занятый на резке и ручной сварке</v>
          </cell>
          <cell r="E1089" t="str">
            <v>ЮЭ 2010697 045363</v>
          </cell>
          <cell r="F1089">
            <v>1567.4</v>
          </cell>
          <cell r="G1089">
            <v>1328.65</v>
          </cell>
          <cell r="H1089">
            <v>1121.96</v>
          </cell>
        </row>
        <row r="1090">
          <cell r="E1090" t="str">
            <v>ГЕ 2010108 885372</v>
          </cell>
          <cell r="F1090">
            <v>1323.5</v>
          </cell>
          <cell r="G1090">
            <v>1121.96</v>
          </cell>
          <cell r="H1090">
            <v>0</v>
          </cell>
        </row>
        <row r="1091">
          <cell r="C1091" t="str">
            <v>Стерляжников Александр Яковлевич</v>
          </cell>
          <cell r="D1091" t="str">
            <v>электрослесарь (слесарь) дежурный и по ремонту оборудования</v>
          </cell>
          <cell r="E1091" t="str">
            <v>АС 2010039 828549</v>
          </cell>
          <cell r="F1091">
            <v>1933.4</v>
          </cell>
          <cell r="G1091">
            <v>1638.82</v>
          </cell>
          <cell r="H1091">
            <v>0</v>
          </cell>
        </row>
        <row r="1092">
          <cell r="C1092" t="str">
            <v>Стешенко Александр Владимирович</v>
          </cell>
          <cell r="D1092" t="str">
            <v>электрогазосварщик, занятый на резке и ручной сварке</v>
          </cell>
          <cell r="E1092" t="str">
            <v>Р 2007013 891795</v>
          </cell>
          <cell r="F1092">
            <v>1497.7</v>
          </cell>
          <cell r="G1092">
            <v>1269.5899999999999</v>
          </cell>
          <cell r="H1092">
            <v>0</v>
          </cell>
        </row>
        <row r="1093">
          <cell r="C1093" t="str">
            <v>Сухляк Юрий Алексеевич</v>
          </cell>
          <cell r="D1093" t="str">
            <v>электрогазосварщик, занятый на резке и ручной сварке</v>
          </cell>
          <cell r="E1093" t="str">
            <v>ВЛ 2010086 552655</v>
          </cell>
          <cell r="F1093">
            <v>1759.2</v>
          </cell>
          <cell r="G1093">
            <v>1491.2</v>
          </cell>
          <cell r="H1093">
            <v>1491.2</v>
          </cell>
        </row>
        <row r="1094">
          <cell r="E1094" t="str">
            <v>С 2007014 119692</v>
          </cell>
          <cell r="F1094">
            <v>1759.2</v>
          </cell>
          <cell r="G1094">
            <v>1491.2</v>
          </cell>
          <cell r="H1094">
            <v>0</v>
          </cell>
        </row>
        <row r="1095">
          <cell r="C1095" t="str">
            <v>Тарабановский Андрей Викторович</v>
          </cell>
          <cell r="D1095" t="str">
            <v>электрослесарь (слесарь) дежурный и по ремонту оборудования</v>
          </cell>
          <cell r="E1095" t="str">
            <v>ЧБ 2010571 781142</v>
          </cell>
          <cell r="F1095">
            <v>1323.5</v>
          </cell>
          <cell r="G1095">
            <v>1121.96</v>
          </cell>
          <cell r="H1095">
            <v>1034.5</v>
          </cell>
        </row>
        <row r="1096">
          <cell r="E1096" t="str">
            <v>АС 2010039 843962</v>
          </cell>
          <cell r="F1096">
            <v>1220.3</v>
          </cell>
          <cell r="G1096">
            <v>1034.5</v>
          </cell>
          <cell r="H1096">
            <v>0</v>
          </cell>
        </row>
        <row r="1097">
          <cell r="C1097" t="str">
            <v>Татевосян Арсен Георгиевич</v>
          </cell>
          <cell r="D1097" t="str">
            <v>электрогазосварщик, занятый на резке и ручной сварке</v>
          </cell>
          <cell r="E1097" t="str">
            <v>АК 2010033 053159</v>
          </cell>
          <cell r="F1097">
            <v>1846.4</v>
          </cell>
          <cell r="G1097">
            <v>1565.1</v>
          </cell>
          <cell r="H1097">
            <v>1491.2</v>
          </cell>
        </row>
        <row r="1098">
          <cell r="E1098" t="str">
            <v>С 2007014 119693</v>
          </cell>
          <cell r="F1098">
            <v>1759.2</v>
          </cell>
          <cell r="G1098">
            <v>1491.2</v>
          </cell>
          <cell r="H1098">
            <v>0</v>
          </cell>
        </row>
        <row r="1099">
          <cell r="C1099" t="str">
            <v>Тилов Мухажир Камалович</v>
          </cell>
          <cell r="D1099" t="str">
            <v>электросварщик ручной сварки</v>
          </cell>
          <cell r="E1099" t="str">
            <v>ВЛ 2010086 295065</v>
          </cell>
          <cell r="F1099">
            <v>1933.4</v>
          </cell>
          <cell r="G1099">
            <v>1638.82</v>
          </cell>
          <cell r="H1099">
            <v>0</v>
          </cell>
        </row>
        <row r="1100">
          <cell r="C1100" t="str">
            <v>Толиченко Максим Станиславович</v>
          </cell>
          <cell r="D1100" t="str">
            <v>электрогазосварщик, занятый на резке и ручной сварке</v>
          </cell>
          <cell r="E1100" t="str">
            <v>ЮМ 2010684 510642</v>
          </cell>
          <cell r="F1100">
            <v>1497.7</v>
          </cell>
          <cell r="G1100">
            <v>1269.5899999999999</v>
          </cell>
          <cell r="H1100">
            <v>0</v>
          </cell>
        </row>
        <row r="1101">
          <cell r="C1101" t="str">
            <v>Улецкий Геннадий Гаврилович</v>
          </cell>
          <cell r="D1101" t="str">
            <v>электросварщик ручной сварки</v>
          </cell>
          <cell r="E1101" t="str">
            <v>ЮЭ 2010697 045483</v>
          </cell>
          <cell r="F1101">
            <v>1567.4</v>
          </cell>
          <cell r="G1101">
            <v>1328.65</v>
          </cell>
          <cell r="H1101">
            <v>1101.96</v>
          </cell>
        </row>
        <row r="1102">
          <cell r="E1102" t="str">
            <v>ЮЭ 2010697 045484</v>
          </cell>
          <cell r="F1102">
            <v>1299.9000000000001</v>
          </cell>
          <cell r="G1102">
            <v>1101.96</v>
          </cell>
          <cell r="H1102">
            <v>0</v>
          </cell>
        </row>
        <row r="1103">
          <cell r="C1103" t="str">
            <v>Федоров Алексей Алексеевич</v>
          </cell>
          <cell r="D1103" t="str">
            <v>электрослесарь дежурный и по ремонту оборудования</v>
          </cell>
          <cell r="E1103" t="str">
            <v>АК 2010033 140912</v>
          </cell>
          <cell r="F1103">
            <v>3240.4</v>
          </cell>
          <cell r="G1103">
            <v>2746.45</v>
          </cell>
          <cell r="H1103">
            <v>2192.73</v>
          </cell>
        </row>
        <row r="1104">
          <cell r="E1104" t="str">
            <v>С 2007014 105740</v>
          </cell>
          <cell r="F1104">
            <v>2587</v>
          </cell>
          <cell r="G1104">
            <v>2192.73</v>
          </cell>
          <cell r="H1104">
            <v>0</v>
          </cell>
        </row>
        <row r="1105">
          <cell r="C1105" t="str">
            <v>Федоров Александр Иванович</v>
          </cell>
          <cell r="D1105" t="str">
            <v>электрослесарь дежурный и по ремонту оборудования</v>
          </cell>
          <cell r="E1105" t="str">
            <v>БЭ 2010074 704263</v>
          </cell>
          <cell r="F1105">
            <v>813.5</v>
          </cell>
          <cell r="G1105">
            <v>689.41</v>
          </cell>
          <cell r="H1105">
            <v>0</v>
          </cell>
        </row>
        <row r="1106">
          <cell r="C1106" t="str">
            <v>Федоров Игорь Александрович</v>
          </cell>
          <cell r="D1106" t="str">
            <v>проходчик на поверхностных работах</v>
          </cell>
          <cell r="E1106" t="str">
            <v>ЮЭ 2010697 948644</v>
          </cell>
          <cell r="F1106">
            <v>1323.5</v>
          </cell>
          <cell r="G1106">
            <v>1121.96</v>
          </cell>
          <cell r="H1106">
            <v>0</v>
          </cell>
        </row>
        <row r="1107">
          <cell r="C1107" t="str">
            <v>Фефилов Валерий Леонидович</v>
          </cell>
          <cell r="D1107" t="str">
            <v>электрослесарь дежурный и по ремонту оборудования</v>
          </cell>
          <cell r="E1107" t="str">
            <v>ЮМ 2010684 418322</v>
          </cell>
          <cell r="F1107">
            <v>1323.5</v>
          </cell>
          <cell r="G1107">
            <v>1121.96</v>
          </cell>
          <cell r="H1107">
            <v>0</v>
          </cell>
        </row>
        <row r="1108">
          <cell r="C1108" t="str">
            <v>Фомин Алексей Николаевич</v>
          </cell>
          <cell r="D1108" t="str">
            <v>проходчик на поверхностных работах</v>
          </cell>
          <cell r="E1108" t="str">
            <v>ЮМ 2010684 419532</v>
          </cell>
          <cell r="F1108">
            <v>1567.4</v>
          </cell>
          <cell r="G1108">
            <v>1328.65</v>
          </cell>
          <cell r="H1108">
            <v>0</v>
          </cell>
        </row>
        <row r="1109">
          <cell r="C1109" t="str">
            <v>Харлампьев Валентин Юрьевич</v>
          </cell>
          <cell r="D1109" t="str">
            <v>проходчик на поверхностных работах</v>
          </cell>
          <cell r="E1109" t="str">
            <v>ГВ 2010105 485201</v>
          </cell>
          <cell r="F1109">
            <v>3397.3</v>
          </cell>
          <cell r="G1109">
            <v>2879.42</v>
          </cell>
          <cell r="H1109">
            <v>2414.16</v>
          </cell>
        </row>
        <row r="1110">
          <cell r="E1110" t="str">
            <v>АС 2010039 809462</v>
          </cell>
          <cell r="F1110">
            <v>2848.3</v>
          </cell>
          <cell r="G1110">
            <v>2414.16</v>
          </cell>
          <cell r="H1110">
            <v>0</v>
          </cell>
        </row>
        <row r="1111">
          <cell r="C1111" t="str">
            <v>Чайко Александр Тимофеевич</v>
          </cell>
          <cell r="D1111" t="str">
            <v>элекрогазосварщик занятый на резке и ручной сварке о/г.р.</v>
          </cell>
          <cell r="E1111" t="str">
            <v>ЕВ 2010156 993604</v>
          </cell>
          <cell r="F1111">
            <v>1846.4</v>
          </cell>
          <cell r="G1111">
            <v>1565.1</v>
          </cell>
          <cell r="H1111">
            <v>1565.1</v>
          </cell>
        </row>
        <row r="1112">
          <cell r="E1112" t="str">
            <v>С 2007014 802783</v>
          </cell>
          <cell r="F1112">
            <v>1846.4</v>
          </cell>
          <cell r="G1112">
            <v>1565.1</v>
          </cell>
          <cell r="H1112">
            <v>0</v>
          </cell>
        </row>
        <row r="1113">
          <cell r="C1113" t="str">
            <v>Черновол Анатолий Алексеевич</v>
          </cell>
          <cell r="D1113" t="str">
            <v>электрослесарь (слесарь) дежурный и по ремонту оборудования</v>
          </cell>
          <cell r="E1113" t="str">
            <v>АИ 2010032 771696</v>
          </cell>
          <cell r="F1113">
            <v>2299.4</v>
          </cell>
          <cell r="G1113">
            <v>1948.99</v>
          </cell>
          <cell r="H1113">
            <v>1638.82</v>
          </cell>
        </row>
        <row r="1114">
          <cell r="E1114" t="str">
            <v>АП 2010037 952686</v>
          </cell>
          <cell r="F1114">
            <v>1933.4</v>
          </cell>
          <cell r="G1114">
            <v>1638.82</v>
          </cell>
          <cell r="H1114">
            <v>0</v>
          </cell>
        </row>
        <row r="1115">
          <cell r="C1115" t="str">
            <v>Чмиль Денис Сергеевич</v>
          </cell>
          <cell r="D1115" t="str">
            <v>проходчик на поверхностных работах</v>
          </cell>
          <cell r="E1115" t="str">
            <v>Р 2007013 712363</v>
          </cell>
          <cell r="F1115">
            <v>1323.5</v>
          </cell>
          <cell r="G1115">
            <v>1121.96</v>
          </cell>
          <cell r="H1115">
            <v>1034.5</v>
          </cell>
        </row>
        <row r="1116">
          <cell r="E1116" t="str">
            <v>С 2007014 118553</v>
          </cell>
          <cell r="F1116">
            <v>1220.3</v>
          </cell>
          <cell r="G1116">
            <v>1034.5</v>
          </cell>
          <cell r="H1116">
            <v>0</v>
          </cell>
        </row>
        <row r="1117">
          <cell r="C1117" t="str">
            <v>Чужиков Алексей Сергеевич</v>
          </cell>
          <cell r="D1117" t="str">
            <v>элекрогазосварщик занятый на резке и ручной сварке о/г.р.</v>
          </cell>
          <cell r="E1117" t="str">
            <v>ЯИ 2010707 811698</v>
          </cell>
          <cell r="F1117">
            <v>2982.3</v>
          </cell>
          <cell r="G1117">
            <v>2527.7199999999998</v>
          </cell>
          <cell r="H1117">
            <v>2303.4899999999998</v>
          </cell>
        </row>
        <row r="1118">
          <cell r="E1118" t="str">
            <v>АП 2010037  963935</v>
          </cell>
          <cell r="F1118">
            <v>2717.7</v>
          </cell>
          <cell r="G1118">
            <v>2303.4899999999998</v>
          </cell>
          <cell r="H1118">
            <v>0</v>
          </cell>
        </row>
        <row r="1119">
          <cell r="C1119" t="str">
            <v>Шакуров Дмитрий Алексеевич</v>
          </cell>
          <cell r="D1119" t="str">
            <v>элекрогазосварщик занятый на резке и ручной сварке о/г.р.</v>
          </cell>
          <cell r="E1119" t="str">
            <v>АЕ 2010030 521256</v>
          </cell>
          <cell r="F1119">
            <v>3083.7</v>
          </cell>
          <cell r="G1119">
            <v>2613.65</v>
          </cell>
          <cell r="H1119">
            <v>2192.73</v>
          </cell>
        </row>
        <row r="1120">
          <cell r="E1120" t="str">
            <v>АК 2010033 140713</v>
          </cell>
          <cell r="F1120">
            <v>2587</v>
          </cell>
          <cell r="G1120">
            <v>2192.73</v>
          </cell>
          <cell r="H1120">
            <v>0</v>
          </cell>
        </row>
        <row r="1121">
          <cell r="C1121" t="str">
            <v>Шарапова Оксана Михайловна</v>
          </cell>
          <cell r="D1121" t="str">
            <v>горнорабочий на маркшейдерских работах</v>
          </cell>
          <cell r="E1121" t="str">
            <v>ЭТ 2010663 842492</v>
          </cell>
          <cell r="F1121">
            <v>2674.6</v>
          </cell>
          <cell r="G1121">
            <v>2266.96</v>
          </cell>
          <cell r="H1121">
            <v>0</v>
          </cell>
        </row>
        <row r="1122">
          <cell r="C1122" t="str">
            <v>Шауэрман Валерий Валерьевич</v>
          </cell>
          <cell r="D1122" t="str">
            <v>проходчик на поверхностных работах</v>
          </cell>
          <cell r="E1122" t="str">
            <v>ЧБ 2010571 562825</v>
          </cell>
          <cell r="F1122">
            <v>3083.7</v>
          </cell>
          <cell r="G1122">
            <v>2613.65</v>
          </cell>
          <cell r="H1122">
            <v>0</v>
          </cell>
        </row>
        <row r="1123">
          <cell r="C1123" t="str">
            <v>Шеин Валерий Сергеевич</v>
          </cell>
          <cell r="D1123" t="str">
            <v>машинист компрессорных установок</v>
          </cell>
          <cell r="E1123" t="str">
            <v>ВЛ 2010086 293104</v>
          </cell>
          <cell r="F1123">
            <v>2299.4</v>
          </cell>
          <cell r="G1123">
            <v>1948.99</v>
          </cell>
          <cell r="H1123">
            <v>1638.82</v>
          </cell>
        </row>
        <row r="1124">
          <cell r="E1124" t="str">
            <v>АК 2010033 075550</v>
          </cell>
          <cell r="F1124">
            <v>1933.4</v>
          </cell>
          <cell r="G1124">
            <v>1638.82</v>
          </cell>
          <cell r="H1124">
            <v>1638.82</v>
          </cell>
        </row>
        <row r="1125">
          <cell r="E1125" t="str">
            <v>ВЛ 2010086 293472</v>
          </cell>
          <cell r="F1125">
            <v>1933.4</v>
          </cell>
          <cell r="G1125">
            <v>1638.82</v>
          </cell>
          <cell r="H1125">
            <v>0</v>
          </cell>
        </row>
        <row r="1126">
          <cell r="C1126" t="str">
            <v>Шеин Павел Валерьевич</v>
          </cell>
          <cell r="D1126" t="str">
            <v>проходчик на поверхностных работах</v>
          </cell>
          <cell r="E1126" t="str">
            <v>ЮМ 2010684 594874</v>
          </cell>
          <cell r="F1126">
            <v>1753.7</v>
          </cell>
          <cell r="G1126">
            <v>1561.39</v>
          </cell>
          <cell r="H1126">
            <v>0</v>
          </cell>
        </row>
        <row r="1127">
          <cell r="C1127" t="str">
            <v>Шиян Игорь Анатольевич</v>
          </cell>
          <cell r="D1127" t="str">
            <v>электрослесарь (слесарь) дежурный и по ремонту оборудования</v>
          </cell>
          <cell r="E1127" t="str">
            <v>ЧБ 2010571 781264</v>
          </cell>
          <cell r="F1127">
            <v>1323.5</v>
          </cell>
          <cell r="G1127">
            <v>1121.96</v>
          </cell>
          <cell r="H1127">
            <v>0</v>
          </cell>
        </row>
        <row r="1128">
          <cell r="C1128" t="str">
            <v>Шквира Славик Тамазович</v>
          </cell>
          <cell r="D1128" t="str">
            <v>электрогазосварщик, занятый на резке и ручной сварке</v>
          </cell>
          <cell r="E1128" t="str">
            <v>АК 2010033 140721</v>
          </cell>
          <cell r="F1128">
            <v>3083.7</v>
          </cell>
          <cell r="G1128">
            <v>2613.65</v>
          </cell>
          <cell r="H1128">
            <v>0</v>
          </cell>
        </row>
        <row r="1129">
          <cell r="C1129" t="str">
            <v>Юрьев Михаил Васильевич</v>
          </cell>
          <cell r="D1129" t="str">
            <v xml:space="preserve">горнорабочий </v>
          </cell>
          <cell r="E1129" t="str">
            <v>АИ 2010032 743707</v>
          </cell>
          <cell r="F1129">
            <v>2299.4</v>
          </cell>
          <cell r="G1129">
            <v>1948.99</v>
          </cell>
          <cell r="H1129">
            <v>0</v>
          </cell>
        </row>
        <row r="1130">
          <cell r="C1130" t="str">
            <v>Янченко Владимир Дмитриевич</v>
          </cell>
          <cell r="D1130" t="str">
            <v>электрогазосварщик, занятый на резке и ручной сварке</v>
          </cell>
          <cell r="E1130" t="str">
            <v>АК 2010033 140911</v>
          </cell>
          <cell r="F1130">
            <v>3240.4</v>
          </cell>
          <cell r="G1130">
            <v>2746.45</v>
          </cell>
          <cell r="H1130">
            <v>2192.73</v>
          </cell>
        </row>
        <row r="1131">
          <cell r="E1131" t="str">
            <v>С 2007014 105741</v>
          </cell>
          <cell r="F1131">
            <v>2587</v>
          </cell>
          <cell r="G1131">
            <v>2192.73</v>
          </cell>
          <cell r="H1131">
            <v>0</v>
          </cell>
        </row>
        <row r="1132">
          <cell r="H1132">
            <v>0</v>
          </cell>
        </row>
        <row r="1133">
          <cell r="C1133" t="str">
            <v>Пряников Евгений Александрович</v>
          </cell>
          <cell r="D1133" t="str">
            <v>Мастер РБУ</v>
          </cell>
          <cell r="E1133" t="str">
            <v>ГБ2010104 257434</v>
          </cell>
          <cell r="F1133">
            <v>2144.9</v>
          </cell>
          <cell r="G1133">
            <v>1895.02</v>
          </cell>
          <cell r="H1133">
            <v>0</v>
          </cell>
        </row>
        <row r="1134">
          <cell r="H1134">
            <v>0</v>
          </cell>
        </row>
        <row r="1135">
          <cell r="C1135" t="str">
            <v>Богомолов Николай Игоревич</v>
          </cell>
          <cell r="D1135" t="str">
            <v>Слесарь</v>
          </cell>
          <cell r="E1135" t="str">
            <v>ЮЭ2010697 681729</v>
          </cell>
          <cell r="F1135">
            <v>1618.3</v>
          </cell>
          <cell r="G1135">
            <v>1371.79</v>
          </cell>
          <cell r="H1135">
            <v>1491.2</v>
          </cell>
        </row>
        <row r="1136">
          <cell r="E1136" t="str">
            <v>БЭ2010074 130119</v>
          </cell>
          <cell r="F1136">
            <v>1759.2</v>
          </cell>
          <cell r="G1136">
            <v>1491.2</v>
          </cell>
          <cell r="H1136">
            <v>0</v>
          </cell>
        </row>
        <row r="1137">
          <cell r="C1137" t="str">
            <v>Буняк Андрей Владимирович</v>
          </cell>
          <cell r="D1137" t="str">
            <v>Электрогазосварщик, занятый на резке и ручной сварке</v>
          </cell>
          <cell r="E1137" t="str">
            <v>ГЕ2010108 885447</v>
          </cell>
          <cell r="F1137">
            <v>2717.7</v>
          </cell>
          <cell r="G1137">
            <v>2303.4899999999998</v>
          </cell>
          <cell r="H1137">
            <v>0</v>
          </cell>
        </row>
        <row r="1138">
          <cell r="C1138" t="str">
            <v>Ерохин Виктор Владимирович</v>
          </cell>
          <cell r="D1138" t="str">
            <v>Слесарь по КИП и автоматике</v>
          </cell>
          <cell r="E1138" t="str">
            <v>ВЛ2010086 539969</v>
          </cell>
          <cell r="F1138">
            <v>2587</v>
          </cell>
          <cell r="G1138">
            <v>2192.73</v>
          </cell>
          <cell r="H1138">
            <v>0</v>
          </cell>
        </row>
        <row r="1139">
          <cell r="C1139" t="str">
            <v>Сычевой Сергей Викторович</v>
          </cell>
          <cell r="D1139" t="str">
            <v>Моторист бетоносмесительных установок</v>
          </cell>
          <cell r="E1139" t="str">
            <v>ГЕ2010108 885446</v>
          </cell>
          <cell r="F1139">
            <v>2717.7</v>
          </cell>
          <cell r="G1139">
            <v>2303.4899999999998</v>
          </cell>
          <cell r="H1139">
            <v>0</v>
          </cell>
        </row>
        <row r="1140">
          <cell r="H1140">
            <v>0</v>
          </cell>
        </row>
        <row r="1141">
          <cell r="H1141">
            <v>0</v>
          </cell>
        </row>
        <row r="1142">
          <cell r="C1142" t="str">
            <v>Дьяковский Владимир Иванович</v>
          </cell>
          <cell r="D1142" t="str">
            <v>Машинист крана автомобильного</v>
          </cell>
          <cell r="E1142" t="str">
            <v>ВЛ2010086 243268</v>
          </cell>
          <cell r="F1142">
            <v>2259.1999999999998</v>
          </cell>
          <cell r="G1142">
            <v>1991.44</v>
          </cell>
          <cell r="H1142">
            <v>0</v>
          </cell>
        </row>
        <row r="1143">
          <cell r="C1143" t="str">
            <v>Зайцев Тимофей Иванович</v>
          </cell>
          <cell r="D1143" t="str">
            <v>Машинист крана автомобильного</v>
          </cell>
          <cell r="E1143" t="str">
            <v>ГЕ2010108 885343</v>
          </cell>
          <cell r="F1143">
            <v>2848.3</v>
          </cell>
          <cell r="G1143">
            <v>2414.16</v>
          </cell>
          <cell r="H1143">
            <v>0</v>
          </cell>
        </row>
        <row r="1144">
          <cell r="C1144" t="str">
            <v>Рыков Сергей Николаевич</v>
          </cell>
          <cell r="D1144" t="str">
            <v>Машинист крана автомобильного</v>
          </cell>
          <cell r="E1144" t="str">
            <v>ГБ2010104 551018</v>
          </cell>
          <cell r="F1144">
            <v>1140.5</v>
          </cell>
          <cell r="G1144">
            <v>966.87</v>
          </cell>
          <cell r="H1144">
            <v>0</v>
          </cell>
        </row>
        <row r="1145">
          <cell r="C1145" t="str">
            <v>Свининников Василий Александрович</v>
          </cell>
          <cell r="D1145" t="str">
            <v xml:space="preserve">Водитель погрузчиков,занятые погрузкой горной массы  </v>
          </cell>
          <cell r="E1145" t="str">
            <v>ЦН2010555 977570</v>
          </cell>
          <cell r="F1145">
            <v>2717.7</v>
          </cell>
          <cell r="G1145">
            <v>2304.4899999999998</v>
          </cell>
          <cell r="H1145">
            <v>0</v>
          </cell>
        </row>
        <row r="1146">
          <cell r="C1146" t="str">
            <v>Фильченко Сергей Михайлович</v>
          </cell>
          <cell r="D1146" t="str">
            <v xml:space="preserve">Водитель погрузчиков,занятые погрузкой горной массы  </v>
          </cell>
          <cell r="E1146" t="str">
            <v>ВЛ2010086 553693</v>
          </cell>
          <cell r="F1146">
            <v>2717.7</v>
          </cell>
          <cell r="G1146">
            <v>2303.4899999999998</v>
          </cell>
          <cell r="H1146">
            <v>0</v>
          </cell>
        </row>
        <row r="1147">
          <cell r="H1147">
            <v>0</v>
          </cell>
        </row>
        <row r="1148">
          <cell r="C1148" t="str">
            <v>Агафонов Андрей Андреевич</v>
          </cell>
          <cell r="D1148" t="str">
            <v>Водитель автомобиля</v>
          </cell>
          <cell r="E1148" t="str">
            <v>ГЕ2010108 884945</v>
          </cell>
          <cell r="F1148">
            <v>2717.7</v>
          </cell>
          <cell r="G1148">
            <v>2303.4899999999998</v>
          </cell>
          <cell r="H1148">
            <v>0</v>
          </cell>
        </row>
        <row r="1149">
          <cell r="C1149" t="str">
            <v>Жердев Руслан Геннадьевич</v>
          </cell>
          <cell r="D1149" t="str">
            <v>Водитель автомобиля</v>
          </cell>
          <cell r="E1149" t="str">
            <v>АЕ2010030 526812</v>
          </cell>
          <cell r="F1149">
            <v>2717.7</v>
          </cell>
          <cell r="G1149">
            <v>2303.4899999999998</v>
          </cell>
          <cell r="H1149">
            <v>0</v>
          </cell>
        </row>
        <row r="1150">
          <cell r="C1150" t="str">
            <v>Малухов Роман Сергеевич</v>
          </cell>
          <cell r="D1150" t="str">
            <v>Водитель автомобиля</v>
          </cell>
          <cell r="E1150" t="str">
            <v>ВЛ2010086 583836</v>
          </cell>
          <cell r="F1150">
            <v>1933.4</v>
          </cell>
          <cell r="G1150">
            <v>1638.82</v>
          </cell>
          <cell r="H1150">
            <v>0</v>
          </cell>
        </row>
        <row r="1151">
          <cell r="C1151" t="str">
            <v>Скрыпаль Андрей Викторович</v>
          </cell>
          <cell r="D1151" t="str">
            <v>Водитель автомобиля</v>
          </cell>
          <cell r="E1151" t="str">
            <v>ВЛ2010086 246519</v>
          </cell>
          <cell r="F1151">
            <v>2717.7</v>
          </cell>
          <cell r="G1151">
            <v>2303.4899999999998</v>
          </cell>
          <cell r="H1151">
            <v>0</v>
          </cell>
        </row>
        <row r="1152">
          <cell r="C1152" t="str">
            <v>Фищенко Александр Михайлович</v>
          </cell>
          <cell r="D1152" t="str">
            <v>Водитель автомобиля</v>
          </cell>
          <cell r="E1152" t="str">
            <v>ГЕ2010108 885331</v>
          </cell>
          <cell r="F1152">
            <v>1933.4</v>
          </cell>
          <cell r="G1152">
            <v>1638.82</v>
          </cell>
          <cell r="H1152">
            <v>0</v>
          </cell>
        </row>
        <row r="1153">
          <cell r="C1153" t="str">
            <v>Яньшин Александр Егорович</v>
          </cell>
          <cell r="D1153" t="str">
            <v>Водитель автомобиля</v>
          </cell>
          <cell r="E1153" t="str">
            <v>ВЛ2010086 248934</v>
          </cell>
          <cell r="F1153">
            <v>2848.3</v>
          </cell>
          <cell r="G1153">
            <v>2414.16</v>
          </cell>
          <cell r="H1153">
            <v>0</v>
          </cell>
        </row>
        <row r="1154">
          <cell r="H1154">
            <v>0</v>
          </cell>
        </row>
        <row r="1155">
          <cell r="C1155" t="str">
            <v>Рожновский Владимир Николаевич</v>
          </cell>
          <cell r="D1155" t="str">
            <v>Водитель автомобиля</v>
          </cell>
          <cell r="E1155" t="str">
            <v>АЕ2010030 526938</v>
          </cell>
          <cell r="F1155">
            <v>2717.7</v>
          </cell>
          <cell r="G1155">
            <v>2303.4899999999998</v>
          </cell>
          <cell r="H1155">
            <v>0</v>
          </cell>
        </row>
        <row r="1156">
          <cell r="H1156">
            <v>0</v>
          </cell>
        </row>
        <row r="1157">
          <cell r="C1157" t="str">
            <v>Костин Валерий Павлович</v>
          </cell>
          <cell r="D1157" t="str">
            <v>Водитель автобуса</v>
          </cell>
          <cell r="E1157" t="str">
            <v>ГБ2010104 622585</v>
          </cell>
          <cell r="F1157">
            <v>1410.4</v>
          </cell>
          <cell r="G1157">
            <v>1195.5999999999999</v>
          </cell>
          <cell r="H1157">
            <v>0</v>
          </cell>
        </row>
        <row r="1158">
          <cell r="H1158">
            <v>0</v>
          </cell>
        </row>
        <row r="1159">
          <cell r="H1159">
            <v>0</v>
          </cell>
        </row>
        <row r="1160">
          <cell r="C1160" t="str">
            <v>Мажугин Александр Петрович</v>
          </cell>
          <cell r="D1160" t="str">
            <v>Механик автомобильной колонны</v>
          </cell>
          <cell r="E1160" t="str">
            <v>ВЛ2010086 032678</v>
          </cell>
          <cell r="F1160">
            <v>2587</v>
          </cell>
          <cell r="G1160">
            <v>2193.5300000000002</v>
          </cell>
          <cell r="H1160">
            <v>0</v>
          </cell>
        </row>
        <row r="1161">
          <cell r="H1161">
            <v>0</v>
          </cell>
        </row>
        <row r="1162">
          <cell r="C1162" t="str">
            <v>Головченко Сергей Евгеньевич</v>
          </cell>
          <cell r="D1162" t="str">
            <v>Слесарь по ремонту автомобилей</v>
          </cell>
          <cell r="E1162" t="str">
            <v>ЦН2010555 973048</v>
          </cell>
          <cell r="F1162">
            <v>2717.7</v>
          </cell>
          <cell r="G1162">
            <v>2303.4899999999998</v>
          </cell>
          <cell r="H1162">
            <v>0</v>
          </cell>
        </row>
        <row r="1163">
          <cell r="C1163" t="str">
            <v>Усанов Михаил Юрьевич</v>
          </cell>
          <cell r="D1163" t="str">
            <v>Слесарь по ремонту автомобилей</v>
          </cell>
          <cell r="E1163" t="str">
            <v>ВЛ2010086 552290</v>
          </cell>
          <cell r="F1163">
            <v>1759.2</v>
          </cell>
          <cell r="G1163">
            <v>1491.2</v>
          </cell>
          <cell r="H1163">
            <v>0</v>
          </cell>
        </row>
        <row r="1164">
          <cell r="H1164">
            <v>0</v>
          </cell>
        </row>
        <row r="1165">
          <cell r="C1165" t="str">
            <v>Горохова Алена Николаевна</v>
          </cell>
          <cell r="D1165" t="str">
            <v>Инженер-лаборант</v>
          </cell>
          <cell r="E1165" t="str">
            <v>ЕВ2010156 957659</v>
          </cell>
          <cell r="F1165">
            <v>2848.3</v>
          </cell>
          <cell r="G1165">
            <v>2414.16</v>
          </cell>
          <cell r="H1165">
            <v>2879.42</v>
          </cell>
        </row>
        <row r="1166">
          <cell r="E1166" t="str">
            <v>ЕВ2010156 957658</v>
          </cell>
          <cell r="F1166">
            <v>3397.3</v>
          </cell>
          <cell r="G1166">
            <v>2879.42</v>
          </cell>
          <cell r="H1166">
            <v>0</v>
          </cell>
        </row>
        <row r="1167">
          <cell r="C1167" t="str">
            <v>Карпенко Любовь Валентиновна</v>
          </cell>
          <cell r="D1167" t="str">
            <v>Инженер II категории</v>
          </cell>
          <cell r="E1167" t="str">
            <v>5556126 354551</v>
          </cell>
          <cell r="F1167">
            <v>2616.3000000000002</v>
          </cell>
          <cell r="G1167">
            <v>2217.1999999999998</v>
          </cell>
          <cell r="H1167">
            <v>2217.1999999999998</v>
          </cell>
        </row>
        <row r="1168">
          <cell r="E1168" t="str">
            <v>823612 505401</v>
          </cell>
          <cell r="F1168">
            <v>2616.3000000000002</v>
          </cell>
          <cell r="G1168">
            <v>2217.1999999999998</v>
          </cell>
          <cell r="H1168">
            <v>0</v>
          </cell>
        </row>
        <row r="1175">
          <cell r="H1175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ах(б)"/>
      <sheetName val="эл т"/>
      <sheetName val="вах(т)"/>
      <sheetName val="#ССЫЛКА"/>
      <sheetName val="июнь ТО-45"/>
      <sheetName val="C.с  (2)"/>
      <sheetName val="инд. 2кв. 09г. ДОП 1"/>
    </sheetNames>
    <sheetDataSet>
      <sheetData sheetId="0" refreshError="1">
        <row r="37">
          <cell r="E37">
            <v>15856.866666666667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роги"/>
      <sheetName val="Сети"/>
      <sheetName val="Площадки"/>
      <sheetName val="база"/>
      <sheetName val="Коэффициенты"/>
    </sheetNames>
    <sheetDataSet>
      <sheetData sheetId="0" refreshError="1"/>
      <sheetData sheetId="1"/>
      <sheetData sheetId="2" refreshError="1"/>
      <sheetData sheetId="3">
        <row r="1">
          <cell r="A1" t="str">
            <v xml:space="preserve"> </v>
          </cell>
          <cell r="E1" t="str">
            <v xml:space="preserve"> </v>
          </cell>
        </row>
        <row r="2">
          <cell r="A2" t="str">
            <v>ООО "Институт Каналстройпроект"</v>
          </cell>
          <cell r="E2" t="str">
            <v>Моськин В.А.</v>
          </cell>
          <cell r="G2" t="str">
            <v>Исполнительная смета № 1</v>
          </cell>
          <cell r="J2" t="str">
            <v>стадия П</v>
          </cell>
        </row>
        <row r="3">
          <cell r="A3" t="str">
            <v>ЗАО "Капстройпроект"</v>
          </cell>
          <cell r="E3" t="str">
            <v>Лысов А.Е.</v>
          </cell>
          <cell r="G3" t="str">
            <v>Cмета № 1</v>
          </cell>
          <cell r="J3" t="str">
            <v>стадия РД</v>
          </cell>
        </row>
        <row r="4">
          <cell r="A4" t="str">
            <v>ООО "Каналсетьпроект"</v>
          </cell>
          <cell r="E4" t="str">
            <v>Четыркина Г.В.</v>
          </cell>
          <cell r="G4" t="str">
            <v>Исполнительная смета № 2</v>
          </cell>
        </row>
        <row r="5">
          <cell r="A5" t="str">
            <v>ЗАО "Гендирекция Центр"</v>
          </cell>
          <cell r="E5" t="str">
            <v>Шлячков Д.</v>
          </cell>
          <cell r="G5" t="str">
            <v>Cмета № 2</v>
          </cell>
        </row>
        <row r="6">
          <cell r="A6" t="str">
            <v>ЗАО "ТУКС - 4"</v>
          </cell>
          <cell r="E6" t="str">
            <v>Шувалов Д.Ю.</v>
          </cell>
          <cell r="G6" t="str">
            <v>Исполнительная смета № 3</v>
          </cell>
        </row>
        <row r="7">
          <cell r="A7" t="str">
            <v>ЗАО "ТУКС - 2"</v>
          </cell>
          <cell r="E7" t="str">
            <v>Сагаев Р.Б.</v>
          </cell>
          <cell r="G7" t="str">
            <v>Cмета № 3</v>
          </cell>
        </row>
        <row r="8">
          <cell r="A8" t="str">
            <v>ЗАО "ТУКС - 1"</v>
          </cell>
        </row>
        <row r="9">
          <cell r="A9" t="str">
            <v>ЗАО "ТУКС - 3"</v>
          </cell>
        </row>
        <row r="10">
          <cell r="A10" t="str">
            <v>ЗАО "ТУКС № 7 ЮВ"</v>
          </cell>
        </row>
        <row r="11">
          <cell r="A11" t="str">
            <v>ГУП "Моссвет"</v>
          </cell>
        </row>
        <row r="12">
          <cell r="A12" t="str">
            <v>ЗАО "Альстрой"</v>
          </cell>
        </row>
        <row r="13">
          <cell r="A13" t="str">
            <v>ООО "Архинж"</v>
          </cell>
        </row>
        <row r="14">
          <cell r="A14" t="str">
            <v>МГУП "Мосводоканал УКС ГТС"</v>
          </cell>
        </row>
        <row r="15">
          <cell r="A15" t="str">
            <v>ПУНС МГП "Мосводоканал"</v>
          </cell>
        </row>
        <row r="16">
          <cell r="A16" t="str">
            <v>ЗАО "УКС"</v>
          </cell>
        </row>
        <row r="17">
          <cell r="A17" t="str">
            <v>ЗАО "УКС объектов здравоохранения"</v>
          </cell>
        </row>
        <row r="18">
          <cell r="A18" t="str">
            <v>ООО "Зеленоградкапстрой"</v>
          </cell>
        </row>
        <row r="19">
          <cell r="A19" t="str">
            <v>ГУП МНИИП "Моспроект-4"</v>
          </cell>
        </row>
        <row r="20">
          <cell r="A20" t="str">
            <v>ЗАО "Дон-строй"</v>
          </cell>
        </row>
        <row r="21">
          <cell r="A21" t="str">
            <v>ООО "Региональная финансово-строительная компания"</v>
          </cell>
        </row>
        <row r="22">
          <cell r="A22" t="str">
            <v>ООО "ПИК Инвест"</v>
          </cell>
        </row>
        <row r="23">
          <cell r="A23" t="str">
            <v>ЗАО "Инвестстрой"</v>
          </cell>
        </row>
        <row r="24">
          <cell r="A24" t="str">
            <v>ООО  ОКС "СУ-155"</v>
          </cell>
        </row>
        <row r="25">
          <cell r="A25" t="str">
            <v>ООО "Фирма Вершина"</v>
          </cell>
        </row>
        <row r="26">
          <cell r="A26" t="str">
            <v>ООО "АПЦ "Проспроект"</v>
          </cell>
        </row>
        <row r="27">
          <cell r="A27" t="str">
            <v>ОАО "Метрогипротранс"</v>
          </cell>
        </row>
        <row r="28">
          <cell r="A28" t="str">
            <v>ООО ПСФ "КРОСТ"</v>
          </cell>
        </row>
        <row r="29">
          <cell r="A29" t="str">
            <v>УКС ГУП "Мосгаз"</v>
          </cell>
        </row>
        <row r="30">
          <cell r="A30" t="str">
            <v>ООО "Межрегиональный союз строителей"</v>
          </cell>
        </row>
        <row r="31">
          <cell r="A31" t="str">
            <v>ООО "Жилкапстрой"</v>
          </cell>
        </row>
        <row r="32">
          <cell r="A32" t="str">
            <v>ЗАО "УКС ИКС и Д"</v>
          </cell>
        </row>
        <row r="33">
          <cell r="A33" t="str">
            <v>ГУП "Мосинжпроект"</v>
          </cell>
        </row>
        <row r="34">
          <cell r="A34" t="str">
            <v>ООО "Жилкапстрой"</v>
          </cell>
        </row>
        <row r="35">
          <cell r="A35" t="str">
            <v>ООО "СветоСервиС"</v>
          </cell>
        </row>
        <row r="36">
          <cell r="A36" t="str">
            <v>ООО "МНПП СВЭН"</v>
          </cell>
        </row>
        <row r="37">
          <cell r="A37" t="str">
            <v>ЗАО "СОРВиК"</v>
          </cell>
        </row>
        <row r="38">
          <cell r="A38" t="str">
            <v>ЗАО "ИНЖПРОЕКТСЕРВИС"</v>
          </cell>
        </row>
        <row r="39">
          <cell r="A39" t="str">
            <v>ЗАО "ИНСТИТУТ ПРОМОС"</v>
          </cell>
        </row>
        <row r="40">
          <cell r="A40" t="str">
            <v>ЗАО "УКС КБН"</v>
          </cell>
        </row>
        <row r="41">
          <cell r="A41" t="str">
            <v>ЗАО "ГЕОТОК"</v>
          </cell>
        </row>
        <row r="42">
          <cell r="A42" t="str">
            <v>ЗАО "ММА + Фицрой Робинсон Интернэшенл"</v>
          </cell>
        </row>
        <row r="43">
          <cell r="A43" t="str">
            <v>ЗАО "МОСПРОМСТРОЙ" ФИРМА "АРС"</v>
          </cell>
        </row>
        <row r="44">
          <cell r="A44" t="str">
            <v>Архитектурно-проектная мастерская ООО "Малая Студия"</v>
          </cell>
        </row>
        <row r="45">
          <cell r="A45" t="str">
            <v>ООО "ТУКС МОСПРОМСТРОЙ"</v>
          </cell>
        </row>
        <row r="46">
          <cell r="A46" t="str">
            <v>ГУП "МНИИТЭП"</v>
          </cell>
        </row>
        <row r="47">
          <cell r="A47" t="str">
            <v>НПО "КОСМОС"</v>
          </cell>
        </row>
        <row r="48">
          <cell r="A48" t="str">
            <v>ООО "ПРОК - энерго 2001"</v>
          </cell>
        </row>
        <row r="49">
          <cell r="A49" t="str">
            <v>ОАО "УКС НАУКА"</v>
          </cell>
        </row>
        <row r="50">
          <cell r="A50" t="str">
            <v>ГУП "МосводоканалНИИпроект"</v>
          </cell>
        </row>
        <row r="51">
          <cell r="A51" t="str">
            <v>ФГУП «Институт общественных зданий»</v>
          </cell>
        </row>
        <row r="52">
          <cell r="A52" t="str">
            <v>ОАО "СТРОЙПРОЕКТ"</v>
          </cell>
        </row>
        <row r="53">
          <cell r="A53" t="str">
            <v>ЗАО "ИНВЕСТСТРОЙ"</v>
          </cell>
        </row>
        <row r="54">
          <cell r="A54" t="str">
            <v>ЗАО "СТРОЙИНДУСТРИЯ"</v>
          </cell>
        </row>
      </sheetData>
      <sheetData sheetId="4">
        <row r="1">
          <cell r="A1" t="str">
            <v xml:space="preserve"> </v>
          </cell>
        </row>
        <row r="2">
          <cell r="A2" t="str">
            <v>1,1</v>
          </cell>
        </row>
        <row r="3">
          <cell r="A3" t="str">
            <v>1,25</v>
          </cell>
        </row>
        <row r="4">
          <cell r="A4" t="str">
            <v>1,43</v>
          </cell>
        </row>
        <row r="5">
          <cell r="A5" t="str">
            <v>1,67</v>
          </cell>
        </row>
        <row r="6">
          <cell r="A6" t="str">
            <v>2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"/>
      <sheetName val="ПИР"/>
      <sheetName val="ПИР т"/>
      <sheetName val="П.з. л. c"/>
      <sheetName val="зим"/>
      <sheetName val="C.с "/>
      <sheetName val="Сод.р.в."/>
      <sheetName val="П.з.р.в."/>
      <sheetName val="сод"/>
      <sheetName val="Лист1"/>
      <sheetName val="Обстановка дороги"/>
      <sheetName val="Автопавильон"/>
      <sheetName val="Дорожная одежда"/>
      <sheetName val="Вертик.планировка"/>
      <sheetName val=" Подготовительные работы"/>
      <sheetName val="Врем.здания"/>
      <sheetName val="Земляное полотно"/>
      <sheetName val="Зима"/>
      <sheetName val="Объездные дороги"/>
      <sheetName val="Озеленение"/>
      <sheetName val="Пересечения и примыкания"/>
      <sheetName val="Рекультивация"/>
      <sheetName val="Искусственные сооружения"/>
      <sheetName val="К.С.М. (ПУТ)"/>
      <sheetName val="цены_азот"/>
    </sheetNames>
    <sheetDataSet>
      <sheetData sheetId="0" refreshError="1"/>
      <sheetData sheetId="1"/>
      <sheetData sheetId="2">
        <row r="33">
          <cell r="P33">
            <v>77.190000000000012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"/>
      <sheetName val="зим"/>
      <sheetName val="эл"/>
      <sheetName val="вах"/>
      <sheetName val="П.з. л. c"/>
      <sheetName val="П.з.р.в."/>
      <sheetName val="ПИРб"/>
      <sheetName val="ПИРт"/>
      <sheetName val="Сод р.в."/>
      <sheetName val="Сод.л.см"/>
      <sheetName val="вах(б)"/>
      <sheetName val="Расчет"/>
      <sheetName val="C.с"/>
    </sheetNames>
    <sheetDataSet>
      <sheetData sheetId="0"/>
      <sheetData sheetId="1"/>
      <sheetData sheetId="2"/>
      <sheetData sheetId="3">
        <row r="18">
          <cell r="H18">
            <v>11.68</v>
          </cell>
        </row>
      </sheetData>
      <sheetData sheetId="4"/>
      <sheetData sheetId="5">
        <row r="33">
          <cell r="C33">
            <v>249.96</v>
          </cell>
        </row>
        <row r="48">
          <cell r="H48">
            <v>24.19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С-3"/>
      <sheetName val="Инструкция"/>
      <sheetName val="Бланк"/>
      <sheetName val="Данные"/>
    </sheetNames>
    <sheetDataSet>
      <sheetData sheetId="0">
        <row r="1">
          <cell r="J1" t="str">
            <v>18</v>
          </cell>
        </row>
        <row r="3">
          <cell r="M3" t="str">
            <v>Апрель 2014</v>
          </cell>
          <cell r="N3" t="str">
            <v>Силовое электрооборудование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"/>
      <sheetName val="Сводка ТКЛ"/>
      <sheetName val="КС-3дек"/>
      <sheetName val="Лист3"/>
      <sheetName val="143 (на сентябрь)"/>
      <sheetName val="126"/>
    </sheetNames>
    <sheetDataSet>
      <sheetData sheetId="0" refreshError="1">
        <row r="1">
          <cell r="G1" t="str">
            <v>1759и-3-59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(дор.+мост)"/>
      <sheetName val="Тр.(дор.)"/>
      <sheetName val="Тр.  (мост)"/>
      <sheetName val="Сод.л.см"/>
      <sheetName val="Сод.р.в."/>
      <sheetName val="П.з.р.в"/>
      <sheetName val="П.з.л.см"/>
      <sheetName val="C.с"/>
      <sheetName val="В.ст.дор"/>
      <sheetName val="В.ст.мост"/>
      <sheetName val="Вр"/>
      <sheetName val="зим"/>
      <sheetName val="эл"/>
      <sheetName val="ПИРб"/>
      <sheetName val="ПИРт"/>
      <sheetName val="2012(КСЛ) (2)"/>
      <sheetName val="12"/>
      <sheetName val="C.с "/>
      <sheetName val="К.С.М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9">
          <cell r="D39">
            <v>6.12</v>
          </cell>
        </row>
        <row r="92">
          <cell r="D92">
            <v>10.24</v>
          </cell>
        </row>
        <row r="123">
          <cell r="D123">
            <v>56.15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токол ДЦ"/>
      <sheetName val="СВОД"/>
      <sheetName val="Расчет стоимости"/>
      <sheetName val="Лист1"/>
      <sheetName val="Расшифровка гр.3"/>
      <sheetName val="Разбивка ОиС работ"/>
      <sheetName val="Календарный план"/>
      <sheetName val="Расшифровка смет.стоим_сл"/>
      <sheetName val="Для КС-3"/>
      <sheetName val="Распределение_служебная"/>
      <sheetName val="КС-2 ИЮНЬ 2014"/>
      <sheetName val="КС-3 (июнь) 14"/>
      <sheetName val="КС-3 &lt;- &gt;КС-3"/>
      <sheetName val="Реестр"/>
      <sheetName val="Тр.  (мост)"/>
    </sheetNames>
    <sheetDataSet>
      <sheetData sheetId="0">
        <row r="11">
          <cell r="E11">
            <v>1581306492.8099999</v>
          </cell>
        </row>
        <row r="22">
          <cell r="E22">
            <v>113307051.39000002</v>
          </cell>
        </row>
      </sheetData>
      <sheetData sheetId="1"/>
      <sheetData sheetId="2">
        <row r="910">
          <cell r="J910">
            <v>1353380760.0050001</v>
          </cell>
          <cell r="K910">
            <v>45276057.115599997</v>
          </cell>
          <cell r="L910">
            <v>6956477.450000003</v>
          </cell>
          <cell r="M910">
            <v>15433375.630000001</v>
          </cell>
          <cell r="N910">
            <v>28369350.390000008</v>
          </cell>
          <cell r="O910">
            <v>1449416020.5906</v>
          </cell>
        </row>
      </sheetData>
      <sheetData sheetId="3">
        <row r="138">
          <cell r="M138">
            <v>0.98439548548203604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6">
          <cell r="N26" t="str">
            <v>Компенсация с НДС</v>
          </cell>
        </row>
      </sheetData>
      <sheetData sheetId="13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Н1_БНС"/>
      <sheetName val="ЭН2_БНС"/>
      <sheetName val="ЭН14_БНС"/>
      <sheetName val="1-1-4"/>
      <sheetName val="8-4_времен.дорога А-В"/>
      <sheetName val="2-4-9_дорога 3"/>
      <sheetName val="1-1-11_Зем.работы площадки"/>
      <sheetName val="1-1-8_островки"/>
      <sheetName val="9 навМОСТОВИК"/>
      <sheetName val="Эл.энергия без 100 кВт"/>
      <sheetName val="М2_БНС"/>
      <sheetName val="ЭН14_Ростверк"/>
      <sheetName val="ЭН14_СВСиУ"/>
      <sheetName val="ЭН15_БНС"/>
      <sheetName val="ЭН13_БНС"/>
      <sheetName val="ЭН13_СВСиУ"/>
      <sheetName val="ЭН3_БНС"/>
      <sheetName val="ЭН16_БНС"/>
      <sheetName val="Ф-2 надбавка ДВ%"/>
      <sheetName val="Ф-2 вах.метод"/>
      <sheetName val="перебазировка"/>
      <sheetName val="Аренда флота"/>
      <sheetName val="КС-3"/>
      <sheetName val="КС-3_ноябрь полная"/>
      <sheetName val="КС-3_ноябрь"/>
      <sheetName val="Реестр актов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.з.р.в."/>
      <sheetName val="К"/>
      <sheetName val="Ф"/>
      <sheetName val="К.С.М."/>
      <sheetName val="Тр."/>
      <sheetName val="Сод р.в."/>
      <sheetName val="Сод.л.см"/>
      <sheetName val="зим"/>
      <sheetName val="C.с "/>
      <sheetName val="вах"/>
      <sheetName val="ГИБДД"/>
      <sheetName val="П.з. л. c"/>
      <sheetName val="12"/>
      <sheetName val="C.с"/>
      <sheetName val="контрагенты"/>
    </sheetNames>
    <sheetDataSet>
      <sheetData sheetId="0"/>
      <sheetData sheetId="1"/>
      <sheetData sheetId="2">
        <row r="52">
          <cell r="H52">
            <v>58.765040000000006</v>
          </cell>
        </row>
      </sheetData>
      <sheetData sheetId="3"/>
      <sheetData sheetId="4">
        <row r="35">
          <cell r="H35">
            <v>9.33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"/>
      <sheetName val="зим"/>
      <sheetName val="эл"/>
      <sheetName val="вах"/>
      <sheetName val="П.з. л. c"/>
      <sheetName val="П.з.р.в."/>
      <sheetName val="ПИРб"/>
      <sheetName val="ПИРт"/>
      <sheetName val="Сод р.в."/>
      <sheetName val="Сод.л.см"/>
      <sheetName val="C.с"/>
    </sheetNames>
    <sheetDataSet>
      <sheetData sheetId="0"/>
      <sheetData sheetId="1"/>
      <sheetData sheetId="2"/>
      <sheetData sheetId="3" refreshError="1">
        <row r="18">
          <cell r="H18">
            <v>11.68</v>
          </cell>
        </row>
        <row r="21">
          <cell r="H21">
            <v>9.64</v>
          </cell>
        </row>
        <row r="27">
          <cell r="H27">
            <v>4.5599999999999996</v>
          </cell>
        </row>
        <row r="30">
          <cell r="H30">
            <v>2.04</v>
          </cell>
        </row>
        <row r="39">
          <cell r="H39">
            <v>1.97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Тр. (2)"/>
      <sheetName val="C.с "/>
      <sheetName val="C.с  (2)"/>
      <sheetName val="C.сбаз.и"/>
      <sheetName val="Р1 (2)"/>
      <sheetName val="Р1 (И)"/>
      <sheetName val="П.з "/>
      <sheetName val="сод"/>
      <sheetName val="сод (2)"/>
      <sheetName val="сод р.в."/>
      <sheetName val="П.з  (2)"/>
      <sheetName val="П.з  (3)"/>
      <sheetName val="C.сбаз.и (РД)"/>
      <sheetName val="Ер"/>
      <sheetName val="Р1"/>
      <sheetName val="ПИР"/>
      <sheetName val="C.с  (3)"/>
      <sheetName val="ок.ср."/>
      <sheetName val="#ССЫЛКА"/>
      <sheetName val="отгр ГОК"/>
    </sheetNames>
    <sheetDataSet>
      <sheetData sheetId="0" refreshError="1"/>
      <sheetData sheetId="1"/>
      <sheetData sheetId="2"/>
      <sheetData sheetId="3">
        <row r="31">
          <cell r="H31">
            <v>2.1999999999999997</v>
          </cell>
        </row>
      </sheetData>
      <sheetData sheetId="4">
        <row r="31">
          <cell r="H31">
            <v>2.1999999999999997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  <sheetName val="Е.р."/>
      <sheetName val="К"/>
      <sheetName val="Ф"/>
      <sheetName val="К.С.М."/>
      <sheetName val="Тр."/>
      <sheetName val="Р1"/>
      <sheetName val="Р2"/>
      <sheetName val="Р2 (2)"/>
      <sheetName val="Р3"/>
      <sheetName val="C.с"/>
      <sheetName val="C.с (2)"/>
      <sheetName val="C.с (3)"/>
      <sheetName val="Сод"/>
      <sheetName val="П.з"/>
      <sheetName val="ПИР"/>
      <sheetName val="Тр. (2)"/>
      <sheetName val="Консолидированный"/>
    </sheetNames>
    <sheetDataSet>
      <sheetData sheetId="0"/>
      <sheetData sheetId="1"/>
      <sheetData sheetId="2"/>
      <sheetData sheetId="3"/>
      <sheetData sheetId="4"/>
      <sheetData sheetId="5">
        <row r="27">
          <cell r="H27">
            <v>2.41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.С.М."/>
      <sheetName val="Тр."/>
      <sheetName val="сод"/>
      <sheetName val="ПИРБ"/>
      <sheetName val="C.с  Б"/>
      <sheetName val="врБ"/>
      <sheetName val="зимБ"/>
      <sheetName val="вах"/>
      <sheetName val="Тр.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Ер"/>
      <sheetName val="К"/>
      <sheetName val="Ф"/>
      <sheetName val="К.С.М."/>
      <sheetName val="Тр."/>
      <sheetName val="Тр. (2)"/>
      <sheetName val="C.с "/>
      <sheetName val="Р1"/>
      <sheetName val="Р1 (2)"/>
      <sheetName val="ПИР"/>
      <sheetName val="П.з "/>
      <sheetName val="C.с  (2)"/>
      <sheetName val="C.с  (3)"/>
      <sheetName val="ок.ср."/>
      <sheetName val="сод"/>
      <sheetName val="C.сбаз.и"/>
      <sheetName val="Р1 (И)"/>
      <sheetName val="сод (2)"/>
      <sheetName val="сод р.в."/>
      <sheetName val="П.з  (2)"/>
      <sheetName val="П.з  (3)"/>
      <sheetName val="#ССЫЛКА"/>
      <sheetName val="отгр ГОК"/>
    </sheetNames>
    <sheetDataSet>
      <sheetData sheetId="0"/>
      <sheetData sheetId="1"/>
      <sheetData sheetId="2"/>
      <sheetData sheetId="3"/>
      <sheetData sheetId="4">
        <row r="31">
          <cell r="H31">
            <v>2.1999999999999997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С-3"/>
      <sheetName val="Данные"/>
    </sheetNames>
    <sheetDataSet>
      <sheetData sheetId="0"/>
      <sheetData sheetId="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ource"/>
      <sheetName val="SmtRes"/>
      <sheetName val="ClcRes"/>
      <sheetName val="РЕЕСТР"/>
      <sheetName val="Тр."/>
      <sheetName val="К.С.М."/>
    </sheetNames>
    <sheetDataSet>
      <sheetData sheetId="0">
        <row r="414">
          <cell r="B414" t="str">
            <v>Всего</v>
          </cell>
          <cell r="J414">
            <v>1304025.2641999999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.см.дор"/>
      <sheetName val="зим Д"/>
      <sheetName val="об.см.пут"/>
      <sheetName val="зимП"/>
      <sheetName val="об.см.эл."/>
      <sheetName val="Сод. к ч.4"/>
      <sheetName val="Сод. к ч.3"/>
      <sheetName val="Сод. к ч.2"/>
      <sheetName val="Сод. к ч.1"/>
      <sheetName val="ПИРб"/>
      <sheetName val="ПИРт"/>
      <sheetName val="К"/>
      <sheetName val="Ф"/>
      <sheetName val="Тощ.бет."/>
      <sheetName val="К.С.М."/>
      <sheetName val="К.С.М. (ПУТ)"/>
      <sheetName val="Тр.(пут)"/>
      <sheetName val="Тр.(дорога)"/>
      <sheetName val="зим"/>
      <sheetName val="C.с"/>
      <sheetName val="П.з. л. c"/>
      <sheetName val="П.з.р.в."/>
      <sheetName val="Лист1"/>
      <sheetName val="Тр.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.С.М."/>
      <sheetName val="Ер"/>
      <sheetName val="К"/>
      <sheetName val="Ф"/>
      <sheetName val="Тр."/>
      <sheetName val="Тр. (2)"/>
      <sheetName val="а.б. 1 м"/>
      <sheetName val="битум"/>
      <sheetName val="Р1 "/>
      <sheetName val="ПИР"/>
      <sheetName val="Р2"/>
      <sheetName val="C.с "/>
      <sheetName val="C.с  (2)"/>
      <sheetName val="C.с  (4)"/>
      <sheetName val="П.з "/>
      <sheetName val="С.с зам"/>
      <sheetName val="зим.зам"/>
      <sheetName val="П.з  (2)"/>
      <sheetName val="Ведомость потр.рес."/>
      <sheetName val="Распределение"/>
      <sheetName val="К.С.М. (ПУТ)"/>
      <sheetName val="цены"/>
      <sheetName val="Лист1"/>
    </sheetNames>
    <sheetDataSet>
      <sheetData sheetId="0" refreshError="1">
        <row r="159">
          <cell r="P159">
            <v>12.82</v>
          </cell>
        </row>
        <row r="163">
          <cell r="P163">
            <v>7.339999999999999</v>
          </cell>
        </row>
        <row r="167">
          <cell r="P167">
            <v>17.14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м"/>
      <sheetName val="К.С.М. (ПУТ)"/>
      <sheetName val="Тощ.бет."/>
      <sheetName val="К.С.М."/>
      <sheetName val="Тр.(дорога)"/>
      <sheetName val="Тр.(пут)"/>
      <sheetName val="ПИР"/>
      <sheetName val="зим"/>
      <sheetName val="C.с"/>
      <sheetName val="Сод.л.см"/>
      <sheetName val="П.з.л.см. "/>
      <sheetName val="П.з.р.в."/>
      <sheetName val="C.с  (2)"/>
    </sheetNames>
    <sheetDataSet>
      <sheetData sheetId="0"/>
      <sheetData sheetId="1">
        <row r="17">
          <cell r="H17">
            <v>16.07</v>
          </cell>
        </row>
        <row r="22">
          <cell r="H22">
            <v>335.33</v>
          </cell>
        </row>
        <row r="24">
          <cell r="H24">
            <v>72.89</v>
          </cell>
        </row>
        <row r="26">
          <cell r="H26">
            <v>14.31</v>
          </cell>
        </row>
        <row r="28">
          <cell r="H28">
            <v>38.82</v>
          </cell>
        </row>
        <row r="30">
          <cell r="H30">
            <v>45.74</v>
          </cell>
        </row>
        <row r="32">
          <cell r="H32">
            <v>42.26</v>
          </cell>
        </row>
        <row r="34">
          <cell r="H34">
            <v>48.3</v>
          </cell>
        </row>
        <row r="36">
          <cell r="H36">
            <v>72.239999999999995</v>
          </cell>
        </row>
        <row r="38">
          <cell r="H38">
            <v>75.37</v>
          </cell>
        </row>
        <row r="40">
          <cell r="H40">
            <v>55.67</v>
          </cell>
        </row>
        <row r="42">
          <cell r="H42">
            <v>44.14</v>
          </cell>
        </row>
      </sheetData>
      <sheetData sheetId="2">
        <row r="86">
          <cell r="P86">
            <v>29.44</v>
          </cell>
        </row>
        <row r="90">
          <cell r="P90">
            <v>32.39</v>
          </cell>
        </row>
        <row r="94">
          <cell r="P94">
            <v>38.200000000000003</v>
          </cell>
        </row>
        <row r="98">
          <cell r="P98">
            <v>34.200000000000003</v>
          </cell>
        </row>
        <row r="102">
          <cell r="P102">
            <v>37.200000000000003</v>
          </cell>
        </row>
        <row r="106">
          <cell r="P106">
            <v>10.64</v>
          </cell>
        </row>
        <row r="110">
          <cell r="P110">
            <v>10.39</v>
          </cell>
        </row>
        <row r="113">
          <cell r="P113">
            <v>12.18</v>
          </cell>
        </row>
      </sheetData>
      <sheetData sheetId="3"/>
      <sheetData sheetId="4"/>
      <sheetData sheetId="5"/>
      <sheetData sheetId="6">
        <row r="17">
          <cell r="P17">
            <v>3.08</v>
          </cell>
        </row>
        <row r="20">
          <cell r="P20">
            <v>2.61</v>
          </cell>
        </row>
        <row r="23">
          <cell r="P23">
            <v>3.21</v>
          </cell>
        </row>
        <row r="26">
          <cell r="P26">
            <v>5.14</v>
          </cell>
        </row>
        <row r="29">
          <cell r="P29">
            <v>8.34</v>
          </cell>
        </row>
        <row r="35">
          <cell r="P35">
            <v>10.36</v>
          </cell>
        </row>
        <row r="38">
          <cell r="P38">
            <v>5.0199999999999996</v>
          </cell>
        </row>
        <row r="41">
          <cell r="P41">
            <v>4.87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"/>
      <sheetName val="ПИР"/>
      <sheetName val="ПИР т"/>
      <sheetName val="П.з. л. c"/>
      <sheetName val="зим"/>
      <sheetName val="C.с "/>
      <sheetName val="Сод.р.в."/>
      <sheetName val="П.з.р.в."/>
      <sheetName val="сод"/>
      <sheetName val="К.С.М. (ПУТ)"/>
      <sheetName val="цены_азот"/>
    </sheetNames>
    <sheetDataSet>
      <sheetData sheetId="0"/>
      <sheetData sheetId="1"/>
      <sheetData sheetId="2">
        <row r="33">
          <cell r="P33">
            <v>77.190000000000012</v>
          </cell>
        </row>
        <row r="64">
          <cell r="P64">
            <v>18.95</v>
          </cell>
        </row>
        <row r="68">
          <cell r="P68">
            <v>19.45</v>
          </cell>
        </row>
        <row r="83">
          <cell r="P83">
            <v>8.4</v>
          </cell>
        </row>
        <row r="87">
          <cell r="P87">
            <v>10.29</v>
          </cell>
        </row>
        <row r="91">
          <cell r="P91">
            <v>3.03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баз"/>
      <sheetName val="сод.л.см."/>
      <sheetName val="зим Б"/>
      <sheetName val="П.з"/>
      <sheetName val="ПИР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ч. щ. 1"/>
      <sheetName val="ч. щ. 2"/>
      <sheetName val="К.С.М."/>
      <sheetName val="Тр."/>
      <sheetName val="Тр.(ж.д.)"/>
      <sheetName val="зим."/>
      <sheetName val="вах"/>
      <sheetName val="окно"/>
      <sheetName val="вр"/>
      <sheetName val="C.с"/>
      <sheetName val="П.з.л.см"/>
      <sheetName val="П.з.р.в"/>
      <sheetName val="Сод.л.см"/>
      <sheetName val="Сод.р.в."/>
      <sheetName val="отгр ГОК"/>
    </sheetNames>
    <sheetDataSet>
      <sheetData sheetId="0" refreshError="1"/>
      <sheetData sheetId="1">
        <row r="57">
          <cell r="H57">
            <v>136.85</v>
          </cell>
        </row>
      </sheetData>
      <sheetData sheetId="2" refreshError="1"/>
      <sheetData sheetId="3" refreshError="1"/>
      <sheetData sheetId="4">
        <row r="319">
          <cell r="P319">
            <v>10.35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ж.д."/>
      <sheetName val="сод"/>
      <sheetName val="ПИРБ"/>
      <sheetName val="C.с  Б"/>
      <sheetName val="зимБ"/>
      <sheetName val="вах"/>
      <sheetName val="вр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ч. щ. 1"/>
      <sheetName val="ч. щ. 2"/>
      <sheetName val="К.С.М."/>
      <sheetName val="Тр."/>
      <sheetName val="Тр.(ж.д.)"/>
      <sheetName val="зим."/>
      <sheetName val="вах"/>
      <sheetName val="окно"/>
      <sheetName val="вр"/>
      <sheetName val="C.с"/>
      <sheetName val="П.з.л.см"/>
      <sheetName val="П.з.р.в"/>
      <sheetName val="Сод.л.см"/>
      <sheetName val="Сод.р.в."/>
      <sheetName val="коэф"/>
    </sheetNames>
    <sheetDataSet>
      <sheetData sheetId="0"/>
      <sheetData sheetId="1"/>
      <sheetData sheetId="2"/>
      <sheetData sheetId="3"/>
      <sheetData sheetId="4">
        <row r="354">
          <cell r="P354">
            <v>15.41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.з.р.в."/>
      <sheetName val="К"/>
      <sheetName val="Ф"/>
      <sheetName val="К.С.М."/>
      <sheetName val="Тр."/>
      <sheetName val="Сод р.в."/>
      <sheetName val="Сод.л.см"/>
      <sheetName val="зим"/>
      <sheetName val="C.с "/>
      <sheetName val="вах"/>
      <sheetName val="ГИБДД"/>
      <sheetName val="П.з. л. c"/>
    </sheetNames>
    <sheetDataSet>
      <sheetData sheetId="0"/>
      <sheetData sheetId="1"/>
      <sheetData sheetId="2"/>
      <sheetData sheetId="3">
        <row r="51">
          <cell r="P51">
            <v>8.94</v>
          </cell>
        </row>
        <row r="78">
          <cell r="P78">
            <v>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3"/>
      <sheetName val="зимтек"/>
      <sheetName val="C.с тек"/>
      <sheetName val="ф2"/>
      <sheetName val="ф8"/>
      <sheetName val="ф9"/>
      <sheetName val="ф10"/>
      <sheetName val="C.с тек ЭЛ"/>
      <sheetName val="К.С.М."/>
      <sheetName val="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Ф (177)"/>
      <sheetName val="К.С.М."/>
      <sheetName val="Тр"/>
      <sheetName val="зим"/>
      <sheetName val="C.с"/>
      <sheetName val="П.з. л. c"/>
      <sheetName val="П.з.р.в."/>
      <sheetName val="окно"/>
      <sheetName val="ПИРб"/>
      <sheetName val="ПИР т"/>
      <sheetName val="Сод р.в."/>
      <sheetName val="Сод.л.см"/>
      <sheetName val="ф9"/>
      <sheetName val="ф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Лист1"/>
      <sheetName val="Source"/>
      <sheetName val="SmtRes"/>
      <sheetName val="ClcRes"/>
      <sheetName val="ф9"/>
      <sheetName val="ф10"/>
      <sheetName val="К.С.М.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2 нов (2)"/>
      <sheetName val="сод.т.ц."/>
      <sheetName val="Изопласт"/>
      <sheetName val="C.с"/>
      <sheetName val="C.с (2)"/>
      <sheetName val="врБ"/>
      <sheetName val="врБ (2)"/>
      <sheetName val="врТ"/>
      <sheetName val="зимБ"/>
      <sheetName val="зимБ (2)"/>
      <sheetName val="зимТ"/>
      <sheetName val="Возврат"/>
      <sheetName val="экспертиза"/>
      <sheetName val="ПИР"/>
      <sheetName val="перБ"/>
      <sheetName val="перТ"/>
      <sheetName val="К.С.М."/>
      <sheetName val="Ф"/>
      <sheetName val="ф9"/>
      <sheetName val="ф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0">
          <cell r="F20">
            <v>145.58000000000001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м"/>
      <sheetName val="К.С.М. (ПУТ)"/>
      <sheetName val="Тощ.бет."/>
      <sheetName val="К.С.М."/>
      <sheetName val="Тр.(дорога)"/>
      <sheetName val="Тр.(пут)"/>
      <sheetName val="ПИР"/>
      <sheetName val="зим"/>
      <sheetName val="C.с"/>
      <sheetName val="Сод.л.см"/>
      <sheetName val="П.з.л.см. "/>
      <sheetName val="П.з.р.в."/>
    </sheetNames>
    <sheetDataSet>
      <sheetData sheetId="0"/>
      <sheetData sheetId="1"/>
      <sheetData sheetId="2"/>
      <sheetData sheetId="3"/>
      <sheetData sheetId="4"/>
      <sheetData sheetId="5"/>
      <sheetData sheetId="6">
        <row r="32">
          <cell r="P32">
            <v>10.23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ource"/>
      <sheetName val="SmtRes"/>
      <sheetName val="ClcRes"/>
      <sheetName val="К.С.М."/>
      <sheetName val="Ф"/>
    </sheetNames>
    <sheetDataSet>
      <sheetData sheetId="0">
        <row r="317">
          <cell r="B317" t="str">
            <v xml:space="preserve">Локальная смета </v>
          </cell>
          <cell r="C317" t="str">
            <v>Локальная смета 5 Укрепление откоса габионами</v>
          </cell>
        </row>
      </sheetData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 "/>
      <sheetName val="П.з.р.в."/>
      <sheetName val="ПИР"/>
      <sheetName val="П.з. л. c"/>
      <sheetName val="зимбаз"/>
      <sheetName val="C.с баз"/>
      <sheetName val="Зима тек"/>
      <sheetName val="C.с тек"/>
      <sheetName val="содбаз"/>
      <sheetName val="содтек"/>
      <sheetName val="ф2"/>
      <sheetName val="ф8"/>
      <sheetName val="ф9 "/>
      <sheetName val="ф10"/>
      <sheetName val="Лист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"/>
      <sheetName val="Тр."/>
      <sheetName val="C.с баз"/>
      <sheetName val="зим Б"/>
      <sheetName val="П.з"/>
      <sheetName val="ПИР"/>
      <sheetName val="сод.л.см."/>
      <sheetName val="Лист1"/>
      <sheetName val="C.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ource"/>
      <sheetName val="SmtRes"/>
      <sheetName val="ClcRes"/>
      <sheetName val="Ф"/>
      <sheetName val="ПИ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9 "/>
      <sheetName val="ф8"/>
      <sheetName val="ф2"/>
      <sheetName val="ф10"/>
      <sheetName val="Ф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2"/>
      <sheetName val="сод.т.ц."/>
      <sheetName val="Возврат"/>
      <sheetName val="зим "/>
      <sheetName val="C.с "/>
      <sheetName val="ПИР"/>
      <sheetName val="эл т "/>
      <sheetName val="Лист1"/>
      <sheetName val="ф10"/>
      <sheetName val="списки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6">
          <cell r="H86">
            <v>7289.42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x_abc4"/>
      <sheetName val="hx_abc4 (2)"/>
      <sheetName val="ф10"/>
      <sheetName val="C.с "/>
      <sheetName val="Лист1"/>
    </sheetNames>
    <sheetDataSet>
      <sheetData sheetId="0">
        <row r="20">
          <cell r="L20" t="str">
            <v>на един.</v>
          </cell>
          <cell r="M20" t="str">
            <v>всего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x_abc4"/>
      <sheetName val="C.с "/>
    </sheetNames>
    <sheetDataSet>
      <sheetData sheetId="0"/>
      <sheetData sheetId="1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28">
          <cell r="G28" t="str">
            <v>Вентиляция</v>
          </cell>
        </row>
        <row r="342">
          <cell r="G342" t="str">
            <v>П2-16, П2-16р</v>
          </cell>
        </row>
        <row r="346">
          <cell r="H346" t="str">
            <v>1  ШТ.</v>
          </cell>
          <cell r="I346">
            <v>1</v>
          </cell>
          <cell r="P346">
            <v>4.17</v>
          </cell>
          <cell r="Q346">
            <v>17.8</v>
          </cell>
          <cell r="R346">
            <v>2.33</v>
          </cell>
          <cell r="S346">
            <v>1096.75</v>
          </cell>
          <cell r="U346">
            <v>55.035859999999992</v>
          </cell>
          <cell r="X346">
            <v>866.43</v>
          </cell>
          <cell r="Y346">
            <v>767.73</v>
          </cell>
          <cell r="AL346">
            <v>4.0599999999999996</v>
          </cell>
          <cell r="AM346">
            <v>15.8</v>
          </cell>
          <cell r="AN346">
            <v>1.31</v>
          </cell>
          <cell r="AO346">
            <v>615.5</v>
          </cell>
          <cell r="AQ346">
            <v>51.58</v>
          </cell>
          <cell r="DD346" t="str">
            <v/>
          </cell>
          <cell r="DE346" t="str">
            <v/>
          </cell>
          <cell r="DG346" t="str">
            <v>)*1,67</v>
          </cell>
          <cell r="DI346" t="str">
            <v/>
          </cell>
        </row>
        <row r="347">
          <cell r="P347">
            <v>26.4</v>
          </cell>
          <cell r="Q347">
            <v>151.03</v>
          </cell>
          <cell r="R347">
            <v>57.15</v>
          </cell>
          <cell r="S347">
            <v>26903.279999999999</v>
          </cell>
          <cell r="X347">
            <v>18294.23</v>
          </cell>
          <cell r="Y347">
            <v>11568.41</v>
          </cell>
          <cell r="AV347">
            <v>1.0669999999999999</v>
          </cell>
          <cell r="AW347">
            <v>1.028</v>
          </cell>
          <cell r="BA347">
            <v>24.53</v>
          </cell>
          <cell r="BB347">
            <v>7.59</v>
          </cell>
          <cell r="BC347">
            <v>6.33</v>
          </cell>
          <cell r="BS347">
            <v>24.53</v>
          </cell>
          <cell r="BZ347">
            <v>68</v>
          </cell>
          <cell r="CA347">
            <v>43</v>
          </cell>
          <cell r="DN347">
            <v>68</v>
          </cell>
          <cell r="DO347">
            <v>43</v>
          </cell>
        </row>
        <row r="348">
          <cell r="F348" t="str">
            <v>Прайс-лист</v>
          </cell>
          <cell r="H348" t="str">
            <v>шт.</v>
          </cell>
          <cell r="I348">
            <v>1</v>
          </cell>
          <cell r="R348">
            <v>0</v>
          </cell>
          <cell r="X348">
            <v>0</v>
          </cell>
          <cell r="Y348">
            <v>0</v>
          </cell>
          <cell r="AL348">
            <v>137717.41</v>
          </cell>
          <cell r="DD348" t="str">
            <v/>
          </cell>
        </row>
        <row r="349">
          <cell r="R349">
            <v>0</v>
          </cell>
          <cell r="X349">
            <v>0</v>
          </cell>
          <cell r="Y349">
            <v>0</v>
          </cell>
          <cell r="AW349">
            <v>1</v>
          </cell>
          <cell r="BC349">
            <v>4.5999999999999996</v>
          </cell>
        </row>
        <row r="381">
          <cell r="G381" t="str">
            <v>П2-16, П2-16р</v>
          </cell>
        </row>
        <row r="671">
          <cell r="G671" t="str">
            <v>П2-25, П2-25р</v>
          </cell>
        </row>
        <row r="675">
          <cell r="H675" t="str">
            <v>1  ШТ.</v>
          </cell>
          <cell r="I675">
            <v>1</v>
          </cell>
          <cell r="P675">
            <v>4.17</v>
          </cell>
          <cell r="Q675">
            <v>17.8</v>
          </cell>
          <cell r="R675">
            <v>2.33</v>
          </cell>
          <cell r="S675">
            <v>1096.75</v>
          </cell>
          <cell r="U675">
            <v>55.035859999999992</v>
          </cell>
          <cell r="X675">
            <v>866.43</v>
          </cell>
          <cell r="Y675">
            <v>767.73</v>
          </cell>
          <cell r="AL675">
            <v>4.0599999999999996</v>
          </cell>
          <cell r="AM675">
            <v>15.8</v>
          </cell>
          <cell r="AN675">
            <v>1.31</v>
          </cell>
          <cell r="AO675">
            <v>615.5</v>
          </cell>
          <cell r="AQ675">
            <v>51.58</v>
          </cell>
          <cell r="DD675" t="str">
            <v/>
          </cell>
          <cell r="DE675" t="str">
            <v/>
          </cell>
          <cell r="DG675" t="str">
            <v>)*1,67</v>
          </cell>
          <cell r="DI675" t="str">
            <v/>
          </cell>
        </row>
        <row r="676">
          <cell r="P676">
            <v>26.4</v>
          </cell>
          <cell r="Q676">
            <v>151.03</v>
          </cell>
          <cell r="R676">
            <v>57.15</v>
          </cell>
          <cell r="S676">
            <v>26903.279999999999</v>
          </cell>
          <cell r="X676">
            <v>18294.23</v>
          </cell>
          <cell r="Y676">
            <v>11568.41</v>
          </cell>
          <cell r="AV676">
            <v>1.0669999999999999</v>
          </cell>
          <cell r="AW676">
            <v>1.028</v>
          </cell>
          <cell r="BA676">
            <v>24.53</v>
          </cell>
          <cell r="BB676">
            <v>7.59</v>
          </cell>
          <cell r="BC676">
            <v>6.33</v>
          </cell>
          <cell r="BS676">
            <v>24.53</v>
          </cell>
          <cell r="BZ676">
            <v>68</v>
          </cell>
          <cell r="CA676">
            <v>43</v>
          </cell>
          <cell r="DN676">
            <v>68</v>
          </cell>
          <cell r="DO676">
            <v>43</v>
          </cell>
        </row>
        <row r="677">
          <cell r="F677" t="str">
            <v>Прайс-лист</v>
          </cell>
          <cell r="H677" t="str">
            <v>шт.</v>
          </cell>
          <cell r="I677">
            <v>1</v>
          </cell>
          <cell r="R677">
            <v>0</v>
          </cell>
          <cell r="X677">
            <v>0</v>
          </cell>
          <cell r="Y677">
            <v>0</v>
          </cell>
          <cell r="AL677">
            <v>105230.91</v>
          </cell>
          <cell r="DD677" t="str">
            <v/>
          </cell>
        </row>
        <row r="678">
          <cell r="R678">
            <v>0</v>
          </cell>
          <cell r="X678">
            <v>0</v>
          </cell>
          <cell r="Y678">
            <v>0</v>
          </cell>
          <cell r="AW678">
            <v>1</v>
          </cell>
          <cell r="BC678">
            <v>4.5999999999999996</v>
          </cell>
        </row>
        <row r="714">
          <cell r="G714" t="str">
            <v>П2-25, П2-25р</v>
          </cell>
        </row>
        <row r="1306">
          <cell r="G1306" t="str">
            <v>В2-19</v>
          </cell>
        </row>
        <row r="1310">
          <cell r="H1310" t="str">
            <v>1  ШТ.</v>
          </cell>
          <cell r="I1310">
            <v>1</v>
          </cell>
          <cell r="P1310">
            <v>4.17</v>
          </cell>
          <cell r="Q1310">
            <v>17.8</v>
          </cell>
          <cell r="R1310">
            <v>2.33</v>
          </cell>
          <cell r="S1310">
            <v>1096.75</v>
          </cell>
          <cell r="U1310">
            <v>55.035859999999992</v>
          </cell>
          <cell r="X1310">
            <v>866.43</v>
          </cell>
          <cell r="Y1310">
            <v>767.73</v>
          </cell>
          <cell r="AL1310">
            <v>4.0599999999999996</v>
          </cell>
          <cell r="AM1310">
            <v>15.8</v>
          </cell>
          <cell r="AN1310">
            <v>1.31</v>
          </cell>
          <cell r="AO1310">
            <v>615.5</v>
          </cell>
          <cell r="AQ1310">
            <v>51.58</v>
          </cell>
          <cell r="DD1310" t="str">
            <v/>
          </cell>
          <cell r="DE1310" t="str">
            <v/>
          </cell>
          <cell r="DG1310" t="str">
            <v>)*1,67</v>
          </cell>
          <cell r="DI1310" t="str">
            <v/>
          </cell>
        </row>
        <row r="1311">
          <cell r="P1311">
            <v>26.4</v>
          </cell>
          <cell r="Q1311">
            <v>151.03</v>
          </cell>
          <cell r="R1311">
            <v>57.15</v>
          </cell>
          <cell r="S1311">
            <v>26903.279999999999</v>
          </cell>
          <cell r="X1311">
            <v>18294.23</v>
          </cell>
          <cell r="Y1311">
            <v>11568.41</v>
          </cell>
          <cell r="AV1311">
            <v>1.0669999999999999</v>
          </cell>
          <cell r="AW1311">
            <v>1.028</v>
          </cell>
          <cell r="BA1311">
            <v>24.53</v>
          </cell>
          <cell r="BB1311">
            <v>7.59</v>
          </cell>
          <cell r="BC1311">
            <v>6.33</v>
          </cell>
          <cell r="BS1311">
            <v>24.53</v>
          </cell>
          <cell r="BZ1311">
            <v>68</v>
          </cell>
          <cell r="CA1311">
            <v>43</v>
          </cell>
          <cell r="DN1311">
            <v>68</v>
          </cell>
          <cell r="DO1311">
            <v>43</v>
          </cell>
        </row>
        <row r="1312">
          <cell r="F1312" t="str">
            <v>Прайс-лист</v>
          </cell>
          <cell r="H1312" t="str">
            <v>шт.</v>
          </cell>
          <cell r="I1312">
            <v>1</v>
          </cell>
          <cell r="R1312">
            <v>0</v>
          </cell>
          <cell r="X1312">
            <v>0</v>
          </cell>
          <cell r="Y1312">
            <v>0</v>
          </cell>
          <cell r="AL1312">
            <v>66150.67</v>
          </cell>
          <cell r="DD1312" t="str">
            <v/>
          </cell>
        </row>
        <row r="1313">
          <cell r="R1313">
            <v>0</v>
          </cell>
          <cell r="X1313">
            <v>0</v>
          </cell>
          <cell r="Y1313">
            <v>0</v>
          </cell>
          <cell r="AW1313">
            <v>1</v>
          </cell>
          <cell r="BC1313">
            <v>4.5999999999999996</v>
          </cell>
        </row>
        <row r="1315">
          <cell r="G1315" t="str">
            <v>В2-19</v>
          </cell>
        </row>
        <row r="2366">
          <cell r="G2366" t="str">
            <v>В2-52</v>
          </cell>
        </row>
        <row r="2370">
          <cell r="H2370" t="str">
            <v>1  ШТ.</v>
          </cell>
          <cell r="I2370">
            <v>1</v>
          </cell>
          <cell r="P2370">
            <v>4.17</v>
          </cell>
          <cell r="Q2370">
            <v>17.8</v>
          </cell>
          <cell r="R2370">
            <v>2.33</v>
          </cell>
          <cell r="S2370">
            <v>1096.75</v>
          </cell>
          <cell r="U2370">
            <v>55.035859999999992</v>
          </cell>
          <cell r="X2370">
            <v>866.43</v>
          </cell>
          <cell r="Y2370">
            <v>767.73</v>
          </cell>
          <cell r="AL2370">
            <v>4.0599999999999996</v>
          </cell>
          <cell r="AM2370">
            <v>15.8</v>
          </cell>
          <cell r="AN2370">
            <v>1.31</v>
          </cell>
          <cell r="AO2370">
            <v>615.5</v>
          </cell>
          <cell r="AQ2370">
            <v>51.58</v>
          </cell>
          <cell r="DD2370" t="str">
            <v/>
          </cell>
          <cell r="DE2370" t="str">
            <v/>
          </cell>
          <cell r="DG2370" t="str">
            <v>)*1,67</v>
          </cell>
          <cell r="DI2370" t="str">
            <v/>
          </cell>
        </row>
        <row r="2371">
          <cell r="P2371">
            <v>26.4</v>
          </cell>
          <cell r="Q2371">
            <v>151.03</v>
          </cell>
          <cell r="R2371">
            <v>57.15</v>
          </cell>
          <cell r="S2371">
            <v>26903.279999999999</v>
          </cell>
          <cell r="X2371">
            <v>18294.23</v>
          </cell>
          <cell r="Y2371">
            <v>11568.41</v>
          </cell>
          <cell r="AV2371">
            <v>1.0669999999999999</v>
          </cell>
          <cell r="AW2371">
            <v>1.028</v>
          </cell>
          <cell r="BA2371">
            <v>24.53</v>
          </cell>
          <cell r="BB2371">
            <v>7.59</v>
          </cell>
          <cell r="BC2371">
            <v>6.33</v>
          </cell>
          <cell r="BS2371">
            <v>24.53</v>
          </cell>
          <cell r="BZ2371">
            <v>68</v>
          </cell>
          <cell r="CA2371">
            <v>43</v>
          </cell>
          <cell r="DN2371">
            <v>68</v>
          </cell>
          <cell r="DO2371">
            <v>43</v>
          </cell>
        </row>
        <row r="2372">
          <cell r="F2372" t="str">
            <v>Прайс-лист</v>
          </cell>
          <cell r="H2372" t="str">
            <v>шт.</v>
          </cell>
          <cell r="I2372">
            <v>1</v>
          </cell>
          <cell r="R2372">
            <v>0</v>
          </cell>
          <cell r="X2372">
            <v>0</v>
          </cell>
          <cell r="Y2372">
            <v>0</v>
          </cell>
          <cell r="AL2372">
            <v>55745.61</v>
          </cell>
          <cell r="DD2372" t="str">
            <v/>
          </cell>
        </row>
        <row r="2373">
          <cell r="R2373">
            <v>0</v>
          </cell>
          <cell r="X2373">
            <v>0</v>
          </cell>
          <cell r="Y2373">
            <v>0</v>
          </cell>
          <cell r="AW2373">
            <v>1</v>
          </cell>
          <cell r="BC2373">
            <v>4.5999999999999996</v>
          </cell>
        </row>
        <row r="2375">
          <cell r="G2375" t="str">
            <v>В2-52</v>
          </cell>
        </row>
        <row r="2921">
          <cell r="G2921" t="str">
            <v>Вентиляция</v>
          </cell>
        </row>
        <row r="2981">
          <cell r="G2981" t="str">
            <v>48837-ТПК_5-0699-Р-ССР2  12-4017-Л-Р-11.4.3.1-ОВ1.1-СМ1К</v>
          </cell>
        </row>
        <row r="2987">
          <cell r="F2987">
            <v>16.68</v>
          </cell>
          <cell r="H2987" t="str">
            <v>Стоимость материалов (всего)</v>
          </cell>
          <cell r="P2987">
            <v>105.6</v>
          </cell>
        </row>
        <row r="2990">
          <cell r="H2990" t="str">
            <v>Стоимость оборудования (всего)</v>
          </cell>
        </row>
        <row r="2995">
          <cell r="F2995">
            <v>9.32</v>
          </cell>
          <cell r="H2995" t="str">
            <v>ЗП машинистов</v>
          </cell>
          <cell r="P2995">
            <v>228.6</v>
          </cell>
        </row>
        <row r="2996">
          <cell r="F2996">
            <v>4387</v>
          </cell>
          <cell r="H2996" t="str">
            <v>Основная ЗП рабочих</v>
          </cell>
          <cell r="P2996">
            <v>107613.12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1458">
          <cell r="G1458" t="str">
            <v>Потолки</v>
          </cell>
        </row>
        <row r="1476">
          <cell r="E1476" t="str">
            <v>4</v>
          </cell>
          <cell r="H1476" t="str">
            <v>100 м2</v>
          </cell>
          <cell r="I1476">
            <v>0.18099999999999999</v>
          </cell>
          <cell r="P1476">
            <v>52.06</v>
          </cell>
          <cell r="Q1476">
            <v>0.32</v>
          </cell>
          <cell r="R1476">
            <v>0.1</v>
          </cell>
          <cell r="S1476">
            <v>8.02</v>
          </cell>
          <cell r="U1476">
            <v>0.40364990999999995</v>
          </cell>
          <cell r="X1476">
            <v>8.42</v>
          </cell>
          <cell r="Y1476">
            <v>6.18</v>
          </cell>
          <cell r="AL1476">
            <v>287.64999999999998</v>
          </cell>
          <cell r="AM1476">
            <v>1.5</v>
          </cell>
          <cell r="AN1476">
            <v>0.31</v>
          </cell>
          <cell r="AO1476">
            <v>25.35</v>
          </cell>
          <cell r="AQ1476">
            <v>2.13</v>
          </cell>
          <cell r="DD1476" t="str">
            <v/>
          </cell>
          <cell r="DE1476" t="str">
            <v/>
          </cell>
          <cell r="DG1476" t="str">
            <v>)*1,67</v>
          </cell>
          <cell r="DI1476" t="str">
            <v/>
          </cell>
        </row>
        <row r="1477">
          <cell r="P1477">
            <v>93.71</v>
          </cell>
          <cell r="Q1477">
            <v>3.53</v>
          </cell>
          <cell r="R1477">
            <v>2.39</v>
          </cell>
          <cell r="S1477">
            <v>192</v>
          </cell>
          <cell r="X1477">
            <v>163.19999999999999</v>
          </cell>
          <cell r="Y1477">
            <v>78.72</v>
          </cell>
          <cell r="AV1477">
            <v>1.0469999999999999</v>
          </cell>
          <cell r="AW1477">
            <v>1</v>
          </cell>
          <cell r="BA1477">
            <v>23.94</v>
          </cell>
          <cell r="BB1477">
            <v>9.19</v>
          </cell>
          <cell r="BC1477">
            <v>1.8</v>
          </cell>
          <cell r="BS1477">
            <v>23.94</v>
          </cell>
          <cell r="BZ1477">
            <v>85</v>
          </cell>
          <cell r="CA1477">
            <v>41</v>
          </cell>
          <cell r="DN1477">
            <v>105</v>
          </cell>
          <cell r="DO1477">
            <v>77</v>
          </cell>
        </row>
        <row r="1486">
          <cell r="E1486" t="str">
            <v>7</v>
          </cell>
          <cell r="H1486" t="str">
            <v>100 м2</v>
          </cell>
          <cell r="I1486">
            <v>9.1999999999999998E-2</v>
          </cell>
          <cell r="Q1486">
            <v>0.09</v>
          </cell>
          <cell r="R1486">
            <v>0.02</v>
          </cell>
          <cell r="S1486">
            <v>10</v>
          </cell>
          <cell r="U1486">
            <v>0.53562399999999988</v>
          </cell>
          <cell r="X1486">
            <v>12</v>
          </cell>
          <cell r="Y1486">
            <v>8.4</v>
          </cell>
          <cell r="AM1486">
            <v>0.82</v>
          </cell>
          <cell r="AN1486">
            <v>0.14000000000000001</v>
          </cell>
          <cell r="AO1486">
            <v>63.49</v>
          </cell>
          <cell r="AQ1486">
            <v>5.68</v>
          </cell>
          <cell r="DE1486" t="str">
            <v/>
          </cell>
          <cell r="DG1486" t="str">
            <v>)*1,67</v>
          </cell>
          <cell r="DI1486" t="str">
            <v/>
          </cell>
        </row>
        <row r="1487">
          <cell r="Q1487">
            <v>0.95</v>
          </cell>
          <cell r="R1487">
            <v>0.48</v>
          </cell>
          <cell r="S1487">
            <v>239.4</v>
          </cell>
          <cell r="X1487">
            <v>210.67</v>
          </cell>
          <cell r="Y1487">
            <v>100.55</v>
          </cell>
          <cell r="AV1487">
            <v>1.0249999999999999</v>
          </cell>
          <cell r="BA1487">
            <v>23.94</v>
          </cell>
          <cell r="BB1487">
            <v>8.83</v>
          </cell>
          <cell r="BS1487">
            <v>23.94</v>
          </cell>
          <cell r="BZ1487">
            <v>88</v>
          </cell>
          <cell r="CA1487">
            <v>42</v>
          </cell>
          <cell r="DN1487">
            <v>120</v>
          </cell>
          <cell r="DO1487">
            <v>84</v>
          </cell>
        </row>
        <row r="1488">
          <cell r="E1488" t="str">
            <v>7,1</v>
          </cell>
          <cell r="F1488" t="str">
            <v>МКЭ-28-2047/6-1 14/09/16</v>
          </cell>
          <cell r="H1488" t="str">
            <v>кг</v>
          </cell>
          <cell r="I1488">
            <v>3.6799999999999997</v>
          </cell>
          <cell r="O1488">
            <v>125.01</v>
          </cell>
          <cell r="R1488">
            <v>0</v>
          </cell>
          <cell r="X1488">
            <v>0</v>
          </cell>
          <cell r="Y1488">
            <v>0</v>
          </cell>
          <cell r="AK1488">
            <v>33.97</v>
          </cell>
        </row>
        <row r="1489">
          <cell r="O1489">
            <v>685.03</v>
          </cell>
          <cell r="R1489">
            <v>0</v>
          </cell>
          <cell r="X1489">
            <v>0</v>
          </cell>
          <cell r="Y1489">
            <v>0</v>
          </cell>
          <cell r="AW1489">
            <v>1</v>
          </cell>
          <cell r="BC1489">
            <v>5.48</v>
          </cell>
        </row>
        <row r="1496">
          <cell r="E1496" t="str">
            <v>9</v>
          </cell>
          <cell r="H1496" t="str">
            <v>100 м2</v>
          </cell>
          <cell r="I1496">
            <v>1.3496999999999999</v>
          </cell>
          <cell r="Q1496">
            <v>1.2599999999999998</v>
          </cell>
          <cell r="R1496">
            <v>0.32</v>
          </cell>
          <cell r="S1496">
            <v>146.68</v>
          </cell>
          <cell r="U1496">
            <v>7.8579533999999986</v>
          </cell>
          <cell r="X1496">
            <v>176.02</v>
          </cell>
          <cell r="Y1496">
            <v>123.21</v>
          </cell>
          <cell r="AM1496">
            <v>0.82</v>
          </cell>
          <cell r="AN1496">
            <v>0.14000000000000001</v>
          </cell>
          <cell r="AO1496">
            <v>63.49</v>
          </cell>
          <cell r="AQ1496">
            <v>5.68</v>
          </cell>
          <cell r="DE1496" t="str">
            <v/>
          </cell>
          <cell r="DG1496" t="str">
            <v>)*1,67</v>
          </cell>
          <cell r="DI1496" t="str">
            <v/>
          </cell>
        </row>
        <row r="1497">
          <cell r="Q1497">
            <v>13.09</v>
          </cell>
          <cell r="R1497">
            <v>7.66</v>
          </cell>
          <cell r="S1497">
            <v>3511.52</v>
          </cell>
          <cell r="X1497">
            <v>3090.14</v>
          </cell>
          <cell r="Y1497">
            <v>1474.84</v>
          </cell>
          <cell r="AV1497">
            <v>1.0249999999999999</v>
          </cell>
          <cell r="BA1497">
            <v>23.94</v>
          </cell>
          <cell r="BB1497">
            <v>8.83</v>
          </cell>
          <cell r="BS1497">
            <v>23.94</v>
          </cell>
          <cell r="BZ1497">
            <v>88</v>
          </cell>
          <cell r="CA1497">
            <v>42</v>
          </cell>
          <cell r="DN1497">
            <v>120</v>
          </cell>
          <cell r="DO1497">
            <v>84</v>
          </cell>
        </row>
        <row r="1498">
          <cell r="E1498" t="str">
            <v>9,1</v>
          </cell>
          <cell r="F1498" t="str">
            <v>МКЭ-28-2047/6-1 14/09/16</v>
          </cell>
          <cell r="H1498" t="str">
            <v>кг</v>
          </cell>
          <cell r="I1498">
            <v>53.988</v>
          </cell>
          <cell r="O1498">
            <v>1833.92</v>
          </cell>
          <cell r="R1498">
            <v>0</v>
          </cell>
          <cell r="X1498">
            <v>0</v>
          </cell>
          <cell r="Y1498">
            <v>0</v>
          </cell>
          <cell r="AK1498">
            <v>33.97</v>
          </cell>
        </row>
        <row r="1499">
          <cell r="O1499">
            <v>10049.870000000001</v>
          </cell>
          <cell r="R1499">
            <v>0</v>
          </cell>
          <cell r="X1499">
            <v>0</v>
          </cell>
          <cell r="Y1499">
            <v>0</v>
          </cell>
          <cell r="AW1499">
            <v>1</v>
          </cell>
          <cell r="BC1499">
            <v>5.48</v>
          </cell>
        </row>
        <row r="1500">
          <cell r="E1500" t="str">
            <v>10</v>
          </cell>
          <cell r="H1500" t="str">
            <v>100 м2</v>
          </cell>
          <cell r="I1500">
            <v>9.6809999999999992</v>
          </cell>
          <cell r="Q1500">
            <v>9.07</v>
          </cell>
          <cell r="R1500">
            <v>2.3199999999999998</v>
          </cell>
          <cell r="S1500">
            <v>1052.1199999999999</v>
          </cell>
          <cell r="U1500">
            <v>56.362781999999989</v>
          </cell>
          <cell r="X1500">
            <v>1262.54</v>
          </cell>
          <cell r="Y1500">
            <v>883.78</v>
          </cell>
          <cell r="AM1500">
            <v>0.82</v>
          </cell>
          <cell r="AN1500">
            <v>0.14000000000000001</v>
          </cell>
          <cell r="AO1500">
            <v>63.49</v>
          </cell>
          <cell r="AQ1500">
            <v>5.68</v>
          </cell>
          <cell r="DE1500" t="str">
            <v/>
          </cell>
          <cell r="DG1500" t="str">
            <v>)*1,67</v>
          </cell>
          <cell r="DI1500" t="str">
            <v/>
          </cell>
        </row>
        <row r="1501">
          <cell r="Q1501">
            <v>94.14</v>
          </cell>
          <cell r="R1501">
            <v>55.54</v>
          </cell>
          <cell r="S1501">
            <v>25187.75</v>
          </cell>
          <cell r="X1501">
            <v>22165.22</v>
          </cell>
          <cell r="Y1501">
            <v>10578.86</v>
          </cell>
          <cell r="AV1501">
            <v>1.0249999999999999</v>
          </cell>
          <cell r="BA1501">
            <v>23.94</v>
          </cell>
          <cell r="BB1501">
            <v>8.83</v>
          </cell>
          <cell r="BS1501">
            <v>23.94</v>
          </cell>
          <cell r="BZ1501">
            <v>88</v>
          </cell>
          <cell r="CA1501">
            <v>42</v>
          </cell>
          <cell r="DN1501">
            <v>120</v>
          </cell>
          <cell r="DO1501">
            <v>84</v>
          </cell>
        </row>
        <row r="1502">
          <cell r="E1502" t="str">
            <v>10,1</v>
          </cell>
          <cell r="F1502" t="str">
            <v>1.1-1-3257</v>
          </cell>
          <cell r="H1502" t="str">
            <v>кг</v>
          </cell>
          <cell r="I1502">
            <v>99.714299999999994</v>
          </cell>
          <cell r="O1502">
            <v>1726.05</v>
          </cell>
          <cell r="R1502">
            <v>0</v>
          </cell>
          <cell r="X1502">
            <v>0</v>
          </cell>
          <cell r="Y1502">
            <v>0</v>
          </cell>
          <cell r="AK1502">
            <v>17.309999999999999</v>
          </cell>
        </row>
        <row r="1503">
          <cell r="O1503">
            <v>6748.86</v>
          </cell>
          <cell r="R1503">
            <v>0</v>
          </cell>
          <cell r="X1503">
            <v>0</v>
          </cell>
          <cell r="Y1503">
            <v>0</v>
          </cell>
          <cell r="AW1503">
            <v>1</v>
          </cell>
          <cell r="BC1503">
            <v>3.91</v>
          </cell>
        </row>
        <row r="1504">
          <cell r="E1504" t="str">
            <v>11</v>
          </cell>
          <cell r="H1504" t="str">
            <v>100 м2 окрашиваемой поверхности</v>
          </cell>
          <cell r="I1504">
            <v>9.6809999999999992</v>
          </cell>
          <cell r="P1504">
            <v>11.52</v>
          </cell>
          <cell r="Q1504">
            <v>256.68</v>
          </cell>
          <cell r="R1504">
            <v>87.5</v>
          </cell>
          <cell r="S1504">
            <v>2927.18</v>
          </cell>
          <cell r="U1504">
            <v>152.81458499999997</v>
          </cell>
          <cell r="X1504">
            <v>3512.62</v>
          </cell>
          <cell r="Y1504">
            <v>2458.83</v>
          </cell>
          <cell r="AL1504">
            <v>1.19</v>
          </cell>
          <cell r="AM1504">
            <v>22.33</v>
          </cell>
          <cell r="AN1504">
            <v>5.28</v>
          </cell>
          <cell r="AO1504">
            <v>176.64</v>
          </cell>
          <cell r="AQ1504">
            <v>15.4</v>
          </cell>
          <cell r="DD1504" t="str">
            <v/>
          </cell>
          <cell r="DE1504" t="str">
            <v/>
          </cell>
          <cell r="DG1504" t="str">
            <v>)*1,67</v>
          </cell>
          <cell r="DI1504" t="str">
            <v/>
          </cell>
        </row>
        <row r="1505">
          <cell r="P1505">
            <v>64.05</v>
          </cell>
          <cell r="Q1505">
            <v>3000.7</v>
          </cell>
          <cell r="R1505">
            <v>2094.75</v>
          </cell>
          <cell r="S1505">
            <v>70076.69</v>
          </cell>
          <cell r="X1505">
            <v>61667.49</v>
          </cell>
          <cell r="Y1505">
            <v>29432.21</v>
          </cell>
          <cell r="AV1505">
            <v>1.0249999999999999</v>
          </cell>
          <cell r="AW1505">
            <v>1</v>
          </cell>
          <cell r="BA1505">
            <v>23.94</v>
          </cell>
          <cell r="BB1505">
            <v>9.75</v>
          </cell>
          <cell r="BC1505">
            <v>5.56</v>
          </cell>
          <cell r="BS1505">
            <v>23.94</v>
          </cell>
          <cell r="BZ1505">
            <v>88</v>
          </cell>
          <cell r="CA1505">
            <v>42</v>
          </cell>
          <cell r="DN1505">
            <v>120</v>
          </cell>
          <cell r="DO1505">
            <v>84</v>
          </cell>
        </row>
        <row r="1506">
          <cell r="E1506" t="str">
            <v>11,1</v>
          </cell>
          <cell r="F1506" t="str">
            <v>1.1-1-1480</v>
          </cell>
          <cell r="H1506" t="str">
            <v>т</v>
          </cell>
          <cell r="I1506">
            <v>5.3246000000000002E-2</v>
          </cell>
          <cell r="O1506">
            <v>160.57</v>
          </cell>
          <cell r="R1506">
            <v>0</v>
          </cell>
          <cell r="X1506">
            <v>0</v>
          </cell>
          <cell r="Y1506">
            <v>0</v>
          </cell>
          <cell r="AK1506">
            <v>3015.62</v>
          </cell>
        </row>
        <row r="1507">
          <cell r="O1507">
            <v>712.93</v>
          </cell>
          <cell r="R1507">
            <v>0</v>
          </cell>
          <cell r="X1507">
            <v>0</v>
          </cell>
          <cell r="Y1507">
            <v>0</v>
          </cell>
          <cell r="AW1507">
            <v>1</v>
          </cell>
          <cell r="BC1507">
            <v>4.4400000000000004</v>
          </cell>
        </row>
        <row r="1508">
          <cell r="E1508" t="str">
            <v>11,3</v>
          </cell>
          <cell r="F1508" t="str">
            <v>1.1-1-438</v>
          </cell>
          <cell r="H1508" t="str">
            <v>т</v>
          </cell>
          <cell r="I1508">
            <v>0.50341199999999997</v>
          </cell>
          <cell r="O1508">
            <v>11403.35</v>
          </cell>
          <cell r="R1508">
            <v>0</v>
          </cell>
          <cell r="X1508">
            <v>0</v>
          </cell>
          <cell r="Y1508">
            <v>0</v>
          </cell>
          <cell r="AK1508">
            <v>22652.13</v>
          </cell>
        </row>
        <row r="1509">
          <cell r="O1509">
            <v>15736.62</v>
          </cell>
          <cell r="R1509">
            <v>0</v>
          </cell>
          <cell r="X1509">
            <v>0</v>
          </cell>
          <cell r="Y1509">
            <v>0</v>
          </cell>
          <cell r="AW1509">
            <v>1</v>
          </cell>
          <cell r="BC1509">
            <v>1.38</v>
          </cell>
        </row>
        <row r="1521">
          <cell r="G1521" t="str">
            <v>Потолки</v>
          </cell>
        </row>
        <row r="1771">
          <cell r="G1771" t="str">
            <v>(49109-ТПК_5-0867-Р-ССР2 изм.1.1/12-4017-Л-Р-11.4.1.2.2-АР1-СМ1К/_Станционный комплекс "Аминьевское шоссе". Вестибюль №2, камера съездов.ТПП. Архитектурные решения служебных и технических помещений. Промежуточные уровни._(Копия)</v>
          </cell>
        </row>
        <row r="1774">
          <cell r="F1774">
            <v>15312.53</v>
          </cell>
          <cell r="H1774" t="str">
            <v>Стоимость материальных ресурсов (всего)</v>
          </cell>
          <cell r="P1774">
            <v>34091.379999999997</v>
          </cell>
        </row>
        <row r="1785">
          <cell r="F1785">
            <v>90.26</v>
          </cell>
          <cell r="H1785" t="str">
            <v>ЗП машинистов</v>
          </cell>
          <cell r="P1785">
            <v>2160.8200000000002</v>
          </cell>
        </row>
        <row r="1786">
          <cell r="F1786">
            <v>4144</v>
          </cell>
          <cell r="H1786" t="str">
            <v>Основная ЗП рабочих</v>
          </cell>
          <cell r="P1786">
            <v>99207.360000000001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К.С.М. м"/>
      <sheetName val="ТрМ. "/>
      <sheetName val="вск1"/>
      <sheetName val="вск1 (2)"/>
      <sheetName val="сод"/>
      <sheetName val="П.з "/>
      <sheetName val="C.с"/>
      <sheetName val="C.сМ"/>
      <sheetName val="C.сП"/>
      <sheetName val="C.с (3)"/>
      <sheetName val="зим"/>
      <sheetName val="вр"/>
      <sheetName val="Тр.(пут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20">
          <cell r="G20" t="str">
            <v>Новая локальная смета</v>
          </cell>
        </row>
        <row r="44">
          <cell r="E44" t="str">
            <v>6</v>
          </cell>
          <cell r="F44" t="str">
            <v>3.9-1-1</v>
          </cell>
          <cell r="H44" t="str">
            <v>1 т конструкций</v>
          </cell>
          <cell r="I44">
            <v>2.8940000000000001</v>
          </cell>
          <cell r="P44">
            <v>297.36</v>
          </cell>
          <cell r="Q44">
            <v>289.35000000000002</v>
          </cell>
          <cell r="R44">
            <v>24.85</v>
          </cell>
          <cell r="S44">
            <v>1386.91</v>
          </cell>
          <cell r="U44">
            <v>62.915559999999999</v>
          </cell>
          <cell r="X44">
            <v>1206.6099999999999</v>
          </cell>
          <cell r="Y44">
            <v>1456.26</v>
          </cell>
          <cell r="AL44">
            <v>102.75</v>
          </cell>
          <cell r="AM44">
            <v>88.81</v>
          </cell>
          <cell r="AN44">
            <v>4.7300000000000004</v>
          </cell>
          <cell r="AO44">
            <v>264</v>
          </cell>
          <cell r="AQ44">
            <v>20</v>
          </cell>
          <cell r="DD44" t="str">
            <v/>
          </cell>
          <cell r="DE44" t="str">
            <v/>
          </cell>
          <cell r="DG44" t="str">
            <v>)*1,67</v>
          </cell>
          <cell r="DI44" t="str">
            <v/>
          </cell>
        </row>
        <row r="45">
          <cell r="P45">
            <v>1626.56</v>
          </cell>
          <cell r="Q45">
            <v>2160.81</v>
          </cell>
          <cell r="R45">
            <v>594.91</v>
          </cell>
          <cell r="S45">
            <v>33202.629999999997</v>
          </cell>
          <cell r="X45">
            <v>23241.84</v>
          </cell>
          <cell r="Y45">
            <v>16601.32</v>
          </cell>
          <cell r="AV45">
            <v>1.087</v>
          </cell>
          <cell r="AW45">
            <v>1</v>
          </cell>
          <cell r="BA45">
            <v>23.94</v>
          </cell>
          <cell r="BB45">
            <v>6.88</v>
          </cell>
          <cell r="BC45">
            <v>5.47</v>
          </cell>
          <cell r="BS45">
            <v>23.94</v>
          </cell>
          <cell r="BZ45">
            <v>70</v>
          </cell>
          <cell r="CA45">
            <v>50</v>
          </cell>
          <cell r="DN45">
            <v>87</v>
          </cell>
          <cell r="DO45">
            <v>105</v>
          </cell>
        </row>
        <row r="46">
          <cell r="E46" t="str">
            <v>6,1</v>
          </cell>
          <cell r="F46" t="str">
            <v>1.6-1-271</v>
          </cell>
          <cell r="H46" t="str">
            <v>т</v>
          </cell>
          <cell r="I46">
            <v>2.8940000000000001</v>
          </cell>
          <cell r="O46">
            <v>36620.879999999997</v>
          </cell>
          <cell r="R46">
            <v>0</v>
          </cell>
          <cell r="X46">
            <v>0</v>
          </cell>
          <cell r="Y46">
            <v>0</v>
          </cell>
          <cell r="AK46">
            <v>12654.07</v>
          </cell>
        </row>
        <row r="47">
          <cell r="O47">
            <v>198851.38</v>
          </cell>
          <cell r="R47">
            <v>0</v>
          </cell>
          <cell r="X47">
            <v>0</v>
          </cell>
          <cell r="Y47">
            <v>0</v>
          </cell>
          <cell r="AW47">
            <v>1</v>
          </cell>
          <cell r="BC47">
            <v>5.43</v>
          </cell>
        </row>
        <row r="115">
          <cell r="G115" t="str">
            <v>Новая локальная смета</v>
          </cell>
        </row>
        <row r="148">
          <cell r="F148">
            <v>36918.239999999998</v>
          </cell>
          <cell r="H148" t="str">
            <v>Стоимость материальных ресурсов (всего)</v>
          </cell>
          <cell r="P148">
            <v>200477.94</v>
          </cell>
        </row>
        <row r="159">
          <cell r="F159">
            <v>24.85</v>
          </cell>
          <cell r="H159" t="str">
            <v>ЗП машинистов</v>
          </cell>
          <cell r="P159">
            <v>594.91</v>
          </cell>
        </row>
        <row r="160">
          <cell r="F160">
            <v>1386.91</v>
          </cell>
          <cell r="H160" t="str">
            <v>Основная ЗП рабочих</v>
          </cell>
          <cell r="P160">
            <v>33202.629999999997</v>
          </cell>
        </row>
        <row r="173">
          <cell r="P173">
            <v>276618.55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12">
          <cell r="G12" t="str">
            <v>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v>
          </cell>
        </row>
        <row r="1388">
          <cell r="G1388" t="str">
            <v>Закладные элементы в полах</v>
          </cell>
        </row>
        <row r="1398">
          <cell r="E1398" t="str">
            <v>182</v>
          </cell>
          <cell r="F1398" t="str">
            <v>3.6-6-6</v>
          </cell>
          <cell r="H1398" t="str">
            <v>1 Т</v>
          </cell>
          <cell r="I1398">
            <v>9.5000000000000001E-2</v>
          </cell>
          <cell r="P1398">
            <v>4.8899999999999997</v>
          </cell>
          <cell r="Q1398">
            <v>28.31</v>
          </cell>
          <cell r="R1398">
            <v>6.5</v>
          </cell>
          <cell r="S1398">
            <v>89.09</v>
          </cell>
          <cell r="U1398">
            <v>4.2272624999999993</v>
          </cell>
          <cell r="X1398">
            <v>87.31</v>
          </cell>
          <cell r="Y1398">
            <v>62.36</v>
          </cell>
          <cell r="AL1398">
            <v>50.34</v>
          </cell>
          <cell r="AM1398">
            <v>258.33999999999997</v>
          </cell>
          <cell r="AN1398">
            <v>39.130000000000003</v>
          </cell>
          <cell r="AO1398">
            <v>536.35</v>
          </cell>
          <cell r="AQ1398">
            <v>42.5</v>
          </cell>
          <cell r="DD1398" t="str">
            <v/>
          </cell>
          <cell r="DE1398" t="str">
            <v/>
          </cell>
          <cell r="DG1398" t="str">
            <v>)*1,67</v>
          </cell>
          <cell r="DI1398" t="str">
            <v/>
          </cell>
        </row>
        <row r="1399">
          <cell r="P1399">
            <v>55.89</v>
          </cell>
          <cell r="Q1399">
            <v>278.10000000000002</v>
          </cell>
          <cell r="R1399">
            <v>155.61000000000001</v>
          </cell>
          <cell r="S1399">
            <v>2132.81</v>
          </cell>
          <cell r="X1399">
            <v>1962.19</v>
          </cell>
          <cell r="Y1399">
            <v>1386.33</v>
          </cell>
          <cell r="AV1399">
            <v>1.0469999999999999</v>
          </cell>
          <cell r="AW1399">
            <v>1.022</v>
          </cell>
          <cell r="BA1399">
            <v>23.94</v>
          </cell>
          <cell r="BB1399">
            <v>8.39</v>
          </cell>
          <cell r="BC1399">
            <v>11.43</v>
          </cell>
          <cell r="BS1399">
            <v>23.94</v>
          </cell>
          <cell r="BZ1399">
            <v>92</v>
          </cell>
          <cell r="CA1399">
            <v>65</v>
          </cell>
          <cell r="DN1399">
            <v>98</v>
          </cell>
          <cell r="DO1399">
            <v>70</v>
          </cell>
        </row>
        <row r="1402">
          <cell r="E1402" t="str">
            <v>182,2</v>
          </cell>
          <cell r="F1402" t="str">
            <v>1.12-6-25</v>
          </cell>
          <cell r="H1402" t="str">
            <v>м</v>
          </cell>
          <cell r="I1402">
            <v>12.9</v>
          </cell>
          <cell r="O1402">
            <v>1145.8</v>
          </cell>
          <cell r="R1402">
            <v>0</v>
          </cell>
          <cell r="X1402">
            <v>0</v>
          </cell>
          <cell r="Y1402">
            <v>0</v>
          </cell>
          <cell r="AK1402">
            <v>86.91</v>
          </cell>
        </row>
        <row r="1403">
          <cell r="O1403">
            <v>3414.48</v>
          </cell>
          <cell r="R1403">
            <v>0</v>
          </cell>
          <cell r="X1403">
            <v>0</v>
          </cell>
          <cell r="Y1403">
            <v>0</v>
          </cell>
          <cell r="AW1403">
            <v>1.022</v>
          </cell>
          <cell r="BC1403">
            <v>2.98</v>
          </cell>
        </row>
        <row r="1407">
          <cell r="G1407" t="str">
            <v>Закладные элементы в полах</v>
          </cell>
        </row>
        <row r="1565">
          <cell r="G1565" t="str">
            <v>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v>
          </cell>
        </row>
        <row r="1568">
          <cell r="F1568">
            <v>1150.69</v>
          </cell>
          <cell r="H1568" t="str">
            <v>Стоимость материальных ресурсов (всего)</v>
          </cell>
          <cell r="P1568">
            <v>3470.37</v>
          </cell>
        </row>
        <row r="1579">
          <cell r="F1579">
            <v>6.5</v>
          </cell>
          <cell r="H1579" t="str">
            <v>ЗП машинистов</v>
          </cell>
          <cell r="P1579">
            <v>155.61000000000001</v>
          </cell>
        </row>
        <row r="1580">
          <cell r="F1580">
            <v>89.09</v>
          </cell>
          <cell r="H1580" t="str">
            <v>Основная ЗП рабочих</v>
          </cell>
          <cell r="P1580">
            <v>2132.81</v>
          </cell>
        </row>
        <row r="1593">
          <cell r="P1593">
            <v>9474.11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12">
          <cell r="G12" t="str">
            <v>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v>
          </cell>
        </row>
        <row r="1437">
          <cell r="G1437" t="str">
            <v>Закладные элементы в кирпичных стенах</v>
          </cell>
        </row>
        <row r="1447">
          <cell r="E1447" t="str">
            <v>185</v>
          </cell>
          <cell r="H1447" t="str">
            <v>1 Т</v>
          </cell>
          <cell r="I1447">
            <v>2.4E-2</v>
          </cell>
          <cell r="Q1447">
            <v>0.92</v>
          </cell>
          <cell r="R1447">
            <v>0.28999999999999998</v>
          </cell>
          <cell r="S1447">
            <v>28.96</v>
          </cell>
          <cell r="U1447">
            <v>1.4574240000000001</v>
          </cell>
          <cell r="X1447">
            <v>28.38</v>
          </cell>
          <cell r="Y1447">
            <v>20.27</v>
          </cell>
          <cell r="AM1447">
            <v>31.93</v>
          </cell>
          <cell r="AN1447">
            <v>6.99</v>
          </cell>
          <cell r="AO1447">
            <v>690.2</v>
          </cell>
          <cell r="AQ1447">
            <v>58</v>
          </cell>
          <cell r="DE1447" t="str">
            <v/>
          </cell>
          <cell r="DG1447" t="str">
            <v>)*1,67</v>
          </cell>
          <cell r="DI1447" t="str">
            <v/>
          </cell>
        </row>
        <row r="1448">
          <cell r="Q1448">
            <v>9.57</v>
          </cell>
          <cell r="R1448">
            <v>6.94</v>
          </cell>
          <cell r="S1448">
            <v>693.3</v>
          </cell>
          <cell r="X1448">
            <v>637.84</v>
          </cell>
          <cell r="Y1448">
            <v>450.65</v>
          </cell>
          <cell r="AV1448">
            <v>1.0469999999999999</v>
          </cell>
          <cell r="BA1448">
            <v>23.94</v>
          </cell>
          <cell r="BB1448">
            <v>8.3699999999999992</v>
          </cell>
          <cell r="BS1448">
            <v>23.94</v>
          </cell>
          <cell r="BZ1448">
            <v>92</v>
          </cell>
          <cell r="CA1448">
            <v>65</v>
          </cell>
          <cell r="DN1448">
            <v>98</v>
          </cell>
          <cell r="DO1448">
            <v>70</v>
          </cell>
        </row>
        <row r="1455">
          <cell r="E1455" t="str">
            <v>185,4</v>
          </cell>
          <cell r="F1455" t="str">
            <v>1.1-1-1111</v>
          </cell>
          <cell r="H1455" t="str">
            <v>т</v>
          </cell>
          <cell r="I1455">
            <v>2.1999999999999999E-2</v>
          </cell>
          <cell r="O1455">
            <v>173.34</v>
          </cell>
          <cell r="R1455">
            <v>0</v>
          </cell>
          <cell r="X1455">
            <v>0</v>
          </cell>
          <cell r="Y1455">
            <v>0</v>
          </cell>
          <cell r="AK1455">
            <v>7879.13</v>
          </cell>
        </row>
        <row r="1456">
          <cell r="O1456">
            <v>549.16999999999996</v>
          </cell>
          <cell r="R1456">
            <v>0</v>
          </cell>
          <cell r="X1456">
            <v>0</v>
          </cell>
          <cell r="Y1456">
            <v>0</v>
          </cell>
          <cell r="AW1456">
            <v>1.022</v>
          </cell>
          <cell r="BC1456">
            <v>3.1</v>
          </cell>
        </row>
        <row r="1457">
          <cell r="E1457" t="str">
            <v>185,5</v>
          </cell>
          <cell r="F1457" t="str">
            <v>1.3-4-3</v>
          </cell>
          <cell r="H1457" t="str">
            <v>т</v>
          </cell>
          <cell r="I1457">
            <v>2E-3</v>
          </cell>
          <cell r="O1457">
            <v>11.36</v>
          </cell>
          <cell r="R1457">
            <v>0</v>
          </cell>
          <cell r="X1457">
            <v>0</v>
          </cell>
          <cell r="Y1457">
            <v>0</v>
          </cell>
          <cell r="AK1457">
            <v>5681.92</v>
          </cell>
        </row>
        <row r="1458">
          <cell r="O1458">
            <v>82.43</v>
          </cell>
          <cell r="R1458">
            <v>0</v>
          </cell>
          <cell r="X1458">
            <v>0</v>
          </cell>
          <cell r="Y1458">
            <v>0</v>
          </cell>
          <cell r="AW1458">
            <v>1.022</v>
          </cell>
          <cell r="BC1458">
            <v>7.1</v>
          </cell>
        </row>
        <row r="1474">
          <cell r="G1474" t="str">
            <v>Закладные элементы в кирпичных стенах</v>
          </cell>
        </row>
        <row r="1565">
          <cell r="G1565" t="str">
            <v>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v>
          </cell>
        </row>
        <row r="1568">
          <cell r="F1568">
            <v>184.7</v>
          </cell>
          <cell r="H1568" t="str">
            <v>Стоимость материальных ресурсов (всего)</v>
          </cell>
          <cell r="P1568">
            <v>631.6</v>
          </cell>
        </row>
        <row r="1579">
          <cell r="F1579">
            <v>0.28999999999999998</v>
          </cell>
          <cell r="H1579" t="str">
            <v>ЗП машинистов</v>
          </cell>
          <cell r="P1579">
            <v>6.94</v>
          </cell>
        </row>
        <row r="1580">
          <cell r="F1580">
            <v>28.96</v>
          </cell>
          <cell r="H1580" t="str">
            <v>Основная ЗП рабочих</v>
          </cell>
          <cell r="P1580">
            <v>693.3</v>
          </cell>
        </row>
        <row r="1593">
          <cell r="P1593">
            <v>2433.86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12">
          <cell r="G12" t="str">
            <v>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v>
          </cell>
        </row>
        <row r="1388">
          <cell r="G1388" t="str">
            <v>Закладные элементы в полах</v>
          </cell>
        </row>
        <row r="1398">
          <cell r="E1398" t="str">
            <v>182</v>
          </cell>
          <cell r="F1398" t="str">
            <v>3.6-6-6</v>
          </cell>
          <cell r="H1398" t="str">
            <v>1 Т</v>
          </cell>
          <cell r="I1398">
            <v>2.5539999999999998</v>
          </cell>
          <cell r="P1398">
            <v>131.4</v>
          </cell>
          <cell r="Q1398">
            <v>760.92</v>
          </cell>
          <cell r="R1398">
            <v>174.74</v>
          </cell>
          <cell r="S1398">
            <v>2395.15</v>
          </cell>
          <cell r="U1398">
            <v>113.64661499999998</v>
          </cell>
          <cell r="X1398">
            <v>2347.25</v>
          </cell>
          <cell r="Y1398">
            <v>1676.61</v>
          </cell>
          <cell r="AL1398">
            <v>50.34</v>
          </cell>
          <cell r="AM1398">
            <v>258.33999999999997</v>
          </cell>
          <cell r="AN1398">
            <v>39.130000000000003</v>
          </cell>
          <cell r="AO1398">
            <v>536.35</v>
          </cell>
          <cell r="AQ1398">
            <v>42.5</v>
          </cell>
          <cell r="DD1398" t="str">
            <v/>
          </cell>
          <cell r="DE1398" t="str">
            <v/>
          </cell>
          <cell r="DG1398" t="str">
            <v>)*1,67</v>
          </cell>
          <cell r="DI1398" t="str">
            <v/>
          </cell>
        </row>
        <row r="1399">
          <cell r="P1399">
            <v>1501.9</v>
          </cell>
          <cell r="Q1399">
            <v>7785.1900000000005</v>
          </cell>
          <cell r="R1399">
            <v>4183.28</v>
          </cell>
          <cell r="S1399">
            <v>57339.89</v>
          </cell>
          <cell r="X1399">
            <v>52752.7</v>
          </cell>
          <cell r="Y1399">
            <v>37270.93</v>
          </cell>
          <cell r="AV1399">
            <v>1.0469999999999999</v>
          </cell>
          <cell r="AW1399">
            <v>1.022</v>
          </cell>
          <cell r="BA1399">
            <v>23.94</v>
          </cell>
          <cell r="BB1399">
            <v>8.84</v>
          </cell>
          <cell r="BC1399">
            <v>11.43</v>
          </cell>
          <cell r="BS1399">
            <v>23.94</v>
          </cell>
          <cell r="BZ1399">
            <v>92</v>
          </cell>
          <cell r="CA1399">
            <v>65</v>
          </cell>
          <cell r="DN1399">
            <v>98</v>
          </cell>
          <cell r="DO1399">
            <v>70</v>
          </cell>
        </row>
        <row r="1400">
          <cell r="E1400" t="str">
            <v>182,1</v>
          </cell>
          <cell r="F1400" t="str">
            <v>1.12-6-17</v>
          </cell>
          <cell r="H1400" t="str">
            <v>м</v>
          </cell>
          <cell r="I1400">
            <v>6.6000000000000003E-2</v>
          </cell>
          <cell r="O1400">
            <v>2.79</v>
          </cell>
          <cell r="R1400">
            <v>0</v>
          </cell>
          <cell r="X1400">
            <v>0</v>
          </cell>
          <cell r="Y1400">
            <v>0</v>
          </cell>
          <cell r="AK1400">
            <v>41.37</v>
          </cell>
        </row>
        <row r="1401">
          <cell r="O1401">
            <v>8.51</v>
          </cell>
          <cell r="R1401">
            <v>0</v>
          </cell>
          <cell r="X1401">
            <v>0</v>
          </cell>
          <cell r="Y1401">
            <v>0</v>
          </cell>
          <cell r="AW1401">
            <v>1.022</v>
          </cell>
          <cell r="BC1401">
            <v>3.05</v>
          </cell>
        </row>
        <row r="1402">
          <cell r="E1402" t="str">
            <v>182,2</v>
          </cell>
          <cell r="F1402" t="str">
            <v>1.12-6-25</v>
          </cell>
          <cell r="H1402" t="str">
            <v>м</v>
          </cell>
          <cell r="I1402">
            <v>2.4460000000000002</v>
          </cell>
          <cell r="O1402">
            <v>217.26</v>
          </cell>
          <cell r="R1402">
            <v>0</v>
          </cell>
          <cell r="X1402">
            <v>0</v>
          </cell>
          <cell r="Y1402">
            <v>0</v>
          </cell>
          <cell r="AK1402">
            <v>86.91</v>
          </cell>
        </row>
        <row r="1403">
          <cell r="O1403">
            <v>686.54</v>
          </cell>
          <cell r="R1403">
            <v>0</v>
          </cell>
          <cell r="X1403">
            <v>0</v>
          </cell>
          <cell r="Y1403">
            <v>0</v>
          </cell>
          <cell r="AW1403">
            <v>1.022</v>
          </cell>
          <cell r="BC1403">
            <v>3.16</v>
          </cell>
        </row>
        <row r="1404">
          <cell r="E1404" t="str">
            <v>182,3</v>
          </cell>
          <cell r="F1404" t="str">
            <v>1.12-6-32</v>
          </cell>
          <cell r="H1404" t="str">
            <v>м</v>
          </cell>
          <cell r="I1404">
            <v>4.200000000000001E-2</v>
          </cell>
          <cell r="O1404">
            <v>4.4400000000000004</v>
          </cell>
          <cell r="R1404">
            <v>0</v>
          </cell>
          <cell r="X1404">
            <v>0</v>
          </cell>
          <cell r="Y1404">
            <v>0</v>
          </cell>
          <cell r="AK1404">
            <v>103.48</v>
          </cell>
        </row>
        <row r="1405">
          <cell r="O1405">
            <v>13.36</v>
          </cell>
          <cell r="R1405">
            <v>0</v>
          </cell>
          <cell r="X1405">
            <v>0</v>
          </cell>
          <cell r="Y1405">
            <v>0</v>
          </cell>
          <cell r="AW1405">
            <v>1.022</v>
          </cell>
          <cell r="BC1405">
            <v>3.01</v>
          </cell>
        </row>
        <row r="1407">
          <cell r="G1407" t="str">
            <v>Закладные элементы в полах</v>
          </cell>
        </row>
        <row r="1565">
          <cell r="G1565" t="str">
            <v>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v>
          </cell>
        </row>
        <row r="1568">
          <cell r="F1568">
            <v>355.89</v>
          </cell>
          <cell r="H1568" t="str">
            <v>Стоимость материальных ресурсов (всего)</v>
          </cell>
          <cell r="P1568">
            <v>2210.31</v>
          </cell>
        </row>
        <row r="1579">
          <cell r="F1579">
            <v>174.74</v>
          </cell>
          <cell r="H1579" t="str">
            <v>ЗП машинистов</v>
          </cell>
          <cell r="P1579">
            <v>4183.28</v>
          </cell>
        </row>
        <row r="1580">
          <cell r="F1580">
            <v>2395.15</v>
          </cell>
          <cell r="H1580" t="str">
            <v>Основная ЗП рабочих</v>
          </cell>
          <cell r="P1580">
            <v>57339.89</v>
          </cell>
        </row>
        <row r="1593">
          <cell r="P1593">
            <v>163926.76999999999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/>
      <sheetData sheetId="1">
        <row r="12">
          <cell r="G12" t="str">
            <v>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v>
          </cell>
        </row>
        <row r="15">
          <cell r="G15" t="str">
            <v>Май, 2020 г., Р.17.98</v>
          </cell>
        </row>
        <row r="619">
          <cell r="G619" t="str">
            <v>Тип В2-2а</v>
          </cell>
        </row>
        <row r="657">
          <cell r="E657" t="str">
            <v>128</v>
          </cell>
          <cell r="H657" t="str">
            <v>100 м2 пола</v>
          </cell>
          <cell r="I657">
            <v>0.27500000000000002</v>
          </cell>
          <cell r="P657">
            <v>192.44</v>
          </cell>
          <cell r="Q657">
            <v>31.14</v>
          </cell>
          <cell r="R657">
            <v>6.02</v>
          </cell>
          <cell r="S657">
            <v>474.57</v>
          </cell>
          <cell r="U657">
            <v>24.208734</v>
          </cell>
          <cell r="X657">
            <v>569.48</v>
          </cell>
          <cell r="Y657">
            <v>398.64</v>
          </cell>
          <cell r="AL657">
            <v>699.78</v>
          </cell>
          <cell r="AM657">
            <v>99.77</v>
          </cell>
          <cell r="AN657">
            <v>12.51</v>
          </cell>
          <cell r="AO657">
            <v>986.98</v>
          </cell>
          <cell r="AQ657">
            <v>84.08</v>
          </cell>
          <cell r="DD657" t="str">
            <v/>
          </cell>
          <cell r="DE657" t="str">
            <v/>
          </cell>
          <cell r="DG657" t="str">
            <v>)*1,67</v>
          </cell>
          <cell r="DI657" t="str">
            <v/>
          </cell>
        </row>
        <row r="658">
          <cell r="P658">
            <v>169.35</v>
          </cell>
          <cell r="Q658">
            <v>401.59999999999997</v>
          </cell>
          <cell r="R658">
            <v>144.12</v>
          </cell>
          <cell r="S658">
            <v>11361.21</v>
          </cell>
          <cell r="X658">
            <v>9884.25</v>
          </cell>
          <cell r="Y658">
            <v>4658.1000000000004</v>
          </cell>
          <cell r="AV658">
            <v>1.0469999999999999</v>
          </cell>
          <cell r="AW658">
            <v>1</v>
          </cell>
          <cell r="BA658">
            <v>23.94</v>
          </cell>
          <cell r="BB658">
            <v>11.97</v>
          </cell>
          <cell r="BC658">
            <v>0.88</v>
          </cell>
          <cell r="BS658">
            <v>23.94</v>
          </cell>
          <cell r="BZ658">
            <v>87</v>
          </cell>
          <cell r="CA658">
            <v>41</v>
          </cell>
          <cell r="DN658">
            <v>120</v>
          </cell>
          <cell r="DO658">
            <v>84</v>
          </cell>
        </row>
        <row r="659">
          <cell r="E659" t="str">
            <v>128,1</v>
          </cell>
          <cell r="F659" t="str">
            <v>1.3-2-138</v>
          </cell>
          <cell r="H659" t="str">
            <v>т</v>
          </cell>
          <cell r="I659">
            <v>1.6500000000000001E-2</v>
          </cell>
          <cell r="O659">
            <v>451.48</v>
          </cell>
          <cell r="R659">
            <v>0</v>
          </cell>
          <cell r="X659">
            <v>0</v>
          </cell>
          <cell r="Y659">
            <v>0</v>
          </cell>
          <cell r="AK659">
            <v>27362.67</v>
          </cell>
        </row>
        <row r="660">
          <cell r="O660">
            <v>460.51</v>
          </cell>
          <cell r="R660">
            <v>0</v>
          </cell>
          <cell r="X660">
            <v>0</v>
          </cell>
          <cell r="Y660">
            <v>0</v>
          </cell>
          <cell r="AW660">
            <v>1</v>
          </cell>
          <cell r="BC660">
            <v>1.02</v>
          </cell>
        </row>
        <row r="661">
          <cell r="E661" t="str">
            <v>128,2</v>
          </cell>
          <cell r="F661" t="str">
            <v>1.3-2-168</v>
          </cell>
          <cell r="H661" t="str">
            <v>т</v>
          </cell>
          <cell r="I661">
            <v>0.12925</v>
          </cell>
          <cell r="O661">
            <v>843.88</v>
          </cell>
          <cell r="R661">
            <v>0</v>
          </cell>
          <cell r="X661">
            <v>0</v>
          </cell>
          <cell r="Y661">
            <v>0</v>
          </cell>
          <cell r="AK661">
            <v>6529.05</v>
          </cell>
        </row>
        <row r="662">
          <cell r="O662">
            <v>1400.84</v>
          </cell>
          <cell r="R662">
            <v>0</v>
          </cell>
          <cell r="X662">
            <v>0</v>
          </cell>
          <cell r="Y662">
            <v>0</v>
          </cell>
          <cell r="AW662">
            <v>1</v>
          </cell>
          <cell r="BC662">
            <v>1.66</v>
          </cell>
        </row>
        <row r="663">
          <cell r="E663" t="str">
            <v>128,3</v>
          </cell>
          <cell r="F663" t="str">
            <v>1.1-1-2399</v>
          </cell>
          <cell r="H663" t="str">
            <v>м2</v>
          </cell>
          <cell r="I663">
            <v>28.05</v>
          </cell>
          <cell r="O663">
            <v>3220.42</v>
          </cell>
          <cell r="R663">
            <v>0</v>
          </cell>
          <cell r="X663">
            <v>0</v>
          </cell>
          <cell r="Y663">
            <v>0</v>
          </cell>
          <cell r="AK663">
            <v>114.81</v>
          </cell>
        </row>
        <row r="664">
          <cell r="O664">
            <v>14942.75</v>
          </cell>
          <cell r="R664">
            <v>0</v>
          </cell>
          <cell r="X664">
            <v>0</v>
          </cell>
          <cell r="Y664">
            <v>0</v>
          </cell>
          <cell r="AW664">
            <v>1</v>
          </cell>
          <cell r="BC664">
            <v>4.6399999999999997</v>
          </cell>
        </row>
        <row r="665">
          <cell r="E665" t="str">
            <v>129</v>
          </cell>
          <cell r="H665" t="str">
            <v>100 м2</v>
          </cell>
          <cell r="I665">
            <v>0.27500000000000002</v>
          </cell>
          <cell r="P665">
            <v>0.06</v>
          </cell>
          <cell r="Q665">
            <v>6.92</v>
          </cell>
          <cell r="R665">
            <v>0.72</v>
          </cell>
          <cell r="S665">
            <v>51.49</v>
          </cell>
          <cell r="U665">
            <v>2.6086005000000001</v>
          </cell>
          <cell r="X665">
            <v>61.79</v>
          </cell>
          <cell r="Y665">
            <v>43.25</v>
          </cell>
          <cell r="AL665">
            <v>0.23</v>
          </cell>
          <cell r="AM665">
            <v>23.02</v>
          </cell>
          <cell r="AN665">
            <v>1.49</v>
          </cell>
          <cell r="AO665">
            <v>107.09</v>
          </cell>
          <cell r="AQ665">
            <v>9.06</v>
          </cell>
          <cell r="DD665" t="str">
            <v/>
          </cell>
          <cell r="DE665" t="str">
            <v/>
          </cell>
          <cell r="DG665" t="str">
            <v>)*1,67</v>
          </cell>
          <cell r="DI665" t="str">
            <v/>
          </cell>
        </row>
        <row r="666">
          <cell r="P666">
            <v>0.28999999999999998</v>
          </cell>
          <cell r="Q666">
            <v>87.56</v>
          </cell>
          <cell r="R666">
            <v>17.239999999999998</v>
          </cell>
          <cell r="S666">
            <v>1232.67</v>
          </cell>
          <cell r="X666">
            <v>1072.42</v>
          </cell>
          <cell r="Y666">
            <v>505.39</v>
          </cell>
          <cell r="AV666">
            <v>1.0469999999999999</v>
          </cell>
          <cell r="AW666">
            <v>1</v>
          </cell>
          <cell r="BA666">
            <v>23.94</v>
          </cell>
          <cell r="BB666">
            <v>12.16</v>
          </cell>
          <cell r="BC666">
            <v>4.83</v>
          </cell>
          <cell r="BS666">
            <v>23.94</v>
          </cell>
          <cell r="BZ666">
            <v>87</v>
          </cell>
          <cell r="CA666">
            <v>41</v>
          </cell>
          <cell r="DN666">
            <v>120</v>
          </cell>
          <cell r="DO666">
            <v>84</v>
          </cell>
        </row>
        <row r="667">
          <cell r="E667" t="str">
            <v>129,1</v>
          </cell>
          <cell r="F667" t="str">
            <v>1.3-2-166</v>
          </cell>
          <cell r="H667" t="str">
            <v>т</v>
          </cell>
          <cell r="I667">
            <v>3.3000000000000002E-2</v>
          </cell>
          <cell r="O667">
            <v>97.31</v>
          </cell>
          <cell r="R667">
            <v>0</v>
          </cell>
          <cell r="X667">
            <v>0</v>
          </cell>
          <cell r="Y667">
            <v>0</v>
          </cell>
          <cell r="AK667">
            <v>2948.66</v>
          </cell>
        </row>
        <row r="668">
          <cell r="O668">
            <v>221.87</v>
          </cell>
          <cell r="R668">
            <v>0</v>
          </cell>
          <cell r="X668">
            <v>0</v>
          </cell>
          <cell r="Y668">
            <v>0</v>
          </cell>
          <cell r="AW668">
            <v>1</v>
          </cell>
          <cell r="BC668">
            <v>2.2799999999999998</v>
          </cell>
        </row>
        <row r="670">
          <cell r="G670" t="str">
            <v>Тип В2-2а</v>
          </cell>
        </row>
        <row r="979">
          <cell r="G979" t="str">
            <v>3. Стены</v>
          </cell>
        </row>
        <row r="1012">
          <cell r="E1012" t="str">
            <v>154</v>
          </cell>
          <cell r="H1012" t="str">
            <v>100 м2</v>
          </cell>
          <cell r="I1012">
            <v>1.0844</v>
          </cell>
          <cell r="Q1012">
            <v>1.01</v>
          </cell>
          <cell r="R1012">
            <v>0.26</v>
          </cell>
          <cell r="S1012">
            <v>96.49</v>
          </cell>
          <cell r="U1012">
            <v>5.1685215000000007</v>
          </cell>
          <cell r="X1012">
            <v>115.79</v>
          </cell>
          <cell r="Y1012">
            <v>81.05</v>
          </cell>
          <cell r="AM1012">
            <v>0.82</v>
          </cell>
          <cell r="AN1012">
            <v>0.14000000000000001</v>
          </cell>
          <cell r="AO1012">
            <v>51.98</v>
          </cell>
          <cell r="AQ1012">
            <v>4.6500000000000004</v>
          </cell>
          <cell r="DE1012" t="str">
            <v/>
          </cell>
          <cell r="DG1012" t="str">
            <v>)*1,67</v>
          </cell>
          <cell r="DI1012" t="str">
            <v/>
          </cell>
        </row>
        <row r="1013">
          <cell r="Q1013">
            <v>10.43</v>
          </cell>
          <cell r="R1013">
            <v>6.22</v>
          </cell>
          <cell r="S1013">
            <v>2309.9699999999998</v>
          </cell>
          <cell r="X1013">
            <v>2032.77</v>
          </cell>
          <cell r="Y1013">
            <v>970.19</v>
          </cell>
          <cell r="AV1013">
            <v>1.0249999999999999</v>
          </cell>
          <cell r="BA1013">
            <v>23.94</v>
          </cell>
          <cell r="BB1013">
            <v>8.83</v>
          </cell>
          <cell r="BS1013">
            <v>23.94</v>
          </cell>
          <cell r="BZ1013">
            <v>88</v>
          </cell>
          <cell r="CA1013">
            <v>42</v>
          </cell>
          <cell r="DN1013">
            <v>120</v>
          </cell>
          <cell r="DO1013">
            <v>84</v>
          </cell>
        </row>
        <row r="1014">
          <cell r="E1014" t="str">
            <v>154,1</v>
          </cell>
          <cell r="F1014" t="str">
            <v>1.1-1-3552</v>
          </cell>
          <cell r="H1014" t="str">
            <v>л</v>
          </cell>
          <cell r="I1014">
            <v>11.169320000000001</v>
          </cell>
          <cell r="O1014">
            <v>448.67</v>
          </cell>
          <cell r="R1014">
            <v>0</v>
          </cell>
          <cell r="X1014">
            <v>0</v>
          </cell>
          <cell r="Y1014">
            <v>0</v>
          </cell>
          <cell r="AK1014">
            <v>40.17</v>
          </cell>
        </row>
        <row r="1015">
          <cell r="O1015">
            <v>650.57000000000005</v>
          </cell>
          <cell r="R1015">
            <v>0</v>
          </cell>
          <cell r="X1015">
            <v>0</v>
          </cell>
          <cell r="Y1015">
            <v>0</v>
          </cell>
          <cell r="AW1015">
            <v>1</v>
          </cell>
          <cell r="BC1015">
            <v>1.45</v>
          </cell>
        </row>
        <row r="1119">
          <cell r="G1119" t="str">
            <v>3. Стены</v>
          </cell>
        </row>
        <row r="1437">
          <cell r="G1437" t="str">
            <v>Закладные элементы в кирпичных стенах</v>
          </cell>
        </row>
        <row r="1447">
          <cell r="E1447" t="str">
            <v>185</v>
          </cell>
          <cell r="H1447" t="str">
            <v>1 Т</v>
          </cell>
          <cell r="I1447">
            <v>8.9999999999999993E-3</v>
          </cell>
          <cell r="Q1447">
            <v>0.33999999999999997</v>
          </cell>
          <cell r="R1447">
            <v>0.11</v>
          </cell>
          <cell r="S1447">
            <v>10.86</v>
          </cell>
          <cell r="U1447">
            <v>0.54653399999999996</v>
          </cell>
          <cell r="X1447">
            <v>10.64</v>
          </cell>
          <cell r="Y1447">
            <v>7.6</v>
          </cell>
          <cell r="AM1447">
            <v>31.93</v>
          </cell>
          <cell r="AN1447">
            <v>6.99</v>
          </cell>
          <cell r="AO1447">
            <v>690.2</v>
          </cell>
          <cell r="AQ1447">
            <v>58</v>
          </cell>
          <cell r="DE1447" t="str">
            <v/>
          </cell>
          <cell r="DG1447" t="str">
            <v>)*1,67</v>
          </cell>
          <cell r="DI1447" t="str">
            <v/>
          </cell>
        </row>
        <row r="1448">
          <cell r="Q1448">
            <v>3.4699999999999998</v>
          </cell>
          <cell r="R1448">
            <v>2.63</v>
          </cell>
          <cell r="S1448">
            <v>259.99</v>
          </cell>
          <cell r="X1448">
            <v>239.19</v>
          </cell>
          <cell r="Y1448">
            <v>168.99</v>
          </cell>
          <cell r="AV1448">
            <v>1.0469999999999999</v>
          </cell>
          <cell r="BA1448">
            <v>23.94</v>
          </cell>
          <cell r="BB1448">
            <v>8.3699999999999992</v>
          </cell>
          <cell r="BS1448">
            <v>23.94</v>
          </cell>
          <cell r="BZ1448">
            <v>92</v>
          </cell>
          <cell r="CA1448">
            <v>65</v>
          </cell>
          <cell r="DN1448">
            <v>98</v>
          </cell>
          <cell r="DO1448">
            <v>70</v>
          </cell>
        </row>
        <row r="1455">
          <cell r="E1455" t="str">
            <v>185,4</v>
          </cell>
          <cell r="F1455" t="str">
            <v>1.1-1-1111</v>
          </cell>
          <cell r="H1455" t="str">
            <v>т</v>
          </cell>
          <cell r="I1455">
            <v>8.0000000000000002E-3</v>
          </cell>
          <cell r="O1455">
            <v>63.03</v>
          </cell>
          <cell r="R1455">
            <v>0</v>
          </cell>
          <cell r="X1455">
            <v>0</v>
          </cell>
          <cell r="Y1455">
            <v>0</v>
          </cell>
          <cell r="AK1455">
            <v>7879.13</v>
          </cell>
        </row>
        <row r="1456">
          <cell r="O1456">
            <v>199.7</v>
          </cell>
          <cell r="R1456">
            <v>0</v>
          </cell>
          <cell r="X1456">
            <v>0</v>
          </cell>
          <cell r="Y1456">
            <v>0</v>
          </cell>
          <cell r="AW1456">
            <v>1.022</v>
          </cell>
          <cell r="BC1456">
            <v>3.1</v>
          </cell>
        </row>
        <row r="1457">
          <cell r="E1457" t="str">
            <v>185,5</v>
          </cell>
          <cell r="F1457" t="str">
            <v>1.3-4-3</v>
          </cell>
          <cell r="H1457" t="str">
            <v>т</v>
          </cell>
          <cell r="I1457">
            <v>1E-3</v>
          </cell>
          <cell r="O1457">
            <v>5.68</v>
          </cell>
          <cell r="R1457">
            <v>0</v>
          </cell>
          <cell r="X1457">
            <v>0</v>
          </cell>
          <cell r="Y1457">
            <v>0</v>
          </cell>
          <cell r="AK1457">
            <v>5681.92</v>
          </cell>
        </row>
        <row r="1458">
          <cell r="O1458">
            <v>41.66</v>
          </cell>
          <cell r="R1458">
            <v>0</v>
          </cell>
          <cell r="X1458">
            <v>0</v>
          </cell>
          <cell r="Y1458">
            <v>0</v>
          </cell>
          <cell r="AW1458">
            <v>1.022</v>
          </cell>
          <cell r="BC1458">
            <v>7.17</v>
          </cell>
        </row>
        <row r="1474">
          <cell r="G1474" t="str">
            <v>Закладные элементы в кирпичных стенах</v>
          </cell>
        </row>
        <row r="1565">
          <cell r="G1565" t="str">
            <v>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v>
          </cell>
        </row>
        <row r="1568">
          <cell r="F1568">
            <v>5322.97</v>
          </cell>
          <cell r="P1568">
            <v>18087.54</v>
          </cell>
        </row>
        <row r="1579">
          <cell r="F1579">
            <v>7.11</v>
          </cell>
          <cell r="P1579">
            <v>170.21</v>
          </cell>
        </row>
        <row r="1580">
          <cell r="F1580">
            <v>633.41</v>
          </cell>
          <cell r="P1580">
            <v>15163.84</v>
          </cell>
        </row>
        <row r="1593">
          <cell r="P1593">
            <v>53552.98</v>
          </cell>
        </row>
      </sheetData>
      <sheetData sheetId="2"/>
      <sheetData sheetId="3"/>
      <sheetData sheetId="4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28">
          <cell r="G28" t="str">
            <v>Вентиляция</v>
          </cell>
        </row>
        <row r="32">
          <cell r="G32" t="str">
            <v>П2-9</v>
          </cell>
        </row>
        <row r="36">
          <cell r="E36" t="str">
            <v>1</v>
          </cell>
          <cell r="H36" t="str">
            <v>1  ШТ.</v>
          </cell>
          <cell r="I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U36">
            <v>0</v>
          </cell>
          <cell r="X36">
            <v>0</v>
          </cell>
          <cell r="Y36">
            <v>0</v>
          </cell>
          <cell r="AL36">
            <v>4.0599999999999996</v>
          </cell>
          <cell r="AM36">
            <v>15.8</v>
          </cell>
          <cell r="AN36">
            <v>1.31</v>
          </cell>
          <cell r="AO36">
            <v>615.5</v>
          </cell>
          <cell r="AQ36">
            <v>51.58</v>
          </cell>
          <cell r="DD36">
            <v>0</v>
          </cell>
          <cell r="DE36">
            <v>0</v>
          </cell>
          <cell r="DG36" t="str">
            <v>)*1,67</v>
          </cell>
          <cell r="DI36">
            <v>0</v>
          </cell>
        </row>
        <row r="37">
          <cell r="P37">
            <v>0</v>
          </cell>
          <cell r="Q37">
            <v>0</v>
          </cell>
          <cell r="R37">
            <v>0</v>
          </cell>
          <cell r="S37">
            <v>0</v>
          </cell>
          <cell r="X37">
            <v>0</v>
          </cell>
          <cell r="Y37">
            <v>0</v>
          </cell>
          <cell r="AV37">
            <v>1.0669999999999999</v>
          </cell>
          <cell r="AW37">
            <v>1.028</v>
          </cell>
          <cell r="BA37">
            <v>24.53</v>
          </cell>
          <cell r="BB37">
            <v>7.59</v>
          </cell>
          <cell r="BC37">
            <v>6.33</v>
          </cell>
          <cell r="BS37">
            <v>24.53</v>
          </cell>
          <cell r="BZ37">
            <v>68</v>
          </cell>
          <cell r="CA37">
            <v>43</v>
          </cell>
          <cell r="DN37">
            <v>68</v>
          </cell>
          <cell r="DO37">
            <v>43</v>
          </cell>
        </row>
        <row r="38">
          <cell r="E38" t="str">
            <v>2</v>
          </cell>
          <cell r="F38" t="str">
            <v>Прайс-лист</v>
          </cell>
          <cell r="H38" t="str">
            <v>шт.</v>
          </cell>
          <cell r="I38">
            <v>0</v>
          </cell>
          <cell r="P38">
            <v>0</v>
          </cell>
          <cell r="R38">
            <v>0</v>
          </cell>
          <cell r="X38">
            <v>0</v>
          </cell>
          <cell r="Y38">
            <v>0</v>
          </cell>
          <cell r="AL38">
            <v>81063.11</v>
          </cell>
          <cell r="DD38">
            <v>0</v>
          </cell>
        </row>
        <row r="39">
          <cell r="R39">
            <v>0</v>
          </cell>
          <cell r="X39">
            <v>0</v>
          </cell>
          <cell r="Y39">
            <v>0</v>
          </cell>
          <cell r="AW39">
            <v>1</v>
          </cell>
          <cell r="BC39">
            <v>4.5999999999999996</v>
          </cell>
        </row>
        <row r="41">
          <cell r="G41" t="str">
            <v>П2-9</v>
          </cell>
        </row>
        <row r="114">
          <cell r="G114" t="str">
            <v>П2-11, П2-11р</v>
          </cell>
        </row>
        <row r="118">
          <cell r="H118" t="str">
            <v>1  ШТ.</v>
          </cell>
          <cell r="I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U118">
            <v>0</v>
          </cell>
          <cell r="X118">
            <v>0</v>
          </cell>
          <cell r="Y118">
            <v>0</v>
          </cell>
          <cell r="AL118">
            <v>4.0599999999999996</v>
          </cell>
          <cell r="AM118">
            <v>15.8</v>
          </cell>
          <cell r="AN118">
            <v>1.31</v>
          </cell>
          <cell r="AO118">
            <v>615.5</v>
          </cell>
          <cell r="AQ118">
            <v>51.58</v>
          </cell>
          <cell r="DD118">
            <v>0</v>
          </cell>
          <cell r="DE118">
            <v>0</v>
          </cell>
          <cell r="DG118" t="str">
            <v>)*1,67</v>
          </cell>
          <cell r="DI118">
            <v>0</v>
          </cell>
        </row>
        <row r="119"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X119">
            <v>0</v>
          </cell>
          <cell r="Y119">
            <v>0</v>
          </cell>
          <cell r="AV119">
            <v>1.0669999999999999</v>
          </cell>
          <cell r="AW119">
            <v>1.028</v>
          </cell>
          <cell r="BA119">
            <v>24.53</v>
          </cell>
          <cell r="BB119">
            <v>7.59</v>
          </cell>
          <cell r="BC119">
            <v>6.33</v>
          </cell>
          <cell r="BS119">
            <v>24.53</v>
          </cell>
          <cell r="BZ119">
            <v>68</v>
          </cell>
          <cell r="CA119">
            <v>43</v>
          </cell>
          <cell r="DN119">
            <v>68</v>
          </cell>
          <cell r="DO119">
            <v>43</v>
          </cell>
        </row>
        <row r="120">
          <cell r="F120" t="str">
            <v>Прайс-лист</v>
          </cell>
          <cell r="H120" t="str">
            <v>шт.</v>
          </cell>
          <cell r="I120">
            <v>0</v>
          </cell>
          <cell r="P120">
            <v>0</v>
          </cell>
          <cell r="R120">
            <v>0</v>
          </cell>
          <cell r="X120">
            <v>0</v>
          </cell>
          <cell r="Y120">
            <v>0</v>
          </cell>
          <cell r="AL120">
            <v>131180.4</v>
          </cell>
          <cell r="DD120">
            <v>0</v>
          </cell>
        </row>
        <row r="121">
          <cell r="R121">
            <v>0</v>
          </cell>
          <cell r="X121">
            <v>0</v>
          </cell>
          <cell r="Y121">
            <v>0</v>
          </cell>
          <cell r="AW121">
            <v>1</v>
          </cell>
          <cell r="BC121">
            <v>4.5999999999999996</v>
          </cell>
        </row>
        <row r="161">
          <cell r="G161" t="str">
            <v>П2-11, П2-11р</v>
          </cell>
        </row>
        <row r="234">
          <cell r="G234" t="str">
            <v>П2-14, П2-14р</v>
          </cell>
        </row>
        <row r="238">
          <cell r="H238" t="str">
            <v>1  ШТ.</v>
          </cell>
          <cell r="I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U238">
            <v>0</v>
          </cell>
          <cell r="X238">
            <v>0</v>
          </cell>
          <cell r="Y238">
            <v>0</v>
          </cell>
          <cell r="AL238">
            <v>4.0599999999999996</v>
          </cell>
          <cell r="AM238">
            <v>15.8</v>
          </cell>
          <cell r="AN238">
            <v>1.31</v>
          </cell>
          <cell r="AO238">
            <v>615.5</v>
          </cell>
          <cell r="AQ238">
            <v>51.58</v>
          </cell>
          <cell r="DD238">
            <v>0</v>
          </cell>
          <cell r="DE238">
            <v>0</v>
          </cell>
          <cell r="DG238" t="str">
            <v>)*1,67</v>
          </cell>
          <cell r="DI238">
            <v>0</v>
          </cell>
        </row>
        <row r="239"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X239">
            <v>0</v>
          </cell>
          <cell r="Y239">
            <v>0</v>
          </cell>
          <cell r="AV239">
            <v>1.0669999999999999</v>
          </cell>
          <cell r="AW239">
            <v>1.028</v>
          </cell>
          <cell r="BA239">
            <v>24.53</v>
          </cell>
          <cell r="BB239">
            <v>7.59</v>
          </cell>
          <cell r="BC239">
            <v>6.33</v>
          </cell>
          <cell r="BS239">
            <v>24.53</v>
          </cell>
          <cell r="BZ239">
            <v>68</v>
          </cell>
          <cell r="CA239">
            <v>43</v>
          </cell>
          <cell r="DN239">
            <v>68</v>
          </cell>
          <cell r="DO239">
            <v>43</v>
          </cell>
        </row>
        <row r="240">
          <cell r="F240" t="str">
            <v>Прайс-лист</v>
          </cell>
          <cell r="H240" t="str">
            <v>шт.</v>
          </cell>
          <cell r="I240">
            <v>0</v>
          </cell>
          <cell r="P240">
            <v>0</v>
          </cell>
          <cell r="R240">
            <v>0</v>
          </cell>
          <cell r="X240">
            <v>0</v>
          </cell>
          <cell r="Y240">
            <v>0</v>
          </cell>
          <cell r="AL240">
            <v>102218.26</v>
          </cell>
          <cell r="DD240">
            <v>0</v>
          </cell>
        </row>
        <row r="241">
          <cell r="R241">
            <v>0</v>
          </cell>
          <cell r="X241">
            <v>0</v>
          </cell>
          <cell r="Y241">
            <v>0</v>
          </cell>
          <cell r="AW241">
            <v>1</v>
          </cell>
          <cell r="BC241">
            <v>4.5999999999999996</v>
          </cell>
        </row>
        <row r="273">
          <cell r="G273" t="str">
            <v>П2-14, П2-14р</v>
          </cell>
        </row>
        <row r="303">
          <cell r="G303" t="str">
            <v>П2-15</v>
          </cell>
        </row>
        <row r="307">
          <cell r="H307" t="str">
            <v>1  ШТ.</v>
          </cell>
          <cell r="I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U307">
            <v>0</v>
          </cell>
          <cell r="X307">
            <v>0</v>
          </cell>
          <cell r="Y307">
            <v>0</v>
          </cell>
          <cell r="AL307">
            <v>4.0599999999999996</v>
          </cell>
          <cell r="AM307">
            <v>15.8</v>
          </cell>
          <cell r="AN307">
            <v>1.31</v>
          </cell>
          <cell r="AO307">
            <v>615.5</v>
          </cell>
          <cell r="AQ307">
            <v>51.58</v>
          </cell>
          <cell r="DD307">
            <v>0</v>
          </cell>
          <cell r="DE307">
            <v>0</v>
          </cell>
          <cell r="DG307" t="str">
            <v>)*1,67</v>
          </cell>
          <cell r="DI307">
            <v>0</v>
          </cell>
        </row>
        <row r="308"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X308">
            <v>0</v>
          </cell>
          <cell r="Y308">
            <v>0</v>
          </cell>
          <cell r="AV308">
            <v>1.0669999999999999</v>
          </cell>
          <cell r="AW308">
            <v>1.028</v>
          </cell>
          <cell r="BA308">
            <v>24.53</v>
          </cell>
          <cell r="BB308">
            <v>7.59</v>
          </cell>
          <cell r="BC308">
            <v>6.33</v>
          </cell>
          <cell r="BS308">
            <v>24.53</v>
          </cell>
          <cell r="BZ308">
            <v>68</v>
          </cell>
          <cell r="CA308">
            <v>43</v>
          </cell>
          <cell r="DN308">
            <v>68</v>
          </cell>
          <cell r="DO308">
            <v>43</v>
          </cell>
        </row>
        <row r="309">
          <cell r="F309" t="str">
            <v>Прайс-лист</v>
          </cell>
          <cell r="H309" t="str">
            <v>шт.</v>
          </cell>
          <cell r="I309">
            <v>0</v>
          </cell>
          <cell r="P309">
            <v>0</v>
          </cell>
          <cell r="R309">
            <v>0</v>
          </cell>
          <cell r="X309">
            <v>0</v>
          </cell>
          <cell r="Y309">
            <v>0</v>
          </cell>
          <cell r="AL309">
            <v>54107.42</v>
          </cell>
          <cell r="DD309">
            <v>0</v>
          </cell>
        </row>
        <row r="310">
          <cell r="R310">
            <v>0</v>
          </cell>
          <cell r="X310">
            <v>0</v>
          </cell>
          <cell r="Y310">
            <v>0</v>
          </cell>
          <cell r="AW310">
            <v>1</v>
          </cell>
          <cell r="BC310">
            <v>4.5999999999999996</v>
          </cell>
        </row>
        <row r="312">
          <cell r="G312" t="str">
            <v>П2-15</v>
          </cell>
        </row>
        <row r="411">
          <cell r="G411" t="str">
            <v>П2-17</v>
          </cell>
        </row>
        <row r="415">
          <cell r="H415" t="str">
            <v>1  ШТ.</v>
          </cell>
          <cell r="I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U415">
            <v>0</v>
          </cell>
          <cell r="X415">
            <v>0</v>
          </cell>
          <cell r="Y415">
            <v>0</v>
          </cell>
          <cell r="AL415">
            <v>4.0599999999999996</v>
          </cell>
          <cell r="AM415">
            <v>15.8</v>
          </cell>
          <cell r="AN415">
            <v>1.31</v>
          </cell>
          <cell r="AO415">
            <v>615.5</v>
          </cell>
          <cell r="AQ415">
            <v>51.58</v>
          </cell>
          <cell r="DD415">
            <v>0</v>
          </cell>
          <cell r="DE415">
            <v>0</v>
          </cell>
          <cell r="DG415" t="str">
            <v>)*1,67</v>
          </cell>
          <cell r="DI415">
            <v>0</v>
          </cell>
        </row>
        <row r="416"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X416">
            <v>0</v>
          </cell>
          <cell r="Y416">
            <v>0</v>
          </cell>
          <cell r="AV416">
            <v>1.0669999999999999</v>
          </cell>
          <cell r="AW416">
            <v>1.028</v>
          </cell>
          <cell r="BA416">
            <v>24.53</v>
          </cell>
          <cell r="BB416">
            <v>7.59</v>
          </cell>
          <cell r="BC416">
            <v>6.33</v>
          </cell>
          <cell r="BS416">
            <v>24.53</v>
          </cell>
          <cell r="BZ416">
            <v>68</v>
          </cell>
          <cell r="CA416">
            <v>43</v>
          </cell>
          <cell r="DN416">
            <v>68</v>
          </cell>
          <cell r="DO416">
            <v>43</v>
          </cell>
        </row>
        <row r="417">
          <cell r="F417" t="str">
            <v>Прайс-лист</v>
          </cell>
          <cell r="H417" t="str">
            <v>шт.</v>
          </cell>
          <cell r="I417">
            <v>0</v>
          </cell>
          <cell r="P417">
            <v>0</v>
          </cell>
          <cell r="R417">
            <v>0</v>
          </cell>
          <cell r="X417">
            <v>0</v>
          </cell>
          <cell r="Y417">
            <v>0</v>
          </cell>
          <cell r="AL417">
            <v>73114.259999999995</v>
          </cell>
          <cell r="DD417">
            <v>0</v>
          </cell>
        </row>
        <row r="418">
          <cell r="R418">
            <v>0</v>
          </cell>
          <cell r="X418">
            <v>0</v>
          </cell>
          <cell r="Y418">
            <v>0</v>
          </cell>
          <cell r="AW418">
            <v>1</v>
          </cell>
          <cell r="BC418">
            <v>4.5999999999999996</v>
          </cell>
        </row>
        <row r="420">
          <cell r="G420" t="str">
            <v>П2-17</v>
          </cell>
        </row>
        <row r="450">
          <cell r="G450" t="str">
            <v>П2-18</v>
          </cell>
        </row>
        <row r="454">
          <cell r="H454" t="str">
            <v>1  ШТ.</v>
          </cell>
          <cell r="I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U454">
            <v>0</v>
          </cell>
          <cell r="X454">
            <v>0</v>
          </cell>
          <cell r="Y454">
            <v>0</v>
          </cell>
          <cell r="AL454">
            <v>4.0599999999999996</v>
          </cell>
          <cell r="AM454">
            <v>15.8</v>
          </cell>
          <cell r="AN454">
            <v>1.31</v>
          </cell>
          <cell r="AO454">
            <v>615.5</v>
          </cell>
          <cell r="AQ454">
            <v>51.58</v>
          </cell>
          <cell r="DD454">
            <v>0</v>
          </cell>
          <cell r="DE454">
            <v>0</v>
          </cell>
          <cell r="DG454" t="str">
            <v>)*1,67</v>
          </cell>
          <cell r="DI454">
            <v>0</v>
          </cell>
        </row>
        <row r="455"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X455">
            <v>0</v>
          </cell>
          <cell r="Y455">
            <v>0</v>
          </cell>
          <cell r="AV455">
            <v>1.0669999999999999</v>
          </cell>
          <cell r="AW455">
            <v>1.028</v>
          </cell>
          <cell r="BA455">
            <v>24.53</v>
          </cell>
          <cell r="BB455">
            <v>7.59</v>
          </cell>
          <cell r="BC455">
            <v>6.33</v>
          </cell>
          <cell r="BS455">
            <v>24.53</v>
          </cell>
          <cell r="BZ455">
            <v>68</v>
          </cell>
          <cell r="CA455">
            <v>43</v>
          </cell>
          <cell r="DN455">
            <v>68</v>
          </cell>
          <cell r="DO455">
            <v>43</v>
          </cell>
        </row>
        <row r="456">
          <cell r="F456" t="str">
            <v>Прайс-лист</v>
          </cell>
          <cell r="H456" t="str">
            <v>шт.</v>
          </cell>
          <cell r="I456">
            <v>0</v>
          </cell>
          <cell r="P456">
            <v>0</v>
          </cell>
          <cell r="R456">
            <v>0</v>
          </cell>
          <cell r="X456">
            <v>0</v>
          </cell>
          <cell r="Y456">
            <v>0</v>
          </cell>
          <cell r="AL456">
            <v>62849.1</v>
          </cell>
          <cell r="DD456">
            <v>0</v>
          </cell>
        </row>
        <row r="457">
          <cell r="R457">
            <v>0</v>
          </cell>
          <cell r="X457">
            <v>0</v>
          </cell>
          <cell r="Y457">
            <v>0</v>
          </cell>
          <cell r="AW457">
            <v>1</v>
          </cell>
          <cell r="BC457">
            <v>4.5999999999999996</v>
          </cell>
        </row>
        <row r="459">
          <cell r="G459" t="str">
            <v>П2-18</v>
          </cell>
        </row>
        <row r="585">
          <cell r="G585" t="str">
            <v>П2-21</v>
          </cell>
        </row>
        <row r="589">
          <cell r="H589" t="str">
            <v>1  ШТ.</v>
          </cell>
          <cell r="I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U589">
            <v>0</v>
          </cell>
          <cell r="X589">
            <v>0</v>
          </cell>
          <cell r="Y589">
            <v>0</v>
          </cell>
          <cell r="AL589">
            <v>4.0599999999999996</v>
          </cell>
          <cell r="AM589">
            <v>15.8</v>
          </cell>
          <cell r="AN589">
            <v>1.31</v>
          </cell>
          <cell r="AO589">
            <v>615.5</v>
          </cell>
          <cell r="AQ589">
            <v>51.58</v>
          </cell>
          <cell r="DD589">
            <v>0</v>
          </cell>
          <cell r="DE589">
            <v>0</v>
          </cell>
          <cell r="DG589" t="str">
            <v>)*1,67</v>
          </cell>
          <cell r="DI589">
            <v>0</v>
          </cell>
        </row>
        <row r="590"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X590">
            <v>0</v>
          </cell>
          <cell r="Y590">
            <v>0</v>
          </cell>
          <cell r="AV590">
            <v>1.0669999999999999</v>
          </cell>
          <cell r="AW590">
            <v>1.028</v>
          </cell>
          <cell r="BA590">
            <v>24.53</v>
          </cell>
          <cell r="BB590">
            <v>7.59</v>
          </cell>
          <cell r="BC590">
            <v>6.33</v>
          </cell>
          <cell r="BS590">
            <v>24.53</v>
          </cell>
          <cell r="BZ590">
            <v>68</v>
          </cell>
          <cell r="CA590">
            <v>43</v>
          </cell>
          <cell r="DN590">
            <v>68</v>
          </cell>
          <cell r="DO590">
            <v>43</v>
          </cell>
        </row>
        <row r="591">
          <cell r="F591" t="str">
            <v>Прайс-лист</v>
          </cell>
          <cell r="H591" t="str">
            <v>шт.</v>
          </cell>
          <cell r="I591">
            <v>0</v>
          </cell>
          <cell r="P591">
            <v>0</v>
          </cell>
          <cell r="R591">
            <v>0</v>
          </cell>
          <cell r="X591">
            <v>0</v>
          </cell>
          <cell r="Y591">
            <v>0</v>
          </cell>
          <cell r="AL591">
            <v>46837.27</v>
          </cell>
          <cell r="DD591">
            <v>0</v>
          </cell>
        </row>
        <row r="592">
          <cell r="R592">
            <v>0</v>
          </cell>
          <cell r="X592">
            <v>0</v>
          </cell>
          <cell r="Y592">
            <v>0</v>
          </cell>
          <cell r="AW592">
            <v>1</v>
          </cell>
          <cell r="BC592">
            <v>4.5999999999999996</v>
          </cell>
        </row>
        <row r="598">
          <cell r="G598" t="str">
            <v>П2-21</v>
          </cell>
        </row>
        <row r="628">
          <cell r="G628" t="str">
            <v>П2-23</v>
          </cell>
        </row>
        <row r="632">
          <cell r="H632" t="str">
            <v>1  ШТ.</v>
          </cell>
          <cell r="I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U632">
            <v>0</v>
          </cell>
          <cell r="X632">
            <v>0</v>
          </cell>
          <cell r="Y632">
            <v>0</v>
          </cell>
          <cell r="AL632">
            <v>4.0599999999999996</v>
          </cell>
          <cell r="AM632">
            <v>15.8</v>
          </cell>
          <cell r="AN632">
            <v>1.31</v>
          </cell>
          <cell r="AO632">
            <v>615.5</v>
          </cell>
          <cell r="AQ632">
            <v>51.58</v>
          </cell>
          <cell r="DD632">
            <v>0</v>
          </cell>
          <cell r="DE632">
            <v>0</v>
          </cell>
          <cell r="DG632" t="str">
            <v>)*1,67</v>
          </cell>
          <cell r="DI632">
            <v>0</v>
          </cell>
        </row>
        <row r="633"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X633">
            <v>0</v>
          </cell>
          <cell r="Y633">
            <v>0</v>
          </cell>
          <cell r="AV633">
            <v>1.0669999999999999</v>
          </cell>
          <cell r="AW633">
            <v>1.028</v>
          </cell>
          <cell r="BA633">
            <v>24.53</v>
          </cell>
          <cell r="BB633">
            <v>7.59</v>
          </cell>
          <cell r="BC633">
            <v>6.33</v>
          </cell>
          <cell r="BS633">
            <v>24.53</v>
          </cell>
          <cell r="BZ633">
            <v>68</v>
          </cell>
          <cell r="CA633">
            <v>43</v>
          </cell>
          <cell r="DN633">
            <v>68</v>
          </cell>
          <cell r="DO633">
            <v>43</v>
          </cell>
        </row>
        <row r="634">
          <cell r="F634" t="str">
            <v>Прайс-лист</v>
          </cell>
          <cell r="H634" t="str">
            <v>шт.</v>
          </cell>
          <cell r="I634">
            <v>0</v>
          </cell>
          <cell r="P634">
            <v>0</v>
          </cell>
          <cell r="R634">
            <v>0</v>
          </cell>
          <cell r="X634">
            <v>0</v>
          </cell>
          <cell r="Y634">
            <v>0</v>
          </cell>
          <cell r="AL634">
            <v>90277.670000000013</v>
          </cell>
          <cell r="DD634">
            <v>0</v>
          </cell>
        </row>
        <row r="635">
          <cell r="R635">
            <v>0</v>
          </cell>
          <cell r="X635">
            <v>0</v>
          </cell>
          <cell r="Y635">
            <v>0</v>
          </cell>
          <cell r="AW635">
            <v>1</v>
          </cell>
          <cell r="BC635">
            <v>4.5999999999999996</v>
          </cell>
        </row>
        <row r="641">
          <cell r="G641" t="str">
            <v>П2-23</v>
          </cell>
        </row>
        <row r="842">
          <cell r="G842" t="str">
            <v>У2-1</v>
          </cell>
        </row>
        <row r="846">
          <cell r="H846" t="str">
            <v>1  ШТ.</v>
          </cell>
          <cell r="I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U846">
            <v>0</v>
          </cell>
          <cell r="X846">
            <v>0</v>
          </cell>
          <cell r="Y846">
            <v>0</v>
          </cell>
          <cell r="AL846">
            <v>4.0599999999999996</v>
          </cell>
          <cell r="AM846">
            <v>15.8</v>
          </cell>
          <cell r="AN846">
            <v>1.31</v>
          </cell>
          <cell r="AO846">
            <v>615.5</v>
          </cell>
          <cell r="AQ846">
            <v>51.58</v>
          </cell>
          <cell r="DD846">
            <v>0</v>
          </cell>
          <cell r="DE846">
            <v>0</v>
          </cell>
          <cell r="DG846" t="str">
            <v>)*1,67</v>
          </cell>
          <cell r="DI846">
            <v>0</v>
          </cell>
        </row>
        <row r="847"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X847">
            <v>0</v>
          </cell>
          <cell r="Y847">
            <v>0</v>
          </cell>
          <cell r="AV847">
            <v>1.0669999999999999</v>
          </cell>
          <cell r="AW847">
            <v>1.028</v>
          </cell>
          <cell r="BA847">
            <v>24.53</v>
          </cell>
          <cell r="BB847">
            <v>7.59</v>
          </cell>
          <cell r="BC847">
            <v>6.33</v>
          </cell>
          <cell r="BS847">
            <v>24.53</v>
          </cell>
          <cell r="BZ847">
            <v>68</v>
          </cell>
          <cell r="CA847">
            <v>43</v>
          </cell>
          <cell r="DN847">
            <v>68</v>
          </cell>
          <cell r="DO847">
            <v>43</v>
          </cell>
        </row>
        <row r="848">
          <cell r="F848" t="str">
            <v>Прайс-лист</v>
          </cell>
          <cell r="H848" t="str">
            <v>шт.</v>
          </cell>
          <cell r="I848">
            <v>0</v>
          </cell>
          <cell r="P848">
            <v>0</v>
          </cell>
          <cell r="R848">
            <v>0</v>
          </cell>
          <cell r="X848">
            <v>0</v>
          </cell>
          <cell r="Y848">
            <v>0</v>
          </cell>
          <cell r="AL848">
            <v>181705.28999999998</v>
          </cell>
          <cell r="DD848">
            <v>0</v>
          </cell>
        </row>
        <row r="849">
          <cell r="R849">
            <v>0</v>
          </cell>
          <cell r="X849">
            <v>0</v>
          </cell>
          <cell r="Y849">
            <v>0</v>
          </cell>
          <cell r="AW849">
            <v>1</v>
          </cell>
          <cell r="BC849">
            <v>4.5999999999999996</v>
          </cell>
        </row>
        <row r="851">
          <cell r="G851" t="str">
            <v>У2-1</v>
          </cell>
        </row>
        <row r="881">
          <cell r="G881" t="str">
            <v>У2-2</v>
          </cell>
        </row>
        <row r="885">
          <cell r="H885" t="str">
            <v>1  ШТ.</v>
          </cell>
          <cell r="I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U885">
            <v>0</v>
          </cell>
          <cell r="X885">
            <v>0</v>
          </cell>
          <cell r="Y885">
            <v>0</v>
          </cell>
          <cell r="AL885">
            <v>4.0599999999999996</v>
          </cell>
          <cell r="AM885">
            <v>15.8</v>
          </cell>
          <cell r="AN885">
            <v>1.31</v>
          </cell>
          <cell r="AO885">
            <v>615.5</v>
          </cell>
          <cell r="AQ885">
            <v>51.58</v>
          </cell>
          <cell r="DD885">
            <v>0</v>
          </cell>
          <cell r="DE885">
            <v>0</v>
          </cell>
          <cell r="DG885" t="str">
            <v>)*1,67</v>
          </cell>
          <cell r="DI885">
            <v>0</v>
          </cell>
        </row>
        <row r="886"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X886">
            <v>0</v>
          </cell>
          <cell r="Y886">
            <v>0</v>
          </cell>
          <cell r="AV886">
            <v>1.0669999999999999</v>
          </cell>
          <cell r="AW886">
            <v>1.028</v>
          </cell>
          <cell r="BA886">
            <v>24.53</v>
          </cell>
          <cell r="BB886">
            <v>7.59</v>
          </cell>
          <cell r="BC886">
            <v>6.33</v>
          </cell>
          <cell r="BS886">
            <v>24.53</v>
          </cell>
          <cell r="BZ886">
            <v>68</v>
          </cell>
          <cell r="CA886">
            <v>43</v>
          </cell>
          <cell r="DN886">
            <v>68</v>
          </cell>
          <cell r="DO886">
            <v>43</v>
          </cell>
        </row>
        <row r="887">
          <cell r="F887" t="str">
            <v>Прайс-лист</v>
          </cell>
          <cell r="H887" t="str">
            <v>шт.</v>
          </cell>
          <cell r="I887">
            <v>0</v>
          </cell>
          <cell r="P887">
            <v>0</v>
          </cell>
          <cell r="R887">
            <v>0</v>
          </cell>
          <cell r="X887">
            <v>0</v>
          </cell>
          <cell r="Y887">
            <v>0</v>
          </cell>
          <cell r="AL887">
            <v>181705.28999999998</v>
          </cell>
          <cell r="DD887">
            <v>0</v>
          </cell>
        </row>
        <row r="888">
          <cell r="R888">
            <v>0</v>
          </cell>
          <cell r="X888">
            <v>0</v>
          </cell>
          <cell r="Y888">
            <v>0</v>
          </cell>
          <cell r="AW888">
            <v>1</v>
          </cell>
          <cell r="BC888">
            <v>4.5999999999999996</v>
          </cell>
        </row>
        <row r="890">
          <cell r="G890" t="str">
            <v>У2-2</v>
          </cell>
        </row>
        <row r="920">
          <cell r="G920" t="str">
            <v>В2-11</v>
          </cell>
        </row>
        <row r="924">
          <cell r="H924" t="str">
            <v>1  ШТ.</v>
          </cell>
          <cell r="I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U924">
            <v>0</v>
          </cell>
          <cell r="X924">
            <v>0</v>
          </cell>
          <cell r="Y924">
            <v>0</v>
          </cell>
          <cell r="AL924">
            <v>4.0599999999999996</v>
          </cell>
          <cell r="AM924">
            <v>15.8</v>
          </cell>
          <cell r="AN924">
            <v>1.31</v>
          </cell>
          <cell r="AO924">
            <v>615.5</v>
          </cell>
          <cell r="AQ924">
            <v>51.58</v>
          </cell>
          <cell r="DD924">
            <v>0</v>
          </cell>
          <cell r="DE924">
            <v>0</v>
          </cell>
          <cell r="DG924" t="str">
            <v>)*1,67</v>
          </cell>
          <cell r="DI924">
            <v>0</v>
          </cell>
        </row>
        <row r="925"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X925">
            <v>0</v>
          </cell>
          <cell r="Y925">
            <v>0</v>
          </cell>
          <cell r="AV925">
            <v>1.0669999999999999</v>
          </cell>
          <cell r="AW925">
            <v>1.028</v>
          </cell>
          <cell r="BA925">
            <v>24.53</v>
          </cell>
          <cell r="BB925">
            <v>7.59</v>
          </cell>
          <cell r="BC925">
            <v>6.33</v>
          </cell>
          <cell r="BS925">
            <v>24.53</v>
          </cell>
          <cell r="BZ925">
            <v>68</v>
          </cell>
          <cell r="CA925">
            <v>43</v>
          </cell>
          <cell r="DN925">
            <v>68</v>
          </cell>
          <cell r="DO925">
            <v>43</v>
          </cell>
        </row>
        <row r="926">
          <cell r="F926" t="str">
            <v>Прайс-лист</v>
          </cell>
          <cell r="H926" t="str">
            <v>шт.</v>
          </cell>
          <cell r="I926">
            <v>0</v>
          </cell>
          <cell r="P926">
            <v>0</v>
          </cell>
          <cell r="R926">
            <v>0</v>
          </cell>
          <cell r="X926">
            <v>0</v>
          </cell>
          <cell r="Y926">
            <v>0</v>
          </cell>
          <cell r="AL926">
            <v>50618.28</v>
          </cell>
          <cell r="DD926">
            <v>0</v>
          </cell>
        </row>
        <row r="927">
          <cell r="R927">
            <v>0</v>
          </cell>
          <cell r="X927">
            <v>0</v>
          </cell>
          <cell r="Y927">
            <v>0</v>
          </cell>
          <cell r="AW927">
            <v>1</v>
          </cell>
          <cell r="BC927">
            <v>4.5999999999999996</v>
          </cell>
        </row>
        <row r="929">
          <cell r="G929" t="str">
            <v>В2-11</v>
          </cell>
        </row>
        <row r="1214">
          <cell r="G1214" t="str">
            <v>В2-17</v>
          </cell>
        </row>
        <row r="1218">
          <cell r="H1218" t="str">
            <v>1  ШТ.</v>
          </cell>
          <cell r="I1218">
            <v>0</v>
          </cell>
          <cell r="P1218">
            <v>0</v>
          </cell>
          <cell r="Q1218">
            <v>0</v>
          </cell>
          <cell r="R1218">
            <v>0</v>
          </cell>
          <cell r="S1218">
            <v>0</v>
          </cell>
          <cell r="U1218">
            <v>0</v>
          </cell>
          <cell r="X1218">
            <v>0</v>
          </cell>
          <cell r="Y1218">
            <v>0</v>
          </cell>
          <cell r="AL1218">
            <v>4.0599999999999996</v>
          </cell>
          <cell r="AM1218">
            <v>15.8</v>
          </cell>
          <cell r="AN1218">
            <v>1.31</v>
          </cell>
          <cell r="AO1218">
            <v>615.5</v>
          </cell>
          <cell r="AQ1218">
            <v>51.58</v>
          </cell>
          <cell r="DD1218">
            <v>0</v>
          </cell>
          <cell r="DE1218">
            <v>0</v>
          </cell>
          <cell r="DG1218" t="str">
            <v>)*1,67</v>
          </cell>
          <cell r="DI1218">
            <v>0</v>
          </cell>
        </row>
        <row r="1219">
          <cell r="P1219">
            <v>0</v>
          </cell>
          <cell r="Q1219">
            <v>0</v>
          </cell>
          <cell r="R1219">
            <v>0</v>
          </cell>
          <cell r="S1219">
            <v>0</v>
          </cell>
          <cell r="X1219">
            <v>0</v>
          </cell>
          <cell r="Y1219">
            <v>0</v>
          </cell>
          <cell r="AV1219">
            <v>1.0669999999999999</v>
          </cell>
          <cell r="AW1219">
            <v>1.028</v>
          </cell>
          <cell r="BA1219">
            <v>24.53</v>
          </cell>
          <cell r="BB1219">
            <v>7.59</v>
          </cell>
          <cell r="BC1219">
            <v>6.33</v>
          </cell>
          <cell r="BS1219">
            <v>24.53</v>
          </cell>
          <cell r="BZ1219">
            <v>68</v>
          </cell>
          <cell r="CA1219">
            <v>43</v>
          </cell>
          <cell r="DN1219">
            <v>68</v>
          </cell>
          <cell r="DO1219">
            <v>43</v>
          </cell>
        </row>
        <row r="1220">
          <cell r="F1220" t="str">
            <v>Прайс-лист</v>
          </cell>
          <cell r="H1220" t="str">
            <v>шт.</v>
          </cell>
          <cell r="I1220">
            <v>0</v>
          </cell>
          <cell r="P1220">
            <v>0</v>
          </cell>
          <cell r="R1220">
            <v>0</v>
          </cell>
          <cell r="X1220">
            <v>0</v>
          </cell>
          <cell r="Y1220">
            <v>0</v>
          </cell>
          <cell r="AL1220">
            <v>48038.280000000006</v>
          </cell>
          <cell r="DD1220">
            <v>0</v>
          </cell>
        </row>
        <row r="1221">
          <cell r="R1221">
            <v>0</v>
          </cell>
          <cell r="X1221">
            <v>0</v>
          </cell>
          <cell r="Y1221">
            <v>0</v>
          </cell>
          <cell r="AW1221">
            <v>1</v>
          </cell>
          <cell r="BC1221">
            <v>4.5999999999999996</v>
          </cell>
        </row>
        <row r="1223">
          <cell r="G1223" t="str">
            <v>В2-17</v>
          </cell>
        </row>
        <row r="1345">
          <cell r="G1345" t="str">
            <v>В2-20, В2-20р</v>
          </cell>
        </row>
        <row r="1349">
          <cell r="H1349" t="str">
            <v>1  ШТ.</v>
          </cell>
          <cell r="I1349">
            <v>0</v>
          </cell>
          <cell r="P1349">
            <v>0</v>
          </cell>
          <cell r="Q1349">
            <v>0</v>
          </cell>
          <cell r="R1349">
            <v>0</v>
          </cell>
          <cell r="S1349">
            <v>0</v>
          </cell>
          <cell r="U1349">
            <v>0</v>
          </cell>
          <cell r="X1349">
            <v>0</v>
          </cell>
          <cell r="Y1349">
            <v>0</v>
          </cell>
          <cell r="AL1349">
            <v>4.0599999999999996</v>
          </cell>
          <cell r="AM1349">
            <v>15.8</v>
          </cell>
          <cell r="AN1349">
            <v>1.31</v>
          </cell>
          <cell r="AO1349">
            <v>615.5</v>
          </cell>
          <cell r="AQ1349">
            <v>51.58</v>
          </cell>
          <cell r="DD1349">
            <v>0</v>
          </cell>
          <cell r="DE1349">
            <v>0</v>
          </cell>
          <cell r="DG1349" t="str">
            <v>)*1,67</v>
          </cell>
          <cell r="DI1349">
            <v>0</v>
          </cell>
        </row>
        <row r="1350">
          <cell r="P1350">
            <v>0</v>
          </cell>
          <cell r="Q1350">
            <v>0</v>
          </cell>
          <cell r="R1350">
            <v>0</v>
          </cell>
          <cell r="S1350">
            <v>0</v>
          </cell>
          <cell r="X1350">
            <v>0</v>
          </cell>
          <cell r="Y1350">
            <v>0</v>
          </cell>
          <cell r="AV1350">
            <v>1.0669999999999999</v>
          </cell>
          <cell r="AW1350">
            <v>1.028</v>
          </cell>
          <cell r="BA1350">
            <v>24.53</v>
          </cell>
          <cell r="BB1350">
            <v>7.59</v>
          </cell>
          <cell r="BC1350">
            <v>6.33</v>
          </cell>
          <cell r="BS1350">
            <v>24.53</v>
          </cell>
          <cell r="BZ1350">
            <v>68</v>
          </cell>
          <cell r="CA1350">
            <v>43</v>
          </cell>
          <cell r="DN1350">
            <v>68</v>
          </cell>
          <cell r="DO1350">
            <v>43</v>
          </cell>
        </row>
        <row r="1351">
          <cell r="F1351" t="str">
            <v>Прайс-лист</v>
          </cell>
          <cell r="H1351" t="str">
            <v>шт.</v>
          </cell>
          <cell r="I1351">
            <v>0</v>
          </cell>
          <cell r="P1351">
            <v>0</v>
          </cell>
          <cell r="R1351">
            <v>0</v>
          </cell>
          <cell r="X1351">
            <v>0</v>
          </cell>
          <cell r="Y1351">
            <v>0</v>
          </cell>
          <cell r="AL1351">
            <v>95477.859999999986</v>
          </cell>
          <cell r="DD1351">
            <v>0</v>
          </cell>
        </row>
        <row r="1352">
          <cell r="R1352">
            <v>0</v>
          </cell>
          <cell r="X1352">
            <v>0</v>
          </cell>
          <cell r="Y1352">
            <v>0</v>
          </cell>
          <cell r="AW1352">
            <v>1</v>
          </cell>
          <cell r="BC1352">
            <v>4.5999999999999996</v>
          </cell>
        </row>
        <row r="1354">
          <cell r="G1354" t="str">
            <v>В2-20, В2-20р</v>
          </cell>
        </row>
        <row r="1582">
          <cell r="G1582" t="str">
            <v>В2-27, В2-27р</v>
          </cell>
        </row>
        <row r="1586">
          <cell r="H1586" t="str">
            <v>1  ШТ.</v>
          </cell>
          <cell r="I1586">
            <v>0</v>
          </cell>
          <cell r="P1586">
            <v>0</v>
          </cell>
          <cell r="Q1586">
            <v>0</v>
          </cell>
          <cell r="R1586">
            <v>0</v>
          </cell>
          <cell r="S1586">
            <v>0</v>
          </cell>
          <cell r="U1586">
            <v>0</v>
          </cell>
          <cell r="X1586">
            <v>0</v>
          </cell>
          <cell r="Y1586">
            <v>0</v>
          </cell>
          <cell r="AL1586">
            <v>4.0599999999999996</v>
          </cell>
          <cell r="AM1586">
            <v>15.8</v>
          </cell>
          <cell r="AN1586">
            <v>1.31</v>
          </cell>
          <cell r="AO1586">
            <v>615.5</v>
          </cell>
          <cell r="AQ1586">
            <v>51.58</v>
          </cell>
          <cell r="DD1586">
            <v>0</v>
          </cell>
          <cell r="DE1586">
            <v>0</v>
          </cell>
          <cell r="DG1586" t="str">
            <v>)*1,67</v>
          </cell>
          <cell r="DI1586">
            <v>0</v>
          </cell>
        </row>
        <row r="1587">
          <cell r="P1587">
            <v>0</v>
          </cell>
          <cell r="Q1587">
            <v>0</v>
          </cell>
          <cell r="R1587">
            <v>0</v>
          </cell>
          <cell r="S1587">
            <v>0</v>
          </cell>
          <cell r="X1587">
            <v>0</v>
          </cell>
          <cell r="Y1587">
            <v>0</v>
          </cell>
          <cell r="AV1587">
            <v>1.0669999999999999</v>
          </cell>
          <cell r="AW1587">
            <v>1.028</v>
          </cell>
          <cell r="BA1587">
            <v>24.53</v>
          </cell>
          <cell r="BB1587">
            <v>7.59</v>
          </cell>
          <cell r="BC1587">
            <v>6.33</v>
          </cell>
          <cell r="BS1587">
            <v>24.53</v>
          </cell>
          <cell r="BZ1587">
            <v>68</v>
          </cell>
          <cell r="CA1587">
            <v>43</v>
          </cell>
          <cell r="DN1587">
            <v>68</v>
          </cell>
          <cell r="DO1587">
            <v>43</v>
          </cell>
        </row>
        <row r="1588">
          <cell r="F1588" t="str">
            <v>Прайс-лист</v>
          </cell>
          <cell r="H1588" t="str">
            <v>шт.</v>
          </cell>
          <cell r="I1588">
            <v>0</v>
          </cell>
          <cell r="P1588">
            <v>0</v>
          </cell>
          <cell r="R1588">
            <v>0</v>
          </cell>
          <cell r="X1588">
            <v>0</v>
          </cell>
          <cell r="Y1588">
            <v>0</v>
          </cell>
          <cell r="AL1588">
            <v>92252.99</v>
          </cell>
          <cell r="DD1588">
            <v>0</v>
          </cell>
        </row>
        <row r="1589">
          <cell r="R1589">
            <v>0</v>
          </cell>
          <cell r="X1589">
            <v>0</v>
          </cell>
          <cell r="Y1589">
            <v>0</v>
          </cell>
          <cell r="AW1589">
            <v>1</v>
          </cell>
          <cell r="BC1589">
            <v>4.5999999999999996</v>
          </cell>
        </row>
        <row r="1591">
          <cell r="G1591" t="str">
            <v>В2-27, В2-27р</v>
          </cell>
        </row>
        <row r="1833">
          <cell r="G1833" t="str">
            <v>В2-34, В2-34р</v>
          </cell>
        </row>
        <row r="1837">
          <cell r="H1837" t="str">
            <v>1  ШТ.</v>
          </cell>
          <cell r="I1837">
            <v>0</v>
          </cell>
          <cell r="P1837">
            <v>0</v>
          </cell>
          <cell r="Q1837">
            <v>0</v>
          </cell>
          <cell r="R1837">
            <v>0</v>
          </cell>
          <cell r="S1837">
            <v>0</v>
          </cell>
          <cell r="U1837">
            <v>0</v>
          </cell>
          <cell r="X1837">
            <v>0</v>
          </cell>
          <cell r="Y1837">
            <v>0</v>
          </cell>
          <cell r="AL1837">
            <v>4.0599999999999996</v>
          </cell>
          <cell r="AM1837">
            <v>15.8</v>
          </cell>
          <cell r="AN1837">
            <v>1.31</v>
          </cell>
          <cell r="AO1837">
            <v>615.5</v>
          </cell>
          <cell r="AQ1837">
            <v>51.58</v>
          </cell>
          <cell r="DD1837">
            <v>0</v>
          </cell>
          <cell r="DE1837">
            <v>0</v>
          </cell>
          <cell r="DG1837" t="str">
            <v>)*1,67</v>
          </cell>
          <cell r="DI1837">
            <v>0</v>
          </cell>
        </row>
        <row r="1838">
          <cell r="P1838">
            <v>0</v>
          </cell>
          <cell r="Q1838">
            <v>0</v>
          </cell>
          <cell r="R1838">
            <v>0</v>
          </cell>
          <cell r="S1838">
            <v>0</v>
          </cell>
          <cell r="X1838">
            <v>0</v>
          </cell>
          <cell r="Y1838">
            <v>0</v>
          </cell>
          <cell r="AV1838">
            <v>1.0669999999999999</v>
          </cell>
          <cell r="AW1838">
            <v>1.028</v>
          </cell>
          <cell r="BA1838">
            <v>24.53</v>
          </cell>
          <cell r="BB1838">
            <v>7.59</v>
          </cell>
          <cell r="BC1838">
            <v>6.33</v>
          </cell>
          <cell r="BS1838">
            <v>24.53</v>
          </cell>
          <cell r="BZ1838">
            <v>68</v>
          </cell>
          <cell r="CA1838">
            <v>43</v>
          </cell>
          <cell r="DN1838">
            <v>68</v>
          </cell>
          <cell r="DO1838">
            <v>43</v>
          </cell>
        </row>
        <row r="1839">
          <cell r="F1839" t="str">
            <v>Прайс-лист</v>
          </cell>
          <cell r="H1839" t="str">
            <v>шт.</v>
          </cell>
          <cell r="I1839">
            <v>0</v>
          </cell>
          <cell r="P1839">
            <v>0</v>
          </cell>
          <cell r="R1839">
            <v>0</v>
          </cell>
          <cell r="X1839">
            <v>0</v>
          </cell>
          <cell r="Y1839">
            <v>0</v>
          </cell>
          <cell r="AL1839">
            <v>183069.85</v>
          </cell>
          <cell r="DD1839">
            <v>0</v>
          </cell>
        </row>
        <row r="1840">
          <cell r="R1840">
            <v>0</v>
          </cell>
          <cell r="X1840">
            <v>0</v>
          </cell>
          <cell r="Y1840">
            <v>0</v>
          </cell>
          <cell r="AW1840">
            <v>1</v>
          </cell>
          <cell r="BC1840">
            <v>4.5999999999999996</v>
          </cell>
        </row>
        <row r="1842">
          <cell r="G1842" t="str">
            <v>В2-34, В2-34р</v>
          </cell>
        </row>
        <row r="2454">
          <cell r="G2454" t="str">
            <v>Дополнительные материалы и оборудование</v>
          </cell>
        </row>
        <row r="2498">
          <cell r="H2498" t="str">
            <v>1 клапан</v>
          </cell>
          <cell r="I2498">
            <v>2</v>
          </cell>
          <cell r="P2498">
            <v>11.18</v>
          </cell>
          <cell r="Q2498">
            <v>1.6</v>
          </cell>
          <cell r="R2498">
            <v>0.11</v>
          </cell>
          <cell r="S2498">
            <v>139.63</v>
          </cell>
          <cell r="U2498">
            <v>7.1915800000000001</v>
          </cell>
          <cell r="X2498">
            <v>110.31</v>
          </cell>
          <cell r="Y2498">
            <v>97.74</v>
          </cell>
          <cell r="AL2498">
            <v>5.44</v>
          </cell>
          <cell r="AM2498">
            <v>0.73</v>
          </cell>
          <cell r="AN2498">
            <v>0.03</v>
          </cell>
          <cell r="AO2498">
            <v>39.18</v>
          </cell>
          <cell r="AQ2498">
            <v>3.37</v>
          </cell>
          <cell r="DD2498">
            <v>0</v>
          </cell>
          <cell r="DE2498">
            <v>0</v>
          </cell>
          <cell r="DG2498" t="str">
            <v>)*1,67</v>
          </cell>
          <cell r="DI2498">
            <v>0</v>
          </cell>
        </row>
        <row r="2499">
          <cell r="P2499">
            <v>63.61</v>
          </cell>
          <cell r="Q2499">
            <v>11.040000000000001</v>
          </cell>
          <cell r="R2499">
            <v>2.7</v>
          </cell>
          <cell r="S2499">
            <v>3425.12</v>
          </cell>
          <cell r="X2499">
            <v>2329.08</v>
          </cell>
          <cell r="Y2499">
            <v>1472.8</v>
          </cell>
          <cell r="AV2499">
            <v>1.0669999999999999</v>
          </cell>
          <cell r="AW2499">
            <v>1.028</v>
          </cell>
          <cell r="BA2499">
            <v>24.53</v>
          </cell>
          <cell r="BB2499">
            <v>6.45</v>
          </cell>
          <cell r="BC2499">
            <v>5.69</v>
          </cell>
          <cell r="BS2499">
            <v>24.53</v>
          </cell>
          <cell r="BZ2499">
            <v>68</v>
          </cell>
          <cell r="CA2499">
            <v>43</v>
          </cell>
          <cell r="DN2499">
            <v>68</v>
          </cell>
          <cell r="DO2499">
            <v>43</v>
          </cell>
        </row>
        <row r="2500">
          <cell r="F2500" t="str">
            <v>МКЭ-33-1005/8-1 от 26.07.2018г.</v>
          </cell>
          <cell r="H2500" t="str">
            <v>шт.</v>
          </cell>
          <cell r="I2500">
            <v>2</v>
          </cell>
          <cell r="R2500">
            <v>0</v>
          </cell>
          <cell r="X2500">
            <v>0</v>
          </cell>
          <cell r="Y2500">
            <v>0</v>
          </cell>
          <cell r="AL2500">
            <v>1668.84</v>
          </cell>
          <cell r="DD2500">
            <v>0</v>
          </cell>
        </row>
        <row r="2501">
          <cell r="R2501">
            <v>0</v>
          </cell>
          <cell r="X2501">
            <v>0</v>
          </cell>
          <cell r="Y2501">
            <v>0</v>
          </cell>
          <cell r="AW2501">
            <v>1</v>
          </cell>
          <cell r="BC2501">
            <v>5.65</v>
          </cell>
        </row>
        <row r="2508">
          <cell r="H2508" t="str">
            <v>1 клапан</v>
          </cell>
          <cell r="I2508">
            <v>2</v>
          </cell>
          <cell r="P2508">
            <v>31.34</v>
          </cell>
          <cell r="Q2508">
            <v>3.87</v>
          </cell>
          <cell r="R2508">
            <v>1.31</v>
          </cell>
          <cell r="S2508">
            <v>176.92</v>
          </cell>
          <cell r="U2508">
            <v>9.0076140000000002</v>
          </cell>
          <cell r="X2508">
            <v>221.15</v>
          </cell>
          <cell r="Y2508">
            <v>166.3</v>
          </cell>
          <cell r="AL2508">
            <v>15.67</v>
          </cell>
          <cell r="AM2508">
            <v>1.49</v>
          </cell>
          <cell r="AN2508">
            <v>0.35</v>
          </cell>
          <cell r="AO2508">
            <v>47.28</v>
          </cell>
          <cell r="AQ2508">
            <v>4.0199999999999996</v>
          </cell>
          <cell r="DD2508">
            <v>0</v>
          </cell>
          <cell r="DE2508" t="str">
            <v>)*1,05</v>
          </cell>
          <cell r="DG2508" t="str">
            <v>)*1,05)*1,67</v>
          </cell>
          <cell r="DI2508" t="str">
            <v>)*1,05</v>
          </cell>
        </row>
        <row r="2509">
          <cell r="P2509">
            <v>260.12</v>
          </cell>
          <cell r="Q2509">
            <v>46.77</v>
          </cell>
          <cell r="R2509">
            <v>32.130000000000003</v>
          </cell>
          <cell r="S2509">
            <v>4339.8500000000004</v>
          </cell>
          <cell r="X2509">
            <v>4339.8500000000004</v>
          </cell>
          <cell r="Y2509">
            <v>1952.93</v>
          </cell>
          <cell r="AV2509">
            <v>1.0669999999999999</v>
          </cell>
          <cell r="AW2509">
            <v>1</v>
          </cell>
          <cell r="BA2509">
            <v>24.53</v>
          </cell>
          <cell r="BB2509">
            <v>10.11</v>
          </cell>
          <cell r="BC2509">
            <v>8.3000000000000007</v>
          </cell>
          <cell r="BS2509">
            <v>24.53</v>
          </cell>
          <cell r="BZ2509">
            <v>100</v>
          </cell>
          <cell r="CA2509">
            <v>45</v>
          </cell>
          <cell r="DN2509">
            <v>100</v>
          </cell>
          <cell r="DO2509">
            <v>45</v>
          </cell>
        </row>
        <row r="2544">
          <cell r="F2544" t="str">
            <v>МКЭ-33-1005/8-1 от 26.07.2018г.</v>
          </cell>
          <cell r="H2544" t="str">
            <v>шт.</v>
          </cell>
          <cell r="I2544">
            <v>1</v>
          </cell>
          <cell r="R2544">
            <v>0</v>
          </cell>
          <cell r="X2544">
            <v>0</v>
          </cell>
          <cell r="Y2544">
            <v>0</v>
          </cell>
          <cell r="AL2544">
            <v>2798.42</v>
          </cell>
          <cell r="DD2544">
            <v>0</v>
          </cell>
        </row>
        <row r="2545">
          <cell r="R2545">
            <v>0</v>
          </cell>
          <cell r="X2545">
            <v>0</v>
          </cell>
          <cell r="Y2545">
            <v>0</v>
          </cell>
          <cell r="AW2545">
            <v>1</v>
          </cell>
          <cell r="BC2545">
            <v>5.65</v>
          </cell>
        </row>
        <row r="2550">
          <cell r="F2550" t="str">
            <v>МКЭ-33-1714/7-1 от 14.09.2017г.</v>
          </cell>
          <cell r="H2550" t="str">
            <v>шт.</v>
          </cell>
          <cell r="I2550">
            <v>1</v>
          </cell>
          <cell r="R2550">
            <v>0</v>
          </cell>
          <cell r="X2550">
            <v>0</v>
          </cell>
          <cell r="Y2550">
            <v>0</v>
          </cell>
          <cell r="AL2550">
            <v>2726.93</v>
          </cell>
          <cell r="DD2550">
            <v>0</v>
          </cell>
        </row>
        <row r="2551">
          <cell r="R2551">
            <v>0</v>
          </cell>
          <cell r="X2551">
            <v>0</v>
          </cell>
          <cell r="Y2551">
            <v>0</v>
          </cell>
          <cell r="AW2551">
            <v>1</v>
          </cell>
          <cell r="BC2551">
            <v>5.65</v>
          </cell>
        </row>
        <row r="2700">
          <cell r="H2700" t="str">
            <v>шт.</v>
          </cell>
          <cell r="I2700">
            <v>1</v>
          </cell>
          <cell r="P2700">
            <v>1051.44</v>
          </cell>
          <cell r="R2700">
            <v>0</v>
          </cell>
          <cell r="X2700">
            <v>0</v>
          </cell>
          <cell r="Y2700">
            <v>0</v>
          </cell>
          <cell r="AL2700">
            <v>1051.44</v>
          </cell>
          <cell r="DD2700">
            <v>0</v>
          </cell>
        </row>
        <row r="2701">
          <cell r="P2701">
            <v>3091.23</v>
          </cell>
          <cell r="R2701">
            <v>0</v>
          </cell>
          <cell r="X2701">
            <v>0</v>
          </cell>
          <cell r="Y2701">
            <v>0</v>
          </cell>
          <cell r="AW2701">
            <v>1</v>
          </cell>
          <cell r="BC2701">
            <v>2.94</v>
          </cell>
        </row>
        <row r="2706">
          <cell r="H2706" t="str">
            <v>100 м2 поверхности воздуховодов</v>
          </cell>
          <cell r="I2706">
            <v>0.04</v>
          </cell>
          <cell r="P2706">
            <v>19.98</v>
          </cell>
          <cell r="Q2706">
            <v>7.34</v>
          </cell>
          <cell r="R2706">
            <v>1.41</v>
          </cell>
          <cell r="S2706">
            <v>124.25</v>
          </cell>
          <cell r="U2706">
            <v>6.5727199999999995</v>
          </cell>
          <cell r="X2706">
            <v>155.31</v>
          </cell>
          <cell r="Y2706">
            <v>116.8</v>
          </cell>
          <cell r="AL2706">
            <v>499.52</v>
          </cell>
          <cell r="AM2706">
            <v>158.94999999999999</v>
          </cell>
          <cell r="AN2706">
            <v>19.73</v>
          </cell>
          <cell r="AO2706">
            <v>1743.28</v>
          </cell>
          <cell r="AQ2706">
            <v>154</v>
          </cell>
          <cell r="DD2706">
            <v>0</v>
          </cell>
          <cell r="DE2706">
            <v>0</v>
          </cell>
          <cell r="DG2706" t="str">
            <v>)*1,67</v>
          </cell>
          <cell r="DI2706">
            <v>0</v>
          </cell>
        </row>
        <row r="2707">
          <cell r="P2707">
            <v>73.13</v>
          </cell>
          <cell r="Q2707">
            <v>72.86</v>
          </cell>
          <cell r="R2707">
            <v>34.590000000000003</v>
          </cell>
          <cell r="S2707">
            <v>3047.85</v>
          </cell>
          <cell r="X2707">
            <v>3047.85</v>
          </cell>
          <cell r="Y2707">
            <v>1371.53</v>
          </cell>
          <cell r="AV2707">
            <v>1.0669999999999999</v>
          </cell>
          <cell r="AW2707">
            <v>1</v>
          </cell>
          <cell r="BA2707">
            <v>24.53</v>
          </cell>
          <cell r="BB2707">
            <v>8.7200000000000006</v>
          </cell>
          <cell r="BC2707">
            <v>3.66</v>
          </cell>
          <cell r="BS2707">
            <v>24.53</v>
          </cell>
          <cell r="BZ2707">
            <v>100</v>
          </cell>
          <cell r="CA2707">
            <v>45</v>
          </cell>
          <cell r="DN2707">
            <v>100</v>
          </cell>
          <cell r="DO2707">
            <v>45</v>
          </cell>
        </row>
        <row r="2708">
          <cell r="F2708" t="str">
            <v>1.19-3-6</v>
          </cell>
          <cell r="H2708" t="str">
            <v>м2</v>
          </cell>
          <cell r="I2708">
            <v>4</v>
          </cell>
          <cell r="O2708">
            <v>624.20000000000005</v>
          </cell>
          <cell r="R2708">
            <v>0</v>
          </cell>
          <cell r="X2708">
            <v>0</v>
          </cell>
          <cell r="Y2708">
            <v>0</v>
          </cell>
          <cell r="AK2708">
            <v>156.05000000000001</v>
          </cell>
        </row>
        <row r="2709">
          <cell r="O2709">
            <v>1554.26</v>
          </cell>
          <cell r="R2709">
            <v>0</v>
          </cell>
          <cell r="X2709">
            <v>0</v>
          </cell>
          <cell r="Y2709">
            <v>0</v>
          </cell>
          <cell r="AW2709">
            <v>1</v>
          </cell>
          <cell r="BC2709">
            <v>2.4900000000000002</v>
          </cell>
        </row>
        <row r="2714">
          <cell r="H2714" t="str">
            <v>100 м2 поверхности воздуховодов</v>
          </cell>
          <cell r="I2714">
            <v>0.03</v>
          </cell>
          <cell r="P2714">
            <v>14.98</v>
          </cell>
          <cell r="Q2714">
            <v>4.3600000000000003</v>
          </cell>
          <cell r="R2714">
            <v>0.82</v>
          </cell>
          <cell r="S2714">
            <v>85.32</v>
          </cell>
          <cell r="U2714">
            <v>4.5134099999999995</v>
          </cell>
          <cell r="X2714">
            <v>106.65</v>
          </cell>
          <cell r="Y2714">
            <v>80.2</v>
          </cell>
          <cell r="AL2714">
            <v>499.17</v>
          </cell>
          <cell r="AM2714">
            <v>125.93</v>
          </cell>
          <cell r="AN2714">
            <v>15.43</v>
          </cell>
          <cell r="AO2714">
            <v>1596.12</v>
          </cell>
          <cell r="AQ2714">
            <v>141</v>
          </cell>
          <cell r="DD2714">
            <v>0</v>
          </cell>
          <cell r="DE2714">
            <v>0</v>
          </cell>
          <cell r="DG2714" t="str">
            <v>)*1,67</v>
          </cell>
          <cell r="DI2714">
            <v>0</v>
          </cell>
        </row>
        <row r="2715">
          <cell r="P2715">
            <v>54.68</v>
          </cell>
          <cell r="Q2715">
            <v>43.19</v>
          </cell>
          <cell r="R2715">
            <v>20.11</v>
          </cell>
          <cell r="S2715">
            <v>2092.9</v>
          </cell>
          <cell r="X2715">
            <v>2092.9</v>
          </cell>
          <cell r="Y2715">
            <v>941.81</v>
          </cell>
          <cell r="AV2715">
            <v>1.0669999999999999</v>
          </cell>
          <cell r="AW2715">
            <v>1</v>
          </cell>
          <cell r="BA2715">
            <v>24.53</v>
          </cell>
          <cell r="BB2715">
            <v>8.7100000000000009</v>
          </cell>
          <cell r="BC2715">
            <v>3.65</v>
          </cell>
          <cell r="BS2715">
            <v>24.53</v>
          </cell>
          <cell r="BZ2715">
            <v>100</v>
          </cell>
          <cell r="CA2715">
            <v>45</v>
          </cell>
          <cell r="DN2715">
            <v>100</v>
          </cell>
          <cell r="DO2715">
            <v>45</v>
          </cell>
        </row>
        <row r="2716">
          <cell r="F2716" t="str">
            <v>1.19-3-12</v>
          </cell>
          <cell r="H2716" t="str">
            <v>м2</v>
          </cell>
          <cell r="I2716">
            <v>3</v>
          </cell>
          <cell r="O2716">
            <v>376.92</v>
          </cell>
          <cell r="R2716">
            <v>0</v>
          </cell>
          <cell r="X2716">
            <v>0</v>
          </cell>
          <cell r="Y2716">
            <v>0</v>
          </cell>
          <cell r="AK2716">
            <v>125.64</v>
          </cell>
        </row>
        <row r="2717">
          <cell r="O2717">
            <v>1447.37</v>
          </cell>
          <cell r="R2717">
            <v>0</v>
          </cell>
          <cell r="X2717">
            <v>0</v>
          </cell>
          <cell r="Y2717">
            <v>0</v>
          </cell>
          <cell r="AW2717">
            <v>1</v>
          </cell>
          <cell r="BC2717">
            <v>3.84</v>
          </cell>
        </row>
        <row r="2718">
          <cell r="H2718" t="str">
            <v>100 м2 поверхности воздуховодов</v>
          </cell>
          <cell r="I2718">
            <v>0.04</v>
          </cell>
          <cell r="P2718">
            <v>17.11</v>
          </cell>
          <cell r="Q2718">
            <v>5.94</v>
          </cell>
          <cell r="R2718">
            <v>1.1200000000000001</v>
          </cell>
          <cell r="S2718">
            <v>113.76</v>
          </cell>
          <cell r="U2718">
            <v>6.0178799999999999</v>
          </cell>
          <cell r="X2718">
            <v>142.19999999999999</v>
          </cell>
          <cell r="Y2718">
            <v>106.93</v>
          </cell>
          <cell r="AL2718">
            <v>427.67</v>
          </cell>
          <cell r="AM2718">
            <v>128.62</v>
          </cell>
          <cell r="AN2718">
            <v>15.75</v>
          </cell>
          <cell r="AO2718">
            <v>1596.12</v>
          </cell>
          <cell r="AQ2718">
            <v>141</v>
          </cell>
          <cell r="DD2718">
            <v>0</v>
          </cell>
          <cell r="DE2718">
            <v>0</v>
          </cell>
          <cell r="DG2718" t="str">
            <v>)*1,67</v>
          </cell>
          <cell r="DI2718">
            <v>0</v>
          </cell>
        </row>
        <row r="2719">
          <cell r="P2719">
            <v>60.74</v>
          </cell>
          <cell r="Q2719">
            <v>58.86</v>
          </cell>
          <cell r="R2719">
            <v>27.47</v>
          </cell>
          <cell r="S2719">
            <v>2790.53</v>
          </cell>
          <cell r="X2719">
            <v>2790.53</v>
          </cell>
          <cell r="Y2719">
            <v>1255.74</v>
          </cell>
          <cell r="AV2719">
            <v>1.0669999999999999</v>
          </cell>
          <cell r="AW2719">
            <v>1</v>
          </cell>
          <cell r="BA2719">
            <v>24.53</v>
          </cell>
          <cell r="BB2719">
            <v>8.7100000000000009</v>
          </cell>
          <cell r="BC2719">
            <v>3.55</v>
          </cell>
          <cell r="BS2719">
            <v>24.53</v>
          </cell>
          <cell r="BZ2719">
            <v>100</v>
          </cell>
          <cell r="CA2719">
            <v>45</v>
          </cell>
          <cell r="DN2719">
            <v>100</v>
          </cell>
          <cell r="DO2719">
            <v>45</v>
          </cell>
        </row>
        <row r="2720">
          <cell r="F2720" t="str">
            <v>1.19-3-6</v>
          </cell>
          <cell r="H2720" t="str">
            <v>м2</v>
          </cell>
          <cell r="I2720">
            <v>4</v>
          </cell>
          <cell r="O2720">
            <v>624.20000000000005</v>
          </cell>
          <cell r="R2720">
            <v>0</v>
          </cell>
          <cell r="X2720">
            <v>0</v>
          </cell>
          <cell r="Y2720">
            <v>0</v>
          </cell>
          <cell r="AK2720">
            <v>156.05000000000001</v>
          </cell>
        </row>
        <row r="2721">
          <cell r="O2721">
            <v>1554.26</v>
          </cell>
          <cell r="R2721">
            <v>0</v>
          </cell>
          <cell r="X2721">
            <v>0</v>
          </cell>
          <cell r="Y2721">
            <v>0</v>
          </cell>
          <cell r="AW2721">
            <v>1</v>
          </cell>
          <cell r="BC2721">
            <v>2.4900000000000002</v>
          </cell>
        </row>
        <row r="2726">
          <cell r="H2726" t="str">
            <v>100 м2 поверхности воздуховодов</v>
          </cell>
          <cell r="I2726">
            <v>7.4999999999999997E-2</v>
          </cell>
          <cell r="P2726">
            <v>31.31</v>
          </cell>
          <cell r="Q2726">
            <v>7.54</v>
          </cell>
          <cell r="R2726">
            <v>1.41</v>
          </cell>
          <cell r="S2726">
            <v>184.56</v>
          </cell>
          <cell r="U2726">
            <v>9.7630499999999998</v>
          </cell>
          <cell r="X2726">
            <v>230.7</v>
          </cell>
          <cell r="Y2726">
            <v>173.49</v>
          </cell>
          <cell r="AL2726">
            <v>417.44</v>
          </cell>
          <cell r="AM2726">
            <v>87.08</v>
          </cell>
          <cell r="AN2726">
            <v>10.58</v>
          </cell>
          <cell r="AO2726">
            <v>1381.04</v>
          </cell>
          <cell r="AQ2726">
            <v>122</v>
          </cell>
          <cell r="DD2726">
            <v>0</v>
          </cell>
          <cell r="DE2726">
            <v>0</v>
          </cell>
          <cell r="DG2726" t="str">
            <v>)*1,67</v>
          </cell>
          <cell r="DI2726">
            <v>0</v>
          </cell>
        </row>
        <row r="2727">
          <cell r="P2727">
            <v>111.78</v>
          </cell>
          <cell r="Q2727">
            <v>74.900000000000006</v>
          </cell>
          <cell r="R2727">
            <v>34.590000000000003</v>
          </cell>
          <cell r="S2727">
            <v>4527.26</v>
          </cell>
          <cell r="X2727">
            <v>4527.26</v>
          </cell>
          <cell r="Y2727">
            <v>2037.27</v>
          </cell>
          <cell r="AV2727">
            <v>1.0669999999999999</v>
          </cell>
          <cell r="AW2727">
            <v>1</v>
          </cell>
          <cell r="BA2727">
            <v>24.53</v>
          </cell>
          <cell r="BB2727">
            <v>8.74</v>
          </cell>
          <cell r="BC2727">
            <v>3.57</v>
          </cell>
          <cell r="BS2727">
            <v>24.53</v>
          </cell>
          <cell r="BZ2727">
            <v>100</v>
          </cell>
          <cell r="CA2727">
            <v>45</v>
          </cell>
          <cell r="DN2727">
            <v>100</v>
          </cell>
          <cell r="DO2727">
            <v>45</v>
          </cell>
        </row>
        <row r="2728">
          <cell r="F2728" t="str">
            <v>1.19-3-7</v>
          </cell>
          <cell r="H2728" t="str">
            <v>м2</v>
          </cell>
          <cell r="I2728">
            <v>7.5</v>
          </cell>
          <cell r="O2728">
            <v>1154.18</v>
          </cell>
          <cell r="R2728">
            <v>0</v>
          </cell>
          <cell r="X2728">
            <v>0</v>
          </cell>
          <cell r="Y2728">
            <v>0</v>
          </cell>
          <cell r="AK2728">
            <v>153.88999999999999</v>
          </cell>
        </row>
        <row r="2729">
          <cell r="O2729">
            <v>3035.49</v>
          </cell>
          <cell r="R2729">
            <v>0</v>
          </cell>
          <cell r="X2729">
            <v>0</v>
          </cell>
          <cell r="Y2729">
            <v>0</v>
          </cell>
          <cell r="AW2729">
            <v>1</v>
          </cell>
          <cell r="BC2729">
            <v>2.63</v>
          </cell>
        </row>
        <row r="2734">
          <cell r="H2734" t="str">
            <v>100 м2 поверхности воздуховодов</v>
          </cell>
          <cell r="I2734">
            <v>0.29499999999999998</v>
          </cell>
          <cell r="P2734">
            <v>176.92</v>
          </cell>
          <cell r="Q2734">
            <v>39.739999999999995</v>
          </cell>
          <cell r="R2734">
            <v>7.51</v>
          </cell>
          <cell r="S2734">
            <v>725.95</v>
          </cell>
          <cell r="U2734">
            <v>38.401330000000002</v>
          </cell>
          <cell r="X2734">
            <v>907.44</v>
          </cell>
          <cell r="Y2734">
            <v>682.39</v>
          </cell>
          <cell r="AL2734">
            <v>599.72</v>
          </cell>
          <cell r="AM2734">
            <v>116.7</v>
          </cell>
          <cell r="AN2734">
            <v>14.29</v>
          </cell>
          <cell r="AO2734">
            <v>1381.04</v>
          </cell>
          <cell r="AQ2734">
            <v>122</v>
          </cell>
          <cell r="DD2734">
            <v>0</v>
          </cell>
          <cell r="DE2734">
            <v>0</v>
          </cell>
          <cell r="DG2734" t="str">
            <v>)*1,67</v>
          </cell>
          <cell r="DI2734">
            <v>0</v>
          </cell>
        </row>
        <row r="2735">
          <cell r="P2735">
            <v>746.6</v>
          </cell>
          <cell r="Q2735">
            <v>393.76</v>
          </cell>
          <cell r="R2735">
            <v>184.22</v>
          </cell>
          <cell r="S2735">
            <v>17807.55</v>
          </cell>
          <cell r="X2735">
            <v>17807.55</v>
          </cell>
          <cell r="Y2735">
            <v>8013.4</v>
          </cell>
          <cell r="AV2735">
            <v>1.0669999999999999</v>
          </cell>
          <cell r="AW2735">
            <v>1</v>
          </cell>
          <cell r="BA2735">
            <v>24.53</v>
          </cell>
          <cell r="BB2735">
            <v>8.7100000000000009</v>
          </cell>
          <cell r="BC2735">
            <v>4.22</v>
          </cell>
          <cell r="BS2735">
            <v>24.53</v>
          </cell>
          <cell r="BZ2735">
            <v>100</v>
          </cell>
          <cell r="CA2735">
            <v>45</v>
          </cell>
          <cell r="DN2735">
            <v>100</v>
          </cell>
          <cell r="DO2735">
            <v>45</v>
          </cell>
        </row>
        <row r="2736">
          <cell r="H2736" t="str">
            <v>м2</v>
          </cell>
          <cell r="I2736">
            <v>4</v>
          </cell>
          <cell r="P2736">
            <v>502.56</v>
          </cell>
          <cell r="R2736">
            <v>0</v>
          </cell>
          <cell r="X2736">
            <v>0</v>
          </cell>
          <cell r="Y2736">
            <v>0</v>
          </cell>
          <cell r="AL2736">
            <v>125.64</v>
          </cell>
          <cell r="DD2736">
            <v>0</v>
          </cell>
        </row>
        <row r="2737">
          <cell r="P2737">
            <v>1929.83</v>
          </cell>
          <cell r="R2737">
            <v>0</v>
          </cell>
          <cell r="X2737">
            <v>0</v>
          </cell>
          <cell r="Y2737">
            <v>0</v>
          </cell>
          <cell r="AW2737">
            <v>1</v>
          </cell>
          <cell r="BC2737">
            <v>3.84</v>
          </cell>
        </row>
        <row r="2738">
          <cell r="H2738" t="str">
            <v>м2</v>
          </cell>
          <cell r="I2738">
            <v>25.5</v>
          </cell>
          <cell r="P2738">
            <v>4017.27</v>
          </cell>
          <cell r="R2738">
            <v>0</v>
          </cell>
          <cell r="X2738">
            <v>0</v>
          </cell>
          <cell r="Y2738">
            <v>0</v>
          </cell>
          <cell r="AL2738">
            <v>157.54</v>
          </cell>
          <cell r="DD2738">
            <v>0</v>
          </cell>
        </row>
        <row r="2739">
          <cell r="P2739">
            <v>12333.02</v>
          </cell>
          <cell r="R2739">
            <v>0</v>
          </cell>
          <cell r="X2739">
            <v>0</v>
          </cell>
          <cell r="Y2739">
            <v>0</v>
          </cell>
          <cell r="AW2739">
            <v>1</v>
          </cell>
          <cell r="BC2739">
            <v>3.07</v>
          </cell>
        </row>
        <row r="2740">
          <cell r="H2740" t="str">
            <v>100 м2 поверхности воздуховодов</v>
          </cell>
          <cell r="I2740">
            <v>0.53</v>
          </cell>
          <cell r="P2740">
            <v>217.15</v>
          </cell>
          <cell r="Q2740">
            <v>53.51</v>
          </cell>
          <cell r="R2740">
            <v>10.1</v>
          </cell>
          <cell r="S2740">
            <v>981.4</v>
          </cell>
          <cell r="U2740">
            <v>51.913817999999999</v>
          </cell>
          <cell r="X2740">
            <v>1226.75</v>
          </cell>
          <cell r="Y2740">
            <v>922.52</v>
          </cell>
          <cell r="AL2740">
            <v>409.71</v>
          </cell>
          <cell r="AM2740">
            <v>87.46</v>
          </cell>
          <cell r="AN2740">
            <v>10.69</v>
          </cell>
          <cell r="AO2740">
            <v>1039.18</v>
          </cell>
          <cell r="AQ2740">
            <v>91.8</v>
          </cell>
          <cell r="DD2740">
            <v>0</v>
          </cell>
          <cell r="DE2740">
            <v>0</v>
          </cell>
          <cell r="DG2740" t="str">
            <v>)*1,67</v>
          </cell>
          <cell r="DI2740">
            <v>0</v>
          </cell>
        </row>
        <row r="2741">
          <cell r="P2741">
            <v>718.77</v>
          </cell>
          <cell r="Q2741">
            <v>531.14</v>
          </cell>
          <cell r="R2741">
            <v>247.75</v>
          </cell>
          <cell r="S2741">
            <v>24073.74</v>
          </cell>
          <cell r="X2741">
            <v>24073.74</v>
          </cell>
          <cell r="Y2741">
            <v>10833.18</v>
          </cell>
          <cell r="AV2741">
            <v>1.0669999999999999</v>
          </cell>
          <cell r="AW2741">
            <v>1</v>
          </cell>
          <cell r="BA2741">
            <v>24.53</v>
          </cell>
          <cell r="BB2741">
            <v>8.73</v>
          </cell>
          <cell r="BC2741">
            <v>3.31</v>
          </cell>
          <cell r="BS2741">
            <v>24.53</v>
          </cell>
          <cell r="BZ2741">
            <v>100</v>
          </cell>
          <cell r="CA2741">
            <v>45</v>
          </cell>
          <cell r="DN2741">
            <v>100</v>
          </cell>
          <cell r="DO2741">
            <v>45</v>
          </cell>
        </row>
        <row r="2742">
          <cell r="F2742" t="str">
            <v>1.19-3-13</v>
          </cell>
          <cell r="H2742" t="str">
            <v>м2</v>
          </cell>
          <cell r="I2742">
            <v>53</v>
          </cell>
          <cell r="O2742">
            <v>8349.6200000000008</v>
          </cell>
          <cell r="R2742">
            <v>0</v>
          </cell>
          <cell r="X2742">
            <v>0</v>
          </cell>
          <cell r="Y2742">
            <v>0</v>
          </cell>
          <cell r="AK2742">
            <v>157.54</v>
          </cell>
        </row>
        <row r="2743">
          <cell r="O2743">
            <v>25633.33</v>
          </cell>
          <cell r="R2743">
            <v>0</v>
          </cell>
          <cell r="X2743">
            <v>0</v>
          </cell>
          <cell r="Y2743">
            <v>0</v>
          </cell>
          <cell r="AW2743">
            <v>1</v>
          </cell>
          <cell r="BC2743">
            <v>3.07</v>
          </cell>
        </row>
        <row r="2744">
          <cell r="H2744" t="str">
            <v>100 м2 поверхности воздуховодов</v>
          </cell>
          <cell r="I2744">
            <v>0.14000000000000001</v>
          </cell>
          <cell r="P2744">
            <v>68.69</v>
          </cell>
          <cell r="Q2744">
            <v>15</v>
          </cell>
          <cell r="R2744">
            <v>2.83</v>
          </cell>
          <cell r="S2744">
            <v>209.54</v>
          </cell>
          <cell r="U2744">
            <v>11.083996000000003</v>
          </cell>
          <cell r="X2744">
            <v>261.93</v>
          </cell>
          <cell r="Y2744">
            <v>196.97</v>
          </cell>
          <cell r="AL2744">
            <v>490.65</v>
          </cell>
          <cell r="AM2744">
            <v>92.82</v>
          </cell>
          <cell r="AN2744">
            <v>11.34</v>
          </cell>
          <cell r="AO2744">
            <v>839.94</v>
          </cell>
          <cell r="AQ2744">
            <v>74.2</v>
          </cell>
          <cell r="DD2744">
            <v>0</v>
          </cell>
          <cell r="DE2744">
            <v>0</v>
          </cell>
          <cell r="DG2744" t="str">
            <v>)*1,67</v>
          </cell>
          <cell r="DI2744">
            <v>0</v>
          </cell>
        </row>
        <row r="2745">
          <cell r="P2745">
            <v>271.33</v>
          </cell>
          <cell r="Q2745">
            <v>148.67000000000002</v>
          </cell>
          <cell r="R2745">
            <v>69.42</v>
          </cell>
          <cell r="S2745">
            <v>5140.0200000000004</v>
          </cell>
          <cell r="X2745">
            <v>5140.0200000000004</v>
          </cell>
          <cell r="Y2745">
            <v>2313.0100000000002</v>
          </cell>
          <cell r="AV2745">
            <v>1.0669999999999999</v>
          </cell>
          <cell r="AW2745">
            <v>1</v>
          </cell>
          <cell r="BA2745">
            <v>24.53</v>
          </cell>
          <cell r="BB2745">
            <v>8.7200000000000006</v>
          </cell>
          <cell r="BC2745">
            <v>3.95</v>
          </cell>
          <cell r="BS2745">
            <v>24.53</v>
          </cell>
          <cell r="BZ2745">
            <v>100</v>
          </cell>
          <cell r="CA2745">
            <v>45</v>
          </cell>
          <cell r="DN2745">
            <v>100</v>
          </cell>
          <cell r="DO2745">
            <v>45</v>
          </cell>
        </row>
        <row r="2746">
          <cell r="F2746" t="str">
            <v>1.19-3-13</v>
          </cell>
          <cell r="H2746" t="str">
            <v>м2</v>
          </cell>
          <cell r="I2746">
            <v>14</v>
          </cell>
          <cell r="O2746">
            <v>2205.56</v>
          </cell>
          <cell r="R2746">
            <v>0</v>
          </cell>
          <cell r="X2746">
            <v>0</v>
          </cell>
          <cell r="Y2746">
            <v>0</v>
          </cell>
          <cell r="AK2746">
            <v>157.54</v>
          </cell>
        </row>
        <row r="2747">
          <cell r="O2747">
            <v>6771.07</v>
          </cell>
          <cell r="R2747">
            <v>0</v>
          </cell>
          <cell r="X2747">
            <v>0</v>
          </cell>
          <cell r="Y2747">
            <v>0</v>
          </cell>
          <cell r="AW2747">
            <v>1</v>
          </cell>
          <cell r="BC2747">
            <v>3.07</v>
          </cell>
        </row>
        <row r="2752">
          <cell r="H2752" t="str">
            <v>100 м2 поверхности воздуховодов</v>
          </cell>
          <cell r="I2752">
            <v>0.72</v>
          </cell>
          <cell r="P2752">
            <v>278.13</v>
          </cell>
          <cell r="Q2752">
            <v>76.740000000000009</v>
          </cell>
          <cell r="R2752">
            <v>14.16</v>
          </cell>
          <cell r="S2752">
            <v>937.38</v>
          </cell>
          <cell r="U2752">
            <v>48.936887999999996</v>
          </cell>
          <cell r="X2752">
            <v>1171.73</v>
          </cell>
          <cell r="Y2752">
            <v>881.14</v>
          </cell>
          <cell r="AL2752">
            <v>386.29</v>
          </cell>
          <cell r="AM2752">
            <v>92.5</v>
          </cell>
          <cell r="AN2752">
            <v>11.04</v>
          </cell>
          <cell r="AO2752">
            <v>730.64</v>
          </cell>
          <cell r="AQ2752">
            <v>63.7</v>
          </cell>
          <cell r="DD2752">
            <v>0</v>
          </cell>
          <cell r="DE2752">
            <v>0</v>
          </cell>
          <cell r="DG2752" t="str">
            <v>)*1,67</v>
          </cell>
          <cell r="DI2752">
            <v>0</v>
          </cell>
        </row>
        <row r="2753">
          <cell r="P2753">
            <v>901.14</v>
          </cell>
          <cell r="Q2753">
            <v>754</v>
          </cell>
          <cell r="R2753">
            <v>347.34</v>
          </cell>
          <cell r="S2753">
            <v>22993.93</v>
          </cell>
          <cell r="X2753">
            <v>22993.93</v>
          </cell>
          <cell r="Y2753">
            <v>10347.27</v>
          </cell>
          <cell r="AV2753">
            <v>1.0669999999999999</v>
          </cell>
          <cell r="AW2753">
            <v>1</v>
          </cell>
          <cell r="BA2753">
            <v>24.53</v>
          </cell>
          <cell r="BB2753">
            <v>8.65</v>
          </cell>
          <cell r="BC2753">
            <v>3.24</v>
          </cell>
          <cell r="BS2753">
            <v>24.53</v>
          </cell>
          <cell r="BZ2753">
            <v>100</v>
          </cell>
          <cell r="CA2753">
            <v>45</v>
          </cell>
          <cell r="DN2753">
            <v>100</v>
          </cell>
          <cell r="DO2753">
            <v>45</v>
          </cell>
        </row>
        <row r="2754">
          <cell r="F2754" t="str">
            <v>1.19-3-13</v>
          </cell>
          <cell r="H2754" t="str">
            <v>м2</v>
          </cell>
          <cell r="I2754">
            <v>72</v>
          </cell>
          <cell r="O2754">
            <v>11342.88</v>
          </cell>
          <cell r="R2754">
            <v>0</v>
          </cell>
          <cell r="X2754">
            <v>0</v>
          </cell>
          <cell r="Y2754">
            <v>0</v>
          </cell>
          <cell r="AK2754">
            <v>157.54</v>
          </cell>
        </row>
        <row r="2755">
          <cell r="O2755">
            <v>34822.639999999999</v>
          </cell>
          <cell r="R2755">
            <v>0</v>
          </cell>
          <cell r="X2755">
            <v>0</v>
          </cell>
          <cell r="Y2755">
            <v>0</v>
          </cell>
          <cell r="AW2755">
            <v>1</v>
          </cell>
          <cell r="BC2755">
            <v>3.07</v>
          </cell>
        </row>
        <row r="2756">
          <cell r="H2756" t="str">
            <v>100 м2 поверхности воздуховодов</v>
          </cell>
          <cell r="I2756">
            <v>0.14399999999999999</v>
          </cell>
          <cell r="P2756">
            <v>83.04</v>
          </cell>
          <cell r="Q2756">
            <v>15.870000000000001</v>
          </cell>
          <cell r="R2756">
            <v>3.05</v>
          </cell>
          <cell r="S2756">
            <v>173.64</v>
          </cell>
          <cell r="U2756">
            <v>9.0652319999999982</v>
          </cell>
          <cell r="X2756">
            <v>217.05</v>
          </cell>
          <cell r="Y2756">
            <v>163.22</v>
          </cell>
          <cell r="AL2756">
            <v>576.66999999999996</v>
          </cell>
          <cell r="AM2756">
            <v>95.33</v>
          </cell>
          <cell r="AN2756">
            <v>11.87</v>
          </cell>
          <cell r="AO2756">
            <v>676.73</v>
          </cell>
          <cell r="AQ2756">
            <v>59</v>
          </cell>
          <cell r="DD2756">
            <v>0</v>
          </cell>
          <cell r="DE2756">
            <v>0</v>
          </cell>
          <cell r="DG2756" t="str">
            <v>)*1,67</v>
          </cell>
          <cell r="DI2756">
            <v>0</v>
          </cell>
        </row>
        <row r="2757">
          <cell r="P2757">
            <v>279.01</v>
          </cell>
          <cell r="Q2757">
            <v>157.82</v>
          </cell>
          <cell r="R2757">
            <v>74.819999999999993</v>
          </cell>
          <cell r="S2757">
            <v>4259.3900000000003</v>
          </cell>
          <cell r="X2757">
            <v>4259.3900000000003</v>
          </cell>
          <cell r="Y2757">
            <v>1916.73</v>
          </cell>
          <cell r="AV2757">
            <v>1.0669999999999999</v>
          </cell>
          <cell r="AW2757">
            <v>1</v>
          </cell>
          <cell r="BA2757">
            <v>24.53</v>
          </cell>
          <cell r="BB2757">
            <v>8.73</v>
          </cell>
          <cell r="BC2757">
            <v>3.36</v>
          </cell>
          <cell r="BS2757">
            <v>24.53</v>
          </cell>
          <cell r="BZ2757">
            <v>100</v>
          </cell>
          <cell r="CA2757">
            <v>45</v>
          </cell>
          <cell r="DN2757">
            <v>100</v>
          </cell>
          <cell r="DO2757">
            <v>45</v>
          </cell>
        </row>
        <row r="2758">
          <cell r="F2758" t="str">
            <v>1.19-3-14</v>
          </cell>
          <cell r="H2758" t="str">
            <v>м2</v>
          </cell>
          <cell r="I2758">
            <v>14.4</v>
          </cell>
          <cell r="O2758">
            <v>2295.36</v>
          </cell>
          <cell r="R2758">
            <v>0</v>
          </cell>
          <cell r="X2758">
            <v>0</v>
          </cell>
          <cell r="Y2758">
            <v>0</v>
          </cell>
          <cell r="AK2758">
            <v>159.4</v>
          </cell>
        </row>
        <row r="2759">
          <cell r="O2759">
            <v>6954.94</v>
          </cell>
          <cell r="R2759">
            <v>0</v>
          </cell>
          <cell r="X2759">
            <v>0</v>
          </cell>
          <cell r="Y2759">
            <v>0</v>
          </cell>
          <cell r="AW2759">
            <v>1</v>
          </cell>
          <cell r="BC2759">
            <v>3.03</v>
          </cell>
        </row>
        <row r="2764">
          <cell r="H2764" t="str">
            <v>100 м2 поверхности воздуховодов</v>
          </cell>
          <cell r="I2764">
            <v>0.04</v>
          </cell>
          <cell r="P2764">
            <v>23.99</v>
          </cell>
          <cell r="Q2764">
            <v>5.3900000000000006</v>
          </cell>
          <cell r="R2764">
            <v>1.02</v>
          </cell>
          <cell r="S2764">
            <v>98.43</v>
          </cell>
          <cell r="U2764">
            <v>5.2069600000000005</v>
          </cell>
          <cell r="X2764">
            <v>123.04</v>
          </cell>
          <cell r="Y2764">
            <v>92.52</v>
          </cell>
          <cell r="AL2764">
            <v>599.72</v>
          </cell>
          <cell r="AM2764">
            <v>116.7</v>
          </cell>
          <cell r="AN2764">
            <v>14.29</v>
          </cell>
          <cell r="AO2764">
            <v>1381.04</v>
          </cell>
          <cell r="AQ2764">
            <v>122</v>
          </cell>
          <cell r="DD2764">
            <v>0</v>
          </cell>
          <cell r="DE2764">
            <v>0</v>
          </cell>
          <cell r="DG2764" t="str">
            <v>)*1,67</v>
          </cell>
          <cell r="DI2764">
            <v>0</v>
          </cell>
        </row>
        <row r="2765">
          <cell r="P2765">
            <v>101.24</v>
          </cell>
          <cell r="Q2765">
            <v>53.440000000000005</v>
          </cell>
          <cell r="R2765">
            <v>25.02</v>
          </cell>
          <cell r="S2765">
            <v>2414.4899999999998</v>
          </cell>
          <cell r="X2765">
            <v>2414.4899999999998</v>
          </cell>
          <cell r="Y2765">
            <v>1086.52</v>
          </cell>
          <cell r="AV2765">
            <v>1.0669999999999999</v>
          </cell>
          <cell r="AW2765">
            <v>1</v>
          </cell>
          <cell r="BA2765">
            <v>24.53</v>
          </cell>
          <cell r="BB2765">
            <v>8.7100000000000009</v>
          </cell>
          <cell r="BC2765">
            <v>4.22</v>
          </cell>
          <cell r="BS2765">
            <v>24.53</v>
          </cell>
          <cell r="BZ2765">
            <v>100</v>
          </cell>
          <cell r="CA2765">
            <v>45</v>
          </cell>
          <cell r="DN2765">
            <v>100</v>
          </cell>
          <cell r="DO2765">
            <v>45</v>
          </cell>
        </row>
        <row r="2768">
          <cell r="H2768" t="str">
            <v>м2</v>
          </cell>
          <cell r="I2768">
            <v>4</v>
          </cell>
          <cell r="P2768">
            <v>630.16</v>
          </cell>
          <cell r="R2768">
            <v>0</v>
          </cell>
          <cell r="X2768">
            <v>0</v>
          </cell>
          <cell r="Y2768">
            <v>0</v>
          </cell>
          <cell r="AL2768">
            <v>157.54</v>
          </cell>
          <cell r="DD2768">
            <v>0</v>
          </cell>
        </row>
        <row r="2769">
          <cell r="P2769">
            <v>1934.59</v>
          </cell>
          <cell r="R2769">
            <v>0</v>
          </cell>
          <cell r="X2769">
            <v>0</v>
          </cell>
          <cell r="Y2769">
            <v>0</v>
          </cell>
          <cell r="AW2769">
            <v>1</v>
          </cell>
          <cell r="BC2769">
            <v>3.07</v>
          </cell>
        </row>
        <row r="2782">
          <cell r="H2782" t="str">
            <v>100 м2 поверхности воздуховодов</v>
          </cell>
          <cell r="I2782">
            <v>0.6</v>
          </cell>
          <cell r="P2782">
            <v>309.89</v>
          </cell>
          <cell r="Q2782">
            <v>61.18</v>
          </cell>
          <cell r="R2782">
            <v>11.57</v>
          </cell>
          <cell r="S2782">
            <v>765.21</v>
          </cell>
          <cell r="U2782">
            <v>39.948479999999996</v>
          </cell>
          <cell r="X2782">
            <v>956.51</v>
          </cell>
          <cell r="Y2782">
            <v>719.3</v>
          </cell>
          <cell r="AL2782">
            <v>516.49</v>
          </cell>
          <cell r="AM2782">
            <v>88.31</v>
          </cell>
          <cell r="AN2782">
            <v>10.82</v>
          </cell>
          <cell r="AO2782">
            <v>715.73</v>
          </cell>
          <cell r="AQ2782">
            <v>62.4</v>
          </cell>
          <cell r="DD2782">
            <v>0</v>
          </cell>
          <cell r="DE2782">
            <v>0</v>
          </cell>
          <cell r="DG2782" t="str">
            <v>)*1,67</v>
          </cell>
          <cell r="DI2782">
            <v>0</v>
          </cell>
        </row>
        <row r="2783">
          <cell r="P2783">
            <v>1196.18</v>
          </cell>
          <cell r="Q2783">
            <v>606.84999999999991</v>
          </cell>
          <cell r="R2783">
            <v>283.81</v>
          </cell>
          <cell r="S2783">
            <v>18770.599999999999</v>
          </cell>
          <cell r="X2783">
            <v>18770.599999999999</v>
          </cell>
          <cell r="Y2783">
            <v>8446.77</v>
          </cell>
          <cell r="AV2783">
            <v>1.0669999999999999</v>
          </cell>
          <cell r="AW2783">
            <v>1</v>
          </cell>
          <cell r="BA2783">
            <v>24.53</v>
          </cell>
          <cell r="BB2783">
            <v>8.7200000000000006</v>
          </cell>
          <cell r="BC2783">
            <v>3.86</v>
          </cell>
          <cell r="BS2783">
            <v>24.53</v>
          </cell>
          <cell r="BZ2783">
            <v>100</v>
          </cell>
          <cell r="CA2783">
            <v>45</v>
          </cell>
          <cell r="DN2783">
            <v>100</v>
          </cell>
          <cell r="DO2783">
            <v>45</v>
          </cell>
        </row>
        <row r="2784">
          <cell r="F2784" t="str">
            <v>1.19-3-13</v>
          </cell>
          <cell r="H2784" t="str">
            <v>м2</v>
          </cell>
          <cell r="I2784">
            <v>60</v>
          </cell>
          <cell r="O2784">
            <v>9452.4</v>
          </cell>
          <cell r="R2784">
            <v>0</v>
          </cell>
          <cell r="X2784">
            <v>0</v>
          </cell>
          <cell r="Y2784">
            <v>0</v>
          </cell>
          <cell r="AK2784">
            <v>157.54</v>
          </cell>
        </row>
        <row r="2785">
          <cell r="O2785">
            <v>29018.87</v>
          </cell>
          <cell r="R2785">
            <v>0</v>
          </cell>
          <cell r="X2785">
            <v>0</v>
          </cell>
          <cell r="Y2785">
            <v>0</v>
          </cell>
          <cell r="AW2785">
            <v>1</v>
          </cell>
          <cell r="BC2785">
            <v>3.07</v>
          </cell>
        </row>
        <row r="2891">
          <cell r="G2891" t="str">
            <v>Дополнительные материалы и оборудование</v>
          </cell>
        </row>
        <row r="2921">
          <cell r="G2921" t="str">
            <v>Вентиляция</v>
          </cell>
        </row>
        <row r="2981">
          <cell r="G2981" t="str">
            <v>48837-ТПК_5-0699-Р-ССР2  12-4017-Л-Р-11.4.3.1-ОВ1.1-СМ1К</v>
          </cell>
        </row>
        <row r="2987">
          <cell r="F2987">
            <v>52773.49</v>
          </cell>
          <cell r="H2987" t="str">
            <v>Стоимость материалов (всего)</v>
          </cell>
          <cell r="P2987">
            <v>184995.37</v>
          </cell>
        </row>
        <row r="2990">
          <cell r="H2990" t="str">
            <v>Стоимость оборудования (всего)</v>
          </cell>
        </row>
        <row r="2995">
          <cell r="F2995">
            <v>56.42</v>
          </cell>
          <cell r="H2995" t="str">
            <v>ЗП машинистов</v>
          </cell>
          <cell r="P2995">
            <v>1383.97</v>
          </cell>
        </row>
        <row r="2996">
          <cell r="F2996">
            <v>4715.99</v>
          </cell>
          <cell r="H2996" t="str">
            <v>Основная ЗП рабочих</v>
          </cell>
          <cell r="P2996">
            <v>115683.23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20">
          <cell r="G20" t="str">
            <v>Станционный комплекс "Аминьевское шоссе". Инженерные системы ТПП. Отопление, вентиляция, кондиционирование, дымоудаление.</v>
          </cell>
        </row>
        <row r="24">
          <cell r="G24" t="str">
            <v>Отопление</v>
          </cell>
        </row>
        <row r="44">
          <cell r="G44" t="str">
            <v>Отопление</v>
          </cell>
        </row>
        <row r="74">
          <cell r="G74" t="str">
            <v>Вентиляция</v>
          </cell>
        </row>
        <row r="78">
          <cell r="G78" t="str">
            <v>П2-1</v>
          </cell>
        </row>
        <row r="87">
          <cell r="G87" t="str">
            <v>П2-1</v>
          </cell>
        </row>
        <row r="117">
          <cell r="G117" t="str">
            <v>П2-2</v>
          </cell>
        </row>
        <row r="126">
          <cell r="G126" t="str">
            <v>П2-2</v>
          </cell>
        </row>
        <row r="156">
          <cell r="G156" t="str">
            <v>П2-3</v>
          </cell>
        </row>
        <row r="160">
          <cell r="E160" t="str">
            <v>11</v>
          </cell>
          <cell r="H160" t="str">
            <v>1  ШТ.</v>
          </cell>
          <cell r="I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U160">
            <v>0</v>
          </cell>
          <cell r="X160">
            <v>0</v>
          </cell>
          <cell r="Y160">
            <v>0</v>
          </cell>
          <cell r="AL160">
            <v>4.0599999999999996</v>
          </cell>
          <cell r="AM160">
            <v>15.8</v>
          </cell>
          <cell r="AN160">
            <v>1.31</v>
          </cell>
          <cell r="AO160">
            <v>615.5</v>
          </cell>
          <cell r="AQ160">
            <v>51.58</v>
          </cell>
          <cell r="DD160">
            <v>0</v>
          </cell>
          <cell r="DE160">
            <v>0</v>
          </cell>
          <cell r="DG160" t="str">
            <v>)*1,67</v>
          </cell>
          <cell r="DI160">
            <v>0</v>
          </cell>
        </row>
        <row r="161"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X161">
            <v>0</v>
          </cell>
          <cell r="Y161">
            <v>0</v>
          </cell>
          <cell r="AV161">
            <v>1.0669999999999999</v>
          </cell>
          <cell r="AW161">
            <v>1.028</v>
          </cell>
          <cell r="BA161">
            <v>24.53</v>
          </cell>
          <cell r="BB161">
            <v>7.59</v>
          </cell>
          <cell r="BC161">
            <v>6.33</v>
          </cell>
          <cell r="BS161">
            <v>24.53</v>
          </cell>
          <cell r="BZ161">
            <v>68</v>
          </cell>
          <cell r="CA161">
            <v>43</v>
          </cell>
          <cell r="DN161">
            <v>79</v>
          </cell>
          <cell r="DO161">
            <v>70</v>
          </cell>
        </row>
        <row r="162">
          <cell r="E162" t="str">
            <v>12</v>
          </cell>
          <cell r="F162" t="str">
            <v>Согласовать стоимость</v>
          </cell>
          <cell r="H162" t="str">
            <v>шт.</v>
          </cell>
          <cell r="I162">
            <v>0</v>
          </cell>
          <cell r="P162">
            <v>0</v>
          </cell>
          <cell r="R162">
            <v>0</v>
          </cell>
          <cell r="X162">
            <v>0</v>
          </cell>
          <cell r="Y162">
            <v>0</v>
          </cell>
          <cell r="AL162">
            <v>87832.770000000019</v>
          </cell>
          <cell r="DD162" t="str">
            <v>=384571,44/4,6*1,03*1,012</v>
          </cell>
        </row>
        <row r="163">
          <cell r="P163">
            <v>0</v>
          </cell>
          <cell r="R163">
            <v>0</v>
          </cell>
          <cell r="X163">
            <v>0</v>
          </cell>
          <cell r="Y163">
            <v>0</v>
          </cell>
          <cell r="AW163">
            <v>1</v>
          </cell>
          <cell r="BC163">
            <v>4.5999999999999996</v>
          </cell>
        </row>
        <row r="165">
          <cell r="G165" t="str">
            <v>П2-3</v>
          </cell>
        </row>
        <row r="195">
          <cell r="G195" t="str">
            <v>П2-4</v>
          </cell>
        </row>
        <row r="199">
          <cell r="E199" t="str">
            <v>13</v>
          </cell>
          <cell r="H199" t="str">
            <v>1  ШТ.</v>
          </cell>
          <cell r="I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U199">
            <v>0</v>
          </cell>
          <cell r="X199">
            <v>0</v>
          </cell>
          <cell r="Y199">
            <v>0</v>
          </cell>
          <cell r="AL199">
            <v>4.0599999999999996</v>
          </cell>
          <cell r="AM199">
            <v>15.8</v>
          </cell>
          <cell r="AN199">
            <v>1.31</v>
          </cell>
          <cell r="AO199">
            <v>615.5</v>
          </cell>
          <cell r="AQ199">
            <v>51.58</v>
          </cell>
          <cell r="DD199">
            <v>0</v>
          </cell>
          <cell r="DE199">
            <v>0</v>
          </cell>
          <cell r="DG199" t="str">
            <v>)*1,67</v>
          </cell>
          <cell r="DI199">
            <v>0</v>
          </cell>
        </row>
        <row r="200"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X200">
            <v>0</v>
          </cell>
          <cell r="Y200">
            <v>0</v>
          </cell>
          <cell r="AV200">
            <v>1.0669999999999999</v>
          </cell>
          <cell r="AW200">
            <v>1.028</v>
          </cell>
          <cell r="BA200">
            <v>24.53</v>
          </cell>
          <cell r="BB200">
            <v>7.59</v>
          </cell>
          <cell r="BC200">
            <v>6.33</v>
          </cell>
          <cell r="BS200">
            <v>24.53</v>
          </cell>
          <cell r="BZ200">
            <v>68</v>
          </cell>
          <cell r="CA200">
            <v>43</v>
          </cell>
          <cell r="DN200">
            <v>79</v>
          </cell>
          <cell r="DO200">
            <v>70</v>
          </cell>
        </row>
        <row r="201">
          <cell r="E201" t="str">
            <v>14</v>
          </cell>
          <cell r="F201" t="str">
            <v>Согласовать стоимость</v>
          </cell>
          <cell r="H201" t="str">
            <v>шт.</v>
          </cell>
          <cell r="I201">
            <v>0</v>
          </cell>
          <cell r="P201">
            <v>0</v>
          </cell>
          <cell r="R201">
            <v>0</v>
          </cell>
          <cell r="X201">
            <v>0</v>
          </cell>
          <cell r="Y201">
            <v>0</v>
          </cell>
          <cell r="AL201">
            <v>101745.46</v>
          </cell>
          <cell r="DD201" t="str">
            <v>=445487,47/4,6*1,03*1,012</v>
          </cell>
        </row>
        <row r="202">
          <cell r="P202">
            <v>0</v>
          </cell>
          <cell r="R202">
            <v>0</v>
          </cell>
          <cell r="X202">
            <v>0</v>
          </cell>
          <cell r="Y202">
            <v>0</v>
          </cell>
          <cell r="AW202">
            <v>1</v>
          </cell>
          <cell r="BC202">
            <v>4.5999999999999996</v>
          </cell>
        </row>
        <row r="204">
          <cell r="G204" t="str">
            <v>П2-4</v>
          </cell>
        </row>
        <row r="234">
          <cell r="G234" t="str">
            <v>П2-5</v>
          </cell>
        </row>
        <row r="243">
          <cell r="G243" t="str">
            <v>П2-5</v>
          </cell>
        </row>
        <row r="273">
          <cell r="G273" t="str">
            <v>П2-5 (ВОР лист 4 п.6)</v>
          </cell>
        </row>
        <row r="282">
          <cell r="G282" t="str">
            <v>П2-5 (ВОР лист 4 п.6)</v>
          </cell>
        </row>
        <row r="312">
          <cell r="G312" t="str">
            <v>П2-6, П2-6р</v>
          </cell>
        </row>
        <row r="321">
          <cell r="G321" t="str">
            <v>П2-6, П2-6р</v>
          </cell>
        </row>
        <row r="351">
          <cell r="G351" t="str">
            <v>П2-6.1, П2-6.1р</v>
          </cell>
        </row>
        <row r="360">
          <cell r="G360" t="str">
            <v>П2-6.1, П2-6.1р</v>
          </cell>
        </row>
        <row r="390">
          <cell r="G390" t="str">
            <v>П2-7</v>
          </cell>
        </row>
        <row r="399">
          <cell r="G399" t="str">
            <v>П2-7</v>
          </cell>
        </row>
        <row r="429">
          <cell r="G429" t="str">
            <v>П2-8</v>
          </cell>
        </row>
        <row r="458">
          <cell r="G458" t="str">
            <v>П2-8</v>
          </cell>
        </row>
        <row r="488">
          <cell r="G488" t="str">
            <v>П2-12</v>
          </cell>
        </row>
        <row r="497">
          <cell r="G497" t="str">
            <v>П2-12</v>
          </cell>
        </row>
        <row r="527">
          <cell r="G527" t="str">
            <v>В2-1</v>
          </cell>
        </row>
        <row r="536">
          <cell r="G536" t="str">
            <v>В2-1</v>
          </cell>
        </row>
        <row r="566">
          <cell r="G566" t="str">
            <v>В2-2</v>
          </cell>
        </row>
        <row r="575">
          <cell r="G575" t="str">
            <v>В2-2</v>
          </cell>
        </row>
        <row r="605">
          <cell r="G605" t="str">
            <v>В2-3</v>
          </cell>
        </row>
        <row r="609">
          <cell r="E609" t="str">
            <v>39</v>
          </cell>
          <cell r="H609" t="str">
            <v>1  ШТ.</v>
          </cell>
          <cell r="I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U609">
            <v>0</v>
          </cell>
          <cell r="X609">
            <v>0</v>
          </cell>
          <cell r="Y609">
            <v>0</v>
          </cell>
          <cell r="AL609">
            <v>4.0599999999999996</v>
          </cell>
          <cell r="AM609">
            <v>15.8</v>
          </cell>
          <cell r="AN609">
            <v>1.31</v>
          </cell>
          <cell r="AO609">
            <v>615.5</v>
          </cell>
          <cell r="AQ609">
            <v>51.58</v>
          </cell>
          <cell r="DD609">
            <v>0</v>
          </cell>
          <cell r="DE609">
            <v>0</v>
          </cell>
          <cell r="DG609" t="str">
            <v>)*1,67</v>
          </cell>
          <cell r="DI609">
            <v>0</v>
          </cell>
        </row>
        <row r="610"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X610">
            <v>0</v>
          </cell>
          <cell r="Y610">
            <v>0</v>
          </cell>
          <cell r="AV610">
            <v>1.0669999999999999</v>
          </cell>
          <cell r="AW610">
            <v>1.028</v>
          </cell>
          <cell r="BA610">
            <v>24.53</v>
          </cell>
          <cell r="BB610">
            <v>7.59</v>
          </cell>
          <cell r="BC610">
            <v>6.33</v>
          </cell>
          <cell r="BS610">
            <v>24.53</v>
          </cell>
          <cell r="BZ610">
            <v>68</v>
          </cell>
          <cell r="CA610">
            <v>43</v>
          </cell>
          <cell r="DN610">
            <v>79</v>
          </cell>
          <cell r="DO610">
            <v>70</v>
          </cell>
        </row>
        <row r="611">
          <cell r="E611" t="str">
            <v>40</v>
          </cell>
          <cell r="F611" t="str">
            <v>Согласовать стоимость</v>
          </cell>
          <cell r="H611" t="str">
            <v>шт.</v>
          </cell>
          <cell r="I611">
            <v>0</v>
          </cell>
          <cell r="P611">
            <v>0</v>
          </cell>
          <cell r="R611">
            <v>0</v>
          </cell>
          <cell r="X611">
            <v>0</v>
          </cell>
          <cell r="Y611">
            <v>0</v>
          </cell>
          <cell r="AL611">
            <v>66965.63</v>
          </cell>
          <cell r="DD611" t="str">
            <v>=293205,68/4,6*1,03*1,012</v>
          </cell>
        </row>
        <row r="612">
          <cell r="P612">
            <v>0</v>
          </cell>
          <cell r="R612">
            <v>0</v>
          </cell>
          <cell r="X612">
            <v>0</v>
          </cell>
          <cell r="Y612">
            <v>0</v>
          </cell>
          <cell r="AW612">
            <v>1</v>
          </cell>
          <cell r="BC612">
            <v>4.5999999999999996</v>
          </cell>
        </row>
        <row r="614">
          <cell r="G614" t="str">
            <v>В2-3</v>
          </cell>
        </row>
        <row r="644">
          <cell r="G644" t="str">
            <v>В2-4</v>
          </cell>
        </row>
        <row r="653">
          <cell r="G653" t="str">
            <v>В2-4</v>
          </cell>
        </row>
        <row r="683">
          <cell r="G683" t="str">
            <v>В2-5</v>
          </cell>
        </row>
        <row r="692">
          <cell r="G692" t="str">
            <v>В2-5</v>
          </cell>
        </row>
        <row r="722">
          <cell r="G722" t="str">
            <v>В2-6, В2-6р</v>
          </cell>
        </row>
        <row r="731">
          <cell r="G731" t="str">
            <v>В2-6, В2-6р</v>
          </cell>
        </row>
        <row r="761">
          <cell r="G761" t="str">
            <v>В2-6.1, В2-6.1р</v>
          </cell>
        </row>
        <row r="782">
          <cell r="G782" t="str">
            <v>В2-6.1, В2-6.1р</v>
          </cell>
        </row>
        <row r="812">
          <cell r="G812" t="str">
            <v>В2-7</v>
          </cell>
        </row>
        <row r="835">
          <cell r="G835" t="str">
            <v>В2-7</v>
          </cell>
        </row>
        <row r="865">
          <cell r="G865" t="str">
            <v>В2-8</v>
          </cell>
        </row>
        <row r="886">
          <cell r="G886" t="str">
            <v>В2-8</v>
          </cell>
        </row>
        <row r="916">
          <cell r="G916" t="str">
            <v>В2-9</v>
          </cell>
        </row>
        <row r="937">
          <cell r="G937" t="str">
            <v>В2-9</v>
          </cell>
        </row>
        <row r="967">
          <cell r="G967" t="str">
            <v>В2-10</v>
          </cell>
        </row>
        <row r="988">
          <cell r="G988" t="str">
            <v>В2-10</v>
          </cell>
        </row>
        <row r="1018">
          <cell r="G1018" t="str">
            <v>В2-35</v>
          </cell>
        </row>
        <row r="1268">
          <cell r="E1268" t="str">
            <v>189</v>
          </cell>
          <cell r="H1268" t="str">
            <v>100 м2 поверхности воздуховодов</v>
          </cell>
          <cell r="I1268">
            <v>0.15440000000000001</v>
          </cell>
          <cell r="P1268">
            <v>63.26</v>
          </cell>
          <cell r="Q1268">
            <v>15.59</v>
          </cell>
          <cell r="R1268">
            <v>2.94</v>
          </cell>
          <cell r="S1268">
            <v>285.89999999999998</v>
          </cell>
          <cell r="U1268">
            <v>15.123572640000001</v>
          </cell>
          <cell r="X1268">
            <v>357.38</v>
          </cell>
          <cell r="Y1268">
            <v>268.75</v>
          </cell>
          <cell r="AL1268">
            <v>409.71</v>
          </cell>
          <cell r="AM1268">
            <v>87.46</v>
          </cell>
          <cell r="AN1268">
            <v>10.69</v>
          </cell>
          <cell r="AO1268">
            <v>1039.18</v>
          </cell>
          <cell r="AQ1268">
            <v>91.8</v>
          </cell>
          <cell r="DD1268">
            <v>0</v>
          </cell>
          <cell r="DE1268">
            <v>0</v>
          </cell>
          <cell r="DG1268" t="str">
            <v>)*1,67</v>
          </cell>
          <cell r="DI1268">
            <v>0</v>
          </cell>
        </row>
        <row r="1269">
          <cell r="P1269">
            <v>209.39</v>
          </cell>
          <cell r="Q1269">
            <v>154.75</v>
          </cell>
          <cell r="R1269">
            <v>72.12</v>
          </cell>
          <cell r="S1269">
            <v>7013.13</v>
          </cell>
          <cell r="X1269">
            <v>7013.13</v>
          </cell>
          <cell r="Y1269">
            <v>3155.91</v>
          </cell>
          <cell r="AV1269">
            <v>1.0669999999999999</v>
          </cell>
          <cell r="AW1269">
            <v>1</v>
          </cell>
          <cell r="BA1269">
            <v>24.53</v>
          </cell>
          <cell r="BB1269">
            <v>8.73</v>
          </cell>
          <cell r="BC1269">
            <v>3.31</v>
          </cell>
          <cell r="BS1269">
            <v>24.53</v>
          </cell>
          <cell r="BZ1269">
            <v>100</v>
          </cell>
          <cell r="CA1269">
            <v>45</v>
          </cell>
          <cell r="DN1269">
            <v>125</v>
          </cell>
          <cell r="DO1269">
            <v>94</v>
          </cell>
        </row>
        <row r="1270">
          <cell r="E1270" t="str">
            <v>189,1</v>
          </cell>
          <cell r="F1270" t="str">
            <v>1.19-3-13</v>
          </cell>
          <cell r="H1270" t="str">
            <v>м2</v>
          </cell>
          <cell r="I1270">
            <v>15.44</v>
          </cell>
          <cell r="O1270">
            <v>2432.42</v>
          </cell>
          <cell r="R1270">
            <v>0</v>
          </cell>
          <cell r="X1270">
            <v>0</v>
          </cell>
          <cell r="Y1270">
            <v>0</v>
          </cell>
          <cell r="AK1270">
            <v>157.54</v>
          </cell>
        </row>
        <row r="1271">
          <cell r="O1271">
            <v>7467.53</v>
          </cell>
          <cell r="R1271">
            <v>0</v>
          </cell>
          <cell r="X1271">
            <v>0</v>
          </cell>
          <cell r="Y1271">
            <v>0</v>
          </cell>
          <cell r="AW1271">
            <v>1</v>
          </cell>
          <cell r="BC1271">
            <v>3.07</v>
          </cell>
        </row>
        <row r="1272">
          <cell r="E1272" t="str">
            <v>190</v>
          </cell>
          <cell r="H1272" t="str">
            <v>100 м2 поверхности воздуховодов</v>
          </cell>
          <cell r="I1272">
            <v>0.1239</v>
          </cell>
          <cell r="P1272">
            <v>60.79</v>
          </cell>
          <cell r="Q1272">
            <v>13.27</v>
          </cell>
          <cell r="R1272">
            <v>2.5</v>
          </cell>
          <cell r="S1272">
            <v>185.44</v>
          </cell>
          <cell r="U1272">
            <v>9.8093364600000008</v>
          </cell>
          <cell r="X1272">
            <v>231.8</v>
          </cell>
          <cell r="Y1272">
            <v>174.31</v>
          </cell>
          <cell r="AL1272">
            <v>490.65</v>
          </cell>
          <cell r="AM1272">
            <v>92.82</v>
          </cell>
          <cell r="AN1272">
            <v>11.34</v>
          </cell>
          <cell r="AO1272">
            <v>839.94</v>
          </cell>
          <cell r="AQ1272">
            <v>74.2</v>
          </cell>
          <cell r="DD1272">
            <v>0</v>
          </cell>
          <cell r="DE1272">
            <v>0</v>
          </cell>
          <cell r="DG1272" t="str">
            <v>)*1,67</v>
          </cell>
          <cell r="DI1272">
            <v>0</v>
          </cell>
        </row>
        <row r="1273">
          <cell r="P1273">
            <v>240.12</v>
          </cell>
          <cell r="Q1273">
            <v>131.51999999999998</v>
          </cell>
          <cell r="R1273">
            <v>61.33</v>
          </cell>
          <cell r="S1273">
            <v>4548.84</v>
          </cell>
          <cell r="X1273">
            <v>4548.84</v>
          </cell>
          <cell r="Y1273">
            <v>2046.98</v>
          </cell>
          <cell r="AV1273">
            <v>1.0669999999999999</v>
          </cell>
          <cell r="AW1273">
            <v>1</v>
          </cell>
          <cell r="BA1273">
            <v>24.53</v>
          </cell>
          <cell r="BB1273">
            <v>8.7200000000000006</v>
          </cell>
          <cell r="BC1273">
            <v>3.95</v>
          </cell>
          <cell r="BS1273">
            <v>24.53</v>
          </cell>
          <cell r="BZ1273">
            <v>100</v>
          </cell>
          <cell r="CA1273">
            <v>45</v>
          </cell>
          <cell r="DN1273">
            <v>125</v>
          </cell>
          <cell r="DO1273">
            <v>94</v>
          </cell>
        </row>
        <row r="1274">
          <cell r="E1274" t="str">
            <v>190,1</v>
          </cell>
          <cell r="F1274" t="str">
            <v>1.19-3-13</v>
          </cell>
          <cell r="H1274" t="str">
            <v>м2</v>
          </cell>
          <cell r="I1274">
            <v>12.39</v>
          </cell>
          <cell r="O1274">
            <v>1951.92</v>
          </cell>
          <cell r="R1274">
            <v>0</v>
          </cell>
          <cell r="X1274">
            <v>0</v>
          </cell>
          <cell r="Y1274">
            <v>0</v>
          </cell>
          <cell r="AK1274">
            <v>157.54</v>
          </cell>
        </row>
        <row r="1275">
          <cell r="O1275">
            <v>5992.39</v>
          </cell>
          <cell r="R1275">
            <v>0</v>
          </cell>
          <cell r="X1275">
            <v>0</v>
          </cell>
          <cell r="Y1275">
            <v>0</v>
          </cell>
          <cell r="AW1275">
            <v>1</v>
          </cell>
          <cell r="BC1275">
            <v>3.07</v>
          </cell>
        </row>
        <row r="1385">
          <cell r="G1385" t="str">
            <v>В2-35</v>
          </cell>
        </row>
        <row r="1415">
          <cell r="G1415" t="str">
            <v>Грунтовка Лист 20 п. 63.</v>
          </cell>
        </row>
        <row r="1424">
          <cell r="G1424" t="str">
            <v>Грунтовка Лист 20 п. 63.</v>
          </cell>
        </row>
        <row r="1454">
          <cell r="G1454" t="str">
            <v>Обустройство узлов фиксации гермоклапанов и люк-вставок</v>
          </cell>
        </row>
        <row r="1485">
          <cell r="G1485" t="str">
            <v>Обустройство узлов фиксации гермоклапанов и люк-вставок</v>
          </cell>
        </row>
        <row r="1515">
          <cell r="G1515" t="str">
            <v>Грунтовка Лист 21 п. 68</v>
          </cell>
        </row>
        <row r="1524">
          <cell r="G1524" t="str">
            <v>Грунтовка Лист 21 п. 68</v>
          </cell>
        </row>
        <row r="1554">
          <cell r="G1554" t="str">
            <v>Вентиляция</v>
          </cell>
        </row>
        <row r="1584">
          <cell r="G1584" t="str">
            <v>Противодымная вентиляция</v>
          </cell>
        </row>
        <row r="1588">
          <cell r="G1588" t="str">
            <v>ВД2-1</v>
          </cell>
        </row>
        <row r="1651">
          <cell r="G1651" t="str">
            <v>ВД2-1</v>
          </cell>
        </row>
        <row r="1681">
          <cell r="G1681" t="str">
            <v>ПД2-1</v>
          </cell>
        </row>
        <row r="1742">
          <cell r="G1742" t="str">
            <v>ПД2-1</v>
          </cell>
        </row>
        <row r="1772">
          <cell r="G1772" t="str">
            <v>ПП2-1</v>
          </cell>
        </row>
        <row r="1837">
          <cell r="G1837" t="str">
            <v>ПП2-1</v>
          </cell>
        </row>
        <row r="1867">
          <cell r="G1867" t="str">
            <v>Противодымная вентиляция</v>
          </cell>
        </row>
        <row r="1897">
          <cell r="G1897" t="str">
            <v>КОНДИЦИОНИРОВАНИЕ</v>
          </cell>
        </row>
        <row r="1901">
          <cell r="G1901" t="str">
            <v>К2-14</v>
          </cell>
        </row>
        <row r="1960">
          <cell r="G1960" t="str">
            <v>К2-14</v>
          </cell>
        </row>
        <row r="1990">
          <cell r="G1990" t="str">
            <v>К2-15</v>
          </cell>
        </row>
        <row r="2049">
          <cell r="G2049" t="str">
            <v>К2-15</v>
          </cell>
        </row>
        <row r="2079">
          <cell r="G2079" t="str">
            <v>К2-19, К-20</v>
          </cell>
        </row>
        <row r="2114">
          <cell r="G2114" t="str">
            <v>К2-19, К-20</v>
          </cell>
        </row>
        <row r="2144">
          <cell r="G2144" t="str">
            <v>К2-22</v>
          </cell>
        </row>
        <row r="2213">
          <cell r="G2213" t="str">
            <v>К2-22</v>
          </cell>
        </row>
        <row r="2243">
          <cell r="G2243" t="str">
            <v>К2-23, К2-24</v>
          </cell>
        </row>
        <row r="2336">
          <cell r="G2336" t="str">
            <v>К2-23, К2-24</v>
          </cell>
        </row>
        <row r="2366">
          <cell r="G2366" t="str">
            <v>КОНДИЦИОНИРОВАНИЕ</v>
          </cell>
        </row>
        <row r="2396">
          <cell r="G2396" t="str">
            <v>Станционный комплекс "Аминьевское шоссе". Инженерные системы ТПП. Отопление, вентиляция, кондиционирование, дымоудаление.</v>
          </cell>
        </row>
        <row r="2402">
          <cell r="F2402">
            <v>4508.3900000000003</v>
          </cell>
          <cell r="H2402" t="str">
            <v>Стоимость материалов (всего)</v>
          </cell>
          <cell r="P2402">
            <v>13909.43</v>
          </cell>
        </row>
        <row r="2405">
          <cell r="F2405">
            <v>0</v>
          </cell>
          <cell r="H2405" t="str">
            <v>Стоимость оборудования (всего)</v>
          </cell>
          <cell r="P2405">
            <v>0</v>
          </cell>
        </row>
        <row r="2410">
          <cell r="F2410">
            <v>5.44</v>
          </cell>
          <cell r="H2410" t="str">
            <v>ЗП машинистов</v>
          </cell>
          <cell r="P2410">
            <v>133.44999999999999</v>
          </cell>
        </row>
        <row r="2411">
          <cell r="F2411">
            <v>471.34</v>
          </cell>
          <cell r="H2411" t="str">
            <v>Основная ЗП рабочих</v>
          </cell>
          <cell r="P2411">
            <v>11561.97</v>
          </cell>
        </row>
        <row r="2454">
          <cell r="P2454">
            <v>42732.05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12">
          <cell r="G12" t="str">
            <v>48645-доп.1-изм2.1 12-4017-Л-Р-11.3.3.2-ВК-СМ1К1С Внутренние инженерные системы. Водоснабжение и водоотведение</v>
          </cell>
        </row>
        <row r="146">
          <cell r="G146" t="str">
            <v>Хозяйственно-питьевой, производственный и противопожарный водопровод (В1)</v>
          </cell>
        </row>
        <row r="242">
          <cell r="E242" t="str">
            <v>68</v>
          </cell>
          <cell r="H242" t="str">
            <v>100 м трубопровода</v>
          </cell>
          <cell r="I242">
            <v>1.7</v>
          </cell>
          <cell r="P242">
            <v>87.7</v>
          </cell>
          <cell r="Q242">
            <v>433.39</v>
          </cell>
          <cell r="R242">
            <v>94</v>
          </cell>
          <cell r="S242">
            <v>2771.58</v>
          </cell>
          <cell r="U242">
            <v>131.50774999999999</v>
          </cell>
          <cell r="X242">
            <v>3464.48</v>
          </cell>
          <cell r="Y242">
            <v>2605.29</v>
          </cell>
          <cell r="AL242">
            <v>51.59</v>
          </cell>
          <cell r="AM242">
            <v>218.14</v>
          </cell>
          <cell r="AN242">
            <v>31.03</v>
          </cell>
          <cell r="AO242">
            <v>914.95</v>
          </cell>
          <cell r="AQ242">
            <v>72.5</v>
          </cell>
          <cell r="DD242">
            <v>0</v>
          </cell>
          <cell r="DE242">
            <v>0</v>
          </cell>
          <cell r="DG242" t="str">
            <v>)*1,67</v>
          </cell>
          <cell r="DI242">
            <v>0</v>
          </cell>
        </row>
        <row r="243">
          <cell r="P243">
            <v>502.52</v>
          </cell>
          <cell r="Q243">
            <v>4228.96</v>
          </cell>
          <cell r="R243">
            <v>2305.8200000000002</v>
          </cell>
          <cell r="S243">
            <v>67986.86</v>
          </cell>
          <cell r="X243">
            <v>67986.86</v>
          </cell>
          <cell r="Y243">
            <v>30594.09</v>
          </cell>
          <cell r="AV243">
            <v>1.0669999999999999</v>
          </cell>
          <cell r="AW243">
            <v>1</v>
          </cell>
          <cell r="BA243">
            <v>24.53</v>
          </cell>
          <cell r="BB243">
            <v>8.35</v>
          </cell>
          <cell r="BC243">
            <v>5.73</v>
          </cell>
          <cell r="BS243">
            <v>24.53</v>
          </cell>
          <cell r="BZ243">
            <v>100</v>
          </cell>
          <cell r="CA243">
            <v>45</v>
          </cell>
          <cell r="DN243">
            <v>125</v>
          </cell>
          <cell r="DO243">
            <v>94</v>
          </cell>
        </row>
        <row r="244">
          <cell r="E244" t="str">
            <v>68,1</v>
          </cell>
          <cell r="F244" t="str">
            <v>1.12-7-138</v>
          </cell>
          <cell r="H244" t="str">
            <v>м</v>
          </cell>
          <cell r="I244">
            <v>170</v>
          </cell>
          <cell r="O244">
            <v>218716.9</v>
          </cell>
          <cell r="R244">
            <v>0</v>
          </cell>
          <cell r="X244">
            <v>0</v>
          </cell>
          <cell r="Y244">
            <v>0</v>
          </cell>
          <cell r="AK244">
            <v>1286.57</v>
          </cell>
        </row>
        <row r="245">
          <cell r="O245">
            <v>717391.43</v>
          </cell>
          <cell r="R245">
            <v>0</v>
          </cell>
          <cell r="X245">
            <v>0</v>
          </cell>
          <cell r="Y245">
            <v>0</v>
          </cell>
          <cell r="AW245">
            <v>1</v>
          </cell>
          <cell r="BC245">
            <v>3.28</v>
          </cell>
        </row>
        <row r="250">
          <cell r="E250" t="str">
            <v>71</v>
          </cell>
          <cell r="H250" t="str">
            <v>100 м трубопровода</v>
          </cell>
          <cell r="I250">
            <v>1.2</v>
          </cell>
          <cell r="P250">
            <v>140.62</v>
          </cell>
          <cell r="Q250">
            <v>464.13</v>
          </cell>
          <cell r="R250">
            <v>115.57</v>
          </cell>
          <cell r="S250">
            <v>2741.94</v>
          </cell>
          <cell r="U250">
            <v>133.16159999999999</v>
          </cell>
          <cell r="X250">
            <v>3427.43</v>
          </cell>
          <cell r="Y250">
            <v>2577.42</v>
          </cell>
          <cell r="AL250">
            <v>117.18</v>
          </cell>
          <cell r="AM250">
            <v>326.27</v>
          </cell>
          <cell r="AN250">
            <v>54.05</v>
          </cell>
          <cell r="AO250">
            <v>1282.32</v>
          </cell>
          <cell r="AQ250">
            <v>104</v>
          </cell>
          <cell r="DD250">
            <v>0</v>
          </cell>
          <cell r="DE250">
            <v>0</v>
          </cell>
          <cell r="DG250" t="str">
            <v>)*1,67</v>
          </cell>
          <cell r="DI250">
            <v>0</v>
          </cell>
        </row>
        <row r="251">
          <cell r="P251">
            <v>805.75</v>
          </cell>
          <cell r="Q251">
            <v>4809.57</v>
          </cell>
          <cell r="R251">
            <v>2834.93</v>
          </cell>
          <cell r="S251">
            <v>67259.789999999994</v>
          </cell>
          <cell r="X251">
            <v>67259.789999999994</v>
          </cell>
          <cell r="Y251">
            <v>30266.91</v>
          </cell>
          <cell r="AV251">
            <v>1.0669999999999999</v>
          </cell>
          <cell r="AW251">
            <v>1</v>
          </cell>
          <cell r="BA251">
            <v>24.53</v>
          </cell>
          <cell r="BB251">
            <v>8.7899999999999991</v>
          </cell>
          <cell r="BC251">
            <v>5.73</v>
          </cell>
          <cell r="BS251">
            <v>24.53</v>
          </cell>
          <cell r="BZ251">
            <v>100</v>
          </cell>
          <cell r="CA251">
            <v>45</v>
          </cell>
          <cell r="DN251">
            <v>125</v>
          </cell>
          <cell r="DO251">
            <v>94</v>
          </cell>
        </row>
        <row r="252">
          <cell r="E252" t="str">
            <v>71,1</v>
          </cell>
          <cell r="F252" t="str">
            <v>1.12-7-154</v>
          </cell>
          <cell r="H252" t="str">
            <v>м</v>
          </cell>
          <cell r="I252">
            <v>120</v>
          </cell>
          <cell r="O252">
            <v>187843.20000000001</v>
          </cell>
          <cell r="R252">
            <v>0</v>
          </cell>
          <cell r="X252">
            <v>0</v>
          </cell>
          <cell r="Y252">
            <v>0</v>
          </cell>
          <cell r="AK252">
            <v>1565.36</v>
          </cell>
        </row>
        <row r="253">
          <cell r="O253">
            <v>907282.66</v>
          </cell>
          <cell r="R253">
            <v>0</v>
          </cell>
          <cell r="X253">
            <v>0</v>
          </cell>
          <cell r="Y253">
            <v>0</v>
          </cell>
          <cell r="AW253">
            <v>1</v>
          </cell>
          <cell r="BC253">
            <v>4.83</v>
          </cell>
        </row>
        <row r="320">
          <cell r="E320" t="str">
            <v>94</v>
          </cell>
          <cell r="F320" t="str">
            <v>МКЭ-33-425/8-10 от 09.08.2018</v>
          </cell>
          <cell r="H320" t="str">
            <v>шт.</v>
          </cell>
          <cell r="I320">
            <v>4</v>
          </cell>
          <cell r="R320">
            <v>0</v>
          </cell>
          <cell r="X320">
            <v>0</v>
          </cell>
          <cell r="Y320">
            <v>0</v>
          </cell>
          <cell r="DD320">
            <v>0</v>
          </cell>
        </row>
        <row r="321">
          <cell r="R321">
            <v>0</v>
          </cell>
          <cell r="X321">
            <v>0</v>
          </cell>
          <cell r="Y321">
            <v>0</v>
          </cell>
          <cell r="AW321">
            <v>1</v>
          </cell>
          <cell r="BC321">
            <v>5.65</v>
          </cell>
        </row>
        <row r="324">
          <cell r="E324" t="str">
            <v>96</v>
          </cell>
          <cell r="F324" t="str">
            <v>1.12-11-9</v>
          </cell>
          <cell r="H324" t="str">
            <v>шт.</v>
          </cell>
          <cell r="I324">
            <v>8</v>
          </cell>
          <cell r="P324">
            <v>1392</v>
          </cell>
          <cell r="R324">
            <v>0</v>
          </cell>
          <cell r="X324">
            <v>0</v>
          </cell>
          <cell r="Y324">
            <v>0</v>
          </cell>
          <cell r="AL324">
            <v>174</v>
          </cell>
          <cell r="DD324">
            <v>0</v>
          </cell>
        </row>
        <row r="325">
          <cell r="P325">
            <v>4872</v>
          </cell>
          <cell r="R325">
            <v>0</v>
          </cell>
          <cell r="X325">
            <v>0</v>
          </cell>
          <cell r="Y325">
            <v>0</v>
          </cell>
          <cell r="AW325">
            <v>1</v>
          </cell>
          <cell r="BC325">
            <v>3.5</v>
          </cell>
        </row>
        <row r="326">
          <cell r="E326" t="str">
            <v>97</v>
          </cell>
          <cell r="F326" t="str">
            <v>1.12-11-5</v>
          </cell>
          <cell r="H326" t="str">
            <v>шт.</v>
          </cell>
          <cell r="I326">
            <v>32</v>
          </cell>
          <cell r="P326">
            <v>1632.32</v>
          </cell>
          <cell r="R326">
            <v>0</v>
          </cell>
          <cell r="X326">
            <v>0</v>
          </cell>
          <cell r="Y326">
            <v>0</v>
          </cell>
          <cell r="AL326">
            <v>51.01</v>
          </cell>
          <cell r="DD326">
            <v>0</v>
          </cell>
        </row>
        <row r="327">
          <cell r="P327">
            <v>8063.66</v>
          </cell>
          <cell r="R327">
            <v>0</v>
          </cell>
          <cell r="X327">
            <v>0</v>
          </cell>
          <cell r="Y327">
            <v>0</v>
          </cell>
          <cell r="AW327">
            <v>1</v>
          </cell>
          <cell r="BC327">
            <v>4.9400000000000004</v>
          </cell>
        </row>
        <row r="384">
          <cell r="E384" t="str">
            <v>121</v>
          </cell>
          <cell r="F384" t="str">
            <v>1.6-1-269</v>
          </cell>
          <cell r="H384" t="str">
            <v>т</v>
          </cell>
          <cell r="I384">
            <v>0.52200000000000002</v>
          </cell>
          <cell r="P384">
            <v>6481.2</v>
          </cell>
          <cell r="R384">
            <v>0</v>
          </cell>
          <cell r="X384">
            <v>0</v>
          </cell>
          <cell r="Y384">
            <v>0</v>
          </cell>
          <cell r="AL384">
            <v>12416.1</v>
          </cell>
          <cell r="DD384">
            <v>0</v>
          </cell>
        </row>
        <row r="385">
          <cell r="P385">
            <v>43424.04</v>
          </cell>
          <cell r="R385">
            <v>0</v>
          </cell>
          <cell r="X385">
            <v>0</v>
          </cell>
          <cell r="Y385">
            <v>0</v>
          </cell>
          <cell r="AW385">
            <v>1</v>
          </cell>
          <cell r="BC385">
            <v>6.7</v>
          </cell>
        </row>
        <row r="392">
          <cell r="E392" t="str">
            <v>123</v>
          </cell>
          <cell r="F392" t="str">
            <v>1.7-5-155</v>
          </cell>
          <cell r="H392" t="str">
            <v>шт.</v>
          </cell>
          <cell r="I392">
            <v>186</v>
          </cell>
          <cell r="P392">
            <v>4711.38</v>
          </cell>
          <cell r="R392">
            <v>0</v>
          </cell>
          <cell r="X392">
            <v>0</v>
          </cell>
          <cell r="Y392">
            <v>0</v>
          </cell>
          <cell r="AL392">
            <v>25.33</v>
          </cell>
          <cell r="DD392">
            <v>0</v>
          </cell>
        </row>
        <row r="393">
          <cell r="P393">
            <v>26807.75</v>
          </cell>
          <cell r="R393">
            <v>0</v>
          </cell>
          <cell r="X393">
            <v>0</v>
          </cell>
          <cell r="Y393">
            <v>0</v>
          </cell>
          <cell r="AW393">
            <v>1</v>
          </cell>
          <cell r="BC393">
            <v>5.69</v>
          </cell>
        </row>
        <row r="394">
          <cell r="E394" t="str">
            <v>124</v>
          </cell>
          <cell r="F394" t="str">
            <v>1.7-5-240</v>
          </cell>
          <cell r="H394" t="str">
            <v>100 шт.</v>
          </cell>
          <cell r="I394">
            <v>0.19</v>
          </cell>
          <cell r="P394">
            <v>117.24</v>
          </cell>
          <cell r="R394">
            <v>0</v>
          </cell>
          <cell r="X394">
            <v>0</v>
          </cell>
          <cell r="Y394">
            <v>0</v>
          </cell>
          <cell r="AL394">
            <v>617.04</v>
          </cell>
          <cell r="DD394">
            <v>0</v>
          </cell>
        </row>
        <row r="395">
          <cell r="P395">
            <v>869.92</v>
          </cell>
          <cell r="R395">
            <v>0</v>
          </cell>
          <cell r="X395">
            <v>0</v>
          </cell>
          <cell r="Y395">
            <v>0</v>
          </cell>
          <cell r="AW395">
            <v>1</v>
          </cell>
          <cell r="BC395">
            <v>7.42</v>
          </cell>
        </row>
        <row r="421">
          <cell r="G421" t="str">
            <v>Хозяйственно-питьевой, производственный и противопожарный водопровод (В1)</v>
          </cell>
        </row>
        <row r="1404">
          <cell r="G1404" t="str">
            <v>Водоотвод самотечный (К2)</v>
          </cell>
        </row>
        <row r="1408">
          <cell r="E1408" t="str">
            <v>344</v>
          </cell>
          <cell r="H1408" t="str">
            <v>100 м трубопровода</v>
          </cell>
          <cell r="I1408">
            <v>1.4</v>
          </cell>
          <cell r="P1408">
            <v>275.87</v>
          </cell>
          <cell r="Q1408">
            <v>218.97</v>
          </cell>
          <cell r="R1408">
            <v>74.59</v>
          </cell>
          <cell r="S1408">
            <v>2535.56</v>
          </cell>
          <cell r="U1408">
            <v>115.02259999999998</v>
          </cell>
          <cell r="X1408">
            <v>3169.45</v>
          </cell>
          <cell r="Y1408">
            <v>2383.4299999999998</v>
          </cell>
          <cell r="AL1408">
            <v>197.05</v>
          </cell>
          <cell r="AM1408">
            <v>126.55</v>
          </cell>
          <cell r="AN1408">
            <v>29.9</v>
          </cell>
          <cell r="AO1408">
            <v>1016.4</v>
          </cell>
          <cell r="AQ1408">
            <v>77</v>
          </cell>
          <cell r="DD1408">
            <v>0</v>
          </cell>
          <cell r="DE1408">
            <v>0</v>
          </cell>
          <cell r="DG1408" t="str">
            <v>)*1,67</v>
          </cell>
          <cell r="DI1408">
            <v>0</v>
          </cell>
        </row>
        <row r="1409">
          <cell r="P1409">
            <v>1580.74</v>
          </cell>
          <cell r="Q1409">
            <v>2649.16</v>
          </cell>
          <cell r="R1409">
            <v>1829.69</v>
          </cell>
          <cell r="S1409">
            <v>62197.29</v>
          </cell>
          <cell r="X1409">
            <v>62197.29</v>
          </cell>
          <cell r="Y1409">
            <v>27988.78</v>
          </cell>
          <cell r="AV1409">
            <v>1.0669999999999999</v>
          </cell>
          <cell r="AW1409">
            <v>1</v>
          </cell>
          <cell r="BA1409">
            <v>24.53</v>
          </cell>
          <cell r="BB1409">
            <v>10.130000000000001</v>
          </cell>
          <cell r="BC1409">
            <v>5.73</v>
          </cell>
          <cell r="BS1409">
            <v>24.53</v>
          </cell>
          <cell r="BZ1409">
            <v>100</v>
          </cell>
          <cell r="CA1409">
            <v>45</v>
          </cell>
          <cell r="DN1409">
            <v>125</v>
          </cell>
          <cell r="DO1409">
            <v>94</v>
          </cell>
        </row>
        <row r="1410">
          <cell r="E1410" t="str">
            <v>344,1</v>
          </cell>
          <cell r="F1410" t="str">
            <v>1.12-1-69</v>
          </cell>
          <cell r="H1410" t="str">
            <v>м</v>
          </cell>
          <cell r="I1410">
            <v>139.72</v>
          </cell>
          <cell r="O1410">
            <v>18050.43</v>
          </cell>
          <cell r="R1410">
            <v>0</v>
          </cell>
          <cell r="X1410">
            <v>0</v>
          </cell>
          <cell r="Y1410">
            <v>0</v>
          </cell>
          <cell r="AK1410">
            <v>129.19</v>
          </cell>
        </row>
        <row r="1411">
          <cell r="O1411">
            <v>124367.46</v>
          </cell>
          <cell r="R1411">
            <v>0</v>
          </cell>
          <cell r="X1411">
            <v>0</v>
          </cell>
          <cell r="Y1411">
            <v>0</v>
          </cell>
          <cell r="AW1411">
            <v>1</v>
          </cell>
          <cell r="BC1411">
            <v>6.89</v>
          </cell>
        </row>
        <row r="1438">
          <cell r="E1438" t="str">
            <v>354</v>
          </cell>
          <cell r="F1438" t="str">
            <v>1.12-10-33</v>
          </cell>
          <cell r="H1438" t="str">
            <v>шт.</v>
          </cell>
          <cell r="I1438">
            <v>42</v>
          </cell>
          <cell r="P1438">
            <v>1318.38</v>
          </cell>
          <cell r="R1438">
            <v>0</v>
          </cell>
          <cell r="X1438">
            <v>0</v>
          </cell>
          <cell r="Y1438">
            <v>0</v>
          </cell>
          <cell r="AL1438">
            <v>31.39</v>
          </cell>
          <cell r="DD1438">
            <v>0</v>
          </cell>
        </row>
        <row r="1439">
          <cell r="P1439">
            <v>16374.28</v>
          </cell>
          <cell r="R1439">
            <v>0</v>
          </cell>
          <cell r="X1439">
            <v>0</v>
          </cell>
          <cell r="Y1439">
            <v>0</v>
          </cell>
          <cell r="AW1439">
            <v>1</v>
          </cell>
          <cell r="BC1439">
            <v>12.42</v>
          </cell>
        </row>
        <row r="1442">
          <cell r="E1442" t="str">
            <v>356</v>
          </cell>
          <cell r="F1442" t="str">
            <v>1.12-10-49</v>
          </cell>
          <cell r="H1442" t="str">
            <v>шт.</v>
          </cell>
          <cell r="I1442">
            <v>4</v>
          </cell>
          <cell r="P1442">
            <v>254.6</v>
          </cell>
          <cell r="R1442">
            <v>0</v>
          </cell>
          <cell r="X1442">
            <v>0</v>
          </cell>
          <cell r="Y1442">
            <v>0</v>
          </cell>
          <cell r="AL1442">
            <v>63.65</v>
          </cell>
          <cell r="DD1442">
            <v>0</v>
          </cell>
        </row>
        <row r="1443">
          <cell r="P1443">
            <v>3032.29</v>
          </cell>
          <cell r="R1443">
            <v>0</v>
          </cell>
          <cell r="X1443">
            <v>0</v>
          </cell>
          <cell r="Y1443">
            <v>0</v>
          </cell>
          <cell r="AW1443">
            <v>1</v>
          </cell>
          <cell r="BC1443">
            <v>11.91</v>
          </cell>
        </row>
        <row r="1458">
          <cell r="E1458" t="str">
            <v>362</v>
          </cell>
          <cell r="F1458" t="str">
            <v>1.6-1-269</v>
          </cell>
          <cell r="H1458" t="str">
            <v>т</v>
          </cell>
          <cell r="I1458">
            <v>0.15</v>
          </cell>
          <cell r="P1458">
            <v>1862.42</v>
          </cell>
          <cell r="R1458">
            <v>0</v>
          </cell>
          <cell r="X1458">
            <v>0</v>
          </cell>
          <cell r="Y1458">
            <v>0</v>
          </cell>
          <cell r="AL1458">
            <v>12416.1</v>
          </cell>
          <cell r="DD1458">
            <v>0</v>
          </cell>
        </row>
        <row r="1459">
          <cell r="P1459">
            <v>12478.21</v>
          </cell>
          <cell r="R1459">
            <v>0</v>
          </cell>
          <cell r="X1459">
            <v>0</v>
          </cell>
          <cell r="Y1459">
            <v>0</v>
          </cell>
          <cell r="AW1459">
            <v>1</v>
          </cell>
          <cell r="BC1459">
            <v>6.7</v>
          </cell>
        </row>
        <row r="1462">
          <cell r="E1462" t="str">
            <v>363</v>
          </cell>
          <cell r="F1462" t="str">
            <v>1.7-5-155</v>
          </cell>
          <cell r="H1462" t="str">
            <v>шт.</v>
          </cell>
          <cell r="I1462">
            <v>100</v>
          </cell>
          <cell r="P1462">
            <v>2533</v>
          </cell>
          <cell r="R1462">
            <v>0</v>
          </cell>
          <cell r="X1462">
            <v>0</v>
          </cell>
          <cell r="Y1462">
            <v>0</v>
          </cell>
          <cell r="AL1462">
            <v>25.33</v>
          </cell>
          <cell r="DD1462">
            <v>0</v>
          </cell>
        </row>
        <row r="1463">
          <cell r="P1463">
            <v>14412.77</v>
          </cell>
          <cell r="R1463">
            <v>0</v>
          </cell>
          <cell r="X1463">
            <v>0</v>
          </cell>
          <cell r="Y1463">
            <v>0</v>
          </cell>
          <cell r="AW1463">
            <v>1</v>
          </cell>
          <cell r="BC1463">
            <v>5.69</v>
          </cell>
        </row>
        <row r="1467">
          <cell r="G1467" t="str">
            <v>Водоотвод самотечный (К2)</v>
          </cell>
        </row>
        <row r="1497">
          <cell r="G1497" t="str">
            <v>Водоотвод напорный (К2Н)</v>
          </cell>
        </row>
        <row r="1533">
          <cell r="E1533" t="str">
            <v>378</v>
          </cell>
          <cell r="H1533" t="str">
            <v>100 м трубопровода</v>
          </cell>
          <cell r="I1533">
            <v>0.88200000000000001</v>
          </cell>
          <cell r="P1533">
            <v>4924.87</v>
          </cell>
          <cell r="Q1533">
            <v>410.35</v>
          </cell>
          <cell r="R1533">
            <v>100.8</v>
          </cell>
          <cell r="S1533">
            <v>3216.77</v>
          </cell>
          <cell r="U1533">
            <v>156.22160399999999</v>
          </cell>
          <cell r="X1533">
            <v>4020.96</v>
          </cell>
          <cell r="Y1533">
            <v>3023.76</v>
          </cell>
          <cell r="AL1533">
            <v>5583.75</v>
          </cell>
          <cell r="AM1533">
            <v>393.06</v>
          </cell>
          <cell r="AN1533">
            <v>64.14</v>
          </cell>
          <cell r="AO1533">
            <v>2046.78</v>
          </cell>
          <cell r="AQ1533">
            <v>166</v>
          </cell>
          <cell r="DD1533">
            <v>0</v>
          </cell>
          <cell r="DE1533">
            <v>0</v>
          </cell>
          <cell r="DG1533" t="str">
            <v>)*1,67</v>
          </cell>
          <cell r="DI1533">
            <v>0</v>
          </cell>
        </row>
        <row r="1534">
          <cell r="P1534">
            <v>19896.47</v>
          </cell>
          <cell r="Q1534">
            <v>4228.7</v>
          </cell>
          <cell r="R1534">
            <v>2472.62</v>
          </cell>
          <cell r="S1534">
            <v>78907.37</v>
          </cell>
          <cell r="X1534">
            <v>78907.37</v>
          </cell>
          <cell r="Y1534">
            <v>35508.32</v>
          </cell>
          <cell r="AV1534">
            <v>1.0669999999999999</v>
          </cell>
          <cell r="AW1534">
            <v>1</v>
          </cell>
          <cell r="BA1534">
            <v>24.53</v>
          </cell>
          <cell r="BB1534">
            <v>8.75</v>
          </cell>
          <cell r="BC1534">
            <v>4.04</v>
          </cell>
          <cell r="BS1534">
            <v>24.53</v>
          </cell>
          <cell r="BZ1534">
            <v>100</v>
          </cell>
          <cell r="CA1534">
            <v>45</v>
          </cell>
          <cell r="DN1534">
            <v>125</v>
          </cell>
          <cell r="DO1534">
            <v>94</v>
          </cell>
        </row>
        <row r="1535">
          <cell r="E1535" t="str">
            <v>378,1</v>
          </cell>
          <cell r="F1535" t="str">
            <v>1.12-6-206</v>
          </cell>
          <cell r="H1535" t="str">
            <v>м</v>
          </cell>
          <cell r="I1535">
            <v>82.025999999999996</v>
          </cell>
          <cell r="O1535">
            <v>11476.26</v>
          </cell>
          <cell r="R1535">
            <v>0</v>
          </cell>
          <cell r="X1535">
            <v>0</v>
          </cell>
          <cell r="Y1535">
            <v>0</v>
          </cell>
          <cell r="AK1535">
            <v>139.91</v>
          </cell>
        </row>
        <row r="1536">
          <cell r="O1536">
            <v>96515.35</v>
          </cell>
          <cell r="R1536">
            <v>0</v>
          </cell>
          <cell r="X1536">
            <v>0</v>
          </cell>
          <cell r="Y1536">
            <v>0</v>
          </cell>
          <cell r="AW1536">
            <v>1</v>
          </cell>
          <cell r="BC1536">
            <v>8.41</v>
          </cell>
        </row>
        <row r="1592">
          <cell r="G1592" t="str">
            <v>Водоотвод напорный (К2Н)</v>
          </cell>
        </row>
        <row r="2765">
          <cell r="P2765">
            <v>2722922.41</v>
          </cell>
        </row>
        <row r="2767">
          <cell r="G2767" t="str">
            <v>48645-доп.1-изм2.1 12-4017-Л-Р-11.3.3.2-ВК-СМ1К1С Внутренние инженерные системы. Водоснабжение и водоотведение</v>
          </cell>
        </row>
        <row r="2773">
          <cell r="F2773">
            <v>464728.55</v>
          </cell>
          <cell r="H2773" t="str">
            <v>Стоимость материалов (всего)</v>
          </cell>
          <cell r="P2773">
            <v>2015119.7</v>
          </cell>
        </row>
        <row r="2781">
          <cell r="F2781">
            <v>384.96</v>
          </cell>
          <cell r="H2781" t="str">
            <v>ЗП машинистов</v>
          </cell>
          <cell r="P2781">
            <v>9443.06</v>
          </cell>
        </row>
        <row r="2782">
          <cell r="F2782">
            <v>11265.85</v>
          </cell>
          <cell r="H2782" t="str">
            <v>Основная ЗП рабочих</v>
          </cell>
          <cell r="P2782">
            <v>276351.31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20">
          <cell r="G20" t="str">
            <v>Станционный комплекс "Аминьевское шоссе". Платформенная часть. Внутренние инженерные системы. Электроосвещение.</v>
          </cell>
        </row>
        <row r="27">
          <cell r="G27" t="str">
            <v>Монтажные работы</v>
          </cell>
        </row>
        <row r="211">
          <cell r="G211" t="str">
            <v>Металл и металлические изделия</v>
          </cell>
        </row>
        <row r="230">
          <cell r="E230" t="str">
            <v>18</v>
          </cell>
          <cell r="F230" t="str">
            <v>4.8-187-6</v>
          </cell>
          <cell r="H230" t="str">
            <v>100 м</v>
          </cell>
          <cell r="I230">
            <v>6.1</v>
          </cell>
          <cell r="P230">
            <v>12575.5</v>
          </cell>
          <cell r="Q230">
            <v>7385.5300000000007</v>
          </cell>
          <cell r="R230">
            <v>2890.99</v>
          </cell>
          <cell r="S230">
            <v>52938.52</v>
          </cell>
          <cell r="U230">
            <v>107.39354999999999</v>
          </cell>
          <cell r="X230">
            <v>47644.67</v>
          </cell>
          <cell r="Y230">
            <v>22763.56</v>
          </cell>
          <cell r="AC230">
            <v>343</v>
          </cell>
          <cell r="AE230">
            <v>18.553699999999999</v>
          </cell>
          <cell r="AF230">
            <v>339.7448</v>
          </cell>
          <cell r="AL230">
            <v>343</v>
          </cell>
          <cell r="AM230">
            <v>140.25</v>
          </cell>
          <cell r="AN230">
            <v>11.11</v>
          </cell>
          <cell r="AO230">
            <v>203.44</v>
          </cell>
          <cell r="AQ230">
            <v>16.5</v>
          </cell>
          <cell r="AV230">
            <v>1.0669999999999999</v>
          </cell>
          <cell r="AW230">
            <v>1.081</v>
          </cell>
          <cell r="BA230">
            <v>23.94</v>
          </cell>
          <cell r="BB230">
            <v>6.82</v>
          </cell>
          <cell r="BC230">
            <v>5.56</v>
          </cell>
          <cell r="BI230">
            <v>2</v>
          </cell>
          <cell r="BS230">
            <v>23.94</v>
          </cell>
          <cell r="BZ230">
            <v>90</v>
          </cell>
          <cell r="CA230">
            <v>43</v>
          </cell>
          <cell r="DD230">
            <v>0</v>
          </cell>
          <cell r="DE230">
            <v>0</v>
          </cell>
          <cell r="DG230" t="str">
            <v>)*1,67</v>
          </cell>
          <cell r="DI230">
            <v>0</v>
          </cell>
          <cell r="DN230">
            <v>112</v>
          </cell>
          <cell r="DO230">
            <v>70</v>
          </cell>
          <cell r="ET230">
            <v>140.25</v>
          </cell>
          <cell r="EU230">
            <v>11.11</v>
          </cell>
        </row>
        <row r="238">
          <cell r="G238" t="str">
            <v>Металл и металлические изделия</v>
          </cell>
        </row>
        <row r="673">
          <cell r="G673" t="str">
            <v>49814-12-4017-Л-Р-11.3.3.4-ЭО1-СМ1, Станционный комплекс "Аминьевское шоссе". Платформенная часть. Внутренние инженерные системы. Электроосвещение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"/>
      <sheetName val="Ф"/>
      <sheetName val="ч. щ. 1"/>
      <sheetName val="ч. щ. 2"/>
      <sheetName val="К.С.М."/>
      <sheetName val="Тр."/>
      <sheetName val="Тр.(ж.д.)"/>
      <sheetName val="зим."/>
      <sheetName val="вах"/>
      <sheetName val="окно"/>
      <sheetName val="вр"/>
      <sheetName val="C.с"/>
      <sheetName val="П.з.л.см"/>
      <sheetName val="П.з.р.в"/>
      <sheetName val="Сод.л.см"/>
      <sheetName val="Сод.р.в."/>
      <sheetName val="ТрМ. "/>
      <sheetName val="К.С.М. м"/>
      <sheetName val="отгр ГОК"/>
      <sheetName val="коэф"/>
    </sheetNames>
    <sheetDataSet>
      <sheetData sheetId="0"/>
      <sheetData sheetId="1">
        <row r="57">
          <cell r="H57">
            <v>136.85</v>
          </cell>
        </row>
      </sheetData>
      <sheetData sheetId="2"/>
      <sheetData sheetId="3" refreshError="1">
        <row r="29">
          <cell r="F29">
            <v>14.603200000000001</v>
          </cell>
        </row>
      </sheetData>
      <sheetData sheetId="4">
        <row r="319">
          <cell r="P319">
            <v>10.35</v>
          </cell>
        </row>
      </sheetData>
      <sheetData sheetId="5" refreshError="1">
        <row r="17">
          <cell r="H17">
            <v>5.0599999999999996</v>
          </cell>
        </row>
        <row r="39">
          <cell r="H39">
            <v>3.08</v>
          </cell>
        </row>
        <row r="42">
          <cell r="H42">
            <v>2.6100000000000003</v>
          </cell>
        </row>
        <row r="47">
          <cell r="H47">
            <v>3.21</v>
          </cell>
        </row>
        <row r="50">
          <cell r="H50">
            <v>3.08</v>
          </cell>
        </row>
        <row r="53">
          <cell r="H53">
            <v>2.98</v>
          </cell>
        </row>
        <row r="56">
          <cell r="H56">
            <v>5.22</v>
          </cell>
        </row>
        <row r="59">
          <cell r="H59">
            <v>5.09</v>
          </cell>
        </row>
        <row r="62">
          <cell r="H62">
            <v>2.4300000000000002</v>
          </cell>
        </row>
        <row r="65">
          <cell r="H65">
            <v>1.4</v>
          </cell>
        </row>
      </sheetData>
      <sheetData sheetId="6" refreshError="1">
        <row r="43">
          <cell r="F43">
            <v>5.2489999999999997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20">
          <cell r="G20" t="str">
            <v>Станционный комплекс "Аминьевское шоссе". Инженерные системы ТПП. Электроосвещение</v>
          </cell>
        </row>
        <row r="27">
          <cell r="G27" t="str">
            <v>Монтажные работы</v>
          </cell>
        </row>
        <row r="70">
          <cell r="G70" t="str">
            <v>Светотехническое оборудование</v>
          </cell>
        </row>
        <row r="77">
          <cell r="E77" t="str">
            <v>3</v>
          </cell>
          <cell r="F77" t="str">
            <v>4.8-246-1</v>
          </cell>
          <cell r="H77" t="str">
            <v>100 шт.</v>
          </cell>
          <cell r="I77">
            <v>0.38</v>
          </cell>
          <cell r="P77">
            <v>626.36</v>
          </cell>
          <cell r="Q77">
            <v>653.79</v>
          </cell>
          <cell r="R77">
            <v>449.47</v>
          </cell>
          <cell r="S77">
            <v>26579.58</v>
          </cell>
          <cell r="U77">
            <v>50.528219999999997</v>
          </cell>
          <cell r="X77">
            <v>23921.62</v>
          </cell>
          <cell r="Y77">
            <v>11429.22</v>
          </cell>
          <cell r="AC77">
            <v>295.39999999999998</v>
          </cell>
          <cell r="AE77">
            <v>46.626399999999997</v>
          </cell>
          <cell r="AF77">
            <v>2757.17</v>
          </cell>
          <cell r="AL77">
            <v>295.39999999999998</v>
          </cell>
          <cell r="AM77">
            <v>120.22</v>
          </cell>
          <cell r="AN77">
            <v>27.92</v>
          </cell>
          <cell r="AO77">
            <v>1651</v>
          </cell>
          <cell r="AQ77">
            <v>127</v>
          </cell>
          <cell r="AV77">
            <v>1.0469999999999999</v>
          </cell>
          <cell r="AW77">
            <v>1</v>
          </cell>
          <cell r="BA77">
            <v>24.23</v>
          </cell>
          <cell r="BB77">
            <v>9.9</v>
          </cell>
          <cell r="BC77">
            <v>5.58</v>
          </cell>
          <cell r="BI77">
            <v>2</v>
          </cell>
          <cell r="BS77">
            <v>24.23</v>
          </cell>
          <cell r="BZ77">
            <v>90</v>
          </cell>
          <cell r="CA77">
            <v>43</v>
          </cell>
          <cell r="DD77">
            <v>0</v>
          </cell>
          <cell r="DE77">
            <v>0</v>
          </cell>
          <cell r="DG77" t="str">
            <v>)*1,67</v>
          </cell>
          <cell r="DI77">
            <v>0</v>
          </cell>
          <cell r="DN77">
            <v>112</v>
          </cell>
          <cell r="DO77">
            <v>70</v>
          </cell>
          <cell r="ET77">
            <v>120.22</v>
          </cell>
          <cell r="EU77">
            <v>27.92</v>
          </cell>
        </row>
        <row r="91">
          <cell r="G91" t="str">
            <v>Светотехническое оборудование</v>
          </cell>
        </row>
        <row r="406">
          <cell r="G406" t="str">
            <v>Светотехническое оборудование</v>
          </cell>
        </row>
        <row r="417">
          <cell r="E417" t="str">
            <v>31</v>
          </cell>
          <cell r="F417" t="str">
            <v>МКЭ-33-1788/8-2 от 14.11.2018г.</v>
          </cell>
          <cell r="I417">
            <v>38</v>
          </cell>
          <cell r="X417">
            <v>0</v>
          </cell>
          <cell r="Y417">
            <v>0</v>
          </cell>
          <cell r="AE417">
            <v>0</v>
          </cell>
          <cell r="AF417">
            <v>0</v>
          </cell>
          <cell r="AV417">
            <v>1</v>
          </cell>
          <cell r="BI417">
            <v>2</v>
          </cell>
          <cell r="BS417">
            <v>1</v>
          </cell>
          <cell r="DN417">
            <v>0</v>
          </cell>
          <cell r="DO417">
            <v>0</v>
          </cell>
        </row>
        <row r="441">
          <cell r="G441" t="str">
            <v>Светотехническое оборудование</v>
          </cell>
        </row>
        <row r="627">
          <cell r="G627" t="str">
            <v>Металл и металлические изделия</v>
          </cell>
        </row>
        <row r="640">
          <cell r="E640" t="str">
            <v>70</v>
          </cell>
          <cell r="F640" t="str">
            <v>1.7-5-265</v>
          </cell>
          <cell r="H640" t="str">
            <v>100 шт.</v>
          </cell>
          <cell r="I640">
            <v>14</v>
          </cell>
          <cell r="P640">
            <v>15400.46</v>
          </cell>
          <cell r="X640">
            <v>0</v>
          </cell>
          <cell r="Y640">
            <v>0</v>
          </cell>
          <cell r="AC640">
            <v>119.96</v>
          </cell>
          <cell r="AE640">
            <v>0</v>
          </cell>
          <cell r="AF640">
            <v>0</v>
          </cell>
          <cell r="AL640">
            <v>119.96</v>
          </cell>
          <cell r="AV640">
            <v>1</v>
          </cell>
          <cell r="AW640">
            <v>1</v>
          </cell>
          <cell r="BC640">
            <v>9.17</v>
          </cell>
          <cell r="BI640">
            <v>2</v>
          </cell>
          <cell r="BS640">
            <v>1</v>
          </cell>
          <cell r="DD640">
            <v>0</v>
          </cell>
          <cell r="DN640">
            <v>0</v>
          </cell>
          <cell r="DO640">
            <v>0</v>
          </cell>
        </row>
        <row r="644">
          <cell r="G644" t="str">
            <v>Металл и металлические изделия</v>
          </cell>
        </row>
        <row r="734">
          <cell r="G734" t="str">
            <v>49682-12-4017-Л-Р-11.5.6-ЭО-СМ1,Станционный комплекс "Аминьевское шоссе". Инженерные системы ТПП. Электроосвещение.</v>
          </cell>
        </row>
        <row r="762">
          <cell r="P762">
            <v>208071.62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20">
          <cell r="G20" t="str">
            <v>Перегоны от ст. "Мичуринский проспект" до токораздела со ст. "Аминьевское шоссе" (включая монтажный, пл. 2). Инженерные системы. Тоннельное освещение.</v>
          </cell>
        </row>
        <row r="26">
          <cell r="G26" t="str">
            <v>Монтажные работы</v>
          </cell>
        </row>
        <row r="126">
          <cell r="G126" t="str">
            <v>Кабели и кабельные изделия</v>
          </cell>
        </row>
        <row r="135">
          <cell r="E135" t="str">
            <v>16</v>
          </cell>
          <cell r="F135" t="str">
            <v>4.8-79-3</v>
          </cell>
          <cell r="H135" t="str">
            <v>100 М КАБЕЛЯ</v>
          </cell>
          <cell r="I135">
            <v>6.9580000000000002</v>
          </cell>
          <cell r="P135">
            <v>1142.8399999999999</v>
          </cell>
          <cell r="Q135">
            <v>38588.340000000004</v>
          </cell>
          <cell r="R135">
            <v>22554.98</v>
          </cell>
          <cell r="S135">
            <v>59634.879999999997</v>
          </cell>
          <cell r="U135">
            <v>119.5293946</v>
          </cell>
          <cell r="X135">
            <v>53671.39</v>
          </cell>
          <cell r="Y135">
            <v>25643</v>
          </cell>
          <cell r="AC135">
            <v>27.23</v>
          </cell>
          <cell r="AE135">
            <v>125.3836</v>
          </cell>
          <cell r="AF135">
            <v>331.51170000000002</v>
          </cell>
          <cell r="AL135">
            <v>27.23</v>
          </cell>
          <cell r="AM135">
            <v>463.73</v>
          </cell>
          <cell r="AN135">
            <v>75.08</v>
          </cell>
          <cell r="AO135">
            <v>198.51</v>
          </cell>
          <cell r="AQ135">
            <v>16.100000000000001</v>
          </cell>
          <cell r="AV135">
            <v>1.0669999999999999</v>
          </cell>
          <cell r="AW135">
            <v>1.081</v>
          </cell>
          <cell r="BA135">
            <v>24.23</v>
          </cell>
          <cell r="BB135">
            <v>8.58</v>
          </cell>
          <cell r="BC135">
            <v>5.58</v>
          </cell>
          <cell r="BI135">
            <v>2</v>
          </cell>
          <cell r="BS135">
            <v>24.23</v>
          </cell>
          <cell r="BZ135">
            <v>90</v>
          </cell>
          <cell r="CA135">
            <v>43</v>
          </cell>
          <cell r="DD135">
            <v>0</v>
          </cell>
          <cell r="DE135">
            <v>0</v>
          </cell>
          <cell r="DG135" t="str">
            <v>)*1,67</v>
          </cell>
          <cell r="DI135">
            <v>0</v>
          </cell>
          <cell r="DN135">
            <v>112</v>
          </cell>
          <cell r="DO135">
            <v>70</v>
          </cell>
          <cell r="ET135">
            <v>463.73</v>
          </cell>
          <cell r="EU135">
            <v>75.08</v>
          </cell>
        </row>
        <row r="137">
          <cell r="E137" t="str">
            <v>17</v>
          </cell>
          <cell r="F137" t="str">
            <v>4.8-79-4</v>
          </cell>
          <cell r="H137" t="str">
            <v>100 М КАБЕЛЯ</v>
          </cell>
          <cell r="I137">
            <v>6.2720000000000002</v>
          </cell>
          <cell r="P137">
            <v>1061.99</v>
          </cell>
          <cell r="Q137">
            <v>49511.17</v>
          </cell>
          <cell r="R137">
            <v>29253.85</v>
          </cell>
          <cell r="S137">
            <v>72786.92</v>
          </cell>
          <cell r="U137">
            <v>145.89048320000001</v>
          </cell>
          <cell r="X137">
            <v>65508.23</v>
          </cell>
          <cell r="Y137">
            <v>31298.38</v>
          </cell>
          <cell r="AC137">
            <v>28.07</v>
          </cell>
          <cell r="AE137">
            <v>180.4101</v>
          </cell>
          <cell r="AF137">
            <v>448.8793</v>
          </cell>
          <cell r="AL137">
            <v>28.07</v>
          </cell>
          <cell r="AM137">
            <v>652.54999999999995</v>
          </cell>
          <cell r="AN137">
            <v>108.03</v>
          </cell>
          <cell r="AO137">
            <v>268.79000000000002</v>
          </cell>
          <cell r="AQ137">
            <v>21.8</v>
          </cell>
          <cell r="AV137">
            <v>1.0669999999999999</v>
          </cell>
          <cell r="AW137">
            <v>1.081</v>
          </cell>
          <cell r="BA137">
            <v>24.23</v>
          </cell>
          <cell r="BB137">
            <v>8.65</v>
          </cell>
          <cell r="BC137">
            <v>5.58</v>
          </cell>
          <cell r="BI137">
            <v>2</v>
          </cell>
          <cell r="BS137">
            <v>24.23</v>
          </cell>
          <cell r="BZ137">
            <v>90</v>
          </cell>
          <cell r="CA137">
            <v>43</v>
          </cell>
          <cell r="DD137">
            <v>0</v>
          </cell>
          <cell r="DE137">
            <v>0</v>
          </cell>
          <cell r="DG137" t="str">
            <v>)*1,67</v>
          </cell>
          <cell r="DI137">
            <v>0</v>
          </cell>
          <cell r="DN137">
            <v>112</v>
          </cell>
          <cell r="DO137">
            <v>70</v>
          </cell>
          <cell r="ET137">
            <v>652.54999999999995</v>
          </cell>
          <cell r="EU137">
            <v>108.03</v>
          </cell>
        </row>
        <row r="163">
          <cell r="G163" t="str">
            <v>Кабели и кабельные изделия</v>
          </cell>
        </row>
        <row r="389">
          <cell r="G389" t="str">
            <v>Кабели и кабельная продукция</v>
          </cell>
        </row>
        <row r="426">
          <cell r="E426" t="str">
            <v>74</v>
          </cell>
          <cell r="I426">
            <v>0.71</v>
          </cell>
          <cell r="X426">
            <v>0</v>
          </cell>
          <cell r="Y426">
            <v>0</v>
          </cell>
          <cell r="AE426">
            <v>0</v>
          </cell>
          <cell r="AF426">
            <v>0</v>
          </cell>
          <cell r="AV426">
            <v>1</v>
          </cell>
          <cell r="BI426">
            <v>2</v>
          </cell>
          <cell r="BS426">
            <v>1</v>
          </cell>
          <cell r="DN426">
            <v>0</v>
          </cell>
          <cell r="DO426">
            <v>0</v>
          </cell>
        </row>
        <row r="430">
          <cell r="E430" t="str">
            <v>76</v>
          </cell>
          <cell r="I430">
            <v>0.64</v>
          </cell>
          <cell r="X430">
            <v>0</v>
          </cell>
          <cell r="Y430">
            <v>0</v>
          </cell>
          <cell r="AE430">
            <v>0</v>
          </cell>
          <cell r="AF430">
            <v>0</v>
          </cell>
          <cell r="AV430">
            <v>1</v>
          </cell>
          <cell r="BI430">
            <v>2</v>
          </cell>
          <cell r="BS430">
            <v>1</v>
          </cell>
          <cell r="DN430">
            <v>0</v>
          </cell>
          <cell r="DO430">
            <v>0</v>
          </cell>
        </row>
        <row r="468">
          <cell r="G468" t="str">
            <v>Кабели и кабельная продукция</v>
          </cell>
        </row>
        <row r="633">
          <cell r="P633">
            <v>4186584.57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20">
          <cell r="G20" t="str">
            <v>Станционный комплекс "Аминьевское шоссе". Инженерные системы ТПП. Электроосвещение</v>
          </cell>
        </row>
        <row r="27">
          <cell r="G27" t="str">
            <v>Монтажные работы</v>
          </cell>
        </row>
        <row r="70">
          <cell r="G70" t="str">
            <v>Светотехническое оборудование</v>
          </cell>
        </row>
        <row r="77">
          <cell r="E77" t="str">
            <v>3</v>
          </cell>
          <cell r="F77" t="str">
            <v>4.8-246-1</v>
          </cell>
          <cell r="H77" t="str">
            <v>100 шт.</v>
          </cell>
          <cell r="I77">
            <v>1</v>
          </cell>
          <cell r="P77">
            <v>1648.33</v>
          </cell>
          <cell r="Q77">
            <v>1720.78</v>
          </cell>
          <cell r="R77">
            <v>1182.9100000000001</v>
          </cell>
          <cell r="S77">
            <v>69946.19</v>
          </cell>
          <cell r="U77">
            <v>132.96899999999999</v>
          </cell>
          <cell r="X77">
            <v>62951.57</v>
          </cell>
          <cell r="Y77">
            <v>30076.86</v>
          </cell>
          <cell r="AC77">
            <v>295.39999999999998</v>
          </cell>
          <cell r="AE77">
            <v>46.626399999999997</v>
          </cell>
          <cell r="AF77">
            <v>2757.17</v>
          </cell>
          <cell r="AL77">
            <v>295.39999999999998</v>
          </cell>
          <cell r="AM77">
            <v>120.22</v>
          </cell>
          <cell r="AN77">
            <v>27.92</v>
          </cell>
          <cell r="AO77">
            <v>1651</v>
          </cell>
          <cell r="AQ77">
            <v>127</v>
          </cell>
          <cell r="AV77">
            <v>1.0469999999999999</v>
          </cell>
          <cell r="AW77">
            <v>1</v>
          </cell>
          <cell r="BA77">
            <v>24.23</v>
          </cell>
          <cell r="BB77">
            <v>9.9</v>
          </cell>
          <cell r="BC77">
            <v>5.58</v>
          </cell>
          <cell r="BI77">
            <v>2</v>
          </cell>
          <cell r="BS77">
            <v>24.23</v>
          </cell>
          <cell r="BZ77">
            <v>90</v>
          </cell>
          <cell r="CA77">
            <v>43</v>
          </cell>
          <cell r="DD77">
            <v>0</v>
          </cell>
          <cell r="DE77">
            <v>0</v>
          </cell>
          <cell r="DG77" t="str">
            <v>)*1,67</v>
          </cell>
          <cell r="DI77">
            <v>0</v>
          </cell>
          <cell r="DN77">
            <v>112</v>
          </cell>
          <cell r="DO77">
            <v>70</v>
          </cell>
          <cell r="ET77">
            <v>120.22</v>
          </cell>
          <cell r="EU77">
            <v>27.92</v>
          </cell>
        </row>
        <row r="91">
          <cell r="G91" t="str">
            <v>Светотехническое оборудование</v>
          </cell>
        </row>
        <row r="180">
          <cell r="G180" t="str">
            <v>Кабели и кабельные изделия</v>
          </cell>
        </row>
        <row r="187">
          <cell r="E187" t="str">
            <v>13</v>
          </cell>
          <cell r="F187" t="str">
            <v>4.8-165-1</v>
          </cell>
          <cell r="H187" t="str">
            <v>100 М КАБЕЛЯ</v>
          </cell>
          <cell r="I187">
            <v>11.074</v>
          </cell>
          <cell r="P187">
            <v>1937.82</v>
          </cell>
          <cell r="Q187">
            <v>32668.3</v>
          </cell>
          <cell r="R187">
            <v>19010.37</v>
          </cell>
          <cell r="S187">
            <v>117430.7</v>
          </cell>
          <cell r="U187">
            <v>235.36790340000002</v>
          </cell>
          <cell r="X187">
            <v>105687.63</v>
          </cell>
          <cell r="Y187">
            <v>50495.199999999997</v>
          </cell>
          <cell r="AC187">
            <v>31.36</v>
          </cell>
          <cell r="AE187">
            <v>67.668400000000005</v>
          </cell>
          <cell r="AF187">
            <v>418.00099999999998</v>
          </cell>
          <cell r="AL187">
            <v>31.36</v>
          </cell>
          <cell r="AM187">
            <v>252.31</v>
          </cell>
          <cell r="AN187">
            <v>40.520000000000003</v>
          </cell>
          <cell r="AO187">
            <v>250.3</v>
          </cell>
          <cell r="AQ187">
            <v>20.3</v>
          </cell>
          <cell r="AV187">
            <v>1.0469999999999999</v>
          </cell>
          <cell r="AW187">
            <v>1</v>
          </cell>
          <cell r="BA187">
            <v>24.23</v>
          </cell>
          <cell r="BB187">
            <v>8.56</v>
          </cell>
          <cell r="BC187">
            <v>5.58</v>
          </cell>
          <cell r="BI187">
            <v>2</v>
          </cell>
          <cell r="BS187">
            <v>24.23</v>
          </cell>
          <cell r="BZ187">
            <v>90</v>
          </cell>
          <cell r="CA187">
            <v>43</v>
          </cell>
          <cell r="DD187">
            <v>0</v>
          </cell>
          <cell r="DE187">
            <v>0</v>
          </cell>
          <cell r="DG187" t="str">
            <v>)*1,67</v>
          </cell>
          <cell r="DI187">
            <v>0</v>
          </cell>
          <cell r="DN187">
            <v>112</v>
          </cell>
          <cell r="DO187">
            <v>70</v>
          </cell>
          <cell r="ET187">
            <v>252.31</v>
          </cell>
          <cell r="EU187">
            <v>40.520000000000003</v>
          </cell>
        </row>
        <row r="195">
          <cell r="E195" t="str">
            <v>15</v>
          </cell>
          <cell r="F195" t="str">
            <v>4.8-79-10</v>
          </cell>
          <cell r="H195" t="str">
            <v>100 М КАБЕЛЯ</v>
          </cell>
          <cell r="I195">
            <v>2.6459999999999999</v>
          </cell>
          <cell r="P195">
            <v>601.08000000000004</v>
          </cell>
          <cell r="Q195">
            <v>13087.06</v>
          </cell>
          <cell r="R195">
            <v>7549.1</v>
          </cell>
          <cell r="S195">
            <v>21411.08</v>
          </cell>
          <cell r="U195">
            <v>42.913886399999996</v>
          </cell>
          <cell r="X195">
            <v>19269.97</v>
          </cell>
          <cell r="Y195">
            <v>9206.76</v>
          </cell>
          <cell r="AC195">
            <v>37.659999999999997</v>
          </cell>
          <cell r="AE195">
            <v>110.3536</v>
          </cell>
          <cell r="AF195">
            <v>312.9914</v>
          </cell>
          <cell r="AL195">
            <v>37.659999999999997</v>
          </cell>
          <cell r="AM195">
            <v>418.64</v>
          </cell>
          <cell r="AN195">
            <v>66.08</v>
          </cell>
          <cell r="AO195">
            <v>187.42</v>
          </cell>
          <cell r="AQ195">
            <v>15.2</v>
          </cell>
          <cell r="AV195">
            <v>1.0669999999999999</v>
          </cell>
          <cell r="AW195">
            <v>1.081</v>
          </cell>
          <cell r="BA195">
            <v>24.23</v>
          </cell>
          <cell r="BB195">
            <v>8.51</v>
          </cell>
          <cell r="BC195">
            <v>5.58</v>
          </cell>
          <cell r="BI195">
            <v>2</v>
          </cell>
          <cell r="BS195">
            <v>24.23</v>
          </cell>
          <cell r="BZ195">
            <v>90</v>
          </cell>
          <cell r="CA195">
            <v>43</v>
          </cell>
          <cell r="DD195">
            <v>0</v>
          </cell>
          <cell r="DE195">
            <v>0</v>
          </cell>
          <cell r="DG195" t="str">
            <v>)*1,67</v>
          </cell>
          <cell r="DI195">
            <v>0</v>
          </cell>
          <cell r="DN195">
            <v>112</v>
          </cell>
          <cell r="DO195">
            <v>70</v>
          </cell>
          <cell r="ET195">
            <v>418.64</v>
          </cell>
          <cell r="EU195">
            <v>66.08</v>
          </cell>
        </row>
        <row r="207">
          <cell r="G207" t="str">
            <v>Кабели и кабельные изделия</v>
          </cell>
        </row>
        <row r="237">
          <cell r="G237" t="str">
            <v>Металл и металлические изделия</v>
          </cell>
        </row>
        <row r="242">
          <cell r="E242" t="str">
            <v>20</v>
          </cell>
          <cell r="F242" t="str">
            <v>4.8-83-3</v>
          </cell>
          <cell r="H242" t="str">
            <v>1 Т</v>
          </cell>
          <cell r="I242">
            <v>0.7</v>
          </cell>
          <cell r="P242">
            <v>17116.09</v>
          </cell>
          <cell r="Q242">
            <v>5008.2400000000007</v>
          </cell>
          <cell r="R242">
            <v>2221.16</v>
          </cell>
          <cell r="S242">
            <v>14843.54</v>
          </cell>
          <cell r="U242">
            <v>29.751189999999998</v>
          </cell>
          <cell r="X242">
            <v>13359.19</v>
          </cell>
          <cell r="Y242">
            <v>6382.72</v>
          </cell>
          <cell r="AC242">
            <v>4382</v>
          </cell>
          <cell r="AE242">
            <v>120.4738</v>
          </cell>
          <cell r="AF242">
            <v>805.10699999999997</v>
          </cell>
          <cell r="AL242">
            <v>4382</v>
          </cell>
          <cell r="AM242">
            <v>731.19</v>
          </cell>
          <cell r="AN242">
            <v>72.14</v>
          </cell>
          <cell r="AO242">
            <v>482.1</v>
          </cell>
          <cell r="AQ242">
            <v>39.1</v>
          </cell>
          <cell r="AV242">
            <v>1.087</v>
          </cell>
          <cell r="AW242">
            <v>1</v>
          </cell>
          <cell r="BA242">
            <v>24.23</v>
          </cell>
          <cell r="BB242">
            <v>7.4</v>
          </cell>
          <cell r="BC242">
            <v>5.58</v>
          </cell>
          <cell r="BI242">
            <v>2</v>
          </cell>
          <cell r="BS242">
            <v>24.23</v>
          </cell>
          <cell r="BZ242">
            <v>90</v>
          </cell>
          <cell r="CA242">
            <v>43</v>
          </cell>
          <cell r="DD242">
            <v>0</v>
          </cell>
          <cell r="DE242">
            <v>0</v>
          </cell>
          <cell r="DG242" t="str">
            <v>)*1,67</v>
          </cell>
          <cell r="DI242">
            <v>0</v>
          </cell>
          <cell r="DN242">
            <v>112</v>
          </cell>
          <cell r="DO242">
            <v>70</v>
          </cell>
          <cell r="ET242">
            <v>731.19</v>
          </cell>
          <cell r="EU242">
            <v>72.14</v>
          </cell>
        </row>
        <row r="256">
          <cell r="E256" t="str">
            <v>24</v>
          </cell>
          <cell r="F256" t="str">
            <v>1.7-5-154</v>
          </cell>
          <cell r="I256">
            <v>16</v>
          </cell>
          <cell r="X256">
            <v>0</v>
          </cell>
          <cell r="Y256">
            <v>0</v>
          </cell>
          <cell r="AE256">
            <v>0</v>
          </cell>
          <cell r="AF256">
            <v>0</v>
          </cell>
          <cell r="AV256">
            <v>1</v>
          </cell>
          <cell r="BI256">
            <v>2</v>
          </cell>
          <cell r="BS256">
            <v>1</v>
          </cell>
          <cell r="DN256">
            <v>0</v>
          </cell>
          <cell r="DO256">
            <v>0</v>
          </cell>
        </row>
        <row r="262">
          <cell r="G262" t="str">
            <v>Металл и металлические изделия</v>
          </cell>
        </row>
        <row r="292">
          <cell r="G292" t="str">
            <v>Монтажные работы</v>
          </cell>
        </row>
        <row r="406">
          <cell r="G406" t="str">
            <v>Светотехническое оборудование</v>
          </cell>
        </row>
        <row r="413">
          <cell r="E413" t="str">
            <v>30</v>
          </cell>
          <cell r="I413">
            <v>100</v>
          </cell>
          <cell r="X413">
            <v>0</v>
          </cell>
          <cell r="Y413">
            <v>0</v>
          </cell>
          <cell r="AE413">
            <v>0</v>
          </cell>
          <cell r="AF413">
            <v>0</v>
          </cell>
          <cell r="AV413">
            <v>1</v>
          </cell>
          <cell r="BI413">
            <v>2</v>
          </cell>
          <cell r="BS413">
            <v>1</v>
          </cell>
          <cell r="DN413">
            <v>0</v>
          </cell>
          <cell r="DO413">
            <v>0</v>
          </cell>
        </row>
        <row r="441">
          <cell r="G441" t="str">
            <v>Светотехническое оборудование</v>
          </cell>
        </row>
        <row r="538">
          <cell r="G538" t="str">
            <v>Кабели и кабельные изделия</v>
          </cell>
        </row>
        <row r="545">
          <cell r="E545" t="str">
            <v>51</v>
          </cell>
          <cell r="I545">
            <v>0.215</v>
          </cell>
          <cell r="X545">
            <v>0</v>
          </cell>
          <cell r="Y545">
            <v>0</v>
          </cell>
          <cell r="AE545">
            <v>0</v>
          </cell>
          <cell r="AF545">
            <v>0</v>
          </cell>
          <cell r="AV545">
            <v>1</v>
          </cell>
          <cell r="BI545">
            <v>2</v>
          </cell>
          <cell r="BS545">
            <v>1</v>
          </cell>
          <cell r="DN545">
            <v>0</v>
          </cell>
          <cell r="DO545">
            <v>0</v>
          </cell>
        </row>
        <row r="553">
          <cell r="E553" t="str">
            <v>53</v>
          </cell>
          <cell r="I553">
            <v>0.83</v>
          </cell>
          <cell r="X553">
            <v>0</v>
          </cell>
          <cell r="Y553">
            <v>0</v>
          </cell>
          <cell r="AE553">
            <v>0</v>
          </cell>
          <cell r="AF553">
            <v>0</v>
          </cell>
          <cell r="AV553">
            <v>1</v>
          </cell>
          <cell r="BI553">
            <v>2</v>
          </cell>
          <cell r="BS553">
            <v>1</v>
          </cell>
          <cell r="DN553">
            <v>0</v>
          </cell>
          <cell r="DO553">
            <v>0</v>
          </cell>
        </row>
        <row r="557">
          <cell r="E557" t="str">
            <v>54</v>
          </cell>
          <cell r="I557">
            <v>5.5E-2</v>
          </cell>
          <cell r="X557">
            <v>0</v>
          </cell>
          <cell r="Y557">
            <v>0</v>
          </cell>
          <cell r="AE557">
            <v>0</v>
          </cell>
          <cell r="AF557">
            <v>0</v>
          </cell>
          <cell r="AV557">
            <v>1</v>
          </cell>
          <cell r="BI557">
            <v>2</v>
          </cell>
          <cell r="BS557">
            <v>1</v>
          </cell>
          <cell r="DN557">
            <v>0</v>
          </cell>
          <cell r="DO557">
            <v>0</v>
          </cell>
        </row>
        <row r="565">
          <cell r="E565" t="str">
            <v>56</v>
          </cell>
          <cell r="I565">
            <v>0.3</v>
          </cell>
          <cell r="X565">
            <v>0</v>
          </cell>
          <cell r="Y565">
            <v>0</v>
          </cell>
          <cell r="AE565">
            <v>0</v>
          </cell>
          <cell r="AF565">
            <v>0</v>
          </cell>
          <cell r="AV565">
            <v>1</v>
          </cell>
          <cell r="BI565">
            <v>2</v>
          </cell>
          <cell r="BS565">
            <v>1</v>
          </cell>
          <cell r="DN565">
            <v>0</v>
          </cell>
          <cell r="DO565">
            <v>0</v>
          </cell>
        </row>
        <row r="597">
          <cell r="G597" t="str">
            <v>Кабели и кабельные изделия</v>
          </cell>
        </row>
        <row r="627">
          <cell r="G627" t="str">
            <v>Металл и металлические изделия</v>
          </cell>
        </row>
        <row r="640">
          <cell r="E640" t="str">
            <v>70</v>
          </cell>
          <cell r="F640" t="str">
            <v>1.7-5-265</v>
          </cell>
          <cell r="H640" t="str">
            <v>100 шт.</v>
          </cell>
          <cell r="I640">
            <v>14</v>
          </cell>
          <cell r="P640">
            <v>15400.46</v>
          </cell>
          <cell r="X640">
            <v>0</v>
          </cell>
          <cell r="Y640">
            <v>0</v>
          </cell>
          <cell r="AC640">
            <v>119.96</v>
          </cell>
          <cell r="AE640">
            <v>0</v>
          </cell>
          <cell r="AF640">
            <v>0</v>
          </cell>
          <cell r="AL640">
            <v>119.96</v>
          </cell>
          <cell r="AV640">
            <v>1</v>
          </cell>
          <cell r="AW640">
            <v>1</v>
          </cell>
          <cell r="BC640">
            <v>9.17</v>
          </cell>
          <cell r="BI640">
            <v>2</v>
          </cell>
          <cell r="BS640">
            <v>1</v>
          </cell>
          <cell r="DD640">
            <v>0</v>
          </cell>
          <cell r="DN640">
            <v>0</v>
          </cell>
          <cell r="DO640">
            <v>0</v>
          </cell>
        </row>
        <row r="644">
          <cell r="G644" t="str">
            <v>Металл и металлические изделия</v>
          </cell>
        </row>
        <row r="734">
          <cell r="G734" t="str">
            <v>49682-12-4017-Л-Р-11.5.6-ЭО-СМ1,Станционный комплекс "Аминьевское шоссе". Инженерные системы ТПП. Электроосвещение.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20">
          <cell r="G20" t="str">
            <v>Перегоны от ст. "Аминьевское шоссе" до токораздела со ст. "Мичуринский проспект".</v>
          </cell>
        </row>
        <row r="132">
          <cell r="G132" t="str">
            <v>Кабели и кабельные изделия</v>
          </cell>
        </row>
        <row r="143">
          <cell r="E143" t="str">
            <v>15</v>
          </cell>
          <cell r="F143" t="str">
            <v>4.8-79-3</v>
          </cell>
          <cell r="H143" t="str">
            <v>100 М КАБЕЛЯ</v>
          </cell>
          <cell r="I143">
            <v>17.003</v>
          </cell>
          <cell r="P143">
            <v>2782.72</v>
          </cell>
          <cell r="Q143">
            <v>92181.47</v>
          </cell>
          <cell r="R143">
            <v>54457.04</v>
          </cell>
          <cell r="S143">
            <v>143983.54</v>
          </cell>
          <cell r="U143">
            <v>292.0894361</v>
          </cell>
          <cell r="X143">
            <v>129585.19</v>
          </cell>
          <cell r="Y143">
            <v>61912.92</v>
          </cell>
          <cell r="AC143">
            <v>27.23</v>
          </cell>
          <cell r="AE143">
            <v>125.3836</v>
          </cell>
          <cell r="AF143">
            <v>331.51170000000002</v>
          </cell>
          <cell r="AL143">
            <v>27.23</v>
          </cell>
          <cell r="AM143">
            <v>463.73</v>
          </cell>
          <cell r="AN143">
            <v>75.08</v>
          </cell>
          <cell r="AO143">
            <v>198.51</v>
          </cell>
          <cell r="AQ143">
            <v>16.100000000000001</v>
          </cell>
          <cell r="AV143">
            <v>1.0669999999999999</v>
          </cell>
          <cell r="AW143">
            <v>1.081</v>
          </cell>
          <cell r="BA143">
            <v>23.94</v>
          </cell>
          <cell r="BB143">
            <v>8.36</v>
          </cell>
          <cell r="BC143">
            <v>5.56</v>
          </cell>
          <cell r="BI143">
            <v>2</v>
          </cell>
          <cell r="BS143">
            <v>23.94</v>
          </cell>
          <cell r="BZ143">
            <v>90</v>
          </cell>
          <cell r="CA143">
            <v>43</v>
          </cell>
          <cell r="DD143" t="str">
            <v/>
          </cell>
          <cell r="DE143" t="str">
            <v/>
          </cell>
          <cell r="DG143" t="str">
            <v>)*1,67</v>
          </cell>
          <cell r="DI143" t="str">
            <v/>
          </cell>
          <cell r="DN143">
            <v>112</v>
          </cell>
          <cell r="DO143">
            <v>70</v>
          </cell>
          <cell r="ET143">
            <v>463.73</v>
          </cell>
          <cell r="EU143">
            <v>75.08</v>
          </cell>
        </row>
        <row r="145">
          <cell r="E145" t="str">
            <v>16</v>
          </cell>
          <cell r="F145" t="str">
            <v>4.8-79-4</v>
          </cell>
          <cell r="H145" t="str">
            <v>100 М КАБЕЛЯ</v>
          </cell>
          <cell r="I145">
            <v>24.666599999999999</v>
          </cell>
          <cell r="P145">
            <v>4161.55</v>
          </cell>
          <cell r="Q145">
            <v>190387.59</v>
          </cell>
          <cell r="R145">
            <v>113673.34</v>
          </cell>
          <cell r="S145">
            <v>282831.23</v>
          </cell>
          <cell r="U145">
            <v>573.75991595999994</v>
          </cell>
          <cell r="X145">
            <v>254548.11</v>
          </cell>
          <cell r="Y145">
            <v>121617.43</v>
          </cell>
          <cell r="AC145">
            <v>28.07</v>
          </cell>
          <cell r="AE145">
            <v>180.4101</v>
          </cell>
          <cell r="AF145">
            <v>448.8793</v>
          </cell>
          <cell r="AL145">
            <v>28.07</v>
          </cell>
          <cell r="AM145">
            <v>652.54999999999995</v>
          </cell>
          <cell r="AN145">
            <v>108.03</v>
          </cell>
          <cell r="AO145">
            <v>268.79000000000002</v>
          </cell>
          <cell r="AQ145">
            <v>21.8</v>
          </cell>
          <cell r="AV145">
            <v>1.0669999999999999</v>
          </cell>
          <cell r="AW145">
            <v>1.081</v>
          </cell>
          <cell r="BA145">
            <v>23.94</v>
          </cell>
          <cell r="BB145">
            <v>8.43</v>
          </cell>
          <cell r="BC145">
            <v>5.56</v>
          </cell>
          <cell r="BI145">
            <v>2</v>
          </cell>
          <cell r="BS145">
            <v>23.94</v>
          </cell>
          <cell r="BZ145">
            <v>90</v>
          </cell>
          <cell r="CA145">
            <v>43</v>
          </cell>
          <cell r="DD145" t="str">
            <v/>
          </cell>
          <cell r="DE145" t="str">
            <v/>
          </cell>
          <cell r="DG145" t="str">
            <v>)*1,67</v>
          </cell>
          <cell r="DI145" t="str">
            <v/>
          </cell>
          <cell r="DN145">
            <v>112</v>
          </cell>
          <cell r="DO145">
            <v>70</v>
          </cell>
          <cell r="ET145">
            <v>652.54999999999995</v>
          </cell>
          <cell r="EU145">
            <v>108.03</v>
          </cell>
        </row>
        <row r="147">
          <cell r="E147" t="str">
            <v>17</v>
          </cell>
          <cell r="F147" t="str">
            <v>4.8-79-5</v>
          </cell>
          <cell r="H147" t="str">
            <v>100 М КАБЕЛЯ</v>
          </cell>
          <cell r="I147">
            <v>9.2119999999999997</v>
          </cell>
          <cell r="P147">
            <v>1674.34</v>
          </cell>
          <cell r="Q147">
            <v>88683.68</v>
          </cell>
          <cell r="R147">
            <v>53168.82</v>
          </cell>
          <cell r="S147">
            <v>129369.61</v>
          </cell>
          <cell r="U147">
            <v>262.43974679999997</v>
          </cell>
          <cell r="X147">
            <v>116432.65</v>
          </cell>
          <cell r="Y147">
            <v>55628.93</v>
          </cell>
          <cell r="AC147">
            <v>30.24</v>
          </cell>
          <cell r="AE147">
            <v>225.95099999999999</v>
          </cell>
          <cell r="AF147">
            <v>549.78070000000002</v>
          </cell>
          <cell r="AL147">
            <v>30.24</v>
          </cell>
          <cell r="AM147">
            <v>810.92</v>
          </cell>
          <cell r="AN147">
            <v>135.30000000000001</v>
          </cell>
          <cell r="AO147">
            <v>329.21</v>
          </cell>
          <cell r="AQ147">
            <v>26.7</v>
          </cell>
          <cell r="AV147">
            <v>1.0669999999999999</v>
          </cell>
          <cell r="AW147">
            <v>1.081</v>
          </cell>
          <cell r="BA147">
            <v>23.94</v>
          </cell>
          <cell r="BB147">
            <v>8.4499999999999993</v>
          </cell>
          <cell r="BC147">
            <v>5.56</v>
          </cell>
          <cell r="BI147">
            <v>2</v>
          </cell>
          <cell r="BS147">
            <v>23.94</v>
          </cell>
          <cell r="BZ147">
            <v>90</v>
          </cell>
          <cell r="CA147">
            <v>43</v>
          </cell>
          <cell r="DD147" t="str">
            <v/>
          </cell>
          <cell r="DE147" t="str">
            <v/>
          </cell>
          <cell r="DG147" t="str">
            <v>)*1,67</v>
          </cell>
          <cell r="DI147" t="str">
            <v/>
          </cell>
          <cell r="DN147">
            <v>112</v>
          </cell>
          <cell r="DO147">
            <v>70</v>
          </cell>
          <cell r="ET147">
            <v>810.92</v>
          </cell>
          <cell r="EU147">
            <v>135.30000000000001</v>
          </cell>
        </row>
        <row r="169">
          <cell r="G169" t="str">
            <v>Кабели и кабельные изделия</v>
          </cell>
        </row>
        <row r="395">
          <cell r="G395" t="str">
            <v>Кабели и кабельная продукция</v>
          </cell>
        </row>
        <row r="406">
          <cell r="E406" t="str">
            <v>56</v>
          </cell>
          <cell r="F406" t="str">
            <v>1.23-8-1300</v>
          </cell>
          <cell r="H406" t="str">
            <v>км</v>
          </cell>
          <cell r="I406">
            <v>0.5</v>
          </cell>
          <cell r="P406">
            <v>544772.26</v>
          </cell>
          <cell r="X406">
            <v>0</v>
          </cell>
          <cell r="Y406">
            <v>0</v>
          </cell>
          <cell r="AC406">
            <v>383642.44</v>
          </cell>
          <cell r="AE406">
            <v>0</v>
          </cell>
          <cell r="AF406">
            <v>0</v>
          </cell>
          <cell r="AL406">
            <v>383642.44</v>
          </cell>
          <cell r="AV406">
            <v>1</v>
          </cell>
          <cell r="AW406">
            <v>1</v>
          </cell>
          <cell r="BC406">
            <v>2.84</v>
          </cell>
          <cell r="BI406">
            <v>2</v>
          </cell>
          <cell r="BS406">
            <v>1</v>
          </cell>
          <cell r="DD406" t="str">
            <v/>
          </cell>
          <cell r="DN406">
            <v>0</v>
          </cell>
          <cell r="DO406">
            <v>0</v>
          </cell>
        </row>
        <row r="410">
          <cell r="E410" t="str">
            <v>58</v>
          </cell>
          <cell r="F410" t="str">
            <v>1.23-8-815</v>
          </cell>
          <cell r="H410" t="str">
            <v>км</v>
          </cell>
          <cell r="I410">
            <v>0.78</v>
          </cell>
          <cell r="P410">
            <v>1917693.82</v>
          </cell>
          <cell r="X410">
            <v>0</v>
          </cell>
          <cell r="Y410">
            <v>0</v>
          </cell>
          <cell r="AC410">
            <v>878064.94</v>
          </cell>
          <cell r="AE410">
            <v>0</v>
          </cell>
          <cell r="AF410">
            <v>0</v>
          </cell>
          <cell r="AL410">
            <v>878064.94</v>
          </cell>
          <cell r="AV410">
            <v>1</v>
          </cell>
          <cell r="AW410">
            <v>1</v>
          </cell>
          <cell r="BC410">
            <v>2.8</v>
          </cell>
          <cell r="BI410">
            <v>2</v>
          </cell>
          <cell r="BS410">
            <v>1</v>
          </cell>
          <cell r="DD410" t="str">
            <v/>
          </cell>
          <cell r="DN410">
            <v>0</v>
          </cell>
          <cell r="DO410">
            <v>0</v>
          </cell>
        </row>
        <row r="428">
          <cell r="E428" t="str">
            <v>67</v>
          </cell>
          <cell r="F428" t="str">
            <v>МКЭ-33-902/7-1 16.05.2017</v>
          </cell>
          <cell r="H428" t="str">
            <v>км</v>
          </cell>
          <cell r="I428">
            <v>1.7350000000000001</v>
          </cell>
          <cell r="X428">
            <v>0</v>
          </cell>
          <cell r="Y428">
            <v>0</v>
          </cell>
          <cell r="AE428">
            <v>0</v>
          </cell>
          <cell r="AF428">
            <v>0</v>
          </cell>
          <cell r="AV428">
            <v>1</v>
          </cell>
          <cell r="AW428">
            <v>1</v>
          </cell>
          <cell r="BI428">
            <v>2</v>
          </cell>
          <cell r="BS428">
            <v>1</v>
          </cell>
          <cell r="DN428">
            <v>0</v>
          </cell>
          <cell r="DO428">
            <v>0</v>
          </cell>
        </row>
        <row r="430">
          <cell r="AW430">
            <v>1</v>
          </cell>
        </row>
        <row r="432">
          <cell r="E432" t="str">
            <v>69</v>
          </cell>
          <cell r="F432" t="str">
            <v>МКЭ-33-902/7-1 16.05.2017</v>
          </cell>
          <cell r="H432" t="str">
            <v>км</v>
          </cell>
          <cell r="I432">
            <v>1.96</v>
          </cell>
          <cell r="X432">
            <v>0</v>
          </cell>
          <cell r="Y432">
            <v>0</v>
          </cell>
          <cell r="AE432">
            <v>0</v>
          </cell>
          <cell r="AF432">
            <v>0</v>
          </cell>
          <cell r="AV432">
            <v>1</v>
          </cell>
          <cell r="BI432">
            <v>2</v>
          </cell>
          <cell r="BS432">
            <v>1</v>
          </cell>
          <cell r="DN432">
            <v>0</v>
          </cell>
          <cell r="DO432">
            <v>0</v>
          </cell>
        </row>
        <row r="466">
          <cell r="G466" t="str">
            <v>Кабели и кабельная продукция</v>
          </cell>
        </row>
        <row r="603">
          <cell r="G603" t="str">
            <v>№ 48957-ТПК_5-0782-Р-ССР2-изм1.1/12-4017-Л-Р-8.3.2-ЭО2-СМ1К, Инженерные системы. Тоннельное освещение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20">
          <cell r="G20" t="str">
            <v>Перегоны от ст. "Аминьевское шоссе" до токораздела со ст. "Мичуринский проспект". Инженерные системы. Магистральные сети путейских ящиков</v>
          </cell>
        </row>
        <row r="24">
          <cell r="G24" t="str">
            <v>Поправка: ТСН-2001.4. О.П. тб2. п.1  Наименование: При подземном способе работ (включая монтажные и демонтажные работы инженерных систем, выполняемые после устройства перекрытия при строительстве тоннелей и метрополитенов открытым способом (тоннели, сооружения, устройства и станционные помещения, находящиеся ниже уровня первой ступени эскалатора (лестничного марша) наземного вестибюля станции, и сам вестибюль станции (с тоннелями, сооружениями, устройствами и станционными помещениями), вход в который расположен в подземном (подуличном) переходе). То же с особо вредными и особо тяжелыми условиями труда</v>
          </cell>
        </row>
        <row r="25">
          <cell r="G25" t="str">
            <v>Поправка: ТСН-2001.3-29. О.П. п.4.1  Наименование: При определении стоимости работ на работах по строительству тоннелей и метрополитенов (станций, тоннелей, стволов, эскалаторных наклонных ходов, околоствольных, притоннельных выработок, а также дополнительных сооружений и устройств в соответствии с СП 32-105-2004 и СП 32-106-2004). При закрытом (подземном) способе работ, включая устройство пути в тоннелях, а также включая монтажные (демонтажные) и пуско-наладочные работы инженерных систем (в том числе электромонтажные работы; автоматика; сигнализация; связь; монтажные и наладочные работы оборудования систем отопления, теплоснабжения, вентиляции, кондиционирования, водопровода, водоотвода и канализации; АТДП и другие инженерные системы), выполняемые после устройства перекрытия при строительстве тоннелей и метрополитенов открытым способом (тоннели, сооружения, устройства и станционные помещения, находящиеся ниже уровня первой ступени эскалатора (лестничного марша) наземного вестибюля станции, и сам вестибюль станции (с тоннелями, сооружениями, устройствами и станционными помещениями), вход в который расположен в подземном (подуличном) переходе)</v>
          </cell>
        </row>
        <row r="27">
          <cell r="G27" t="str">
            <v>Монтажные работы</v>
          </cell>
        </row>
        <row r="31">
          <cell r="G31" t="str">
            <v>Электрооборудование</v>
          </cell>
        </row>
        <row r="44">
          <cell r="G44" t="str">
            <v>Электрооборудование</v>
          </cell>
        </row>
        <row r="74">
          <cell r="G74" t="str">
            <v>Кабели и провода, кабельные изделия</v>
          </cell>
        </row>
        <row r="88">
          <cell r="E88" t="str">
            <v>9</v>
          </cell>
          <cell r="H88" t="str">
            <v>100 М КАБЕЛЯ</v>
          </cell>
          <cell r="I88">
            <v>13.718</v>
          </cell>
          <cell r="P88">
            <v>467.12</v>
          </cell>
          <cell r="Q88">
            <v>23487.45</v>
          </cell>
          <cell r="R88">
            <v>6120.52</v>
          </cell>
          <cell r="S88">
            <v>13020.32</v>
          </cell>
          <cell r="U88">
            <v>632.32297919999996</v>
          </cell>
          <cell r="X88">
            <v>14582.76</v>
          </cell>
          <cell r="Y88">
            <v>9114.2199999999993</v>
          </cell>
          <cell r="AL88">
            <v>31.5</v>
          </cell>
          <cell r="AM88">
            <v>1436.89</v>
          </cell>
          <cell r="AN88">
            <v>250.39</v>
          </cell>
          <cell r="AO88">
            <v>532.66</v>
          </cell>
          <cell r="AQ88">
            <v>43.2</v>
          </cell>
          <cell r="DD88">
            <v>0</v>
          </cell>
          <cell r="DE88">
            <v>0</v>
          </cell>
          <cell r="DG88" t="str">
            <v>)*1,67</v>
          </cell>
          <cell r="DI88">
            <v>0</v>
          </cell>
        </row>
        <row r="89">
          <cell r="P89">
            <v>2606.5300000000002</v>
          </cell>
          <cell r="Q89">
            <v>244788.86</v>
          </cell>
          <cell r="R89">
            <v>148300.20000000001</v>
          </cell>
          <cell r="S89">
            <v>315482.34999999998</v>
          </cell>
          <cell r="X89">
            <v>283934.12</v>
          </cell>
          <cell r="Y89">
            <v>135657.41</v>
          </cell>
          <cell r="AV89">
            <v>1.0669999999999999</v>
          </cell>
          <cell r="AW89">
            <v>1.081</v>
          </cell>
          <cell r="BA89">
            <v>24.23</v>
          </cell>
          <cell r="BB89">
            <v>8.81</v>
          </cell>
          <cell r="BC89">
            <v>5.58</v>
          </cell>
          <cell r="BS89">
            <v>24.23</v>
          </cell>
          <cell r="BZ89">
            <v>90</v>
          </cell>
          <cell r="CA89">
            <v>43</v>
          </cell>
          <cell r="DN89">
            <v>112</v>
          </cell>
          <cell r="DO89">
            <v>70</v>
          </cell>
        </row>
        <row r="107">
          <cell r="G107" t="str">
            <v>Кабели и провода, кабельные изделия</v>
          </cell>
        </row>
        <row r="137">
          <cell r="G137" t="str">
            <v>Металл и металлические изделия</v>
          </cell>
        </row>
        <row r="158">
          <cell r="G158" t="str">
            <v>Металл и металлические изделия</v>
          </cell>
        </row>
        <row r="188">
          <cell r="G188" t="str">
            <v>Монтажные работы</v>
          </cell>
        </row>
        <row r="218">
          <cell r="G218" t="str">
            <v>Оборудование</v>
          </cell>
        </row>
        <row r="227">
          <cell r="G227" t="str">
            <v>Оборудование</v>
          </cell>
        </row>
        <row r="257">
          <cell r="G257" t="str">
            <v>Материалы, не учтенные в цене монтажа</v>
          </cell>
        </row>
        <row r="270">
          <cell r="G270" t="str">
            <v>Кабели и провода. Кабельные изделия.</v>
          </cell>
        </row>
        <row r="278">
          <cell r="E278" t="str">
            <v>27</v>
          </cell>
          <cell r="R278">
            <v>0</v>
          </cell>
          <cell r="X278">
            <v>0</v>
          </cell>
          <cell r="Y278">
            <v>0</v>
          </cell>
        </row>
        <row r="279">
          <cell r="R279">
            <v>0</v>
          </cell>
          <cell r="X279">
            <v>0</v>
          </cell>
          <cell r="Y279">
            <v>0</v>
          </cell>
        </row>
        <row r="295">
          <cell r="G295" t="str">
            <v>Кабели и провода. Кабельные изделия.</v>
          </cell>
        </row>
        <row r="325">
          <cell r="G325" t="str">
            <v>Металл и металлические изделия</v>
          </cell>
        </row>
        <row r="344">
          <cell r="G344" t="str">
            <v>Металл и металлические изделия</v>
          </cell>
        </row>
        <row r="374">
          <cell r="G374" t="str">
            <v>Материалы, не учтенные в цене монтажа</v>
          </cell>
        </row>
        <row r="404">
          <cell r="G404" t="str">
            <v>Перегоны от ст. "Аминьевское шоссе" до токораздела со ст. "Мичуринский проспект". Инженерные системы. Магистральные сети путейских ящиков</v>
          </cell>
        </row>
        <row r="462">
          <cell r="P462">
            <v>7632656.3600000003</v>
          </cell>
        </row>
        <row r="463">
          <cell r="H463" t="str">
            <v>Стоимость материалов (всего)</v>
          </cell>
        </row>
        <row r="464">
          <cell r="F464">
            <v>6120.52</v>
          </cell>
          <cell r="H464" t="str">
            <v>ЗП машинистов</v>
          </cell>
          <cell r="P464">
            <v>148300.20000000001</v>
          </cell>
        </row>
        <row r="465">
          <cell r="F465">
            <v>13020.32</v>
          </cell>
          <cell r="H465" t="str">
            <v>Основная ЗП рабочих</v>
          </cell>
          <cell r="P465">
            <v>315482.34999999998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КС-2 по ТСН-2001"/>
      <sheetName val="Source"/>
      <sheetName val="SourceObSm"/>
      <sheetName val="SmtRes"/>
      <sheetName val="EtalonRes"/>
    </sheetNames>
    <sheetDataSet>
      <sheetData sheetId="0" refreshError="1"/>
      <sheetData sheetId="1">
        <row r="20">
          <cell r="G20" t="str">
            <v>Перегоны от ст. "Мичуренский Проспект" (Включая монтажный и демонтажный котлован пл.4) до токараздела со ст. "Проспект вернадского". Инженерные системы. Тонельный водопровод. Тонельный водопровод после ПК 240+67,375 (1 Путь) ПК 240+68,019 (2 Путь)</v>
          </cell>
        </row>
        <row r="24">
          <cell r="G24" t="str">
            <v/>
          </cell>
        </row>
        <row r="123">
          <cell r="E123" t="str">
            <v>44</v>
          </cell>
          <cell r="F123" t="str">
            <v>1.6-1-269</v>
          </cell>
          <cell r="H123" t="str">
            <v>т</v>
          </cell>
          <cell r="I123">
            <v>0.83472000000000002</v>
          </cell>
          <cell r="P123">
            <v>10363.969999999999</v>
          </cell>
          <cell r="R123">
            <v>0</v>
          </cell>
          <cell r="X123">
            <v>0</v>
          </cell>
          <cell r="Y123">
            <v>0</v>
          </cell>
          <cell r="AL123">
            <v>12416.1</v>
          </cell>
          <cell r="DD123" t="str">
            <v/>
          </cell>
        </row>
        <row r="124">
          <cell r="P124">
            <v>69438.600000000006</v>
          </cell>
          <cell r="R124">
            <v>0</v>
          </cell>
          <cell r="X124">
            <v>0</v>
          </cell>
          <cell r="Y124">
            <v>0</v>
          </cell>
          <cell r="AW124">
            <v>1</v>
          </cell>
          <cell r="BC124">
            <v>6.7</v>
          </cell>
        </row>
        <row r="125">
          <cell r="E125" t="str">
            <v>45</v>
          </cell>
          <cell r="F125" t="str">
            <v>1.1-1-1002</v>
          </cell>
          <cell r="H125" t="str">
            <v>кг</v>
          </cell>
          <cell r="I125">
            <v>41.36</v>
          </cell>
          <cell r="P125">
            <v>864.01</v>
          </cell>
          <cell r="R125">
            <v>0</v>
          </cell>
          <cell r="X125">
            <v>0</v>
          </cell>
          <cell r="Y125">
            <v>0</v>
          </cell>
          <cell r="AL125">
            <v>20.89</v>
          </cell>
          <cell r="DD125" t="str">
            <v/>
          </cell>
        </row>
        <row r="126">
          <cell r="P126">
            <v>10826.05</v>
          </cell>
          <cell r="R126">
            <v>0</v>
          </cell>
          <cell r="X126">
            <v>0</v>
          </cell>
          <cell r="Y126">
            <v>0</v>
          </cell>
          <cell r="AW126">
            <v>1</v>
          </cell>
          <cell r="BC126">
            <v>12.53</v>
          </cell>
        </row>
        <row r="127">
          <cell r="E127" t="str">
            <v>46</v>
          </cell>
          <cell r="F127" t="str">
            <v>1.1-1-3732</v>
          </cell>
          <cell r="H127" t="str">
            <v>100 шт.</v>
          </cell>
          <cell r="I127">
            <v>15.04</v>
          </cell>
          <cell r="P127">
            <v>10225.85</v>
          </cell>
          <cell r="R127">
            <v>0</v>
          </cell>
          <cell r="X127">
            <v>0</v>
          </cell>
          <cell r="Y127">
            <v>0</v>
          </cell>
          <cell r="AL127">
            <v>679.91</v>
          </cell>
          <cell r="DD127" t="str">
            <v/>
          </cell>
        </row>
        <row r="128">
          <cell r="P128">
            <v>12373.28</v>
          </cell>
          <cell r="R128">
            <v>0</v>
          </cell>
          <cell r="X128">
            <v>0</v>
          </cell>
          <cell r="Y128">
            <v>0</v>
          </cell>
          <cell r="AW128">
            <v>1</v>
          </cell>
          <cell r="BC128">
            <v>1.21</v>
          </cell>
        </row>
        <row r="129">
          <cell r="E129" t="str">
            <v>47</v>
          </cell>
          <cell r="F129" t="str">
            <v>1.1-1-3733</v>
          </cell>
          <cell r="H129" t="str">
            <v>100 шт.</v>
          </cell>
          <cell r="I129">
            <v>7.52</v>
          </cell>
          <cell r="P129">
            <v>742.52</v>
          </cell>
          <cell r="R129">
            <v>0</v>
          </cell>
          <cell r="X129">
            <v>0</v>
          </cell>
          <cell r="Y129">
            <v>0</v>
          </cell>
          <cell r="AL129">
            <v>98.74</v>
          </cell>
          <cell r="DD129" t="str">
            <v/>
          </cell>
        </row>
        <row r="130">
          <cell r="P130">
            <v>1447.91</v>
          </cell>
          <cell r="R130">
            <v>0</v>
          </cell>
          <cell r="X130">
            <v>0</v>
          </cell>
          <cell r="Y130">
            <v>0</v>
          </cell>
          <cell r="AW130">
            <v>1</v>
          </cell>
          <cell r="BC130">
            <v>1.95</v>
          </cell>
        </row>
        <row r="137">
          <cell r="E137" t="str">
            <v>51</v>
          </cell>
          <cell r="F137" t="str">
            <v>3.13-11-6</v>
          </cell>
          <cell r="H137" t="str">
            <v>100 м2</v>
          </cell>
          <cell r="I137">
            <v>0.43099999999999999</v>
          </cell>
          <cell r="P137">
            <v>8.69</v>
          </cell>
          <cell r="Q137">
            <v>10.77</v>
          </cell>
          <cell r="R137">
            <v>1.67</v>
          </cell>
          <cell r="S137">
            <v>22.78</v>
          </cell>
          <cell r="U137">
            <v>1.14619278</v>
          </cell>
          <cell r="X137">
            <v>23.92</v>
          </cell>
          <cell r="Y137">
            <v>17.54</v>
          </cell>
          <cell r="AL137">
            <v>20.16</v>
          </cell>
          <cell r="AM137">
            <v>22.38</v>
          </cell>
          <cell r="AN137">
            <v>2.2200000000000002</v>
          </cell>
          <cell r="AO137">
            <v>30.23</v>
          </cell>
          <cell r="AQ137">
            <v>2.54</v>
          </cell>
          <cell r="DD137" t="str">
            <v/>
          </cell>
          <cell r="DE137" t="str">
            <v/>
          </cell>
          <cell r="DG137" t="str">
            <v>)*1,67</v>
          </cell>
          <cell r="DI137" t="str">
            <v/>
          </cell>
        </row>
        <row r="138">
          <cell r="P138">
            <v>68.3</v>
          </cell>
          <cell r="Q138">
            <v>81.070000000000007</v>
          </cell>
          <cell r="R138">
            <v>40.46</v>
          </cell>
          <cell r="S138">
            <v>551.96</v>
          </cell>
          <cell r="X138">
            <v>469.17</v>
          </cell>
          <cell r="Y138">
            <v>226.3</v>
          </cell>
          <cell r="AV138">
            <v>1.0469999999999999</v>
          </cell>
          <cell r="AW138">
            <v>1</v>
          </cell>
          <cell r="BA138">
            <v>24.23</v>
          </cell>
          <cell r="BB138">
            <v>6.42</v>
          </cell>
          <cell r="BC138">
            <v>7.86</v>
          </cell>
          <cell r="BS138">
            <v>24.23</v>
          </cell>
          <cell r="BZ138">
            <v>85</v>
          </cell>
          <cell r="CA138">
            <v>41</v>
          </cell>
          <cell r="DN138">
            <v>105</v>
          </cell>
          <cell r="DO138">
            <v>77</v>
          </cell>
        </row>
        <row r="139">
          <cell r="E139" t="str">
            <v>51,1</v>
          </cell>
          <cell r="F139" t="str">
            <v>1.1-1-413</v>
          </cell>
          <cell r="H139" t="str">
            <v>кг</v>
          </cell>
          <cell r="I139">
            <v>33.133125</v>
          </cell>
          <cell r="O139">
            <v>1587.08</v>
          </cell>
          <cell r="R139">
            <v>0</v>
          </cell>
          <cell r="X139">
            <v>0</v>
          </cell>
          <cell r="Y139">
            <v>0</v>
          </cell>
          <cell r="AK139">
            <v>47.9</v>
          </cell>
        </row>
        <row r="140">
          <cell r="O140">
            <v>4221.63</v>
          </cell>
          <cell r="R140">
            <v>0</v>
          </cell>
          <cell r="X140">
            <v>0</v>
          </cell>
          <cell r="Y140">
            <v>0</v>
          </cell>
          <cell r="AW140">
            <v>1</v>
          </cell>
          <cell r="BC140">
            <v>2.66</v>
          </cell>
        </row>
        <row r="142">
          <cell r="G142" t="str">
            <v/>
          </cell>
        </row>
        <row r="171">
          <cell r="G171" t="str">
            <v>Перегоны от ст. "Мичуренский Проспект" (Включая монтажный и демонтажный котлован пл.4) до токараздела со ст. "Проспект вернадского". Инженерные системы. Тонельный водопровод. Тонельный водопровод после ПК 240+67,375 (1 Путь) ПК 240+68,019 (2 Путь)</v>
          </cell>
        </row>
        <row r="177">
          <cell r="F177">
            <v>23792.12</v>
          </cell>
          <cell r="H177" t="str">
            <v>Стоимость материалов (всего)</v>
          </cell>
          <cell r="P177">
            <v>98375.77</v>
          </cell>
        </row>
        <row r="185">
          <cell r="F185">
            <v>1.67</v>
          </cell>
          <cell r="H185" t="str">
            <v>ЗП машинистов</v>
          </cell>
          <cell r="P185">
            <v>40.46</v>
          </cell>
        </row>
        <row r="186">
          <cell r="F186">
            <v>22.78</v>
          </cell>
          <cell r="H186" t="str">
            <v>Основная ЗП рабочих</v>
          </cell>
          <cell r="P186">
            <v>551.96</v>
          </cell>
        </row>
        <row r="196">
          <cell r="F196">
            <v>23.92</v>
          </cell>
          <cell r="H196" t="str">
            <v>Накладные расходы</v>
          </cell>
          <cell r="P196">
            <v>469.17</v>
          </cell>
        </row>
        <row r="197">
          <cell r="F197">
            <v>17.54</v>
          </cell>
          <cell r="H197" t="str">
            <v>Сметная прибыль</v>
          </cell>
          <cell r="P197">
            <v>226.3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M79"/>
  <sheetViews>
    <sheetView view="pageBreakPreview" topLeftCell="A46" zoomScale="85" zoomScaleNormal="70" zoomScaleSheetLayoutView="85" workbookViewId="0">
      <selection activeCell="F46" sqref="F46"/>
    </sheetView>
  </sheetViews>
  <sheetFormatPr defaultColWidth="10.6640625" defaultRowHeight="15.75" outlineLevelCol="1" x14ac:dyDescent="0.25"/>
  <cols>
    <col min="1" max="1" width="6.5" style="282" customWidth="1"/>
    <col min="2" max="2" width="42" style="282" customWidth="1"/>
    <col min="3" max="3" width="23.5" style="282" customWidth="1"/>
    <col min="4" max="4" width="25.1640625" style="282" customWidth="1"/>
    <col min="5" max="5" width="22.1640625" style="282" customWidth="1"/>
    <col min="6" max="6" width="27.83203125" style="282" customWidth="1"/>
    <col min="7" max="7" width="19.33203125" style="282" customWidth="1"/>
    <col min="8" max="8" width="25.1640625" style="282" customWidth="1"/>
    <col min="9" max="12" width="27.1640625" style="652" hidden="1" customWidth="1" outlineLevel="1"/>
    <col min="13" max="13" width="27.1640625" style="282" customWidth="1" collapsed="1"/>
    <col min="14" max="14" width="33" style="282" customWidth="1"/>
    <col min="15" max="16" width="27.1640625" style="282" customWidth="1"/>
    <col min="17" max="17" width="18" style="282" bestFit="1" customWidth="1"/>
    <col min="18" max="18" width="26" style="282" customWidth="1"/>
    <col min="19" max="20" width="10.6640625" style="282"/>
    <col min="21" max="21" width="14.83203125" style="282" bestFit="1" customWidth="1"/>
    <col min="22" max="16384" width="10.6640625" style="282"/>
  </cols>
  <sheetData>
    <row r="1" spans="1:247" ht="15.75" hidden="1" customHeight="1" x14ac:dyDescent="0.25">
      <c r="A1" s="651"/>
      <c r="B1" s="651"/>
      <c r="C1" s="651"/>
      <c r="D1" s="651"/>
      <c r="E1" s="651"/>
      <c r="F1" s="651"/>
      <c r="G1" s="651"/>
      <c r="H1" s="651"/>
    </row>
    <row r="2" spans="1:247" ht="15.75" hidden="1" customHeight="1" x14ac:dyDescent="0.25">
      <c r="A2" s="651"/>
      <c r="B2" s="651"/>
      <c r="C2" s="651"/>
      <c r="D2" s="651"/>
      <c r="E2" s="651"/>
      <c r="F2" s="651"/>
      <c r="G2" s="651"/>
      <c r="H2" s="651"/>
    </row>
    <row r="3" spans="1:247" hidden="1" x14ac:dyDescent="0.25">
      <c r="A3" s="651"/>
      <c r="B3" s="651"/>
      <c r="C3" s="651"/>
      <c r="D3" s="651"/>
      <c r="E3" s="651"/>
      <c r="F3" s="651"/>
      <c r="G3" s="651"/>
      <c r="H3" s="651"/>
    </row>
    <row r="4" spans="1:247" x14ac:dyDescent="0.25">
      <c r="A4" s="651"/>
      <c r="B4" s="651"/>
      <c r="C4" s="651"/>
      <c r="D4" s="651"/>
      <c r="E4" s="651"/>
      <c r="F4" s="651"/>
      <c r="G4" s="651"/>
      <c r="H4" s="651"/>
    </row>
    <row r="5" spans="1:247" x14ac:dyDescent="0.25">
      <c r="A5" s="651"/>
      <c r="B5" s="651"/>
      <c r="C5" s="651"/>
      <c r="D5" s="651"/>
      <c r="E5" s="651"/>
      <c r="F5" s="651"/>
      <c r="G5" s="653" t="s">
        <v>578</v>
      </c>
      <c r="H5" s="654"/>
    </row>
    <row r="6" spans="1:247" x14ac:dyDescent="0.25">
      <c r="A6" s="651"/>
      <c r="B6" s="651"/>
      <c r="C6" s="651"/>
      <c r="D6" s="651"/>
      <c r="E6" s="651"/>
      <c r="F6" s="651"/>
      <c r="G6" s="653" t="s">
        <v>577</v>
      </c>
      <c r="H6" s="654"/>
    </row>
    <row r="7" spans="1:247" x14ac:dyDescent="0.25">
      <c r="A7" s="651"/>
      <c r="B7" s="651"/>
      <c r="C7" s="651"/>
      <c r="D7" s="651"/>
      <c r="E7" s="651"/>
      <c r="F7" s="651"/>
      <c r="G7" s="653" t="s">
        <v>576</v>
      </c>
      <c r="H7" s="654"/>
    </row>
    <row r="8" spans="1:247" x14ac:dyDescent="0.25">
      <c r="A8" s="651"/>
      <c r="B8" s="651"/>
      <c r="C8" s="651"/>
      <c r="D8" s="651"/>
      <c r="E8" s="651"/>
      <c r="F8" s="651"/>
      <c r="G8" s="651"/>
      <c r="H8" s="651"/>
    </row>
    <row r="9" spans="1:247" s="660" customFormat="1" x14ac:dyDescent="0.25">
      <c r="A9" s="282"/>
      <c r="B9" s="282"/>
      <c r="C9" s="282"/>
      <c r="D9" s="282"/>
      <c r="E9" s="282"/>
      <c r="F9" s="282"/>
      <c r="G9" s="655" t="s">
        <v>17</v>
      </c>
      <c r="H9" s="656"/>
      <c r="I9" s="657"/>
      <c r="J9" s="657"/>
      <c r="K9" s="657"/>
      <c r="L9" s="657"/>
      <c r="M9" s="658"/>
      <c r="N9" s="658"/>
      <c r="O9" s="658"/>
      <c r="P9" s="658"/>
      <c r="Q9" s="658"/>
      <c r="R9" s="658"/>
      <c r="S9" s="658"/>
      <c r="T9" s="658"/>
      <c r="U9" s="658"/>
      <c r="V9" s="659"/>
      <c r="W9" s="659"/>
      <c r="X9" s="659"/>
      <c r="Y9" s="659"/>
      <c r="Z9" s="659"/>
      <c r="AA9" s="659"/>
      <c r="AB9" s="659"/>
      <c r="AC9" s="659"/>
      <c r="AD9" s="659"/>
      <c r="AE9" s="659"/>
      <c r="AF9" s="659"/>
      <c r="AG9" s="659"/>
      <c r="AH9" s="659"/>
      <c r="AI9" s="659"/>
      <c r="AJ9" s="659"/>
      <c r="AK9" s="659"/>
      <c r="AL9" s="659"/>
      <c r="AM9" s="659"/>
      <c r="AN9" s="659"/>
      <c r="AO9" s="659"/>
      <c r="AP9" s="659"/>
      <c r="AQ9" s="659"/>
      <c r="AR9" s="659"/>
      <c r="AS9" s="659"/>
      <c r="AT9" s="659"/>
      <c r="AU9" s="659"/>
      <c r="AV9" s="659"/>
      <c r="AW9" s="659"/>
      <c r="AX9" s="659"/>
      <c r="AY9" s="659"/>
      <c r="AZ9" s="659"/>
      <c r="BA9" s="659"/>
      <c r="BB9" s="659"/>
      <c r="BC9" s="659"/>
      <c r="BD9" s="659"/>
      <c r="BE9" s="659"/>
      <c r="BF9" s="659"/>
      <c r="BG9" s="659"/>
      <c r="BH9" s="659"/>
      <c r="BI9" s="659"/>
      <c r="BJ9" s="659"/>
      <c r="BK9" s="659"/>
      <c r="BL9" s="659"/>
      <c r="BM9" s="659"/>
      <c r="BN9" s="659"/>
      <c r="BO9" s="659"/>
      <c r="BP9" s="659"/>
      <c r="BQ9" s="659"/>
      <c r="BR9" s="659"/>
      <c r="BS9" s="659"/>
      <c r="BT9" s="659"/>
      <c r="BU9" s="659"/>
      <c r="BV9" s="659"/>
      <c r="BW9" s="659"/>
      <c r="BX9" s="659"/>
      <c r="BY9" s="659"/>
      <c r="BZ9" s="659"/>
      <c r="CA9" s="659"/>
      <c r="CB9" s="659"/>
      <c r="CC9" s="659"/>
      <c r="CD9" s="659"/>
      <c r="CE9" s="659"/>
      <c r="CF9" s="659"/>
      <c r="CG9" s="659"/>
      <c r="CH9" s="659"/>
      <c r="CI9" s="659"/>
      <c r="CJ9" s="659"/>
      <c r="CK9" s="659"/>
      <c r="CL9" s="659"/>
      <c r="CM9" s="659"/>
      <c r="CN9" s="659"/>
      <c r="CO9" s="659"/>
      <c r="CP9" s="659"/>
      <c r="CQ9" s="659"/>
      <c r="CR9" s="659"/>
      <c r="CS9" s="659"/>
      <c r="CT9" s="659"/>
      <c r="CU9" s="659"/>
      <c r="CV9" s="659"/>
      <c r="CW9" s="659"/>
      <c r="CX9" s="659"/>
      <c r="CY9" s="659"/>
      <c r="CZ9" s="659"/>
      <c r="DA9" s="659"/>
      <c r="DB9" s="659"/>
      <c r="DC9" s="659"/>
      <c r="DD9" s="659"/>
      <c r="DE9" s="659"/>
      <c r="DF9" s="659"/>
      <c r="DG9" s="659"/>
      <c r="DH9" s="659"/>
      <c r="DI9" s="659"/>
      <c r="DJ9" s="659"/>
      <c r="DK9" s="659"/>
      <c r="DL9" s="659"/>
      <c r="DM9" s="659"/>
      <c r="DN9" s="659"/>
      <c r="DO9" s="659"/>
      <c r="DP9" s="659"/>
      <c r="DQ9" s="659"/>
      <c r="DR9" s="659"/>
      <c r="DS9" s="659"/>
      <c r="DT9" s="659"/>
      <c r="DU9" s="659"/>
      <c r="DV9" s="659"/>
      <c r="DW9" s="659"/>
      <c r="DX9" s="659"/>
      <c r="DY9" s="659"/>
      <c r="DZ9" s="659"/>
      <c r="EA9" s="659"/>
      <c r="EB9" s="659"/>
      <c r="EC9" s="659"/>
      <c r="ED9" s="659"/>
      <c r="EE9" s="659"/>
      <c r="EF9" s="659"/>
      <c r="EG9" s="659"/>
      <c r="EH9" s="659"/>
      <c r="EI9" s="659"/>
      <c r="EJ9" s="659"/>
      <c r="EK9" s="659"/>
      <c r="EL9" s="659"/>
      <c r="EM9" s="659"/>
      <c r="EN9" s="659"/>
      <c r="EO9" s="659"/>
      <c r="EP9" s="659"/>
      <c r="EQ9" s="659"/>
      <c r="ER9" s="659"/>
      <c r="ES9" s="659"/>
      <c r="ET9" s="659"/>
      <c r="EU9" s="659"/>
      <c r="EV9" s="659"/>
      <c r="EW9" s="659"/>
      <c r="EX9" s="659"/>
      <c r="EY9" s="659"/>
      <c r="EZ9" s="659"/>
      <c r="FA9" s="659"/>
      <c r="FB9" s="659"/>
      <c r="FC9" s="659"/>
      <c r="FD9" s="659"/>
      <c r="FE9" s="659"/>
      <c r="FF9" s="659"/>
      <c r="FG9" s="659"/>
      <c r="FH9" s="659"/>
      <c r="FI9" s="659"/>
      <c r="FJ9" s="659"/>
      <c r="FK9" s="659"/>
      <c r="FL9" s="659"/>
      <c r="FM9" s="659"/>
      <c r="FN9" s="659"/>
      <c r="FO9" s="659"/>
      <c r="FP9" s="659"/>
      <c r="FQ9" s="659"/>
      <c r="FR9" s="659"/>
      <c r="FS9" s="659"/>
      <c r="FT9" s="659"/>
      <c r="FU9" s="659"/>
      <c r="FV9" s="659"/>
      <c r="FW9" s="659"/>
      <c r="FX9" s="659"/>
      <c r="FY9" s="659"/>
      <c r="FZ9" s="659"/>
      <c r="GA9" s="659"/>
      <c r="GB9" s="659"/>
      <c r="GC9" s="659"/>
      <c r="GD9" s="659"/>
      <c r="GE9" s="659"/>
      <c r="GF9" s="659"/>
      <c r="GG9" s="659"/>
      <c r="GH9" s="659"/>
      <c r="GI9" s="659"/>
      <c r="GJ9" s="659"/>
      <c r="GK9" s="659"/>
      <c r="GL9" s="659"/>
      <c r="GM9" s="659"/>
      <c r="GN9" s="659"/>
      <c r="GO9" s="659"/>
      <c r="GP9" s="659"/>
      <c r="GQ9" s="659"/>
      <c r="GR9" s="659"/>
      <c r="GS9" s="659"/>
      <c r="GT9" s="659"/>
      <c r="GU9" s="659"/>
      <c r="GV9" s="659"/>
      <c r="GW9" s="659"/>
      <c r="GX9" s="659"/>
      <c r="GY9" s="659"/>
      <c r="GZ9" s="659"/>
      <c r="HA9" s="659"/>
      <c r="HB9" s="659"/>
      <c r="HC9" s="659"/>
      <c r="HD9" s="659"/>
      <c r="HE9" s="659"/>
      <c r="HF9" s="659"/>
      <c r="HG9" s="659"/>
      <c r="HH9" s="659"/>
      <c r="HI9" s="659"/>
      <c r="HJ9" s="659"/>
      <c r="HK9" s="659"/>
      <c r="HL9" s="659"/>
      <c r="HM9" s="659"/>
      <c r="HN9" s="659"/>
      <c r="HO9" s="659"/>
      <c r="HP9" s="659"/>
      <c r="HQ9" s="659"/>
      <c r="HR9" s="659"/>
      <c r="HS9" s="659"/>
      <c r="HT9" s="659"/>
      <c r="HU9" s="659"/>
      <c r="HV9" s="659"/>
      <c r="HW9" s="659"/>
      <c r="HX9" s="659"/>
      <c r="HY9" s="659"/>
      <c r="HZ9" s="659"/>
      <c r="IA9" s="659"/>
      <c r="IB9" s="659"/>
      <c r="IC9" s="659"/>
      <c r="ID9" s="659"/>
      <c r="IE9" s="659"/>
      <c r="IF9" s="659"/>
      <c r="IG9" s="659"/>
      <c r="IH9" s="659"/>
      <c r="II9" s="659"/>
      <c r="IJ9" s="659"/>
      <c r="IK9" s="659"/>
      <c r="IL9" s="659"/>
      <c r="IM9" s="659"/>
    </row>
    <row r="10" spans="1:247" s="660" customFormat="1" x14ac:dyDescent="0.25">
      <c r="A10" s="282"/>
      <c r="B10" s="282"/>
      <c r="C10" s="282"/>
      <c r="D10" s="282"/>
      <c r="E10" s="282"/>
      <c r="F10" s="463" t="s">
        <v>18</v>
      </c>
      <c r="G10" s="661" t="s">
        <v>19</v>
      </c>
      <c r="H10" s="662"/>
      <c r="I10" s="657"/>
      <c r="J10" s="657"/>
      <c r="K10" s="657"/>
      <c r="L10" s="657"/>
      <c r="M10" s="658"/>
      <c r="N10" s="658"/>
      <c r="O10" s="658"/>
      <c r="P10" s="658"/>
      <c r="Q10" s="658"/>
      <c r="R10" s="658"/>
      <c r="S10" s="658"/>
      <c r="T10" s="658"/>
      <c r="U10" s="658"/>
      <c r="V10" s="663"/>
      <c r="W10" s="659"/>
      <c r="X10" s="659"/>
      <c r="Y10" s="659"/>
      <c r="Z10" s="659"/>
      <c r="AA10" s="659"/>
      <c r="AB10" s="659"/>
      <c r="AC10" s="659"/>
      <c r="AD10" s="659"/>
      <c r="AE10" s="659"/>
      <c r="AF10" s="659"/>
      <c r="AG10" s="659"/>
      <c r="AH10" s="659"/>
      <c r="AI10" s="659"/>
      <c r="AJ10" s="659"/>
      <c r="AK10" s="659"/>
      <c r="AL10" s="659"/>
      <c r="AM10" s="659"/>
      <c r="AN10" s="659"/>
      <c r="AO10" s="659"/>
      <c r="AP10" s="659"/>
      <c r="AQ10" s="659"/>
      <c r="AR10" s="659"/>
      <c r="AS10" s="659"/>
      <c r="AT10" s="659"/>
      <c r="AU10" s="659"/>
      <c r="AV10" s="659"/>
      <c r="AW10" s="659"/>
      <c r="AX10" s="659"/>
      <c r="AY10" s="659"/>
      <c r="AZ10" s="659"/>
      <c r="BA10" s="659"/>
      <c r="BB10" s="659"/>
      <c r="BC10" s="659"/>
      <c r="BD10" s="659"/>
      <c r="BE10" s="659"/>
      <c r="BF10" s="659"/>
      <c r="BG10" s="659"/>
      <c r="BH10" s="659"/>
      <c r="BI10" s="659"/>
      <c r="BJ10" s="659"/>
      <c r="BK10" s="659"/>
      <c r="BL10" s="659"/>
      <c r="BM10" s="659"/>
      <c r="BN10" s="659"/>
      <c r="BO10" s="659"/>
      <c r="BP10" s="659"/>
      <c r="BQ10" s="659"/>
      <c r="BR10" s="659"/>
      <c r="BS10" s="659"/>
      <c r="BT10" s="659"/>
      <c r="BU10" s="659"/>
      <c r="BV10" s="659"/>
      <c r="BW10" s="659"/>
      <c r="BX10" s="659"/>
      <c r="BY10" s="659"/>
      <c r="BZ10" s="659"/>
      <c r="CA10" s="659"/>
      <c r="CB10" s="659"/>
      <c r="CC10" s="659"/>
      <c r="CD10" s="659"/>
      <c r="CE10" s="659"/>
      <c r="CF10" s="659"/>
      <c r="CG10" s="659"/>
      <c r="CH10" s="659"/>
      <c r="CI10" s="659"/>
      <c r="CJ10" s="659"/>
      <c r="CK10" s="659"/>
      <c r="CL10" s="659"/>
      <c r="CM10" s="659"/>
      <c r="CN10" s="659"/>
      <c r="CO10" s="659"/>
      <c r="CP10" s="659"/>
      <c r="CQ10" s="659"/>
      <c r="CR10" s="659"/>
      <c r="CS10" s="659"/>
      <c r="CT10" s="659"/>
      <c r="CU10" s="659"/>
      <c r="CV10" s="659"/>
      <c r="CW10" s="659"/>
      <c r="CX10" s="659"/>
      <c r="CY10" s="659"/>
      <c r="CZ10" s="659"/>
      <c r="DA10" s="659"/>
      <c r="DB10" s="659"/>
      <c r="DC10" s="659"/>
      <c r="DD10" s="659"/>
      <c r="DE10" s="659"/>
      <c r="DF10" s="659"/>
      <c r="DG10" s="659"/>
      <c r="DH10" s="659"/>
      <c r="DI10" s="659"/>
      <c r="DJ10" s="659"/>
      <c r="DK10" s="659"/>
      <c r="DL10" s="659"/>
      <c r="DM10" s="659"/>
      <c r="DN10" s="659"/>
      <c r="DO10" s="659"/>
      <c r="DP10" s="659"/>
      <c r="DQ10" s="659"/>
      <c r="DR10" s="659"/>
      <c r="DS10" s="659"/>
      <c r="DT10" s="659"/>
      <c r="DU10" s="659"/>
      <c r="DV10" s="659"/>
      <c r="DW10" s="659"/>
      <c r="DX10" s="659"/>
      <c r="DY10" s="659"/>
      <c r="DZ10" s="659"/>
      <c r="EA10" s="659"/>
      <c r="EB10" s="659"/>
      <c r="EC10" s="659"/>
      <c r="ED10" s="659"/>
      <c r="EE10" s="659"/>
      <c r="EF10" s="659"/>
      <c r="EG10" s="659"/>
      <c r="EH10" s="659"/>
      <c r="EI10" s="659"/>
      <c r="EJ10" s="659"/>
      <c r="EK10" s="659"/>
      <c r="EL10" s="659"/>
      <c r="EM10" s="659"/>
      <c r="EN10" s="659"/>
      <c r="EO10" s="659"/>
      <c r="EP10" s="659"/>
      <c r="EQ10" s="659"/>
      <c r="ER10" s="659"/>
      <c r="ES10" s="659"/>
      <c r="ET10" s="659"/>
      <c r="EU10" s="659"/>
      <c r="EV10" s="659"/>
      <c r="EW10" s="659"/>
      <c r="EX10" s="659"/>
      <c r="EY10" s="659"/>
      <c r="EZ10" s="659"/>
      <c r="FA10" s="659"/>
      <c r="FB10" s="659"/>
      <c r="FC10" s="659"/>
      <c r="FD10" s="659"/>
      <c r="FE10" s="659"/>
      <c r="FF10" s="659"/>
      <c r="FG10" s="659"/>
      <c r="FH10" s="659"/>
      <c r="FI10" s="659"/>
      <c r="FJ10" s="659"/>
      <c r="FK10" s="659"/>
      <c r="FL10" s="659"/>
      <c r="FM10" s="659"/>
      <c r="FN10" s="659"/>
      <c r="FO10" s="659"/>
      <c r="FP10" s="659"/>
      <c r="FQ10" s="659"/>
      <c r="FR10" s="659"/>
      <c r="FS10" s="659"/>
      <c r="FT10" s="659"/>
      <c r="FU10" s="659"/>
      <c r="FV10" s="659"/>
      <c r="FW10" s="659"/>
      <c r="FX10" s="659"/>
      <c r="FY10" s="659"/>
      <c r="FZ10" s="659"/>
      <c r="GA10" s="659"/>
      <c r="GB10" s="659"/>
      <c r="GC10" s="659"/>
      <c r="GD10" s="659"/>
      <c r="GE10" s="659"/>
      <c r="GF10" s="659"/>
      <c r="GG10" s="659"/>
      <c r="GH10" s="659"/>
      <c r="GI10" s="659"/>
      <c r="GJ10" s="659"/>
      <c r="GK10" s="659"/>
      <c r="GL10" s="659"/>
      <c r="GM10" s="659"/>
      <c r="GN10" s="659"/>
      <c r="GO10" s="659"/>
      <c r="GP10" s="659"/>
      <c r="GQ10" s="659"/>
      <c r="GR10" s="659"/>
      <c r="GS10" s="659"/>
      <c r="GT10" s="659"/>
      <c r="GU10" s="659"/>
      <c r="GV10" s="659"/>
      <c r="GW10" s="659"/>
      <c r="GX10" s="659"/>
      <c r="GY10" s="659"/>
      <c r="GZ10" s="659"/>
      <c r="HA10" s="659"/>
      <c r="HB10" s="659"/>
      <c r="HC10" s="659"/>
      <c r="HD10" s="659"/>
      <c r="HE10" s="659"/>
      <c r="HF10" s="659"/>
      <c r="HG10" s="659"/>
      <c r="HH10" s="659"/>
      <c r="HI10" s="659"/>
      <c r="HJ10" s="659"/>
      <c r="HK10" s="659"/>
      <c r="HL10" s="659"/>
      <c r="HM10" s="659"/>
      <c r="HN10" s="659"/>
      <c r="HO10" s="659"/>
      <c r="HP10" s="659"/>
      <c r="HQ10" s="659"/>
      <c r="HR10" s="659"/>
      <c r="HS10" s="659"/>
      <c r="HT10" s="659"/>
      <c r="HU10" s="659"/>
      <c r="HV10" s="659"/>
      <c r="HW10" s="659"/>
      <c r="HX10" s="659"/>
      <c r="HY10" s="659"/>
      <c r="HZ10" s="659"/>
      <c r="IA10" s="659"/>
      <c r="IB10" s="659"/>
      <c r="IC10" s="659"/>
      <c r="ID10" s="659"/>
      <c r="IE10" s="659"/>
      <c r="IF10" s="659"/>
      <c r="IG10" s="659"/>
      <c r="IH10" s="659"/>
      <c r="II10" s="659"/>
      <c r="IJ10" s="659"/>
      <c r="IK10" s="659"/>
      <c r="IL10" s="659"/>
      <c r="IM10" s="659"/>
    </row>
    <row r="11" spans="1:247" s="660" customFormat="1" x14ac:dyDescent="0.25">
      <c r="A11" s="282"/>
      <c r="B11" s="282"/>
      <c r="C11" s="282"/>
      <c r="D11" s="282"/>
      <c r="E11" s="282"/>
      <c r="F11" s="282"/>
      <c r="G11" s="664" t="s">
        <v>462</v>
      </c>
      <c r="H11" s="665"/>
      <c r="I11" s="657"/>
      <c r="J11" s="657"/>
      <c r="K11" s="657"/>
      <c r="L11" s="657"/>
      <c r="M11" s="658"/>
      <c r="N11" s="658"/>
      <c r="O11" s="658"/>
      <c r="P11" s="658"/>
      <c r="Q11" s="658"/>
      <c r="R11" s="658"/>
      <c r="S11" s="658"/>
      <c r="T11" s="658"/>
      <c r="U11" s="658"/>
      <c r="V11" s="659"/>
      <c r="W11" s="659"/>
      <c r="X11" s="659"/>
      <c r="Y11" s="659"/>
      <c r="Z11" s="659"/>
      <c r="AA11" s="659"/>
      <c r="AB11" s="659"/>
      <c r="AC11" s="659"/>
      <c r="AD11" s="659"/>
      <c r="AE11" s="659"/>
      <c r="AF11" s="659"/>
      <c r="AG11" s="659"/>
      <c r="AH11" s="659"/>
      <c r="AI11" s="659"/>
      <c r="AJ11" s="659"/>
      <c r="AK11" s="659"/>
      <c r="AL11" s="659"/>
      <c r="AM11" s="659"/>
      <c r="AN11" s="659"/>
      <c r="AO11" s="659"/>
      <c r="AP11" s="659"/>
      <c r="AQ11" s="659"/>
      <c r="AR11" s="659"/>
      <c r="AS11" s="659"/>
      <c r="AT11" s="659"/>
      <c r="AU11" s="659"/>
      <c r="AV11" s="659"/>
      <c r="AW11" s="659"/>
      <c r="AX11" s="659"/>
      <c r="AY11" s="659"/>
      <c r="AZ11" s="659"/>
      <c r="BA11" s="659"/>
      <c r="BB11" s="659"/>
      <c r="BC11" s="659"/>
      <c r="BD11" s="659"/>
      <c r="BE11" s="659"/>
      <c r="BF11" s="659"/>
      <c r="BG11" s="659"/>
      <c r="BH11" s="659"/>
      <c r="BI11" s="659"/>
      <c r="BJ11" s="659"/>
      <c r="BK11" s="659"/>
      <c r="BL11" s="659"/>
      <c r="BM11" s="659"/>
      <c r="BN11" s="659"/>
      <c r="BO11" s="659"/>
      <c r="BP11" s="659"/>
      <c r="BQ11" s="659"/>
      <c r="BR11" s="659"/>
      <c r="BS11" s="659"/>
      <c r="BT11" s="659"/>
      <c r="BU11" s="659"/>
      <c r="BV11" s="659"/>
      <c r="BW11" s="659"/>
      <c r="BX11" s="659"/>
      <c r="BY11" s="659"/>
      <c r="BZ11" s="659"/>
      <c r="CA11" s="659"/>
      <c r="CB11" s="659"/>
      <c r="CC11" s="659"/>
      <c r="CD11" s="659"/>
      <c r="CE11" s="659"/>
      <c r="CF11" s="659"/>
      <c r="CG11" s="659"/>
      <c r="CH11" s="659"/>
      <c r="CI11" s="659"/>
      <c r="CJ11" s="659"/>
      <c r="CK11" s="659"/>
      <c r="CL11" s="659"/>
      <c r="CM11" s="659"/>
      <c r="CN11" s="659"/>
      <c r="CO11" s="659"/>
      <c r="CP11" s="659"/>
      <c r="CQ11" s="659"/>
      <c r="CR11" s="659"/>
      <c r="CS11" s="659"/>
      <c r="CT11" s="659"/>
      <c r="CU11" s="659"/>
      <c r="CV11" s="659"/>
      <c r="CW11" s="659"/>
      <c r="CX11" s="659"/>
      <c r="CY11" s="659"/>
      <c r="CZ11" s="659"/>
      <c r="DA11" s="659"/>
      <c r="DB11" s="659"/>
      <c r="DC11" s="659"/>
      <c r="DD11" s="659"/>
      <c r="DE11" s="659"/>
      <c r="DF11" s="659"/>
      <c r="DG11" s="659"/>
      <c r="DH11" s="659"/>
      <c r="DI11" s="659"/>
      <c r="DJ11" s="659"/>
      <c r="DK11" s="659"/>
      <c r="DL11" s="659"/>
      <c r="DM11" s="659"/>
      <c r="DN11" s="659"/>
      <c r="DO11" s="659"/>
      <c r="DP11" s="659"/>
      <c r="DQ11" s="659"/>
      <c r="DR11" s="659"/>
      <c r="DS11" s="659"/>
      <c r="DT11" s="659"/>
      <c r="DU11" s="659"/>
      <c r="DV11" s="659"/>
      <c r="DW11" s="659"/>
      <c r="DX11" s="659"/>
      <c r="DY11" s="659"/>
      <c r="DZ11" s="659"/>
      <c r="EA11" s="659"/>
      <c r="EB11" s="659"/>
      <c r="EC11" s="659"/>
      <c r="ED11" s="659"/>
      <c r="EE11" s="659"/>
      <c r="EF11" s="659"/>
      <c r="EG11" s="659"/>
      <c r="EH11" s="659"/>
      <c r="EI11" s="659"/>
      <c r="EJ11" s="659"/>
      <c r="EK11" s="659"/>
      <c r="EL11" s="659"/>
      <c r="EM11" s="659"/>
      <c r="EN11" s="659"/>
      <c r="EO11" s="659"/>
      <c r="EP11" s="659"/>
      <c r="EQ11" s="659"/>
      <c r="ER11" s="659"/>
      <c r="ES11" s="659"/>
      <c r="ET11" s="659"/>
      <c r="EU11" s="659"/>
      <c r="EV11" s="659"/>
      <c r="EW11" s="659"/>
      <c r="EX11" s="659"/>
      <c r="EY11" s="659"/>
      <c r="EZ11" s="659"/>
      <c r="FA11" s="659"/>
      <c r="FB11" s="659"/>
      <c r="FC11" s="659"/>
      <c r="FD11" s="659"/>
      <c r="FE11" s="659"/>
      <c r="FF11" s="659"/>
      <c r="FG11" s="659"/>
      <c r="FH11" s="659"/>
      <c r="FI11" s="659"/>
      <c r="FJ11" s="659"/>
      <c r="FK11" s="659"/>
      <c r="FL11" s="659"/>
      <c r="FM11" s="659"/>
      <c r="FN11" s="659"/>
      <c r="FO11" s="659"/>
      <c r="FP11" s="659"/>
      <c r="FQ11" s="659"/>
      <c r="FR11" s="659"/>
      <c r="FS11" s="659"/>
      <c r="FT11" s="659"/>
      <c r="FU11" s="659"/>
      <c r="FV11" s="659"/>
      <c r="FW11" s="659"/>
      <c r="FX11" s="659"/>
      <c r="FY11" s="659"/>
      <c r="FZ11" s="659"/>
      <c r="GA11" s="659"/>
      <c r="GB11" s="659"/>
      <c r="GC11" s="659"/>
      <c r="GD11" s="659"/>
      <c r="GE11" s="659"/>
      <c r="GF11" s="659"/>
      <c r="GG11" s="659"/>
      <c r="GH11" s="659"/>
      <c r="GI11" s="659"/>
      <c r="GJ11" s="659"/>
      <c r="GK11" s="659"/>
      <c r="GL11" s="659"/>
      <c r="GM11" s="659"/>
      <c r="GN11" s="659"/>
      <c r="GO11" s="659"/>
      <c r="GP11" s="659"/>
      <c r="GQ11" s="659"/>
      <c r="GR11" s="659"/>
      <c r="GS11" s="659"/>
      <c r="GT11" s="659"/>
      <c r="GU11" s="659"/>
      <c r="GV11" s="659"/>
      <c r="GW11" s="659"/>
      <c r="GX11" s="659"/>
      <c r="GY11" s="659"/>
      <c r="GZ11" s="659"/>
      <c r="HA11" s="659"/>
      <c r="HB11" s="659"/>
      <c r="HC11" s="659"/>
      <c r="HD11" s="659"/>
      <c r="HE11" s="659"/>
      <c r="HF11" s="659"/>
      <c r="HG11" s="659"/>
      <c r="HH11" s="659"/>
      <c r="HI11" s="659"/>
      <c r="HJ11" s="659"/>
      <c r="HK11" s="659"/>
      <c r="HL11" s="659"/>
      <c r="HM11" s="659"/>
      <c r="HN11" s="659"/>
      <c r="HO11" s="659"/>
      <c r="HP11" s="659"/>
      <c r="HQ11" s="659"/>
      <c r="HR11" s="659"/>
      <c r="HS11" s="659"/>
      <c r="HT11" s="659"/>
      <c r="HU11" s="659"/>
      <c r="HV11" s="659"/>
      <c r="HW11" s="659"/>
      <c r="HX11" s="659"/>
      <c r="HY11" s="659"/>
      <c r="HZ11" s="659"/>
      <c r="IA11" s="659"/>
      <c r="IB11" s="659"/>
      <c r="IC11" s="659"/>
      <c r="ID11" s="659"/>
      <c r="IE11" s="659"/>
      <c r="IF11" s="659"/>
      <c r="IG11" s="659"/>
      <c r="IH11" s="659"/>
      <c r="II11" s="659"/>
      <c r="IJ11" s="659"/>
      <c r="IK11" s="659"/>
      <c r="IL11" s="659"/>
      <c r="IM11" s="659"/>
    </row>
    <row r="12" spans="1:247" s="660" customFormat="1" x14ac:dyDescent="0.25">
      <c r="A12" s="666" t="s">
        <v>575</v>
      </c>
      <c r="B12" s="666"/>
      <c r="C12" s="666"/>
      <c r="D12" s="666"/>
      <c r="E12" s="666"/>
      <c r="F12" s="463" t="s">
        <v>21</v>
      </c>
      <c r="G12" s="667"/>
      <c r="H12" s="668"/>
      <c r="I12" s="657"/>
      <c r="J12" s="657"/>
      <c r="K12" s="657"/>
      <c r="L12" s="657"/>
      <c r="M12" s="658"/>
      <c r="N12" s="658"/>
      <c r="O12" s="658"/>
      <c r="P12" s="658"/>
      <c r="Q12" s="658"/>
      <c r="R12" s="658"/>
      <c r="S12" s="658"/>
      <c r="T12" s="658"/>
      <c r="U12" s="464" t="e">
        <v>#REF!</v>
      </c>
      <c r="V12" s="659"/>
      <c r="W12" s="659"/>
      <c r="X12" s="659"/>
      <c r="Y12" s="659"/>
      <c r="Z12" s="659"/>
      <c r="AA12" s="659"/>
      <c r="AB12" s="659"/>
      <c r="AC12" s="659"/>
      <c r="AD12" s="659"/>
      <c r="AE12" s="659"/>
      <c r="AF12" s="659"/>
      <c r="AG12" s="659"/>
      <c r="AH12" s="659"/>
      <c r="AI12" s="659"/>
      <c r="AJ12" s="659"/>
      <c r="AK12" s="659"/>
      <c r="AL12" s="659"/>
      <c r="AM12" s="659"/>
      <c r="AN12" s="659"/>
      <c r="AO12" s="659"/>
      <c r="AP12" s="659"/>
      <c r="AQ12" s="659"/>
      <c r="AR12" s="659"/>
      <c r="AS12" s="659"/>
      <c r="AT12" s="659"/>
      <c r="AU12" s="659"/>
      <c r="AV12" s="659"/>
      <c r="AW12" s="659"/>
      <c r="AX12" s="659"/>
      <c r="AY12" s="659"/>
      <c r="AZ12" s="659"/>
      <c r="BA12" s="659"/>
      <c r="BB12" s="659"/>
      <c r="BC12" s="659"/>
      <c r="BD12" s="659"/>
      <c r="BE12" s="659"/>
      <c r="BF12" s="659"/>
      <c r="BG12" s="659"/>
      <c r="BH12" s="659"/>
      <c r="BI12" s="659"/>
      <c r="BJ12" s="659"/>
      <c r="BK12" s="659"/>
      <c r="BL12" s="659"/>
      <c r="BM12" s="659"/>
      <c r="BN12" s="659"/>
      <c r="BO12" s="659"/>
      <c r="BP12" s="659"/>
      <c r="BQ12" s="659"/>
      <c r="BR12" s="659"/>
      <c r="BS12" s="659"/>
      <c r="BT12" s="659"/>
      <c r="BU12" s="659"/>
      <c r="BV12" s="659"/>
      <c r="BW12" s="659"/>
      <c r="BX12" s="659"/>
      <c r="BY12" s="659"/>
      <c r="BZ12" s="659"/>
      <c r="CA12" s="659"/>
      <c r="CB12" s="659"/>
      <c r="CC12" s="659"/>
      <c r="CD12" s="659"/>
      <c r="CE12" s="659"/>
      <c r="CF12" s="659"/>
      <c r="CG12" s="659"/>
      <c r="CH12" s="659"/>
      <c r="CI12" s="659"/>
      <c r="CJ12" s="659"/>
      <c r="CK12" s="659"/>
      <c r="CL12" s="659"/>
      <c r="CM12" s="659"/>
      <c r="CN12" s="659"/>
      <c r="CO12" s="659"/>
      <c r="CP12" s="659"/>
      <c r="CQ12" s="659"/>
      <c r="CR12" s="659"/>
      <c r="CS12" s="659"/>
      <c r="CT12" s="659"/>
      <c r="CU12" s="659"/>
      <c r="CV12" s="659"/>
      <c r="CW12" s="659"/>
      <c r="CX12" s="659"/>
      <c r="CY12" s="659"/>
      <c r="CZ12" s="659"/>
      <c r="DA12" s="659"/>
      <c r="DB12" s="659"/>
      <c r="DC12" s="659"/>
      <c r="DD12" s="659"/>
      <c r="DE12" s="659"/>
      <c r="DF12" s="659"/>
      <c r="DG12" s="659"/>
      <c r="DH12" s="659"/>
      <c r="DI12" s="659"/>
      <c r="DJ12" s="659"/>
      <c r="DK12" s="659"/>
      <c r="DL12" s="659"/>
      <c r="DM12" s="659"/>
      <c r="DN12" s="659"/>
      <c r="DO12" s="659"/>
      <c r="DP12" s="659"/>
      <c r="DQ12" s="659"/>
      <c r="DR12" s="659"/>
      <c r="DS12" s="659"/>
      <c r="DT12" s="659"/>
      <c r="DU12" s="659"/>
      <c r="DV12" s="659"/>
      <c r="DW12" s="659"/>
      <c r="DX12" s="659"/>
      <c r="DY12" s="659"/>
      <c r="DZ12" s="659"/>
      <c r="EA12" s="659"/>
      <c r="EB12" s="659"/>
      <c r="EC12" s="659"/>
      <c r="ED12" s="659"/>
      <c r="EE12" s="659"/>
      <c r="EF12" s="659"/>
      <c r="EG12" s="659"/>
      <c r="EH12" s="659"/>
      <c r="EI12" s="659"/>
      <c r="EJ12" s="659"/>
      <c r="EK12" s="659"/>
      <c r="EL12" s="659"/>
      <c r="EM12" s="659"/>
      <c r="EN12" s="659"/>
      <c r="EO12" s="659"/>
      <c r="EP12" s="659"/>
      <c r="EQ12" s="659"/>
      <c r="ER12" s="659"/>
      <c r="ES12" s="659"/>
      <c r="ET12" s="659"/>
      <c r="EU12" s="659"/>
      <c r="EV12" s="659"/>
      <c r="EW12" s="659"/>
      <c r="EX12" s="659"/>
      <c r="EY12" s="659"/>
      <c r="EZ12" s="659"/>
      <c r="FA12" s="659"/>
      <c r="FB12" s="659"/>
      <c r="FC12" s="659"/>
      <c r="FD12" s="659"/>
      <c r="FE12" s="659"/>
      <c r="FF12" s="659"/>
      <c r="FG12" s="659"/>
      <c r="FH12" s="659"/>
      <c r="FI12" s="659"/>
      <c r="FJ12" s="659"/>
      <c r="FK12" s="659"/>
      <c r="FL12" s="659"/>
      <c r="FM12" s="659"/>
      <c r="FN12" s="659"/>
      <c r="FO12" s="659"/>
      <c r="FP12" s="659"/>
      <c r="FQ12" s="659"/>
      <c r="FR12" s="659"/>
      <c r="FS12" s="659"/>
      <c r="FT12" s="659"/>
      <c r="FU12" s="659"/>
      <c r="FV12" s="659"/>
      <c r="FW12" s="659"/>
      <c r="FX12" s="659"/>
      <c r="FY12" s="659"/>
      <c r="FZ12" s="659"/>
      <c r="GA12" s="659"/>
      <c r="GB12" s="659"/>
      <c r="GC12" s="659"/>
      <c r="GD12" s="659"/>
      <c r="GE12" s="659"/>
      <c r="GF12" s="659"/>
      <c r="GG12" s="659"/>
      <c r="GH12" s="659"/>
      <c r="GI12" s="659"/>
      <c r="GJ12" s="659"/>
      <c r="GK12" s="659"/>
      <c r="GL12" s="659"/>
      <c r="GM12" s="659"/>
      <c r="GN12" s="659"/>
      <c r="GO12" s="659"/>
      <c r="GP12" s="659"/>
      <c r="GQ12" s="659"/>
      <c r="GR12" s="659"/>
      <c r="GS12" s="659"/>
      <c r="GT12" s="659"/>
      <c r="GU12" s="659"/>
      <c r="GV12" s="659"/>
      <c r="GW12" s="659"/>
      <c r="GX12" s="659"/>
      <c r="GY12" s="659"/>
      <c r="GZ12" s="659"/>
      <c r="HA12" s="659"/>
      <c r="HB12" s="659"/>
      <c r="HC12" s="659"/>
      <c r="HD12" s="659"/>
      <c r="HE12" s="659"/>
      <c r="HF12" s="659"/>
      <c r="HG12" s="659"/>
      <c r="HH12" s="659"/>
      <c r="HI12" s="659"/>
      <c r="HJ12" s="659"/>
      <c r="HK12" s="659"/>
      <c r="HL12" s="659"/>
      <c r="HM12" s="659"/>
      <c r="HN12" s="659"/>
      <c r="HO12" s="659"/>
      <c r="HP12" s="659"/>
      <c r="HQ12" s="659"/>
      <c r="HR12" s="659"/>
      <c r="HS12" s="659"/>
      <c r="HT12" s="659"/>
      <c r="HU12" s="659"/>
      <c r="HV12" s="659"/>
      <c r="HW12" s="659"/>
      <c r="HX12" s="659"/>
      <c r="HY12" s="659"/>
      <c r="HZ12" s="659"/>
      <c r="IA12" s="659"/>
      <c r="IB12" s="659"/>
      <c r="IC12" s="659"/>
      <c r="ID12" s="659"/>
      <c r="IE12" s="659"/>
      <c r="IF12" s="659"/>
      <c r="IG12" s="659"/>
      <c r="IH12" s="659"/>
      <c r="II12" s="659"/>
      <c r="IJ12" s="659"/>
      <c r="IK12" s="659"/>
      <c r="IL12" s="659"/>
      <c r="IM12" s="659"/>
    </row>
    <row r="13" spans="1:247" s="660" customFormat="1" x14ac:dyDescent="0.25">
      <c r="A13" s="669" t="s">
        <v>22</v>
      </c>
      <c r="B13" s="669"/>
      <c r="C13" s="669"/>
      <c r="D13" s="669"/>
      <c r="E13" s="669"/>
      <c r="F13" s="282"/>
      <c r="G13" s="664" t="s">
        <v>574</v>
      </c>
      <c r="H13" s="665"/>
      <c r="I13" s="657"/>
      <c r="J13" s="657"/>
      <c r="K13" s="657"/>
      <c r="L13" s="657"/>
      <c r="M13" s="658"/>
      <c r="N13" s="658"/>
      <c r="O13" s="658"/>
      <c r="P13" s="658"/>
      <c r="Q13" s="658"/>
      <c r="R13" s="658"/>
      <c r="S13" s="658"/>
      <c r="T13" s="658"/>
      <c r="U13" s="658"/>
      <c r="V13" s="659"/>
      <c r="W13" s="659"/>
      <c r="X13" s="659"/>
      <c r="Y13" s="659"/>
      <c r="Z13" s="659"/>
      <c r="AA13" s="659"/>
      <c r="AB13" s="659"/>
      <c r="AC13" s="659"/>
      <c r="AD13" s="659"/>
      <c r="AE13" s="659"/>
      <c r="AF13" s="659"/>
      <c r="AG13" s="659"/>
      <c r="AH13" s="659"/>
      <c r="AI13" s="659"/>
      <c r="AJ13" s="659"/>
      <c r="AK13" s="659"/>
      <c r="AL13" s="659"/>
      <c r="AM13" s="659"/>
      <c r="AN13" s="659"/>
      <c r="AO13" s="659"/>
      <c r="AP13" s="659"/>
      <c r="AQ13" s="659"/>
      <c r="AR13" s="659"/>
      <c r="AS13" s="659"/>
      <c r="AT13" s="659"/>
      <c r="AU13" s="659"/>
      <c r="AV13" s="659"/>
      <c r="AW13" s="659"/>
      <c r="AX13" s="659"/>
      <c r="AY13" s="659"/>
      <c r="AZ13" s="659"/>
      <c r="BA13" s="659"/>
      <c r="BB13" s="659"/>
      <c r="BC13" s="659"/>
      <c r="BD13" s="659"/>
      <c r="BE13" s="659"/>
      <c r="BF13" s="659"/>
      <c r="BG13" s="659"/>
      <c r="BH13" s="659"/>
      <c r="BI13" s="659"/>
      <c r="BJ13" s="659"/>
      <c r="BK13" s="659"/>
      <c r="BL13" s="659"/>
      <c r="BM13" s="659"/>
      <c r="BN13" s="659"/>
      <c r="BO13" s="659"/>
      <c r="BP13" s="659"/>
      <c r="BQ13" s="659"/>
      <c r="BR13" s="659"/>
      <c r="BS13" s="659"/>
      <c r="BT13" s="659"/>
      <c r="BU13" s="659"/>
      <c r="BV13" s="659"/>
      <c r="BW13" s="659"/>
      <c r="BX13" s="659"/>
      <c r="BY13" s="659"/>
      <c r="BZ13" s="659"/>
      <c r="CA13" s="659"/>
      <c r="CB13" s="659"/>
      <c r="CC13" s="659"/>
      <c r="CD13" s="659"/>
      <c r="CE13" s="659"/>
      <c r="CF13" s="659"/>
      <c r="CG13" s="659"/>
      <c r="CH13" s="659"/>
      <c r="CI13" s="659"/>
      <c r="CJ13" s="659"/>
      <c r="CK13" s="659"/>
      <c r="CL13" s="659"/>
      <c r="CM13" s="659"/>
      <c r="CN13" s="659"/>
      <c r="CO13" s="659"/>
      <c r="CP13" s="659"/>
      <c r="CQ13" s="659"/>
      <c r="CR13" s="659"/>
      <c r="CS13" s="659"/>
      <c r="CT13" s="659"/>
      <c r="CU13" s="659"/>
      <c r="CV13" s="659"/>
      <c r="CW13" s="659"/>
      <c r="CX13" s="659"/>
      <c r="CY13" s="659"/>
      <c r="CZ13" s="659"/>
      <c r="DA13" s="659"/>
      <c r="DB13" s="659"/>
      <c r="DC13" s="659"/>
      <c r="DD13" s="659"/>
      <c r="DE13" s="659"/>
      <c r="DF13" s="659"/>
      <c r="DG13" s="659"/>
      <c r="DH13" s="659"/>
      <c r="DI13" s="659"/>
      <c r="DJ13" s="659"/>
      <c r="DK13" s="659"/>
      <c r="DL13" s="659"/>
      <c r="DM13" s="659"/>
      <c r="DN13" s="659"/>
      <c r="DO13" s="659"/>
      <c r="DP13" s="659"/>
      <c r="DQ13" s="659"/>
      <c r="DR13" s="659"/>
      <c r="DS13" s="659"/>
      <c r="DT13" s="659"/>
      <c r="DU13" s="659"/>
      <c r="DV13" s="659"/>
      <c r="DW13" s="659"/>
      <c r="DX13" s="659"/>
      <c r="DY13" s="659"/>
      <c r="DZ13" s="659"/>
      <c r="EA13" s="659"/>
      <c r="EB13" s="659"/>
      <c r="EC13" s="659"/>
      <c r="ED13" s="659"/>
      <c r="EE13" s="659"/>
      <c r="EF13" s="659"/>
      <c r="EG13" s="659"/>
      <c r="EH13" s="659"/>
      <c r="EI13" s="659"/>
      <c r="EJ13" s="659"/>
      <c r="EK13" s="659"/>
      <c r="EL13" s="659"/>
      <c r="EM13" s="659"/>
      <c r="EN13" s="659"/>
      <c r="EO13" s="659"/>
      <c r="EP13" s="659"/>
      <c r="EQ13" s="659"/>
      <c r="ER13" s="659"/>
      <c r="ES13" s="659"/>
      <c r="ET13" s="659"/>
      <c r="EU13" s="659"/>
      <c r="EV13" s="659"/>
      <c r="EW13" s="659"/>
      <c r="EX13" s="659"/>
      <c r="EY13" s="659"/>
      <c r="EZ13" s="659"/>
      <c r="FA13" s="659"/>
      <c r="FB13" s="659"/>
      <c r="FC13" s="659"/>
      <c r="FD13" s="659"/>
      <c r="FE13" s="659"/>
      <c r="FF13" s="659"/>
      <c r="FG13" s="659"/>
      <c r="FH13" s="659"/>
      <c r="FI13" s="659"/>
      <c r="FJ13" s="659"/>
      <c r="FK13" s="659"/>
      <c r="FL13" s="659"/>
      <c r="FM13" s="659"/>
      <c r="FN13" s="659"/>
      <c r="FO13" s="659"/>
      <c r="FP13" s="659"/>
      <c r="FQ13" s="659"/>
      <c r="FR13" s="659"/>
      <c r="FS13" s="659"/>
      <c r="FT13" s="659"/>
      <c r="FU13" s="659"/>
      <c r="FV13" s="659"/>
      <c r="FW13" s="659"/>
      <c r="FX13" s="659"/>
      <c r="FY13" s="659"/>
      <c r="FZ13" s="659"/>
      <c r="GA13" s="659"/>
      <c r="GB13" s="659"/>
      <c r="GC13" s="659"/>
      <c r="GD13" s="659"/>
      <c r="GE13" s="659"/>
      <c r="GF13" s="659"/>
      <c r="GG13" s="659"/>
      <c r="GH13" s="659"/>
      <c r="GI13" s="659"/>
      <c r="GJ13" s="659"/>
      <c r="GK13" s="659"/>
      <c r="GL13" s="659"/>
      <c r="GM13" s="659"/>
      <c r="GN13" s="659"/>
      <c r="GO13" s="659"/>
      <c r="GP13" s="659"/>
      <c r="GQ13" s="659"/>
      <c r="GR13" s="659"/>
      <c r="GS13" s="659"/>
      <c r="GT13" s="659"/>
      <c r="GU13" s="659"/>
      <c r="GV13" s="659"/>
      <c r="GW13" s="659"/>
      <c r="GX13" s="659"/>
      <c r="GY13" s="659"/>
      <c r="GZ13" s="659"/>
      <c r="HA13" s="659"/>
      <c r="HB13" s="659"/>
      <c r="HC13" s="659"/>
      <c r="HD13" s="659"/>
      <c r="HE13" s="659"/>
      <c r="HF13" s="659"/>
      <c r="HG13" s="659"/>
      <c r="HH13" s="659"/>
      <c r="HI13" s="659"/>
      <c r="HJ13" s="659"/>
      <c r="HK13" s="659"/>
      <c r="HL13" s="659"/>
      <c r="HM13" s="659"/>
      <c r="HN13" s="659"/>
      <c r="HO13" s="659"/>
      <c r="HP13" s="659"/>
      <c r="HQ13" s="659"/>
      <c r="HR13" s="659"/>
      <c r="HS13" s="659"/>
      <c r="HT13" s="659"/>
      <c r="HU13" s="659"/>
      <c r="HV13" s="659"/>
      <c r="HW13" s="659"/>
      <c r="HX13" s="659"/>
      <c r="HY13" s="659"/>
      <c r="HZ13" s="659"/>
      <c r="IA13" s="659"/>
      <c r="IB13" s="659"/>
      <c r="IC13" s="659"/>
      <c r="ID13" s="659"/>
      <c r="IE13" s="659"/>
      <c r="IF13" s="659"/>
      <c r="IG13" s="659"/>
      <c r="IH13" s="659"/>
      <c r="II13" s="659"/>
      <c r="IJ13" s="659"/>
      <c r="IK13" s="659"/>
      <c r="IL13" s="659"/>
      <c r="IM13" s="659"/>
    </row>
    <row r="14" spans="1:247" s="660" customFormat="1" x14ac:dyDescent="0.25">
      <c r="A14" s="666" t="s">
        <v>573</v>
      </c>
      <c r="B14" s="666"/>
      <c r="C14" s="666"/>
      <c r="D14" s="666"/>
      <c r="E14" s="666"/>
      <c r="F14" s="463" t="s">
        <v>21</v>
      </c>
      <c r="G14" s="667"/>
      <c r="H14" s="668"/>
      <c r="I14" s="657"/>
      <c r="J14" s="657"/>
      <c r="K14" s="657"/>
      <c r="L14" s="657"/>
      <c r="M14" s="658"/>
      <c r="N14" s="658"/>
      <c r="O14" s="658"/>
      <c r="P14" s="658"/>
      <c r="Q14" s="658"/>
      <c r="R14" s="658"/>
      <c r="S14" s="658"/>
      <c r="T14" s="658"/>
      <c r="U14" s="464" t="e">
        <v>#REF!</v>
      </c>
      <c r="V14" s="659"/>
      <c r="W14" s="659"/>
      <c r="X14" s="659"/>
      <c r="Y14" s="659"/>
      <c r="Z14" s="659"/>
      <c r="AA14" s="659"/>
      <c r="AB14" s="659"/>
      <c r="AC14" s="659"/>
      <c r="AD14" s="659"/>
      <c r="AE14" s="659"/>
      <c r="AF14" s="659"/>
      <c r="AG14" s="659"/>
      <c r="AH14" s="659"/>
      <c r="AI14" s="659"/>
      <c r="AJ14" s="659"/>
      <c r="AK14" s="659"/>
      <c r="AL14" s="659"/>
      <c r="AM14" s="659"/>
      <c r="AN14" s="659"/>
      <c r="AO14" s="659"/>
      <c r="AP14" s="659"/>
      <c r="AQ14" s="659"/>
      <c r="AR14" s="659"/>
      <c r="AS14" s="659"/>
      <c r="AT14" s="659"/>
      <c r="AU14" s="659"/>
      <c r="AV14" s="659"/>
      <c r="AW14" s="659"/>
      <c r="AX14" s="659"/>
      <c r="AY14" s="659"/>
      <c r="AZ14" s="659"/>
      <c r="BA14" s="659"/>
      <c r="BB14" s="659"/>
      <c r="BC14" s="659"/>
      <c r="BD14" s="659"/>
      <c r="BE14" s="659"/>
      <c r="BF14" s="659"/>
      <c r="BG14" s="659"/>
      <c r="BH14" s="659"/>
      <c r="BI14" s="659"/>
      <c r="BJ14" s="659"/>
      <c r="BK14" s="659"/>
      <c r="BL14" s="659"/>
      <c r="BM14" s="659"/>
      <c r="BN14" s="659"/>
      <c r="BO14" s="659"/>
      <c r="BP14" s="659"/>
      <c r="BQ14" s="659"/>
      <c r="BR14" s="659"/>
      <c r="BS14" s="659"/>
      <c r="BT14" s="659"/>
      <c r="BU14" s="659"/>
      <c r="BV14" s="659"/>
      <c r="BW14" s="659"/>
      <c r="BX14" s="659"/>
      <c r="BY14" s="659"/>
      <c r="BZ14" s="659"/>
      <c r="CA14" s="659"/>
      <c r="CB14" s="659"/>
      <c r="CC14" s="659"/>
      <c r="CD14" s="659"/>
      <c r="CE14" s="659"/>
      <c r="CF14" s="659"/>
      <c r="CG14" s="659"/>
      <c r="CH14" s="659"/>
      <c r="CI14" s="659"/>
      <c r="CJ14" s="659"/>
      <c r="CK14" s="659"/>
      <c r="CL14" s="659"/>
      <c r="CM14" s="659"/>
      <c r="CN14" s="659"/>
      <c r="CO14" s="659"/>
      <c r="CP14" s="659"/>
      <c r="CQ14" s="659"/>
      <c r="CR14" s="659"/>
      <c r="CS14" s="659"/>
      <c r="CT14" s="659"/>
      <c r="CU14" s="659"/>
      <c r="CV14" s="659"/>
      <c r="CW14" s="659"/>
      <c r="CX14" s="659"/>
      <c r="CY14" s="659"/>
      <c r="CZ14" s="659"/>
      <c r="DA14" s="659"/>
      <c r="DB14" s="659"/>
      <c r="DC14" s="659"/>
      <c r="DD14" s="659"/>
      <c r="DE14" s="659"/>
      <c r="DF14" s="659"/>
      <c r="DG14" s="659"/>
      <c r="DH14" s="659"/>
      <c r="DI14" s="659"/>
      <c r="DJ14" s="659"/>
      <c r="DK14" s="659"/>
      <c r="DL14" s="659"/>
      <c r="DM14" s="659"/>
      <c r="DN14" s="659"/>
      <c r="DO14" s="659"/>
      <c r="DP14" s="659"/>
      <c r="DQ14" s="659"/>
      <c r="DR14" s="659"/>
      <c r="DS14" s="659"/>
      <c r="DT14" s="659"/>
      <c r="DU14" s="659"/>
      <c r="DV14" s="659"/>
      <c r="DW14" s="659"/>
      <c r="DX14" s="659"/>
      <c r="DY14" s="659"/>
      <c r="DZ14" s="659"/>
      <c r="EA14" s="659"/>
      <c r="EB14" s="659"/>
      <c r="EC14" s="659"/>
      <c r="ED14" s="659"/>
      <c r="EE14" s="659"/>
      <c r="EF14" s="659"/>
      <c r="EG14" s="659"/>
      <c r="EH14" s="659"/>
      <c r="EI14" s="659"/>
      <c r="EJ14" s="659"/>
      <c r="EK14" s="659"/>
      <c r="EL14" s="659"/>
      <c r="EM14" s="659"/>
      <c r="EN14" s="659"/>
      <c r="EO14" s="659"/>
      <c r="EP14" s="659"/>
      <c r="EQ14" s="659"/>
      <c r="ER14" s="659"/>
      <c r="ES14" s="659"/>
      <c r="ET14" s="659"/>
      <c r="EU14" s="659"/>
      <c r="EV14" s="659"/>
      <c r="EW14" s="659"/>
      <c r="EX14" s="659"/>
      <c r="EY14" s="659"/>
      <c r="EZ14" s="659"/>
      <c r="FA14" s="659"/>
      <c r="FB14" s="659"/>
      <c r="FC14" s="659"/>
      <c r="FD14" s="659"/>
      <c r="FE14" s="659"/>
      <c r="FF14" s="659"/>
      <c r="FG14" s="659"/>
      <c r="FH14" s="659"/>
      <c r="FI14" s="659"/>
      <c r="FJ14" s="659"/>
      <c r="FK14" s="659"/>
      <c r="FL14" s="659"/>
      <c r="FM14" s="659"/>
      <c r="FN14" s="659"/>
      <c r="FO14" s="659"/>
      <c r="FP14" s="659"/>
      <c r="FQ14" s="659"/>
      <c r="FR14" s="659"/>
      <c r="FS14" s="659"/>
      <c r="FT14" s="659"/>
      <c r="FU14" s="659"/>
      <c r="FV14" s="659"/>
      <c r="FW14" s="659"/>
      <c r="FX14" s="659"/>
      <c r="FY14" s="659"/>
      <c r="FZ14" s="659"/>
      <c r="GA14" s="659"/>
      <c r="GB14" s="659"/>
      <c r="GC14" s="659"/>
      <c r="GD14" s="659"/>
      <c r="GE14" s="659"/>
      <c r="GF14" s="659"/>
      <c r="GG14" s="659"/>
      <c r="GH14" s="659"/>
      <c r="GI14" s="659"/>
      <c r="GJ14" s="659"/>
      <c r="GK14" s="659"/>
      <c r="GL14" s="659"/>
      <c r="GM14" s="659"/>
      <c r="GN14" s="659"/>
      <c r="GO14" s="659"/>
      <c r="GP14" s="659"/>
      <c r="GQ14" s="659"/>
      <c r="GR14" s="659"/>
      <c r="GS14" s="659"/>
      <c r="GT14" s="659"/>
      <c r="GU14" s="659"/>
      <c r="GV14" s="659"/>
      <c r="GW14" s="659"/>
      <c r="GX14" s="659"/>
      <c r="GY14" s="659"/>
      <c r="GZ14" s="659"/>
      <c r="HA14" s="659"/>
      <c r="HB14" s="659"/>
      <c r="HC14" s="659"/>
      <c r="HD14" s="659"/>
      <c r="HE14" s="659"/>
      <c r="HF14" s="659"/>
      <c r="HG14" s="659"/>
      <c r="HH14" s="659"/>
      <c r="HI14" s="659"/>
      <c r="HJ14" s="659"/>
      <c r="HK14" s="659"/>
      <c r="HL14" s="659"/>
      <c r="HM14" s="659"/>
      <c r="HN14" s="659"/>
      <c r="HO14" s="659"/>
      <c r="HP14" s="659"/>
      <c r="HQ14" s="659"/>
      <c r="HR14" s="659"/>
      <c r="HS14" s="659"/>
      <c r="HT14" s="659"/>
      <c r="HU14" s="659"/>
      <c r="HV14" s="659"/>
      <c r="HW14" s="659"/>
      <c r="HX14" s="659"/>
      <c r="HY14" s="659"/>
      <c r="HZ14" s="659"/>
      <c r="IA14" s="659"/>
      <c r="IB14" s="659"/>
      <c r="IC14" s="659"/>
      <c r="ID14" s="659"/>
      <c r="IE14" s="659"/>
      <c r="IF14" s="659"/>
      <c r="IG14" s="659"/>
      <c r="IH14" s="659"/>
      <c r="II14" s="659"/>
      <c r="IJ14" s="659"/>
      <c r="IK14" s="659"/>
      <c r="IL14" s="659"/>
      <c r="IM14" s="659"/>
    </row>
    <row r="15" spans="1:247" s="660" customFormat="1" x14ac:dyDescent="0.25">
      <c r="A15" s="669" t="s">
        <v>22</v>
      </c>
      <c r="B15" s="669"/>
      <c r="C15" s="669"/>
      <c r="D15" s="669"/>
      <c r="E15" s="669"/>
      <c r="F15" s="282"/>
      <c r="G15" s="664" t="s">
        <v>457</v>
      </c>
      <c r="H15" s="665"/>
      <c r="I15" s="657"/>
      <c r="J15" s="657"/>
      <c r="K15" s="657"/>
      <c r="L15" s="657"/>
      <c r="M15" s="658"/>
      <c r="N15" s="658"/>
      <c r="O15" s="658"/>
      <c r="P15" s="658"/>
      <c r="Q15" s="658"/>
      <c r="R15" s="658"/>
      <c r="S15" s="658"/>
      <c r="T15" s="658"/>
      <c r="U15" s="658"/>
      <c r="V15" s="659"/>
      <c r="W15" s="659"/>
      <c r="X15" s="659"/>
      <c r="Y15" s="659"/>
      <c r="Z15" s="659"/>
      <c r="AA15" s="659"/>
      <c r="AB15" s="659"/>
      <c r="AC15" s="659"/>
      <c r="AD15" s="659"/>
      <c r="AE15" s="659"/>
      <c r="AF15" s="659"/>
      <c r="AG15" s="659"/>
      <c r="AH15" s="659"/>
      <c r="AI15" s="659"/>
      <c r="AJ15" s="659"/>
      <c r="AK15" s="659"/>
      <c r="AL15" s="659"/>
      <c r="AM15" s="659"/>
      <c r="AN15" s="659"/>
      <c r="AO15" s="659"/>
      <c r="AP15" s="659"/>
      <c r="AQ15" s="659"/>
      <c r="AR15" s="659"/>
      <c r="AS15" s="659"/>
      <c r="AT15" s="659"/>
      <c r="AU15" s="659"/>
      <c r="AV15" s="659"/>
      <c r="AW15" s="659"/>
      <c r="AX15" s="659"/>
      <c r="AY15" s="659"/>
      <c r="AZ15" s="659"/>
      <c r="BA15" s="659"/>
      <c r="BB15" s="659"/>
      <c r="BC15" s="659"/>
      <c r="BD15" s="659"/>
      <c r="BE15" s="659"/>
      <c r="BF15" s="659"/>
      <c r="BG15" s="659"/>
      <c r="BH15" s="659"/>
      <c r="BI15" s="659"/>
      <c r="BJ15" s="659"/>
      <c r="BK15" s="659"/>
      <c r="BL15" s="659"/>
      <c r="BM15" s="659"/>
      <c r="BN15" s="659"/>
      <c r="BO15" s="659"/>
      <c r="BP15" s="659"/>
      <c r="BQ15" s="659"/>
      <c r="BR15" s="659"/>
      <c r="BS15" s="659"/>
      <c r="BT15" s="659"/>
      <c r="BU15" s="659"/>
      <c r="BV15" s="659"/>
      <c r="BW15" s="659"/>
      <c r="BX15" s="659"/>
      <c r="BY15" s="659"/>
      <c r="BZ15" s="659"/>
      <c r="CA15" s="659"/>
      <c r="CB15" s="659"/>
      <c r="CC15" s="659"/>
      <c r="CD15" s="659"/>
      <c r="CE15" s="659"/>
      <c r="CF15" s="659"/>
      <c r="CG15" s="659"/>
      <c r="CH15" s="659"/>
      <c r="CI15" s="659"/>
      <c r="CJ15" s="659"/>
      <c r="CK15" s="659"/>
      <c r="CL15" s="659"/>
      <c r="CM15" s="659"/>
      <c r="CN15" s="659"/>
      <c r="CO15" s="659"/>
      <c r="CP15" s="659"/>
      <c r="CQ15" s="659"/>
      <c r="CR15" s="659"/>
      <c r="CS15" s="659"/>
      <c r="CT15" s="659"/>
      <c r="CU15" s="659"/>
      <c r="CV15" s="659"/>
      <c r="CW15" s="659"/>
      <c r="CX15" s="659"/>
      <c r="CY15" s="659"/>
      <c r="CZ15" s="659"/>
      <c r="DA15" s="659"/>
      <c r="DB15" s="659"/>
      <c r="DC15" s="659"/>
      <c r="DD15" s="659"/>
      <c r="DE15" s="659"/>
      <c r="DF15" s="659"/>
      <c r="DG15" s="659"/>
      <c r="DH15" s="659"/>
      <c r="DI15" s="659"/>
      <c r="DJ15" s="659"/>
      <c r="DK15" s="659"/>
      <c r="DL15" s="659"/>
      <c r="DM15" s="659"/>
      <c r="DN15" s="659"/>
      <c r="DO15" s="659"/>
      <c r="DP15" s="659"/>
      <c r="DQ15" s="659"/>
      <c r="DR15" s="659"/>
      <c r="DS15" s="659"/>
      <c r="DT15" s="659"/>
      <c r="DU15" s="659"/>
      <c r="DV15" s="659"/>
      <c r="DW15" s="659"/>
      <c r="DX15" s="659"/>
      <c r="DY15" s="659"/>
      <c r="DZ15" s="659"/>
      <c r="EA15" s="659"/>
      <c r="EB15" s="659"/>
      <c r="EC15" s="659"/>
      <c r="ED15" s="659"/>
      <c r="EE15" s="659"/>
      <c r="EF15" s="659"/>
      <c r="EG15" s="659"/>
      <c r="EH15" s="659"/>
      <c r="EI15" s="659"/>
      <c r="EJ15" s="659"/>
      <c r="EK15" s="659"/>
      <c r="EL15" s="659"/>
      <c r="EM15" s="659"/>
      <c r="EN15" s="659"/>
      <c r="EO15" s="659"/>
      <c r="EP15" s="659"/>
      <c r="EQ15" s="659"/>
      <c r="ER15" s="659"/>
      <c r="ES15" s="659"/>
      <c r="ET15" s="659"/>
      <c r="EU15" s="659"/>
      <c r="EV15" s="659"/>
      <c r="EW15" s="659"/>
      <c r="EX15" s="659"/>
      <c r="EY15" s="659"/>
      <c r="EZ15" s="659"/>
      <c r="FA15" s="659"/>
      <c r="FB15" s="659"/>
      <c r="FC15" s="659"/>
      <c r="FD15" s="659"/>
      <c r="FE15" s="659"/>
      <c r="FF15" s="659"/>
      <c r="FG15" s="659"/>
      <c r="FH15" s="659"/>
      <c r="FI15" s="659"/>
      <c r="FJ15" s="659"/>
      <c r="FK15" s="659"/>
      <c r="FL15" s="659"/>
      <c r="FM15" s="659"/>
      <c r="FN15" s="659"/>
      <c r="FO15" s="659"/>
      <c r="FP15" s="659"/>
      <c r="FQ15" s="659"/>
      <c r="FR15" s="659"/>
      <c r="FS15" s="659"/>
      <c r="FT15" s="659"/>
      <c r="FU15" s="659"/>
      <c r="FV15" s="659"/>
      <c r="FW15" s="659"/>
      <c r="FX15" s="659"/>
      <c r="FY15" s="659"/>
      <c r="FZ15" s="659"/>
      <c r="GA15" s="659"/>
      <c r="GB15" s="659"/>
      <c r="GC15" s="659"/>
      <c r="GD15" s="659"/>
      <c r="GE15" s="659"/>
      <c r="GF15" s="659"/>
      <c r="GG15" s="659"/>
      <c r="GH15" s="659"/>
      <c r="GI15" s="659"/>
      <c r="GJ15" s="659"/>
      <c r="GK15" s="659"/>
      <c r="GL15" s="659"/>
      <c r="GM15" s="659"/>
      <c r="GN15" s="659"/>
      <c r="GO15" s="659"/>
      <c r="GP15" s="659"/>
      <c r="GQ15" s="659"/>
      <c r="GR15" s="659"/>
      <c r="GS15" s="659"/>
      <c r="GT15" s="659"/>
      <c r="GU15" s="659"/>
      <c r="GV15" s="659"/>
      <c r="GW15" s="659"/>
      <c r="GX15" s="659"/>
      <c r="GY15" s="659"/>
      <c r="GZ15" s="659"/>
      <c r="HA15" s="659"/>
      <c r="HB15" s="659"/>
      <c r="HC15" s="659"/>
      <c r="HD15" s="659"/>
      <c r="HE15" s="659"/>
      <c r="HF15" s="659"/>
      <c r="HG15" s="659"/>
      <c r="HH15" s="659"/>
      <c r="HI15" s="659"/>
      <c r="HJ15" s="659"/>
      <c r="HK15" s="659"/>
      <c r="HL15" s="659"/>
      <c r="HM15" s="659"/>
      <c r="HN15" s="659"/>
      <c r="HO15" s="659"/>
      <c r="HP15" s="659"/>
      <c r="HQ15" s="659"/>
      <c r="HR15" s="659"/>
      <c r="HS15" s="659"/>
      <c r="HT15" s="659"/>
      <c r="HU15" s="659"/>
      <c r="HV15" s="659"/>
      <c r="HW15" s="659"/>
      <c r="HX15" s="659"/>
      <c r="HY15" s="659"/>
      <c r="HZ15" s="659"/>
      <c r="IA15" s="659"/>
      <c r="IB15" s="659"/>
      <c r="IC15" s="659"/>
      <c r="ID15" s="659"/>
      <c r="IE15" s="659"/>
      <c r="IF15" s="659"/>
      <c r="IG15" s="659"/>
      <c r="IH15" s="659"/>
      <c r="II15" s="659"/>
      <c r="IJ15" s="659"/>
      <c r="IK15" s="659"/>
      <c r="IL15" s="659"/>
      <c r="IM15" s="659"/>
    </row>
    <row r="16" spans="1:247" s="660" customFormat="1" x14ac:dyDescent="0.25">
      <c r="A16" s="666" t="s">
        <v>572</v>
      </c>
      <c r="B16" s="666"/>
      <c r="C16" s="666"/>
      <c r="D16" s="666"/>
      <c r="E16" s="666"/>
      <c r="F16" s="463" t="s">
        <v>21</v>
      </c>
      <c r="G16" s="667"/>
      <c r="H16" s="668"/>
      <c r="I16" s="657"/>
      <c r="J16" s="657"/>
      <c r="K16" s="657"/>
      <c r="L16" s="657"/>
      <c r="M16" s="658"/>
      <c r="N16" s="658"/>
      <c r="O16" s="658"/>
      <c r="P16" s="658"/>
      <c r="Q16" s="658"/>
      <c r="R16" s="658"/>
      <c r="S16" s="658"/>
      <c r="T16" s="658"/>
      <c r="U16" s="464" t="e">
        <v>#REF!</v>
      </c>
      <c r="V16" s="659"/>
      <c r="W16" s="659"/>
      <c r="X16" s="659"/>
      <c r="Y16" s="659"/>
      <c r="Z16" s="659"/>
      <c r="AA16" s="659"/>
      <c r="AB16" s="659"/>
      <c r="AC16" s="659"/>
      <c r="AD16" s="659"/>
      <c r="AE16" s="659"/>
      <c r="AF16" s="659"/>
      <c r="AG16" s="659"/>
      <c r="AH16" s="659"/>
      <c r="AI16" s="659"/>
      <c r="AJ16" s="659"/>
      <c r="AK16" s="659"/>
      <c r="AL16" s="659"/>
      <c r="AM16" s="659"/>
      <c r="AN16" s="659"/>
      <c r="AO16" s="659"/>
      <c r="AP16" s="659"/>
      <c r="AQ16" s="659"/>
      <c r="AR16" s="659"/>
      <c r="AS16" s="659"/>
      <c r="AT16" s="659"/>
      <c r="AU16" s="659"/>
      <c r="AV16" s="659"/>
      <c r="AW16" s="659"/>
      <c r="AX16" s="659"/>
      <c r="AY16" s="659"/>
      <c r="AZ16" s="659"/>
      <c r="BA16" s="659"/>
      <c r="BB16" s="659"/>
      <c r="BC16" s="659"/>
      <c r="BD16" s="659"/>
      <c r="BE16" s="659"/>
      <c r="BF16" s="659"/>
      <c r="BG16" s="659"/>
      <c r="BH16" s="659"/>
      <c r="BI16" s="659"/>
      <c r="BJ16" s="659"/>
      <c r="BK16" s="659"/>
      <c r="BL16" s="659"/>
      <c r="BM16" s="659"/>
      <c r="BN16" s="659"/>
      <c r="BO16" s="659"/>
      <c r="BP16" s="659"/>
      <c r="BQ16" s="659"/>
      <c r="BR16" s="659"/>
      <c r="BS16" s="659"/>
      <c r="BT16" s="659"/>
      <c r="BU16" s="659"/>
      <c r="BV16" s="659"/>
      <c r="BW16" s="659"/>
      <c r="BX16" s="659"/>
      <c r="BY16" s="659"/>
      <c r="BZ16" s="659"/>
      <c r="CA16" s="659"/>
      <c r="CB16" s="659"/>
      <c r="CC16" s="659"/>
      <c r="CD16" s="659"/>
      <c r="CE16" s="659"/>
      <c r="CF16" s="659"/>
      <c r="CG16" s="659"/>
      <c r="CH16" s="659"/>
      <c r="CI16" s="659"/>
      <c r="CJ16" s="659"/>
      <c r="CK16" s="659"/>
      <c r="CL16" s="659"/>
      <c r="CM16" s="659"/>
      <c r="CN16" s="659"/>
      <c r="CO16" s="659"/>
      <c r="CP16" s="659"/>
      <c r="CQ16" s="659"/>
      <c r="CR16" s="659"/>
      <c r="CS16" s="659"/>
      <c r="CT16" s="659"/>
      <c r="CU16" s="659"/>
      <c r="CV16" s="659"/>
      <c r="CW16" s="659"/>
      <c r="CX16" s="659"/>
      <c r="CY16" s="659"/>
      <c r="CZ16" s="659"/>
      <c r="DA16" s="659"/>
      <c r="DB16" s="659"/>
      <c r="DC16" s="659"/>
      <c r="DD16" s="659"/>
      <c r="DE16" s="659"/>
      <c r="DF16" s="659"/>
      <c r="DG16" s="659"/>
      <c r="DH16" s="659"/>
      <c r="DI16" s="659"/>
      <c r="DJ16" s="659"/>
      <c r="DK16" s="659"/>
      <c r="DL16" s="659"/>
      <c r="DM16" s="659"/>
      <c r="DN16" s="659"/>
      <c r="DO16" s="659"/>
      <c r="DP16" s="659"/>
      <c r="DQ16" s="659"/>
      <c r="DR16" s="659"/>
      <c r="DS16" s="659"/>
      <c r="DT16" s="659"/>
      <c r="DU16" s="659"/>
      <c r="DV16" s="659"/>
      <c r="DW16" s="659"/>
      <c r="DX16" s="659"/>
      <c r="DY16" s="659"/>
      <c r="DZ16" s="659"/>
      <c r="EA16" s="659"/>
      <c r="EB16" s="659"/>
      <c r="EC16" s="659"/>
      <c r="ED16" s="659"/>
      <c r="EE16" s="659"/>
      <c r="EF16" s="659"/>
      <c r="EG16" s="659"/>
      <c r="EH16" s="659"/>
      <c r="EI16" s="659"/>
      <c r="EJ16" s="659"/>
      <c r="EK16" s="659"/>
      <c r="EL16" s="659"/>
      <c r="EM16" s="659"/>
      <c r="EN16" s="659"/>
      <c r="EO16" s="659"/>
      <c r="EP16" s="659"/>
      <c r="EQ16" s="659"/>
      <c r="ER16" s="659"/>
      <c r="ES16" s="659"/>
      <c r="ET16" s="659"/>
      <c r="EU16" s="659"/>
      <c r="EV16" s="659"/>
      <c r="EW16" s="659"/>
      <c r="EX16" s="659"/>
      <c r="EY16" s="659"/>
      <c r="EZ16" s="659"/>
      <c r="FA16" s="659"/>
      <c r="FB16" s="659"/>
      <c r="FC16" s="659"/>
      <c r="FD16" s="659"/>
      <c r="FE16" s="659"/>
      <c r="FF16" s="659"/>
      <c r="FG16" s="659"/>
      <c r="FH16" s="659"/>
      <c r="FI16" s="659"/>
      <c r="FJ16" s="659"/>
      <c r="FK16" s="659"/>
      <c r="FL16" s="659"/>
      <c r="FM16" s="659"/>
      <c r="FN16" s="659"/>
      <c r="FO16" s="659"/>
      <c r="FP16" s="659"/>
      <c r="FQ16" s="659"/>
      <c r="FR16" s="659"/>
      <c r="FS16" s="659"/>
      <c r="FT16" s="659"/>
      <c r="FU16" s="659"/>
      <c r="FV16" s="659"/>
      <c r="FW16" s="659"/>
      <c r="FX16" s="659"/>
      <c r="FY16" s="659"/>
      <c r="FZ16" s="659"/>
      <c r="GA16" s="659"/>
      <c r="GB16" s="659"/>
      <c r="GC16" s="659"/>
      <c r="GD16" s="659"/>
      <c r="GE16" s="659"/>
      <c r="GF16" s="659"/>
      <c r="GG16" s="659"/>
      <c r="GH16" s="659"/>
      <c r="GI16" s="659"/>
      <c r="GJ16" s="659"/>
      <c r="GK16" s="659"/>
      <c r="GL16" s="659"/>
      <c r="GM16" s="659"/>
      <c r="GN16" s="659"/>
      <c r="GO16" s="659"/>
      <c r="GP16" s="659"/>
      <c r="GQ16" s="659"/>
      <c r="GR16" s="659"/>
      <c r="GS16" s="659"/>
      <c r="GT16" s="659"/>
      <c r="GU16" s="659"/>
      <c r="GV16" s="659"/>
      <c r="GW16" s="659"/>
      <c r="GX16" s="659"/>
      <c r="GY16" s="659"/>
      <c r="GZ16" s="659"/>
      <c r="HA16" s="659"/>
      <c r="HB16" s="659"/>
      <c r="HC16" s="659"/>
      <c r="HD16" s="659"/>
      <c r="HE16" s="659"/>
      <c r="HF16" s="659"/>
      <c r="HG16" s="659"/>
      <c r="HH16" s="659"/>
      <c r="HI16" s="659"/>
      <c r="HJ16" s="659"/>
      <c r="HK16" s="659"/>
      <c r="HL16" s="659"/>
      <c r="HM16" s="659"/>
      <c r="HN16" s="659"/>
      <c r="HO16" s="659"/>
      <c r="HP16" s="659"/>
      <c r="HQ16" s="659"/>
      <c r="HR16" s="659"/>
      <c r="HS16" s="659"/>
      <c r="HT16" s="659"/>
      <c r="HU16" s="659"/>
      <c r="HV16" s="659"/>
      <c r="HW16" s="659"/>
      <c r="HX16" s="659"/>
      <c r="HY16" s="659"/>
      <c r="HZ16" s="659"/>
      <c r="IA16" s="659"/>
      <c r="IB16" s="659"/>
      <c r="IC16" s="659"/>
      <c r="ID16" s="659"/>
      <c r="IE16" s="659"/>
      <c r="IF16" s="659"/>
      <c r="IG16" s="659"/>
      <c r="IH16" s="659"/>
      <c r="II16" s="659"/>
      <c r="IJ16" s="659"/>
      <c r="IK16" s="659"/>
      <c r="IL16" s="659"/>
      <c r="IM16" s="659"/>
    </row>
    <row r="17" spans="1:247" s="660" customFormat="1" x14ac:dyDescent="0.25">
      <c r="A17" s="669" t="s">
        <v>22</v>
      </c>
      <c r="B17" s="669"/>
      <c r="C17" s="669"/>
      <c r="D17" s="669"/>
      <c r="E17" s="669"/>
      <c r="F17" s="282"/>
      <c r="G17" s="664" t="s">
        <v>454</v>
      </c>
      <c r="H17" s="665"/>
      <c r="I17" s="657"/>
      <c r="J17" s="657"/>
      <c r="K17" s="657"/>
      <c r="L17" s="657"/>
      <c r="M17" s="658"/>
      <c r="N17" s="658"/>
      <c r="O17" s="658"/>
      <c r="P17" s="658"/>
      <c r="Q17" s="658"/>
      <c r="R17" s="658"/>
      <c r="S17" s="658"/>
      <c r="T17" s="658"/>
      <c r="U17" s="658"/>
      <c r="V17" s="659"/>
      <c r="W17" s="659"/>
      <c r="X17" s="659"/>
      <c r="Y17" s="659"/>
      <c r="Z17" s="659"/>
      <c r="AA17" s="659"/>
      <c r="AB17" s="659"/>
      <c r="AC17" s="659"/>
      <c r="AD17" s="659"/>
      <c r="AE17" s="659"/>
      <c r="AF17" s="659"/>
      <c r="AG17" s="659"/>
      <c r="AH17" s="659"/>
      <c r="AI17" s="659"/>
      <c r="AJ17" s="659"/>
      <c r="AK17" s="659"/>
      <c r="AL17" s="659"/>
      <c r="AM17" s="659"/>
      <c r="AN17" s="659"/>
      <c r="AO17" s="659"/>
      <c r="AP17" s="659"/>
      <c r="AQ17" s="659"/>
      <c r="AR17" s="659"/>
      <c r="AS17" s="659"/>
      <c r="AT17" s="659"/>
      <c r="AU17" s="659"/>
      <c r="AV17" s="659"/>
      <c r="AW17" s="659"/>
      <c r="AX17" s="659"/>
      <c r="AY17" s="659"/>
      <c r="AZ17" s="659"/>
      <c r="BA17" s="659"/>
      <c r="BB17" s="659"/>
      <c r="BC17" s="659"/>
      <c r="BD17" s="659"/>
      <c r="BE17" s="659"/>
      <c r="BF17" s="659"/>
      <c r="BG17" s="659"/>
      <c r="BH17" s="659"/>
      <c r="BI17" s="659"/>
      <c r="BJ17" s="659"/>
      <c r="BK17" s="659"/>
      <c r="BL17" s="659"/>
      <c r="BM17" s="659"/>
      <c r="BN17" s="659"/>
      <c r="BO17" s="659"/>
      <c r="BP17" s="659"/>
      <c r="BQ17" s="659"/>
      <c r="BR17" s="659"/>
      <c r="BS17" s="659"/>
      <c r="BT17" s="659"/>
      <c r="BU17" s="659"/>
      <c r="BV17" s="659"/>
      <c r="BW17" s="659"/>
      <c r="BX17" s="659"/>
      <c r="BY17" s="659"/>
      <c r="BZ17" s="659"/>
      <c r="CA17" s="659"/>
      <c r="CB17" s="659"/>
      <c r="CC17" s="659"/>
      <c r="CD17" s="659"/>
      <c r="CE17" s="659"/>
      <c r="CF17" s="659"/>
      <c r="CG17" s="659"/>
      <c r="CH17" s="659"/>
      <c r="CI17" s="659"/>
      <c r="CJ17" s="659"/>
      <c r="CK17" s="659"/>
      <c r="CL17" s="659"/>
      <c r="CM17" s="659"/>
      <c r="CN17" s="659"/>
      <c r="CO17" s="659"/>
      <c r="CP17" s="659"/>
      <c r="CQ17" s="659"/>
      <c r="CR17" s="659"/>
      <c r="CS17" s="659"/>
      <c r="CT17" s="659"/>
      <c r="CU17" s="659"/>
      <c r="CV17" s="659"/>
      <c r="CW17" s="659"/>
      <c r="CX17" s="659"/>
      <c r="CY17" s="659"/>
      <c r="CZ17" s="659"/>
      <c r="DA17" s="659"/>
      <c r="DB17" s="659"/>
      <c r="DC17" s="659"/>
      <c r="DD17" s="659"/>
      <c r="DE17" s="659"/>
      <c r="DF17" s="659"/>
      <c r="DG17" s="659"/>
      <c r="DH17" s="659"/>
      <c r="DI17" s="659"/>
      <c r="DJ17" s="659"/>
      <c r="DK17" s="659"/>
      <c r="DL17" s="659"/>
      <c r="DM17" s="659"/>
      <c r="DN17" s="659"/>
      <c r="DO17" s="659"/>
      <c r="DP17" s="659"/>
      <c r="DQ17" s="659"/>
      <c r="DR17" s="659"/>
      <c r="DS17" s="659"/>
      <c r="DT17" s="659"/>
      <c r="DU17" s="659"/>
      <c r="DV17" s="659"/>
      <c r="DW17" s="659"/>
      <c r="DX17" s="659"/>
      <c r="DY17" s="659"/>
      <c r="DZ17" s="659"/>
      <c r="EA17" s="659"/>
      <c r="EB17" s="659"/>
      <c r="EC17" s="659"/>
      <c r="ED17" s="659"/>
      <c r="EE17" s="659"/>
      <c r="EF17" s="659"/>
      <c r="EG17" s="659"/>
      <c r="EH17" s="659"/>
      <c r="EI17" s="659"/>
      <c r="EJ17" s="659"/>
      <c r="EK17" s="659"/>
      <c r="EL17" s="659"/>
      <c r="EM17" s="659"/>
      <c r="EN17" s="659"/>
      <c r="EO17" s="659"/>
      <c r="EP17" s="659"/>
      <c r="EQ17" s="659"/>
      <c r="ER17" s="659"/>
      <c r="ES17" s="659"/>
      <c r="ET17" s="659"/>
      <c r="EU17" s="659"/>
      <c r="EV17" s="659"/>
      <c r="EW17" s="659"/>
      <c r="EX17" s="659"/>
      <c r="EY17" s="659"/>
      <c r="EZ17" s="659"/>
      <c r="FA17" s="659"/>
      <c r="FB17" s="659"/>
      <c r="FC17" s="659"/>
      <c r="FD17" s="659"/>
      <c r="FE17" s="659"/>
      <c r="FF17" s="659"/>
      <c r="FG17" s="659"/>
      <c r="FH17" s="659"/>
      <c r="FI17" s="659"/>
      <c r="FJ17" s="659"/>
      <c r="FK17" s="659"/>
      <c r="FL17" s="659"/>
      <c r="FM17" s="659"/>
      <c r="FN17" s="659"/>
      <c r="FO17" s="659"/>
      <c r="FP17" s="659"/>
      <c r="FQ17" s="659"/>
      <c r="FR17" s="659"/>
      <c r="FS17" s="659"/>
      <c r="FT17" s="659"/>
      <c r="FU17" s="659"/>
      <c r="FV17" s="659"/>
      <c r="FW17" s="659"/>
      <c r="FX17" s="659"/>
      <c r="FY17" s="659"/>
      <c r="FZ17" s="659"/>
      <c r="GA17" s="659"/>
      <c r="GB17" s="659"/>
      <c r="GC17" s="659"/>
      <c r="GD17" s="659"/>
      <c r="GE17" s="659"/>
      <c r="GF17" s="659"/>
      <c r="GG17" s="659"/>
      <c r="GH17" s="659"/>
      <c r="GI17" s="659"/>
      <c r="GJ17" s="659"/>
      <c r="GK17" s="659"/>
      <c r="GL17" s="659"/>
      <c r="GM17" s="659"/>
      <c r="GN17" s="659"/>
      <c r="GO17" s="659"/>
      <c r="GP17" s="659"/>
      <c r="GQ17" s="659"/>
      <c r="GR17" s="659"/>
      <c r="GS17" s="659"/>
      <c r="GT17" s="659"/>
      <c r="GU17" s="659"/>
      <c r="GV17" s="659"/>
      <c r="GW17" s="659"/>
      <c r="GX17" s="659"/>
      <c r="GY17" s="659"/>
      <c r="GZ17" s="659"/>
      <c r="HA17" s="659"/>
      <c r="HB17" s="659"/>
      <c r="HC17" s="659"/>
      <c r="HD17" s="659"/>
      <c r="HE17" s="659"/>
      <c r="HF17" s="659"/>
      <c r="HG17" s="659"/>
      <c r="HH17" s="659"/>
      <c r="HI17" s="659"/>
      <c r="HJ17" s="659"/>
      <c r="HK17" s="659"/>
      <c r="HL17" s="659"/>
      <c r="HM17" s="659"/>
      <c r="HN17" s="659"/>
      <c r="HO17" s="659"/>
      <c r="HP17" s="659"/>
      <c r="HQ17" s="659"/>
      <c r="HR17" s="659"/>
      <c r="HS17" s="659"/>
      <c r="HT17" s="659"/>
      <c r="HU17" s="659"/>
      <c r="HV17" s="659"/>
      <c r="HW17" s="659"/>
      <c r="HX17" s="659"/>
      <c r="HY17" s="659"/>
      <c r="HZ17" s="659"/>
      <c r="IA17" s="659"/>
      <c r="IB17" s="659"/>
      <c r="IC17" s="659"/>
      <c r="ID17" s="659"/>
      <c r="IE17" s="659"/>
      <c r="IF17" s="659"/>
      <c r="IG17" s="659"/>
      <c r="IH17" s="659"/>
      <c r="II17" s="659"/>
      <c r="IJ17" s="659"/>
      <c r="IK17" s="659"/>
      <c r="IL17" s="659"/>
      <c r="IM17" s="659"/>
    </row>
    <row r="18" spans="1:247" s="660" customFormat="1" ht="31.5" customHeight="1" x14ac:dyDescent="0.25">
      <c r="A18" s="666" t="s">
        <v>571</v>
      </c>
      <c r="B18" s="666"/>
      <c r="C18" s="666"/>
      <c r="D18" s="666"/>
      <c r="E18" s="666"/>
      <c r="F18" s="463" t="s">
        <v>21</v>
      </c>
      <c r="G18" s="667"/>
      <c r="H18" s="668"/>
      <c r="I18" s="657"/>
      <c r="J18" s="657"/>
      <c r="K18" s="657"/>
      <c r="L18" s="657"/>
      <c r="M18" s="658"/>
      <c r="N18" s="658"/>
      <c r="O18" s="658"/>
      <c r="P18" s="658"/>
      <c r="Q18" s="658"/>
      <c r="R18" s="658"/>
      <c r="S18" s="658"/>
      <c r="T18" s="658"/>
      <c r="U18" s="464" t="e">
        <v>#REF!</v>
      </c>
      <c r="V18" s="659"/>
      <c r="W18" s="659"/>
      <c r="X18" s="659"/>
      <c r="Y18" s="659"/>
      <c r="Z18" s="659"/>
      <c r="AA18" s="659"/>
      <c r="AB18" s="659"/>
      <c r="AC18" s="659"/>
      <c r="AD18" s="659"/>
      <c r="AE18" s="659"/>
      <c r="AF18" s="659"/>
      <c r="AG18" s="659"/>
      <c r="AH18" s="659"/>
      <c r="AI18" s="659"/>
      <c r="AJ18" s="659"/>
      <c r="AK18" s="659"/>
      <c r="AL18" s="659"/>
      <c r="AM18" s="659"/>
      <c r="AN18" s="659"/>
      <c r="AO18" s="659"/>
      <c r="AP18" s="659"/>
      <c r="AQ18" s="659"/>
      <c r="AR18" s="659"/>
      <c r="AS18" s="659"/>
      <c r="AT18" s="659"/>
      <c r="AU18" s="659"/>
      <c r="AV18" s="659"/>
      <c r="AW18" s="659"/>
      <c r="AX18" s="659"/>
      <c r="AY18" s="659"/>
      <c r="AZ18" s="659"/>
      <c r="BA18" s="659"/>
      <c r="BB18" s="659"/>
      <c r="BC18" s="659"/>
      <c r="BD18" s="659"/>
      <c r="BE18" s="659"/>
      <c r="BF18" s="659"/>
      <c r="BG18" s="659"/>
      <c r="BH18" s="659"/>
      <c r="BI18" s="659"/>
      <c r="BJ18" s="659"/>
      <c r="BK18" s="659"/>
      <c r="BL18" s="659"/>
      <c r="BM18" s="659"/>
      <c r="BN18" s="659"/>
      <c r="BO18" s="659"/>
      <c r="BP18" s="659"/>
      <c r="BQ18" s="659"/>
      <c r="BR18" s="659"/>
      <c r="BS18" s="659"/>
      <c r="BT18" s="659"/>
      <c r="BU18" s="659"/>
      <c r="BV18" s="659"/>
      <c r="BW18" s="659"/>
      <c r="BX18" s="659"/>
      <c r="BY18" s="659"/>
      <c r="BZ18" s="659"/>
      <c r="CA18" s="659"/>
      <c r="CB18" s="659"/>
      <c r="CC18" s="659"/>
      <c r="CD18" s="659"/>
      <c r="CE18" s="659"/>
      <c r="CF18" s="659"/>
      <c r="CG18" s="659"/>
      <c r="CH18" s="659"/>
      <c r="CI18" s="659"/>
      <c r="CJ18" s="659"/>
      <c r="CK18" s="659"/>
      <c r="CL18" s="659"/>
      <c r="CM18" s="659"/>
      <c r="CN18" s="659"/>
      <c r="CO18" s="659"/>
      <c r="CP18" s="659"/>
      <c r="CQ18" s="659"/>
      <c r="CR18" s="659"/>
      <c r="CS18" s="659"/>
      <c r="CT18" s="659"/>
      <c r="CU18" s="659"/>
      <c r="CV18" s="659"/>
      <c r="CW18" s="659"/>
      <c r="CX18" s="659"/>
      <c r="CY18" s="659"/>
      <c r="CZ18" s="659"/>
      <c r="DA18" s="659"/>
      <c r="DB18" s="659"/>
      <c r="DC18" s="659"/>
      <c r="DD18" s="659"/>
      <c r="DE18" s="659"/>
      <c r="DF18" s="659"/>
      <c r="DG18" s="659"/>
      <c r="DH18" s="659"/>
      <c r="DI18" s="659"/>
      <c r="DJ18" s="659"/>
      <c r="DK18" s="659"/>
      <c r="DL18" s="659"/>
      <c r="DM18" s="659"/>
      <c r="DN18" s="659"/>
      <c r="DO18" s="659"/>
      <c r="DP18" s="659"/>
      <c r="DQ18" s="659"/>
      <c r="DR18" s="659"/>
      <c r="DS18" s="659"/>
      <c r="DT18" s="659"/>
      <c r="DU18" s="659"/>
      <c r="DV18" s="659"/>
      <c r="DW18" s="659"/>
      <c r="DX18" s="659"/>
      <c r="DY18" s="659"/>
      <c r="DZ18" s="659"/>
      <c r="EA18" s="659"/>
      <c r="EB18" s="659"/>
      <c r="EC18" s="659"/>
      <c r="ED18" s="659"/>
      <c r="EE18" s="659"/>
      <c r="EF18" s="659"/>
      <c r="EG18" s="659"/>
      <c r="EH18" s="659"/>
      <c r="EI18" s="659"/>
      <c r="EJ18" s="659"/>
      <c r="EK18" s="659"/>
      <c r="EL18" s="659"/>
      <c r="EM18" s="659"/>
      <c r="EN18" s="659"/>
      <c r="EO18" s="659"/>
      <c r="EP18" s="659"/>
      <c r="EQ18" s="659"/>
      <c r="ER18" s="659"/>
      <c r="ES18" s="659"/>
      <c r="ET18" s="659"/>
      <c r="EU18" s="659"/>
      <c r="EV18" s="659"/>
      <c r="EW18" s="659"/>
      <c r="EX18" s="659"/>
      <c r="EY18" s="659"/>
      <c r="EZ18" s="659"/>
      <c r="FA18" s="659"/>
      <c r="FB18" s="659"/>
      <c r="FC18" s="659"/>
      <c r="FD18" s="659"/>
      <c r="FE18" s="659"/>
      <c r="FF18" s="659"/>
      <c r="FG18" s="659"/>
      <c r="FH18" s="659"/>
      <c r="FI18" s="659"/>
      <c r="FJ18" s="659"/>
      <c r="FK18" s="659"/>
      <c r="FL18" s="659"/>
      <c r="FM18" s="659"/>
      <c r="FN18" s="659"/>
      <c r="FO18" s="659"/>
      <c r="FP18" s="659"/>
      <c r="FQ18" s="659"/>
      <c r="FR18" s="659"/>
      <c r="FS18" s="659"/>
      <c r="FT18" s="659"/>
      <c r="FU18" s="659"/>
      <c r="FV18" s="659"/>
      <c r="FW18" s="659"/>
      <c r="FX18" s="659"/>
      <c r="FY18" s="659"/>
      <c r="FZ18" s="659"/>
      <c r="GA18" s="659"/>
      <c r="GB18" s="659"/>
      <c r="GC18" s="659"/>
      <c r="GD18" s="659"/>
      <c r="GE18" s="659"/>
      <c r="GF18" s="659"/>
      <c r="GG18" s="659"/>
      <c r="GH18" s="659"/>
      <c r="GI18" s="659"/>
      <c r="GJ18" s="659"/>
      <c r="GK18" s="659"/>
      <c r="GL18" s="659"/>
      <c r="GM18" s="659"/>
      <c r="GN18" s="659"/>
      <c r="GO18" s="659"/>
      <c r="GP18" s="659"/>
      <c r="GQ18" s="659"/>
      <c r="GR18" s="659"/>
      <c r="GS18" s="659"/>
      <c r="GT18" s="659"/>
      <c r="GU18" s="659"/>
      <c r="GV18" s="659"/>
      <c r="GW18" s="659"/>
      <c r="GX18" s="659"/>
      <c r="GY18" s="659"/>
      <c r="GZ18" s="659"/>
      <c r="HA18" s="659"/>
      <c r="HB18" s="659"/>
      <c r="HC18" s="659"/>
      <c r="HD18" s="659"/>
      <c r="HE18" s="659"/>
      <c r="HF18" s="659"/>
      <c r="HG18" s="659"/>
      <c r="HH18" s="659"/>
      <c r="HI18" s="659"/>
      <c r="HJ18" s="659"/>
      <c r="HK18" s="659"/>
      <c r="HL18" s="659"/>
      <c r="HM18" s="659"/>
      <c r="HN18" s="659"/>
      <c r="HO18" s="659"/>
      <c r="HP18" s="659"/>
      <c r="HQ18" s="659"/>
      <c r="HR18" s="659"/>
      <c r="HS18" s="659"/>
      <c r="HT18" s="659"/>
      <c r="HU18" s="659"/>
      <c r="HV18" s="659"/>
      <c r="HW18" s="659"/>
      <c r="HX18" s="659"/>
      <c r="HY18" s="659"/>
      <c r="HZ18" s="659"/>
      <c r="IA18" s="659"/>
      <c r="IB18" s="659"/>
      <c r="IC18" s="659"/>
      <c r="ID18" s="659"/>
      <c r="IE18" s="659"/>
      <c r="IF18" s="659"/>
      <c r="IG18" s="659"/>
      <c r="IH18" s="659"/>
      <c r="II18" s="659"/>
      <c r="IJ18" s="659"/>
      <c r="IK18" s="659"/>
      <c r="IL18" s="659"/>
      <c r="IM18" s="659"/>
    </row>
    <row r="19" spans="1:247" s="660" customFormat="1" x14ac:dyDescent="0.25">
      <c r="A19" s="669" t="s">
        <v>22</v>
      </c>
      <c r="B19" s="669"/>
      <c r="C19" s="669"/>
      <c r="D19" s="669"/>
      <c r="E19" s="669"/>
      <c r="F19" s="670"/>
      <c r="G19" s="671"/>
      <c r="H19" s="672"/>
      <c r="I19" s="657"/>
      <c r="J19" s="657"/>
      <c r="K19" s="657"/>
      <c r="L19" s="657"/>
      <c r="M19" s="658"/>
      <c r="N19" s="658"/>
      <c r="O19" s="658"/>
      <c r="P19" s="658"/>
      <c r="Q19" s="658"/>
      <c r="R19" s="658"/>
      <c r="S19" s="658"/>
      <c r="T19" s="658"/>
      <c r="U19" s="658"/>
      <c r="V19" s="659"/>
      <c r="W19" s="659"/>
      <c r="X19" s="659"/>
      <c r="Y19" s="659"/>
      <c r="Z19" s="659"/>
      <c r="AA19" s="659"/>
      <c r="AB19" s="659"/>
      <c r="AC19" s="659"/>
      <c r="AD19" s="659"/>
      <c r="AE19" s="659"/>
      <c r="AF19" s="659"/>
      <c r="AG19" s="659"/>
      <c r="AH19" s="659"/>
      <c r="AI19" s="659"/>
      <c r="AJ19" s="659"/>
      <c r="AK19" s="659"/>
      <c r="AL19" s="659"/>
      <c r="AM19" s="659"/>
      <c r="AN19" s="659"/>
      <c r="AO19" s="659"/>
      <c r="AP19" s="659"/>
      <c r="AQ19" s="659"/>
      <c r="AR19" s="659"/>
      <c r="AS19" s="659"/>
      <c r="AT19" s="659"/>
      <c r="AU19" s="659"/>
      <c r="AV19" s="659"/>
      <c r="AW19" s="659"/>
      <c r="AX19" s="659"/>
      <c r="AY19" s="659"/>
      <c r="AZ19" s="659"/>
      <c r="BA19" s="659"/>
      <c r="BB19" s="659"/>
      <c r="BC19" s="659"/>
      <c r="BD19" s="659"/>
      <c r="BE19" s="659"/>
      <c r="BF19" s="659"/>
      <c r="BG19" s="659"/>
      <c r="BH19" s="659"/>
      <c r="BI19" s="659"/>
      <c r="BJ19" s="659"/>
      <c r="BK19" s="659"/>
      <c r="BL19" s="659"/>
      <c r="BM19" s="659"/>
      <c r="BN19" s="659"/>
      <c r="BO19" s="659"/>
      <c r="BP19" s="659"/>
      <c r="BQ19" s="659"/>
      <c r="BR19" s="659"/>
      <c r="BS19" s="659"/>
      <c r="BT19" s="659"/>
      <c r="BU19" s="659"/>
      <c r="BV19" s="659"/>
      <c r="BW19" s="659"/>
      <c r="BX19" s="659"/>
      <c r="BY19" s="659"/>
      <c r="BZ19" s="659"/>
      <c r="CA19" s="659"/>
      <c r="CB19" s="659"/>
      <c r="CC19" s="659"/>
      <c r="CD19" s="659"/>
      <c r="CE19" s="659"/>
      <c r="CF19" s="659"/>
      <c r="CG19" s="659"/>
      <c r="CH19" s="659"/>
      <c r="CI19" s="659"/>
      <c r="CJ19" s="659"/>
      <c r="CK19" s="659"/>
      <c r="CL19" s="659"/>
      <c r="CM19" s="659"/>
      <c r="CN19" s="659"/>
      <c r="CO19" s="659"/>
      <c r="CP19" s="659"/>
      <c r="CQ19" s="659"/>
      <c r="CR19" s="659"/>
      <c r="CS19" s="659"/>
      <c r="CT19" s="659"/>
      <c r="CU19" s="659"/>
      <c r="CV19" s="659"/>
      <c r="CW19" s="659"/>
      <c r="CX19" s="659"/>
      <c r="CY19" s="659"/>
      <c r="CZ19" s="659"/>
      <c r="DA19" s="659"/>
      <c r="DB19" s="659"/>
      <c r="DC19" s="659"/>
      <c r="DD19" s="659"/>
      <c r="DE19" s="659"/>
      <c r="DF19" s="659"/>
      <c r="DG19" s="659"/>
      <c r="DH19" s="659"/>
      <c r="DI19" s="659"/>
      <c r="DJ19" s="659"/>
      <c r="DK19" s="659"/>
      <c r="DL19" s="659"/>
      <c r="DM19" s="659"/>
      <c r="DN19" s="659"/>
      <c r="DO19" s="659"/>
      <c r="DP19" s="659"/>
      <c r="DQ19" s="659"/>
      <c r="DR19" s="659"/>
      <c r="DS19" s="659"/>
      <c r="DT19" s="659"/>
      <c r="DU19" s="659"/>
      <c r="DV19" s="659"/>
      <c r="DW19" s="659"/>
      <c r="DX19" s="659"/>
      <c r="DY19" s="659"/>
      <c r="DZ19" s="659"/>
      <c r="EA19" s="659"/>
      <c r="EB19" s="659"/>
      <c r="EC19" s="659"/>
      <c r="ED19" s="659"/>
      <c r="EE19" s="659"/>
      <c r="EF19" s="659"/>
      <c r="EG19" s="659"/>
      <c r="EH19" s="659"/>
      <c r="EI19" s="659"/>
      <c r="EJ19" s="659"/>
      <c r="EK19" s="659"/>
      <c r="EL19" s="659"/>
      <c r="EM19" s="659"/>
      <c r="EN19" s="659"/>
      <c r="EO19" s="659"/>
      <c r="EP19" s="659"/>
      <c r="EQ19" s="659"/>
      <c r="ER19" s="659"/>
      <c r="ES19" s="659"/>
      <c r="ET19" s="659"/>
      <c r="EU19" s="659"/>
      <c r="EV19" s="659"/>
      <c r="EW19" s="659"/>
      <c r="EX19" s="659"/>
      <c r="EY19" s="659"/>
      <c r="EZ19" s="659"/>
      <c r="FA19" s="659"/>
      <c r="FB19" s="659"/>
      <c r="FC19" s="659"/>
      <c r="FD19" s="659"/>
      <c r="FE19" s="659"/>
      <c r="FF19" s="659"/>
      <c r="FG19" s="659"/>
      <c r="FH19" s="659"/>
      <c r="FI19" s="659"/>
      <c r="FJ19" s="659"/>
      <c r="FK19" s="659"/>
      <c r="FL19" s="659"/>
      <c r="FM19" s="659"/>
      <c r="FN19" s="659"/>
      <c r="FO19" s="659"/>
      <c r="FP19" s="659"/>
      <c r="FQ19" s="659"/>
      <c r="FR19" s="659"/>
      <c r="FS19" s="659"/>
      <c r="FT19" s="659"/>
      <c r="FU19" s="659"/>
      <c r="FV19" s="659"/>
      <c r="FW19" s="659"/>
      <c r="FX19" s="659"/>
      <c r="FY19" s="659"/>
      <c r="FZ19" s="659"/>
      <c r="GA19" s="659"/>
      <c r="GB19" s="659"/>
      <c r="GC19" s="659"/>
      <c r="GD19" s="659"/>
      <c r="GE19" s="659"/>
      <c r="GF19" s="659"/>
      <c r="GG19" s="659"/>
      <c r="GH19" s="659"/>
      <c r="GI19" s="659"/>
      <c r="GJ19" s="659"/>
      <c r="GK19" s="659"/>
      <c r="GL19" s="659"/>
      <c r="GM19" s="659"/>
      <c r="GN19" s="659"/>
      <c r="GO19" s="659"/>
      <c r="GP19" s="659"/>
      <c r="GQ19" s="659"/>
      <c r="GR19" s="659"/>
      <c r="GS19" s="659"/>
      <c r="GT19" s="659"/>
      <c r="GU19" s="659"/>
      <c r="GV19" s="659"/>
      <c r="GW19" s="659"/>
      <c r="GX19" s="659"/>
      <c r="GY19" s="659"/>
      <c r="GZ19" s="659"/>
      <c r="HA19" s="659"/>
      <c r="HB19" s="659"/>
      <c r="HC19" s="659"/>
      <c r="HD19" s="659"/>
      <c r="HE19" s="659"/>
      <c r="HF19" s="659"/>
      <c r="HG19" s="659"/>
      <c r="HH19" s="659"/>
      <c r="HI19" s="659"/>
      <c r="HJ19" s="659"/>
      <c r="HK19" s="659"/>
      <c r="HL19" s="659"/>
      <c r="HM19" s="659"/>
      <c r="HN19" s="659"/>
      <c r="HO19" s="659"/>
      <c r="HP19" s="659"/>
      <c r="HQ19" s="659"/>
      <c r="HR19" s="659"/>
      <c r="HS19" s="659"/>
      <c r="HT19" s="659"/>
      <c r="HU19" s="659"/>
      <c r="HV19" s="659"/>
      <c r="HW19" s="659"/>
      <c r="HX19" s="659"/>
      <c r="HY19" s="659"/>
      <c r="HZ19" s="659"/>
      <c r="IA19" s="659"/>
      <c r="IB19" s="659"/>
      <c r="IC19" s="659"/>
      <c r="ID19" s="659"/>
      <c r="IE19" s="659"/>
      <c r="IF19" s="659"/>
      <c r="IG19" s="659"/>
      <c r="IH19" s="659"/>
      <c r="II19" s="659"/>
      <c r="IJ19" s="659"/>
      <c r="IK19" s="659"/>
      <c r="IL19" s="659"/>
      <c r="IM19" s="659"/>
    </row>
    <row r="20" spans="1:247" s="660" customFormat="1" ht="30" x14ac:dyDescent="0.25">
      <c r="A20" s="666" t="s">
        <v>570</v>
      </c>
      <c r="B20" s="666"/>
      <c r="C20" s="666"/>
      <c r="D20" s="666"/>
      <c r="E20" s="666"/>
      <c r="F20" s="673"/>
      <c r="G20" s="674"/>
      <c r="H20" s="675"/>
      <c r="I20" s="657"/>
      <c r="J20" s="657"/>
      <c r="K20" s="657"/>
      <c r="L20" s="657"/>
      <c r="M20" s="658"/>
      <c r="N20" s="658"/>
      <c r="O20" s="658"/>
      <c r="P20" s="658"/>
      <c r="Q20" s="658"/>
      <c r="R20" s="658"/>
      <c r="S20" s="658"/>
      <c r="T20" s="658"/>
      <c r="U20" s="464" t="s">
        <v>569</v>
      </c>
      <c r="V20" s="659"/>
      <c r="W20" s="659"/>
      <c r="X20" s="659"/>
      <c r="Y20" s="659"/>
      <c r="Z20" s="659"/>
      <c r="AA20" s="659"/>
      <c r="AB20" s="659"/>
      <c r="AC20" s="659"/>
      <c r="AD20" s="659"/>
      <c r="AE20" s="659"/>
      <c r="AF20" s="659"/>
      <c r="AG20" s="659"/>
      <c r="AH20" s="659"/>
      <c r="AI20" s="659"/>
      <c r="AJ20" s="659"/>
      <c r="AK20" s="659"/>
      <c r="AL20" s="659"/>
      <c r="AM20" s="659"/>
      <c r="AN20" s="659"/>
      <c r="AO20" s="659"/>
      <c r="AP20" s="659"/>
      <c r="AQ20" s="659"/>
      <c r="AR20" s="659"/>
      <c r="AS20" s="659"/>
      <c r="AT20" s="659"/>
      <c r="AU20" s="659"/>
      <c r="AV20" s="659"/>
      <c r="AW20" s="659"/>
      <c r="AX20" s="659"/>
      <c r="AY20" s="659"/>
      <c r="AZ20" s="659"/>
      <c r="BA20" s="659"/>
      <c r="BB20" s="659"/>
      <c r="BC20" s="659"/>
      <c r="BD20" s="659"/>
      <c r="BE20" s="659"/>
      <c r="BF20" s="659"/>
      <c r="BG20" s="659"/>
      <c r="BH20" s="659"/>
      <c r="BI20" s="659"/>
      <c r="BJ20" s="659"/>
      <c r="BK20" s="659"/>
      <c r="BL20" s="659"/>
      <c r="BM20" s="659"/>
      <c r="BN20" s="659"/>
      <c r="BO20" s="659"/>
      <c r="BP20" s="659"/>
      <c r="BQ20" s="659"/>
      <c r="BR20" s="659"/>
      <c r="BS20" s="659"/>
      <c r="BT20" s="659"/>
      <c r="BU20" s="659"/>
      <c r="BV20" s="659"/>
      <c r="BW20" s="659"/>
      <c r="BX20" s="659"/>
      <c r="BY20" s="659"/>
      <c r="BZ20" s="659"/>
      <c r="CA20" s="659"/>
      <c r="CB20" s="659"/>
      <c r="CC20" s="659"/>
      <c r="CD20" s="659"/>
      <c r="CE20" s="659"/>
      <c r="CF20" s="659"/>
      <c r="CG20" s="659"/>
      <c r="CH20" s="659"/>
      <c r="CI20" s="659"/>
      <c r="CJ20" s="659"/>
      <c r="CK20" s="659"/>
      <c r="CL20" s="659"/>
      <c r="CM20" s="659"/>
      <c r="CN20" s="659"/>
      <c r="CO20" s="659"/>
      <c r="CP20" s="659"/>
      <c r="CQ20" s="659"/>
      <c r="CR20" s="659"/>
      <c r="CS20" s="659"/>
      <c r="CT20" s="659"/>
      <c r="CU20" s="659"/>
      <c r="CV20" s="659"/>
      <c r="CW20" s="659"/>
      <c r="CX20" s="659"/>
      <c r="CY20" s="659"/>
      <c r="CZ20" s="659"/>
      <c r="DA20" s="659"/>
      <c r="DB20" s="659"/>
      <c r="DC20" s="659"/>
      <c r="DD20" s="659"/>
      <c r="DE20" s="659"/>
      <c r="DF20" s="659"/>
      <c r="DG20" s="659"/>
      <c r="DH20" s="659"/>
      <c r="DI20" s="659"/>
      <c r="DJ20" s="659"/>
      <c r="DK20" s="659"/>
      <c r="DL20" s="659"/>
      <c r="DM20" s="659"/>
      <c r="DN20" s="659"/>
      <c r="DO20" s="659"/>
      <c r="DP20" s="659"/>
      <c r="DQ20" s="659"/>
      <c r="DR20" s="659"/>
      <c r="DS20" s="659"/>
      <c r="DT20" s="659"/>
      <c r="DU20" s="659"/>
      <c r="DV20" s="659"/>
      <c r="DW20" s="659"/>
      <c r="DX20" s="659"/>
      <c r="DY20" s="659"/>
      <c r="DZ20" s="659"/>
      <c r="EA20" s="659"/>
      <c r="EB20" s="659"/>
      <c r="EC20" s="659"/>
      <c r="ED20" s="659"/>
      <c r="EE20" s="659"/>
      <c r="EF20" s="659"/>
      <c r="EG20" s="659"/>
      <c r="EH20" s="659"/>
      <c r="EI20" s="659"/>
      <c r="EJ20" s="659"/>
      <c r="EK20" s="659"/>
      <c r="EL20" s="659"/>
      <c r="EM20" s="659"/>
      <c r="EN20" s="659"/>
      <c r="EO20" s="659"/>
      <c r="EP20" s="659"/>
      <c r="EQ20" s="659"/>
      <c r="ER20" s="659"/>
      <c r="ES20" s="659"/>
      <c r="ET20" s="659"/>
      <c r="EU20" s="659"/>
      <c r="EV20" s="659"/>
      <c r="EW20" s="659"/>
      <c r="EX20" s="659"/>
      <c r="EY20" s="659"/>
      <c r="EZ20" s="659"/>
      <c r="FA20" s="659"/>
      <c r="FB20" s="659"/>
      <c r="FC20" s="659"/>
      <c r="FD20" s="659"/>
      <c r="FE20" s="659"/>
      <c r="FF20" s="659"/>
      <c r="FG20" s="659"/>
      <c r="FH20" s="659"/>
      <c r="FI20" s="659"/>
      <c r="FJ20" s="659"/>
      <c r="FK20" s="659"/>
      <c r="FL20" s="659"/>
      <c r="FM20" s="659"/>
      <c r="FN20" s="659"/>
      <c r="FO20" s="659"/>
      <c r="FP20" s="659"/>
      <c r="FQ20" s="659"/>
      <c r="FR20" s="659"/>
      <c r="FS20" s="659"/>
      <c r="FT20" s="659"/>
      <c r="FU20" s="659"/>
      <c r="FV20" s="659"/>
      <c r="FW20" s="659"/>
      <c r="FX20" s="659"/>
      <c r="FY20" s="659"/>
      <c r="FZ20" s="659"/>
      <c r="GA20" s="659"/>
      <c r="GB20" s="659"/>
      <c r="GC20" s="659"/>
      <c r="GD20" s="659"/>
      <c r="GE20" s="659"/>
      <c r="GF20" s="659"/>
      <c r="GG20" s="659"/>
      <c r="GH20" s="659"/>
      <c r="GI20" s="659"/>
      <c r="GJ20" s="659"/>
      <c r="GK20" s="659"/>
      <c r="GL20" s="659"/>
      <c r="GM20" s="659"/>
      <c r="GN20" s="659"/>
      <c r="GO20" s="659"/>
      <c r="GP20" s="659"/>
      <c r="GQ20" s="659"/>
      <c r="GR20" s="659"/>
      <c r="GS20" s="659"/>
      <c r="GT20" s="659"/>
      <c r="GU20" s="659"/>
      <c r="GV20" s="659"/>
      <c r="GW20" s="659"/>
      <c r="GX20" s="659"/>
      <c r="GY20" s="659"/>
      <c r="GZ20" s="659"/>
      <c r="HA20" s="659"/>
      <c r="HB20" s="659"/>
      <c r="HC20" s="659"/>
      <c r="HD20" s="659"/>
      <c r="HE20" s="659"/>
      <c r="HF20" s="659"/>
      <c r="HG20" s="659"/>
      <c r="HH20" s="659"/>
      <c r="HI20" s="659"/>
      <c r="HJ20" s="659"/>
      <c r="HK20" s="659"/>
      <c r="HL20" s="659"/>
      <c r="HM20" s="659"/>
      <c r="HN20" s="659"/>
      <c r="HO20" s="659"/>
      <c r="HP20" s="659"/>
      <c r="HQ20" s="659"/>
      <c r="HR20" s="659"/>
      <c r="HS20" s="659"/>
      <c r="HT20" s="659"/>
      <c r="HU20" s="659"/>
      <c r="HV20" s="659"/>
      <c r="HW20" s="659"/>
      <c r="HX20" s="659"/>
      <c r="HY20" s="659"/>
      <c r="HZ20" s="659"/>
      <c r="IA20" s="659"/>
      <c r="IB20" s="659"/>
      <c r="IC20" s="659"/>
      <c r="ID20" s="659"/>
      <c r="IE20" s="659"/>
      <c r="IF20" s="659"/>
      <c r="IG20" s="659"/>
      <c r="IH20" s="659"/>
      <c r="II20" s="659"/>
      <c r="IJ20" s="659"/>
      <c r="IK20" s="659"/>
      <c r="IL20" s="659"/>
      <c r="IM20" s="659"/>
    </row>
    <row r="21" spans="1:247" s="660" customFormat="1" x14ac:dyDescent="0.25">
      <c r="A21" s="669" t="s">
        <v>24</v>
      </c>
      <c r="B21" s="669"/>
      <c r="C21" s="669"/>
      <c r="D21" s="669"/>
      <c r="E21" s="669"/>
      <c r="F21" s="670"/>
      <c r="G21" s="671"/>
      <c r="H21" s="672"/>
      <c r="I21" s="657"/>
      <c r="J21" s="657"/>
      <c r="K21" s="657"/>
      <c r="L21" s="657"/>
      <c r="M21" s="658"/>
      <c r="N21" s="658"/>
      <c r="O21" s="658"/>
      <c r="P21" s="658"/>
      <c r="Q21" s="658"/>
      <c r="R21" s="658"/>
      <c r="S21" s="658"/>
      <c r="T21" s="658"/>
      <c r="U21" s="658"/>
      <c r="V21" s="659"/>
      <c r="W21" s="659"/>
      <c r="X21" s="659"/>
      <c r="Y21" s="659"/>
      <c r="Z21" s="659"/>
      <c r="AA21" s="659"/>
      <c r="AB21" s="659"/>
      <c r="AC21" s="659"/>
      <c r="AD21" s="659"/>
      <c r="AE21" s="659"/>
      <c r="AF21" s="659"/>
      <c r="AG21" s="659"/>
      <c r="AH21" s="659"/>
      <c r="AI21" s="659"/>
      <c r="AJ21" s="659"/>
      <c r="AK21" s="659"/>
      <c r="AL21" s="659"/>
      <c r="AM21" s="659"/>
      <c r="AN21" s="659"/>
      <c r="AO21" s="659"/>
      <c r="AP21" s="659"/>
      <c r="AQ21" s="659"/>
      <c r="AR21" s="659"/>
      <c r="AS21" s="659"/>
      <c r="AT21" s="659"/>
      <c r="AU21" s="659"/>
      <c r="AV21" s="659"/>
      <c r="AW21" s="659"/>
      <c r="AX21" s="659"/>
      <c r="AY21" s="659"/>
      <c r="AZ21" s="659"/>
      <c r="BA21" s="659"/>
      <c r="BB21" s="659"/>
      <c r="BC21" s="659"/>
      <c r="BD21" s="659"/>
      <c r="BE21" s="659"/>
      <c r="BF21" s="659"/>
      <c r="BG21" s="659"/>
      <c r="BH21" s="659"/>
      <c r="BI21" s="659"/>
      <c r="BJ21" s="659"/>
      <c r="BK21" s="659"/>
      <c r="BL21" s="659"/>
      <c r="BM21" s="659"/>
      <c r="BN21" s="659"/>
      <c r="BO21" s="659"/>
      <c r="BP21" s="659"/>
      <c r="BQ21" s="659"/>
      <c r="BR21" s="659"/>
      <c r="BS21" s="659"/>
      <c r="BT21" s="659"/>
      <c r="BU21" s="659"/>
      <c r="BV21" s="659"/>
      <c r="BW21" s="659"/>
      <c r="BX21" s="659"/>
      <c r="BY21" s="659"/>
      <c r="BZ21" s="659"/>
      <c r="CA21" s="659"/>
      <c r="CB21" s="659"/>
      <c r="CC21" s="659"/>
      <c r="CD21" s="659"/>
      <c r="CE21" s="659"/>
      <c r="CF21" s="659"/>
      <c r="CG21" s="659"/>
      <c r="CH21" s="659"/>
      <c r="CI21" s="659"/>
      <c r="CJ21" s="659"/>
      <c r="CK21" s="659"/>
      <c r="CL21" s="659"/>
      <c r="CM21" s="659"/>
      <c r="CN21" s="659"/>
      <c r="CO21" s="659"/>
      <c r="CP21" s="659"/>
      <c r="CQ21" s="659"/>
      <c r="CR21" s="659"/>
      <c r="CS21" s="659"/>
      <c r="CT21" s="659"/>
      <c r="CU21" s="659"/>
      <c r="CV21" s="659"/>
      <c r="CW21" s="659"/>
      <c r="CX21" s="659"/>
      <c r="CY21" s="659"/>
      <c r="CZ21" s="659"/>
      <c r="DA21" s="659"/>
      <c r="DB21" s="659"/>
      <c r="DC21" s="659"/>
      <c r="DD21" s="659"/>
      <c r="DE21" s="659"/>
      <c r="DF21" s="659"/>
      <c r="DG21" s="659"/>
      <c r="DH21" s="659"/>
      <c r="DI21" s="659"/>
      <c r="DJ21" s="659"/>
      <c r="DK21" s="659"/>
      <c r="DL21" s="659"/>
      <c r="DM21" s="659"/>
      <c r="DN21" s="659"/>
      <c r="DO21" s="659"/>
      <c r="DP21" s="659"/>
      <c r="DQ21" s="659"/>
      <c r="DR21" s="659"/>
      <c r="DS21" s="659"/>
      <c r="DT21" s="659"/>
      <c r="DU21" s="659"/>
      <c r="DV21" s="659"/>
      <c r="DW21" s="659"/>
      <c r="DX21" s="659"/>
      <c r="DY21" s="659"/>
      <c r="DZ21" s="659"/>
      <c r="EA21" s="659"/>
      <c r="EB21" s="659"/>
      <c r="EC21" s="659"/>
      <c r="ED21" s="659"/>
      <c r="EE21" s="659"/>
      <c r="EF21" s="659"/>
      <c r="EG21" s="659"/>
      <c r="EH21" s="659"/>
      <c r="EI21" s="659"/>
      <c r="EJ21" s="659"/>
      <c r="EK21" s="659"/>
      <c r="EL21" s="659"/>
      <c r="EM21" s="659"/>
      <c r="EN21" s="659"/>
      <c r="EO21" s="659"/>
      <c r="EP21" s="659"/>
      <c r="EQ21" s="659"/>
      <c r="ER21" s="659"/>
      <c r="ES21" s="659"/>
      <c r="ET21" s="659"/>
      <c r="EU21" s="659"/>
      <c r="EV21" s="659"/>
      <c r="EW21" s="659"/>
      <c r="EX21" s="659"/>
      <c r="EY21" s="659"/>
      <c r="EZ21" s="659"/>
      <c r="FA21" s="659"/>
      <c r="FB21" s="659"/>
      <c r="FC21" s="659"/>
      <c r="FD21" s="659"/>
      <c r="FE21" s="659"/>
      <c r="FF21" s="659"/>
      <c r="FG21" s="659"/>
      <c r="FH21" s="659"/>
      <c r="FI21" s="659"/>
      <c r="FJ21" s="659"/>
      <c r="FK21" s="659"/>
      <c r="FL21" s="659"/>
      <c r="FM21" s="659"/>
      <c r="FN21" s="659"/>
      <c r="FO21" s="659"/>
      <c r="FP21" s="659"/>
      <c r="FQ21" s="659"/>
      <c r="FR21" s="659"/>
      <c r="FS21" s="659"/>
      <c r="FT21" s="659"/>
      <c r="FU21" s="659"/>
      <c r="FV21" s="659"/>
      <c r="FW21" s="659"/>
      <c r="FX21" s="659"/>
      <c r="FY21" s="659"/>
      <c r="FZ21" s="659"/>
      <c r="GA21" s="659"/>
      <c r="GB21" s="659"/>
      <c r="GC21" s="659"/>
      <c r="GD21" s="659"/>
      <c r="GE21" s="659"/>
      <c r="GF21" s="659"/>
      <c r="GG21" s="659"/>
      <c r="GH21" s="659"/>
      <c r="GI21" s="659"/>
      <c r="GJ21" s="659"/>
      <c r="GK21" s="659"/>
      <c r="GL21" s="659"/>
      <c r="GM21" s="659"/>
      <c r="GN21" s="659"/>
      <c r="GO21" s="659"/>
      <c r="GP21" s="659"/>
      <c r="GQ21" s="659"/>
      <c r="GR21" s="659"/>
      <c r="GS21" s="659"/>
      <c r="GT21" s="659"/>
      <c r="GU21" s="659"/>
      <c r="GV21" s="659"/>
      <c r="GW21" s="659"/>
      <c r="GX21" s="659"/>
      <c r="GY21" s="659"/>
      <c r="GZ21" s="659"/>
      <c r="HA21" s="659"/>
      <c r="HB21" s="659"/>
      <c r="HC21" s="659"/>
      <c r="HD21" s="659"/>
      <c r="HE21" s="659"/>
      <c r="HF21" s="659"/>
      <c r="HG21" s="659"/>
      <c r="HH21" s="659"/>
      <c r="HI21" s="659"/>
      <c r="HJ21" s="659"/>
      <c r="HK21" s="659"/>
      <c r="HL21" s="659"/>
      <c r="HM21" s="659"/>
      <c r="HN21" s="659"/>
      <c r="HO21" s="659"/>
      <c r="HP21" s="659"/>
      <c r="HQ21" s="659"/>
      <c r="HR21" s="659"/>
      <c r="HS21" s="659"/>
      <c r="HT21" s="659"/>
      <c r="HU21" s="659"/>
      <c r="HV21" s="659"/>
      <c r="HW21" s="659"/>
      <c r="HX21" s="659"/>
      <c r="HY21" s="659"/>
      <c r="HZ21" s="659"/>
      <c r="IA21" s="659"/>
      <c r="IB21" s="659"/>
      <c r="IC21" s="659"/>
      <c r="ID21" s="659"/>
      <c r="IE21" s="659"/>
      <c r="IF21" s="659"/>
      <c r="IG21" s="659"/>
      <c r="IH21" s="659"/>
      <c r="II21" s="659"/>
      <c r="IJ21" s="659"/>
      <c r="IK21" s="659"/>
      <c r="IL21" s="659"/>
      <c r="IM21" s="659"/>
    </row>
    <row r="22" spans="1:247" s="660" customFormat="1" ht="30" customHeight="1" x14ac:dyDescent="0.25">
      <c r="A22" s="666" t="s">
        <v>568</v>
      </c>
      <c r="B22" s="666"/>
      <c r="C22" s="666"/>
      <c r="D22" s="666"/>
      <c r="E22" s="666"/>
      <c r="F22" s="673"/>
      <c r="G22" s="674"/>
      <c r="H22" s="675"/>
      <c r="I22" s="657"/>
      <c r="J22" s="657"/>
      <c r="K22" s="657"/>
      <c r="L22" s="657"/>
      <c r="M22" s="658"/>
      <c r="N22" s="658"/>
      <c r="O22" s="658"/>
      <c r="P22" s="658"/>
      <c r="Q22" s="658"/>
      <c r="R22" s="658"/>
      <c r="S22" s="658"/>
      <c r="T22" s="658"/>
      <c r="U22" s="465" t="e">
        <v>#REF!</v>
      </c>
      <c r="V22" s="659"/>
      <c r="W22" s="659"/>
      <c r="X22" s="659"/>
      <c r="Y22" s="659"/>
      <c r="Z22" s="659"/>
      <c r="AA22" s="659"/>
      <c r="AB22" s="659"/>
      <c r="AC22" s="659"/>
      <c r="AD22" s="659"/>
      <c r="AE22" s="659"/>
      <c r="AF22" s="659"/>
      <c r="AG22" s="659"/>
      <c r="AH22" s="659"/>
      <c r="AI22" s="659"/>
      <c r="AJ22" s="659"/>
      <c r="AK22" s="659"/>
      <c r="AL22" s="659"/>
      <c r="AM22" s="659"/>
      <c r="AN22" s="659"/>
      <c r="AO22" s="659"/>
      <c r="AP22" s="659"/>
      <c r="AQ22" s="659"/>
      <c r="AR22" s="659"/>
      <c r="AS22" s="659"/>
      <c r="AT22" s="659"/>
      <c r="AU22" s="659"/>
      <c r="AV22" s="659"/>
      <c r="AW22" s="659"/>
      <c r="AX22" s="659"/>
      <c r="AY22" s="659"/>
      <c r="AZ22" s="659"/>
      <c r="BA22" s="659"/>
      <c r="BB22" s="659"/>
      <c r="BC22" s="659"/>
      <c r="BD22" s="659"/>
      <c r="BE22" s="659"/>
      <c r="BF22" s="659"/>
      <c r="BG22" s="659"/>
      <c r="BH22" s="659"/>
      <c r="BI22" s="659"/>
      <c r="BJ22" s="659"/>
      <c r="BK22" s="659"/>
      <c r="BL22" s="659"/>
      <c r="BM22" s="659"/>
      <c r="BN22" s="659"/>
      <c r="BO22" s="659"/>
      <c r="BP22" s="659"/>
      <c r="BQ22" s="659"/>
      <c r="BR22" s="659"/>
      <c r="BS22" s="659"/>
      <c r="BT22" s="659"/>
      <c r="BU22" s="659"/>
      <c r="BV22" s="659"/>
      <c r="BW22" s="659"/>
      <c r="BX22" s="659"/>
      <c r="BY22" s="659"/>
      <c r="BZ22" s="659"/>
      <c r="CA22" s="659"/>
      <c r="CB22" s="659"/>
      <c r="CC22" s="659"/>
      <c r="CD22" s="659"/>
      <c r="CE22" s="659"/>
      <c r="CF22" s="659"/>
      <c r="CG22" s="659"/>
      <c r="CH22" s="659"/>
      <c r="CI22" s="659"/>
      <c r="CJ22" s="659"/>
      <c r="CK22" s="659"/>
      <c r="CL22" s="659"/>
      <c r="CM22" s="659"/>
      <c r="CN22" s="659"/>
      <c r="CO22" s="659"/>
      <c r="CP22" s="659"/>
      <c r="CQ22" s="659"/>
      <c r="CR22" s="659"/>
      <c r="CS22" s="659"/>
      <c r="CT22" s="659"/>
      <c r="CU22" s="659"/>
      <c r="CV22" s="659"/>
      <c r="CW22" s="659"/>
      <c r="CX22" s="659"/>
      <c r="CY22" s="659"/>
      <c r="CZ22" s="659"/>
      <c r="DA22" s="659"/>
      <c r="DB22" s="659"/>
      <c r="DC22" s="659"/>
      <c r="DD22" s="659"/>
      <c r="DE22" s="659"/>
      <c r="DF22" s="659"/>
      <c r="DG22" s="659"/>
      <c r="DH22" s="659"/>
      <c r="DI22" s="659"/>
      <c r="DJ22" s="659"/>
      <c r="DK22" s="659"/>
      <c r="DL22" s="659"/>
      <c r="DM22" s="659"/>
      <c r="DN22" s="659"/>
      <c r="DO22" s="659"/>
      <c r="DP22" s="659"/>
      <c r="DQ22" s="659"/>
      <c r="DR22" s="659"/>
      <c r="DS22" s="659"/>
      <c r="DT22" s="659"/>
      <c r="DU22" s="659"/>
      <c r="DV22" s="659"/>
      <c r="DW22" s="659"/>
      <c r="DX22" s="659"/>
      <c r="DY22" s="659"/>
      <c r="DZ22" s="659"/>
      <c r="EA22" s="659"/>
      <c r="EB22" s="659"/>
      <c r="EC22" s="659"/>
      <c r="ED22" s="659"/>
      <c r="EE22" s="659"/>
      <c r="EF22" s="659"/>
      <c r="EG22" s="659"/>
      <c r="EH22" s="659"/>
      <c r="EI22" s="659"/>
      <c r="EJ22" s="659"/>
      <c r="EK22" s="659"/>
      <c r="EL22" s="659"/>
      <c r="EM22" s="659"/>
      <c r="EN22" s="659"/>
      <c r="EO22" s="659"/>
      <c r="EP22" s="659"/>
      <c r="EQ22" s="659"/>
      <c r="ER22" s="659"/>
      <c r="ES22" s="659"/>
      <c r="ET22" s="659"/>
      <c r="EU22" s="659"/>
      <c r="EV22" s="659"/>
      <c r="EW22" s="659"/>
      <c r="EX22" s="659"/>
      <c r="EY22" s="659"/>
      <c r="EZ22" s="659"/>
      <c r="FA22" s="659"/>
      <c r="FB22" s="659"/>
      <c r="FC22" s="659"/>
      <c r="FD22" s="659"/>
      <c r="FE22" s="659"/>
      <c r="FF22" s="659"/>
      <c r="FG22" s="659"/>
      <c r="FH22" s="659"/>
      <c r="FI22" s="659"/>
      <c r="FJ22" s="659"/>
      <c r="FK22" s="659"/>
      <c r="FL22" s="659"/>
      <c r="FM22" s="659"/>
      <c r="FN22" s="659"/>
      <c r="FO22" s="659"/>
      <c r="FP22" s="659"/>
      <c r="FQ22" s="659"/>
      <c r="FR22" s="659"/>
      <c r="FS22" s="659"/>
      <c r="FT22" s="659"/>
      <c r="FU22" s="659"/>
      <c r="FV22" s="659"/>
      <c r="FW22" s="659"/>
      <c r="FX22" s="659"/>
      <c r="FY22" s="659"/>
      <c r="FZ22" s="659"/>
      <c r="GA22" s="659"/>
      <c r="GB22" s="659"/>
      <c r="GC22" s="659"/>
      <c r="GD22" s="659"/>
      <c r="GE22" s="659"/>
      <c r="GF22" s="659"/>
      <c r="GG22" s="659"/>
      <c r="GH22" s="659"/>
      <c r="GI22" s="659"/>
      <c r="GJ22" s="659"/>
      <c r="GK22" s="659"/>
      <c r="GL22" s="659"/>
      <c r="GM22" s="659"/>
      <c r="GN22" s="659"/>
      <c r="GO22" s="659"/>
      <c r="GP22" s="659"/>
      <c r="GQ22" s="659"/>
      <c r="GR22" s="659"/>
      <c r="GS22" s="659"/>
      <c r="GT22" s="659"/>
      <c r="GU22" s="659"/>
      <c r="GV22" s="659"/>
      <c r="GW22" s="659"/>
      <c r="GX22" s="659"/>
      <c r="GY22" s="659"/>
      <c r="GZ22" s="659"/>
      <c r="HA22" s="659"/>
      <c r="HB22" s="659"/>
      <c r="HC22" s="659"/>
      <c r="HD22" s="659"/>
      <c r="HE22" s="659"/>
      <c r="HF22" s="659"/>
      <c r="HG22" s="659"/>
      <c r="HH22" s="659"/>
      <c r="HI22" s="659"/>
      <c r="HJ22" s="659"/>
      <c r="HK22" s="659"/>
      <c r="HL22" s="659"/>
      <c r="HM22" s="659"/>
      <c r="HN22" s="659"/>
      <c r="HO22" s="659"/>
      <c r="HP22" s="659"/>
      <c r="HQ22" s="659"/>
      <c r="HR22" s="659"/>
      <c r="HS22" s="659"/>
      <c r="HT22" s="659"/>
      <c r="HU22" s="659"/>
      <c r="HV22" s="659"/>
      <c r="HW22" s="659"/>
      <c r="HX22" s="659"/>
      <c r="HY22" s="659"/>
      <c r="HZ22" s="659"/>
      <c r="IA22" s="659"/>
      <c r="IB22" s="659"/>
      <c r="IC22" s="659"/>
      <c r="ID22" s="659"/>
      <c r="IE22" s="659"/>
      <c r="IF22" s="659"/>
      <c r="IG22" s="659"/>
      <c r="IH22" s="659"/>
      <c r="II22" s="659"/>
      <c r="IJ22" s="659"/>
      <c r="IK22" s="659"/>
      <c r="IL22" s="659"/>
      <c r="IM22" s="659"/>
    </row>
    <row r="23" spans="1:247" s="660" customFormat="1" ht="15.75" customHeight="1" x14ac:dyDescent="0.25">
      <c r="A23" s="676" t="s">
        <v>26</v>
      </c>
      <c r="B23" s="676"/>
      <c r="C23" s="676"/>
      <c r="D23" s="676"/>
      <c r="E23" s="676"/>
      <c r="F23" s="677"/>
      <c r="G23" s="677"/>
      <c r="H23" s="677"/>
      <c r="I23" s="678"/>
      <c r="J23" s="678"/>
      <c r="K23" s="678"/>
      <c r="L23" s="678"/>
      <c r="M23" s="659"/>
      <c r="N23" s="659"/>
      <c r="O23" s="659"/>
      <c r="P23" s="659"/>
      <c r="Q23" s="659"/>
      <c r="R23" s="659"/>
      <c r="S23" s="659"/>
      <c r="T23" s="659"/>
      <c r="U23" s="659"/>
      <c r="V23" s="659"/>
      <c r="W23" s="659"/>
      <c r="X23" s="659"/>
      <c r="Y23" s="659"/>
      <c r="Z23" s="679"/>
      <c r="AA23" s="679"/>
      <c r="AB23" s="679"/>
      <c r="AC23" s="679"/>
      <c r="AD23" s="679"/>
      <c r="AE23" s="679"/>
      <c r="AF23" s="679"/>
      <c r="AG23" s="679"/>
      <c r="AH23" s="679"/>
      <c r="AI23" s="679"/>
      <c r="AJ23" s="679"/>
      <c r="AK23" s="679"/>
      <c r="AL23" s="679"/>
      <c r="AM23" s="679"/>
      <c r="AN23" s="679"/>
      <c r="AO23" s="679"/>
      <c r="AP23" s="679"/>
      <c r="AQ23" s="679"/>
      <c r="AR23" s="679"/>
      <c r="AS23" s="679"/>
      <c r="AT23" s="679"/>
      <c r="AU23" s="679"/>
      <c r="AV23" s="679"/>
      <c r="AW23" s="679"/>
      <c r="AX23" s="679"/>
      <c r="AY23" s="679"/>
      <c r="AZ23" s="679"/>
      <c r="BA23" s="679"/>
      <c r="BB23" s="679"/>
      <c r="BC23" s="679"/>
      <c r="BD23" s="679"/>
      <c r="BE23" s="679"/>
      <c r="BF23" s="679"/>
      <c r="BG23" s="679"/>
      <c r="BH23" s="679"/>
      <c r="BI23" s="679"/>
      <c r="BJ23" s="679"/>
      <c r="BK23" s="679"/>
      <c r="BL23" s="679"/>
      <c r="BM23" s="679"/>
      <c r="BN23" s="679"/>
      <c r="BO23" s="679"/>
      <c r="BP23" s="679"/>
      <c r="BQ23" s="679"/>
      <c r="BR23" s="679"/>
      <c r="BS23" s="679"/>
      <c r="BT23" s="679"/>
      <c r="BU23" s="679"/>
      <c r="BV23" s="679"/>
      <c r="BW23" s="679"/>
      <c r="BX23" s="679"/>
      <c r="BY23" s="679"/>
      <c r="BZ23" s="679"/>
      <c r="CA23" s="679"/>
      <c r="CB23" s="679"/>
      <c r="CC23" s="679"/>
      <c r="CD23" s="679"/>
      <c r="CE23" s="679"/>
      <c r="CF23" s="679"/>
      <c r="CG23" s="679"/>
      <c r="CH23" s="679"/>
      <c r="CI23" s="679"/>
      <c r="CJ23" s="679"/>
      <c r="CK23" s="679"/>
      <c r="CL23" s="679"/>
      <c r="CM23" s="679"/>
      <c r="CN23" s="679"/>
      <c r="CO23" s="679"/>
      <c r="CP23" s="679"/>
      <c r="CQ23" s="679"/>
      <c r="CR23" s="679"/>
      <c r="CS23" s="679"/>
      <c r="CT23" s="679"/>
      <c r="CU23" s="679"/>
      <c r="CV23" s="679"/>
      <c r="CW23" s="679"/>
      <c r="CX23" s="679"/>
      <c r="CY23" s="679"/>
      <c r="CZ23" s="679"/>
      <c r="DA23" s="679"/>
      <c r="DB23" s="679"/>
      <c r="DC23" s="679"/>
      <c r="DD23" s="679"/>
      <c r="DE23" s="679"/>
      <c r="DF23" s="679"/>
      <c r="DG23" s="679"/>
      <c r="DH23" s="679"/>
      <c r="DI23" s="679"/>
      <c r="DJ23" s="679"/>
      <c r="DK23" s="679"/>
      <c r="DL23" s="679"/>
      <c r="DM23" s="679"/>
      <c r="DN23" s="679"/>
      <c r="DO23" s="679"/>
      <c r="DP23" s="679"/>
      <c r="DQ23" s="679"/>
      <c r="DR23" s="679"/>
      <c r="DS23" s="679"/>
      <c r="DT23" s="679"/>
      <c r="DU23" s="679"/>
      <c r="DV23" s="679"/>
      <c r="DW23" s="679"/>
      <c r="DX23" s="679"/>
      <c r="DY23" s="679"/>
      <c r="DZ23" s="679"/>
      <c r="EA23" s="679"/>
      <c r="EB23" s="679"/>
      <c r="EC23" s="679"/>
      <c r="ED23" s="679"/>
      <c r="EE23" s="679"/>
      <c r="EF23" s="679"/>
      <c r="EG23" s="679"/>
      <c r="EH23" s="679"/>
      <c r="EI23" s="679"/>
      <c r="EJ23" s="679"/>
      <c r="EK23" s="679"/>
      <c r="EL23" s="679"/>
      <c r="EM23" s="679"/>
      <c r="EN23" s="679"/>
      <c r="EO23" s="679"/>
      <c r="EP23" s="679"/>
      <c r="EQ23" s="679"/>
      <c r="ER23" s="679"/>
      <c r="ES23" s="679"/>
      <c r="ET23" s="679"/>
      <c r="EU23" s="679"/>
      <c r="EV23" s="679"/>
      <c r="EW23" s="679"/>
      <c r="EX23" s="679"/>
      <c r="EY23" s="679"/>
      <c r="EZ23" s="679"/>
      <c r="FA23" s="679"/>
      <c r="FB23" s="679"/>
      <c r="FC23" s="679"/>
      <c r="FD23" s="679"/>
      <c r="FE23" s="679"/>
      <c r="FF23" s="679"/>
      <c r="FG23" s="679"/>
      <c r="FH23" s="679"/>
      <c r="FI23" s="679"/>
      <c r="FJ23" s="679"/>
      <c r="FK23" s="679"/>
      <c r="FL23" s="679"/>
      <c r="FM23" s="679"/>
      <c r="FN23" s="679"/>
      <c r="FO23" s="679"/>
      <c r="FP23" s="679"/>
      <c r="FQ23" s="679"/>
      <c r="FR23" s="679"/>
      <c r="FS23" s="679"/>
      <c r="FT23" s="679"/>
      <c r="FU23" s="679"/>
      <c r="FV23" s="679"/>
      <c r="FW23" s="679"/>
      <c r="FX23" s="679"/>
      <c r="FY23" s="679"/>
      <c r="FZ23" s="679"/>
      <c r="GA23" s="679"/>
      <c r="GB23" s="679"/>
      <c r="GC23" s="679"/>
      <c r="GD23" s="679"/>
      <c r="GE23" s="679"/>
      <c r="GF23" s="679"/>
      <c r="GG23" s="679"/>
      <c r="GH23" s="679"/>
      <c r="GI23" s="679"/>
      <c r="GJ23" s="679"/>
      <c r="GK23" s="679"/>
      <c r="GL23" s="679"/>
      <c r="GM23" s="679"/>
      <c r="GN23" s="679"/>
      <c r="GO23" s="679"/>
      <c r="GP23" s="679"/>
      <c r="GQ23" s="679"/>
      <c r="GR23" s="679"/>
      <c r="GS23" s="679"/>
      <c r="GT23" s="679"/>
      <c r="GU23" s="679"/>
      <c r="GV23" s="679"/>
      <c r="GW23" s="679"/>
      <c r="GX23" s="679"/>
      <c r="GY23" s="679"/>
      <c r="GZ23" s="679"/>
      <c r="HA23" s="679"/>
      <c r="HB23" s="679"/>
      <c r="HC23" s="679"/>
      <c r="HD23" s="679"/>
      <c r="HE23" s="679"/>
      <c r="HF23" s="679"/>
      <c r="HG23" s="679"/>
      <c r="HH23" s="679"/>
      <c r="HI23" s="679"/>
      <c r="HJ23" s="679"/>
      <c r="HK23" s="679"/>
      <c r="HL23" s="679"/>
      <c r="HM23" s="679"/>
      <c r="HN23" s="679"/>
      <c r="HO23" s="679"/>
      <c r="HP23" s="679"/>
      <c r="HQ23" s="679"/>
      <c r="HR23" s="679"/>
      <c r="HS23" s="679"/>
      <c r="HT23" s="679"/>
      <c r="HU23" s="679"/>
      <c r="HV23" s="679"/>
      <c r="HW23" s="679"/>
      <c r="HX23" s="679"/>
      <c r="HY23" s="679"/>
      <c r="HZ23" s="679"/>
      <c r="IA23" s="679"/>
      <c r="IB23" s="679"/>
      <c r="IC23" s="679"/>
      <c r="ID23" s="679"/>
      <c r="IE23" s="679"/>
      <c r="IF23" s="679"/>
      <c r="IG23" s="679"/>
      <c r="IH23" s="679"/>
      <c r="II23" s="679"/>
      <c r="IJ23" s="679"/>
      <c r="IK23" s="679"/>
      <c r="IL23" s="679"/>
      <c r="IM23" s="679"/>
    </row>
    <row r="24" spans="1:247" s="660" customFormat="1" x14ac:dyDescent="0.25">
      <c r="A24" s="282"/>
      <c r="B24" s="282"/>
      <c r="C24" s="282"/>
      <c r="E24" s="463"/>
      <c r="F24" s="463" t="s">
        <v>27</v>
      </c>
      <c r="G24" s="680"/>
      <c r="H24" s="680"/>
      <c r="I24" s="678"/>
      <c r="J24" s="678"/>
      <c r="K24" s="678"/>
      <c r="L24" s="678"/>
      <c r="M24" s="659"/>
      <c r="N24" s="659"/>
      <c r="O24" s="659"/>
      <c r="P24" s="659"/>
      <c r="Q24" s="659"/>
      <c r="R24" s="659"/>
      <c r="S24" s="659"/>
      <c r="T24" s="659"/>
      <c r="U24" s="659"/>
      <c r="V24" s="659"/>
      <c r="W24" s="659"/>
      <c r="X24" s="659"/>
      <c r="Y24" s="659"/>
      <c r="Z24" s="679"/>
      <c r="AA24" s="679"/>
      <c r="AB24" s="679"/>
      <c r="AC24" s="679"/>
      <c r="AD24" s="679"/>
      <c r="AE24" s="679"/>
      <c r="AF24" s="679"/>
      <c r="AG24" s="679"/>
      <c r="AH24" s="679"/>
      <c r="AI24" s="679"/>
      <c r="AJ24" s="679"/>
      <c r="AK24" s="679"/>
      <c r="AL24" s="679"/>
      <c r="AM24" s="679"/>
      <c r="AN24" s="679"/>
      <c r="AO24" s="679"/>
      <c r="AP24" s="679"/>
      <c r="AQ24" s="679"/>
      <c r="AR24" s="679"/>
      <c r="AS24" s="679"/>
      <c r="AT24" s="679"/>
      <c r="AU24" s="679"/>
      <c r="AV24" s="679"/>
      <c r="AW24" s="679"/>
      <c r="AX24" s="679"/>
      <c r="AY24" s="679"/>
      <c r="AZ24" s="679"/>
      <c r="BA24" s="679"/>
      <c r="BB24" s="679"/>
      <c r="BC24" s="679"/>
      <c r="BD24" s="679"/>
      <c r="BE24" s="679"/>
      <c r="BF24" s="679"/>
      <c r="BG24" s="679"/>
      <c r="BH24" s="679"/>
      <c r="BI24" s="679"/>
      <c r="BJ24" s="679"/>
      <c r="BK24" s="679"/>
      <c r="BL24" s="679"/>
      <c r="BM24" s="679"/>
      <c r="BN24" s="679"/>
      <c r="BO24" s="679"/>
      <c r="BP24" s="679"/>
      <c r="BQ24" s="679"/>
      <c r="BR24" s="679"/>
      <c r="BS24" s="679"/>
      <c r="BT24" s="679"/>
      <c r="BU24" s="679"/>
      <c r="BV24" s="679"/>
      <c r="BW24" s="679"/>
      <c r="BX24" s="679"/>
      <c r="BY24" s="679"/>
      <c r="BZ24" s="679"/>
      <c r="CA24" s="679"/>
      <c r="CB24" s="679"/>
      <c r="CC24" s="679"/>
      <c r="CD24" s="679"/>
      <c r="CE24" s="679"/>
      <c r="CF24" s="679"/>
      <c r="CG24" s="679"/>
      <c r="CH24" s="679"/>
      <c r="CI24" s="679"/>
      <c r="CJ24" s="679"/>
      <c r="CK24" s="679"/>
      <c r="CL24" s="679"/>
      <c r="CM24" s="679"/>
      <c r="CN24" s="679"/>
      <c r="CO24" s="679"/>
      <c r="CP24" s="679"/>
      <c r="CQ24" s="679"/>
      <c r="CR24" s="679"/>
      <c r="CS24" s="679"/>
      <c r="CT24" s="679"/>
      <c r="CU24" s="679"/>
      <c r="CV24" s="679"/>
      <c r="CW24" s="679"/>
      <c r="CX24" s="679"/>
      <c r="CY24" s="679"/>
      <c r="CZ24" s="679"/>
      <c r="DA24" s="679"/>
      <c r="DB24" s="679"/>
      <c r="DC24" s="679"/>
      <c r="DD24" s="679"/>
      <c r="DE24" s="679"/>
      <c r="DF24" s="679"/>
      <c r="DG24" s="679"/>
      <c r="DH24" s="679"/>
      <c r="DI24" s="679"/>
      <c r="DJ24" s="679"/>
      <c r="DK24" s="679"/>
      <c r="DL24" s="679"/>
      <c r="DM24" s="679"/>
      <c r="DN24" s="679"/>
      <c r="DO24" s="679"/>
      <c r="DP24" s="679"/>
      <c r="DQ24" s="679"/>
      <c r="DR24" s="679"/>
      <c r="DS24" s="679"/>
      <c r="DT24" s="679"/>
      <c r="DU24" s="679"/>
      <c r="DV24" s="679"/>
      <c r="DW24" s="679"/>
      <c r="DX24" s="679"/>
      <c r="DY24" s="679"/>
      <c r="DZ24" s="679"/>
      <c r="EA24" s="679"/>
      <c r="EB24" s="679"/>
      <c r="EC24" s="679"/>
      <c r="ED24" s="679"/>
      <c r="EE24" s="679"/>
      <c r="EF24" s="679"/>
      <c r="EG24" s="679"/>
      <c r="EH24" s="679"/>
      <c r="EI24" s="679"/>
      <c r="EJ24" s="679"/>
      <c r="EK24" s="679"/>
      <c r="EL24" s="679"/>
      <c r="EM24" s="679"/>
      <c r="EN24" s="679"/>
      <c r="EO24" s="679"/>
      <c r="EP24" s="679"/>
      <c r="EQ24" s="679"/>
      <c r="ER24" s="679"/>
      <c r="ES24" s="679"/>
      <c r="ET24" s="679"/>
      <c r="EU24" s="679"/>
      <c r="EV24" s="679"/>
      <c r="EW24" s="679"/>
      <c r="EX24" s="679"/>
      <c r="EY24" s="679"/>
      <c r="EZ24" s="679"/>
      <c r="FA24" s="679"/>
      <c r="FB24" s="679"/>
      <c r="FC24" s="679"/>
      <c r="FD24" s="679"/>
      <c r="FE24" s="679"/>
      <c r="FF24" s="679"/>
      <c r="FG24" s="679"/>
      <c r="FH24" s="679"/>
      <c r="FI24" s="679"/>
      <c r="FJ24" s="679"/>
      <c r="FK24" s="679"/>
      <c r="FL24" s="679"/>
      <c r="FM24" s="679"/>
      <c r="FN24" s="679"/>
      <c r="FO24" s="679"/>
      <c r="FP24" s="679"/>
      <c r="FQ24" s="679"/>
      <c r="FR24" s="679"/>
      <c r="FS24" s="679"/>
      <c r="FT24" s="679"/>
      <c r="FU24" s="679"/>
      <c r="FV24" s="679"/>
      <c r="FW24" s="679"/>
      <c r="FX24" s="679"/>
      <c r="FY24" s="679"/>
      <c r="FZ24" s="679"/>
      <c r="GA24" s="679"/>
      <c r="GB24" s="679"/>
      <c r="GC24" s="679"/>
      <c r="GD24" s="679"/>
      <c r="GE24" s="679"/>
      <c r="GF24" s="679"/>
      <c r="GG24" s="679"/>
      <c r="GH24" s="679"/>
      <c r="GI24" s="679"/>
      <c r="GJ24" s="679"/>
      <c r="GK24" s="679"/>
      <c r="GL24" s="679"/>
      <c r="GM24" s="679"/>
      <c r="GN24" s="679"/>
      <c r="GO24" s="679"/>
      <c r="GP24" s="679"/>
      <c r="GQ24" s="679"/>
      <c r="GR24" s="679"/>
      <c r="GS24" s="679"/>
      <c r="GT24" s="679"/>
      <c r="GU24" s="679"/>
      <c r="GV24" s="679"/>
      <c r="GW24" s="679"/>
      <c r="GX24" s="679"/>
      <c r="GY24" s="679"/>
      <c r="GZ24" s="679"/>
      <c r="HA24" s="679"/>
      <c r="HB24" s="679"/>
      <c r="HC24" s="679"/>
      <c r="HD24" s="679"/>
      <c r="HE24" s="679"/>
      <c r="HF24" s="679"/>
      <c r="HG24" s="679"/>
      <c r="HH24" s="679"/>
      <c r="HI24" s="679"/>
      <c r="HJ24" s="679"/>
      <c r="HK24" s="679"/>
      <c r="HL24" s="679"/>
      <c r="HM24" s="679"/>
      <c r="HN24" s="679"/>
      <c r="HO24" s="679"/>
      <c r="HP24" s="679"/>
      <c r="HQ24" s="679"/>
      <c r="HR24" s="679"/>
      <c r="HS24" s="679"/>
      <c r="HT24" s="679"/>
      <c r="HU24" s="679"/>
      <c r="HV24" s="679"/>
      <c r="HW24" s="679"/>
      <c r="HX24" s="679"/>
      <c r="HY24" s="679"/>
      <c r="HZ24" s="679"/>
      <c r="IA24" s="679"/>
      <c r="IB24" s="679"/>
      <c r="IC24" s="679"/>
      <c r="ID24" s="679"/>
      <c r="IE24" s="679"/>
      <c r="IF24" s="679"/>
      <c r="IG24" s="679"/>
      <c r="IH24" s="679"/>
      <c r="II24" s="679"/>
      <c r="IJ24" s="679"/>
      <c r="IK24" s="679"/>
      <c r="IL24" s="679"/>
      <c r="IM24" s="679"/>
    </row>
    <row r="25" spans="1:247" s="660" customFormat="1" x14ac:dyDescent="0.25">
      <c r="A25" s="282"/>
      <c r="B25" s="282"/>
      <c r="C25" s="282"/>
      <c r="E25" s="463" t="s">
        <v>28</v>
      </c>
      <c r="F25" s="681" t="s">
        <v>29</v>
      </c>
      <c r="G25" s="680" t="s">
        <v>267</v>
      </c>
      <c r="H25" s="680"/>
      <c r="I25" s="682"/>
      <c r="J25" s="682"/>
      <c r="K25" s="682"/>
      <c r="L25" s="682"/>
      <c r="M25" s="679"/>
      <c r="N25" s="679"/>
      <c r="O25" s="679"/>
      <c r="P25" s="679"/>
      <c r="Q25" s="679"/>
      <c r="R25" s="679"/>
      <c r="S25" s="679"/>
      <c r="T25" s="679"/>
      <c r="U25" s="679"/>
      <c r="V25" s="679"/>
      <c r="W25" s="679"/>
      <c r="X25" s="679"/>
      <c r="Y25" s="679"/>
      <c r="Z25" s="659"/>
      <c r="AA25" s="659"/>
      <c r="AB25" s="659"/>
      <c r="AC25" s="659"/>
      <c r="AD25" s="659"/>
      <c r="AE25" s="659"/>
      <c r="AF25" s="659"/>
      <c r="AG25" s="659"/>
      <c r="AH25" s="659"/>
      <c r="AI25" s="659"/>
      <c r="AJ25" s="659"/>
      <c r="AK25" s="659"/>
      <c r="AL25" s="659"/>
      <c r="AM25" s="659"/>
      <c r="AN25" s="659"/>
      <c r="AO25" s="659"/>
      <c r="AP25" s="659"/>
      <c r="AQ25" s="659"/>
      <c r="AR25" s="659"/>
      <c r="AS25" s="659"/>
      <c r="AT25" s="659"/>
      <c r="AU25" s="659"/>
      <c r="AV25" s="659"/>
      <c r="AW25" s="659"/>
      <c r="AX25" s="659"/>
      <c r="AY25" s="659"/>
      <c r="AZ25" s="659"/>
      <c r="BA25" s="659"/>
      <c r="BB25" s="659"/>
      <c r="BC25" s="659"/>
      <c r="BD25" s="659"/>
      <c r="BE25" s="659"/>
      <c r="BF25" s="659"/>
      <c r="BG25" s="659"/>
      <c r="BH25" s="659"/>
      <c r="BI25" s="659"/>
      <c r="BJ25" s="659"/>
      <c r="BK25" s="659"/>
      <c r="BL25" s="659"/>
      <c r="BM25" s="659"/>
      <c r="BN25" s="659"/>
      <c r="BO25" s="659"/>
      <c r="BP25" s="659"/>
      <c r="BQ25" s="659"/>
      <c r="BR25" s="659"/>
      <c r="BS25" s="659"/>
      <c r="BT25" s="659"/>
      <c r="BU25" s="659"/>
      <c r="BV25" s="659"/>
      <c r="BW25" s="659"/>
      <c r="BX25" s="659"/>
      <c r="BY25" s="659"/>
      <c r="BZ25" s="659"/>
      <c r="CA25" s="659"/>
      <c r="CB25" s="659"/>
      <c r="CC25" s="659"/>
      <c r="CD25" s="659"/>
      <c r="CE25" s="659"/>
      <c r="CF25" s="659"/>
      <c r="CG25" s="659"/>
      <c r="CH25" s="659"/>
      <c r="CI25" s="659"/>
      <c r="CJ25" s="659"/>
      <c r="CK25" s="659"/>
      <c r="CL25" s="659"/>
      <c r="CM25" s="659"/>
      <c r="CN25" s="659"/>
      <c r="CO25" s="659"/>
      <c r="CP25" s="659"/>
      <c r="CQ25" s="659"/>
      <c r="CR25" s="659"/>
      <c r="CS25" s="659"/>
      <c r="CT25" s="659"/>
      <c r="CU25" s="659"/>
      <c r="CV25" s="659"/>
      <c r="CW25" s="659"/>
      <c r="CX25" s="659"/>
      <c r="CY25" s="659"/>
      <c r="CZ25" s="659"/>
      <c r="DA25" s="659"/>
      <c r="DB25" s="659"/>
      <c r="DC25" s="659"/>
      <c r="DD25" s="659"/>
      <c r="DE25" s="659"/>
      <c r="DF25" s="659"/>
      <c r="DG25" s="659"/>
      <c r="DH25" s="659"/>
      <c r="DI25" s="659"/>
      <c r="DJ25" s="659"/>
      <c r="DK25" s="659"/>
      <c r="DL25" s="659"/>
      <c r="DM25" s="659"/>
      <c r="DN25" s="659"/>
      <c r="DO25" s="659"/>
      <c r="DP25" s="659"/>
      <c r="DQ25" s="659"/>
      <c r="DR25" s="659"/>
      <c r="DS25" s="659"/>
      <c r="DT25" s="659"/>
      <c r="DU25" s="659"/>
      <c r="DV25" s="659"/>
      <c r="DW25" s="659"/>
      <c r="DX25" s="659"/>
      <c r="DY25" s="659"/>
      <c r="DZ25" s="659"/>
      <c r="EA25" s="659"/>
      <c r="EB25" s="659"/>
      <c r="EC25" s="659"/>
      <c r="ED25" s="659"/>
      <c r="EE25" s="659"/>
      <c r="EF25" s="659"/>
      <c r="EG25" s="659"/>
      <c r="EH25" s="659"/>
      <c r="EI25" s="659"/>
      <c r="EJ25" s="659"/>
      <c r="EK25" s="659"/>
      <c r="EL25" s="659"/>
      <c r="EM25" s="659"/>
      <c r="EN25" s="659"/>
      <c r="EO25" s="659"/>
      <c r="EP25" s="659"/>
      <c r="EQ25" s="659"/>
      <c r="ER25" s="659"/>
      <c r="ES25" s="659"/>
      <c r="ET25" s="659"/>
      <c r="EU25" s="659"/>
      <c r="EV25" s="659"/>
      <c r="EW25" s="659"/>
      <c r="EX25" s="659"/>
      <c r="EY25" s="659"/>
      <c r="EZ25" s="659"/>
      <c r="FA25" s="659"/>
      <c r="FB25" s="659"/>
      <c r="FC25" s="659"/>
      <c r="FD25" s="659"/>
      <c r="FE25" s="659"/>
      <c r="FF25" s="659"/>
      <c r="FG25" s="659"/>
      <c r="FH25" s="659"/>
      <c r="FI25" s="659"/>
      <c r="FJ25" s="659"/>
      <c r="FK25" s="659"/>
      <c r="FL25" s="659"/>
      <c r="FM25" s="659"/>
      <c r="FN25" s="659"/>
      <c r="FO25" s="659"/>
      <c r="FP25" s="659"/>
      <c r="FQ25" s="659"/>
      <c r="FR25" s="659"/>
      <c r="FS25" s="659"/>
      <c r="FT25" s="659"/>
      <c r="FU25" s="659"/>
      <c r="FV25" s="659"/>
      <c r="FW25" s="659"/>
      <c r="FX25" s="659"/>
      <c r="FY25" s="659"/>
      <c r="FZ25" s="659"/>
      <c r="GA25" s="659"/>
      <c r="GB25" s="659"/>
      <c r="GC25" s="659"/>
      <c r="GD25" s="659"/>
      <c r="GE25" s="659"/>
      <c r="GF25" s="659"/>
      <c r="GG25" s="659"/>
      <c r="GH25" s="659"/>
      <c r="GI25" s="659"/>
      <c r="GJ25" s="659"/>
      <c r="GK25" s="659"/>
      <c r="GL25" s="659"/>
      <c r="GM25" s="659"/>
      <c r="GN25" s="659"/>
      <c r="GO25" s="659"/>
      <c r="GP25" s="659"/>
      <c r="GQ25" s="659"/>
      <c r="GR25" s="659"/>
      <c r="GS25" s="659"/>
      <c r="GT25" s="659"/>
      <c r="GU25" s="659"/>
      <c r="GV25" s="659"/>
      <c r="GW25" s="659"/>
      <c r="GX25" s="659"/>
      <c r="GY25" s="659"/>
      <c r="GZ25" s="659"/>
      <c r="HA25" s="659"/>
      <c r="HB25" s="659"/>
      <c r="HC25" s="659"/>
      <c r="HD25" s="659"/>
      <c r="HE25" s="659"/>
      <c r="HF25" s="659"/>
      <c r="HG25" s="659"/>
      <c r="HH25" s="659"/>
      <c r="HI25" s="659"/>
      <c r="HJ25" s="659"/>
      <c r="HK25" s="659"/>
      <c r="HL25" s="659"/>
      <c r="HM25" s="659"/>
      <c r="HN25" s="659"/>
      <c r="HO25" s="659"/>
      <c r="HP25" s="659"/>
      <c r="HQ25" s="659"/>
      <c r="HR25" s="659"/>
      <c r="HS25" s="659"/>
      <c r="HT25" s="659"/>
      <c r="HU25" s="659"/>
      <c r="HV25" s="659"/>
      <c r="HW25" s="659"/>
      <c r="HX25" s="659"/>
      <c r="HY25" s="659"/>
      <c r="HZ25" s="659"/>
      <c r="IA25" s="659"/>
      <c r="IB25" s="659"/>
      <c r="IC25" s="659"/>
      <c r="ID25" s="659"/>
      <c r="IE25" s="659"/>
      <c r="IF25" s="659"/>
      <c r="IG25" s="659"/>
      <c r="IH25" s="659"/>
      <c r="II25" s="659"/>
      <c r="IJ25" s="659"/>
      <c r="IK25" s="659"/>
      <c r="IL25" s="659"/>
      <c r="IM25" s="659"/>
    </row>
    <row r="26" spans="1:247" s="660" customFormat="1" x14ac:dyDescent="0.25">
      <c r="A26" s="282"/>
      <c r="B26" s="282"/>
      <c r="C26" s="282"/>
      <c r="D26" s="282"/>
      <c r="E26" s="282"/>
      <c r="F26" s="683" t="s">
        <v>30</v>
      </c>
      <c r="G26" s="684">
        <v>43811</v>
      </c>
      <c r="H26" s="684"/>
      <c r="I26" s="682"/>
      <c r="J26" s="682"/>
      <c r="K26" s="682"/>
      <c r="L26" s="682"/>
      <c r="M26" s="679"/>
      <c r="N26" s="679"/>
      <c r="O26" s="679"/>
      <c r="P26" s="679"/>
      <c r="Q26" s="679"/>
      <c r="R26" s="679"/>
      <c r="S26" s="679"/>
      <c r="T26" s="679"/>
      <c r="U26" s="679"/>
      <c r="V26" s="679"/>
      <c r="W26" s="679"/>
      <c r="X26" s="679"/>
      <c r="Y26" s="679"/>
      <c r="Z26" s="659"/>
      <c r="AA26" s="659"/>
      <c r="AB26" s="659"/>
      <c r="AC26" s="659"/>
      <c r="AD26" s="659"/>
      <c r="AE26" s="659"/>
      <c r="AF26" s="659"/>
      <c r="AG26" s="659"/>
      <c r="AH26" s="659"/>
      <c r="AI26" s="659"/>
      <c r="AJ26" s="659"/>
      <c r="AK26" s="659"/>
      <c r="AL26" s="659"/>
      <c r="AM26" s="659"/>
      <c r="AN26" s="659"/>
      <c r="AO26" s="659"/>
      <c r="AP26" s="659"/>
      <c r="AQ26" s="659"/>
      <c r="AR26" s="659"/>
      <c r="AS26" s="659"/>
      <c r="AT26" s="659"/>
      <c r="AU26" s="659"/>
      <c r="AV26" s="659"/>
      <c r="AW26" s="659"/>
      <c r="AX26" s="659"/>
      <c r="AY26" s="659"/>
      <c r="AZ26" s="659"/>
      <c r="BA26" s="659"/>
      <c r="BB26" s="659"/>
      <c r="BC26" s="659"/>
      <c r="BD26" s="659"/>
      <c r="BE26" s="659"/>
      <c r="BF26" s="659"/>
      <c r="BG26" s="659"/>
      <c r="BH26" s="659"/>
      <c r="BI26" s="659"/>
      <c r="BJ26" s="659"/>
      <c r="BK26" s="659"/>
      <c r="BL26" s="659"/>
      <c r="BM26" s="659"/>
      <c r="BN26" s="659"/>
      <c r="BO26" s="659"/>
      <c r="BP26" s="659"/>
      <c r="BQ26" s="659"/>
      <c r="BR26" s="659"/>
      <c r="BS26" s="659"/>
      <c r="BT26" s="659"/>
      <c r="BU26" s="659"/>
      <c r="BV26" s="659"/>
      <c r="BW26" s="659"/>
      <c r="BX26" s="659"/>
      <c r="BY26" s="659"/>
      <c r="BZ26" s="659"/>
      <c r="CA26" s="659"/>
      <c r="CB26" s="659"/>
      <c r="CC26" s="659"/>
      <c r="CD26" s="659"/>
      <c r="CE26" s="659"/>
      <c r="CF26" s="659"/>
      <c r="CG26" s="659"/>
      <c r="CH26" s="659"/>
      <c r="CI26" s="659"/>
      <c r="CJ26" s="659"/>
      <c r="CK26" s="659"/>
      <c r="CL26" s="659"/>
      <c r="CM26" s="659"/>
      <c r="CN26" s="659"/>
      <c r="CO26" s="659"/>
      <c r="CP26" s="659"/>
      <c r="CQ26" s="659"/>
      <c r="CR26" s="659"/>
      <c r="CS26" s="659"/>
      <c r="CT26" s="659"/>
      <c r="CU26" s="659"/>
      <c r="CV26" s="659"/>
      <c r="CW26" s="659"/>
      <c r="CX26" s="659"/>
      <c r="CY26" s="659"/>
      <c r="CZ26" s="659"/>
      <c r="DA26" s="659"/>
      <c r="DB26" s="659"/>
      <c r="DC26" s="659"/>
      <c r="DD26" s="659"/>
      <c r="DE26" s="659"/>
      <c r="DF26" s="659"/>
      <c r="DG26" s="659"/>
      <c r="DH26" s="659"/>
      <c r="DI26" s="659"/>
      <c r="DJ26" s="659"/>
      <c r="DK26" s="659"/>
      <c r="DL26" s="659"/>
      <c r="DM26" s="659"/>
      <c r="DN26" s="659"/>
      <c r="DO26" s="659"/>
      <c r="DP26" s="659"/>
      <c r="DQ26" s="659"/>
      <c r="DR26" s="659"/>
      <c r="DS26" s="659"/>
      <c r="DT26" s="659"/>
      <c r="DU26" s="659"/>
      <c r="DV26" s="659"/>
      <c r="DW26" s="659"/>
      <c r="DX26" s="659"/>
      <c r="DY26" s="659"/>
      <c r="DZ26" s="659"/>
      <c r="EA26" s="659"/>
      <c r="EB26" s="659"/>
      <c r="EC26" s="659"/>
      <c r="ED26" s="659"/>
      <c r="EE26" s="659"/>
      <c r="EF26" s="659"/>
      <c r="EG26" s="659"/>
      <c r="EH26" s="659"/>
      <c r="EI26" s="659"/>
      <c r="EJ26" s="659"/>
      <c r="EK26" s="659"/>
      <c r="EL26" s="659"/>
      <c r="EM26" s="659"/>
      <c r="EN26" s="659"/>
      <c r="EO26" s="659"/>
      <c r="EP26" s="659"/>
      <c r="EQ26" s="659"/>
      <c r="ER26" s="659"/>
      <c r="ES26" s="659"/>
      <c r="ET26" s="659"/>
      <c r="EU26" s="659"/>
      <c r="EV26" s="659"/>
      <c r="EW26" s="659"/>
      <c r="EX26" s="659"/>
      <c r="EY26" s="659"/>
      <c r="EZ26" s="659"/>
      <c r="FA26" s="659"/>
      <c r="FB26" s="659"/>
      <c r="FC26" s="659"/>
      <c r="FD26" s="659"/>
      <c r="FE26" s="659"/>
      <c r="FF26" s="659"/>
      <c r="FG26" s="659"/>
      <c r="FH26" s="659"/>
      <c r="FI26" s="659"/>
      <c r="FJ26" s="659"/>
      <c r="FK26" s="659"/>
      <c r="FL26" s="659"/>
      <c r="FM26" s="659"/>
      <c r="FN26" s="659"/>
      <c r="FO26" s="659"/>
      <c r="FP26" s="659"/>
      <c r="FQ26" s="659"/>
      <c r="FR26" s="659"/>
      <c r="FS26" s="659"/>
      <c r="FT26" s="659"/>
      <c r="FU26" s="659"/>
      <c r="FV26" s="659"/>
      <c r="FW26" s="659"/>
      <c r="FX26" s="659"/>
      <c r="FY26" s="659"/>
      <c r="FZ26" s="659"/>
      <c r="GA26" s="659"/>
      <c r="GB26" s="659"/>
      <c r="GC26" s="659"/>
      <c r="GD26" s="659"/>
      <c r="GE26" s="659"/>
      <c r="GF26" s="659"/>
      <c r="GG26" s="659"/>
      <c r="GH26" s="659"/>
      <c r="GI26" s="659"/>
      <c r="GJ26" s="659"/>
      <c r="GK26" s="659"/>
      <c r="GL26" s="659"/>
      <c r="GM26" s="659"/>
      <c r="GN26" s="659"/>
      <c r="GO26" s="659"/>
      <c r="GP26" s="659"/>
      <c r="GQ26" s="659"/>
      <c r="GR26" s="659"/>
      <c r="GS26" s="659"/>
      <c r="GT26" s="659"/>
      <c r="GU26" s="659"/>
      <c r="GV26" s="659"/>
      <c r="GW26" s="659"/>
      <c r="GX26" s="659"/>
      <c r="GY26" s="659"/>
      <c r="GZ26" s="659"/>
      <c r="HA26" s="659"/>
      <c r="HB26" s="659"/>
      <c r="HC26" s="659"/>
      <c r="HD26" s="659"/>
      <c r="HE26" s="659"/>
      <c r="HF26" s="659"/>
      <c r="HG26" s="659"/>
      <c r="HH26" s="659"/>
      <c r="HI26" s="659"/>
      <c r="HJ26" s="659"/>
      <c r="HK26" s="659"/>
      <c r="HL26" s="659"/>
      <c r="HM26" s="659"/>
      <c r="HN26" s="659"/>
      <c r="HO26" s="659"/>
      <c r="HP26" s="659"/>
      <c r="HQ26" s="659"/>
      <c r="HR26" s="659"/>
      <c r="HS26" s="659"/>
      <c r="HT26" s="659"/>
      <c r="HU26" s="659"/>
      <c r="HV26" s="659"/>
      <c r="HW26" s="659"/>
      <c r="HX26" s="659"/>
      <c r="HY26" s="659"/>
      <c r="HZ26" s="659"/>
      <c r="IA26" s="659"/>
      <c r="IB26" s="659"/>
      <c r="IC26" s="659"/>
      <c r="ID26" s="659"/>
      <c r="IE26" s="659"/>
      <c r="IF26" s="659"/>
      <c r="IG26" s="659"/>
      <c r="IH26" s="659"/>
      <c r="II26" s="659"/>
      <c r="IJ26" s="659"/>
      <c r="IK26" s="659"/>
      <c r="IL26" s="659"/>
      <c r="IM26" s="659"/>
    </row>
    <row r="27" spans="1:247" s="660" customFormat="1" ht="15" customHeight="1" x14ac:dyDescent="0.25">
      <c r="A27" s="282"/>
      <c r="B27" s="282"/>
      <c r="C27" s="282"/>
      <c r="D27" s="282"/>
      <c r="E27" s="282"/>
      <c r="F27" s="463" t="s">
        <v>248</v>
      </c>
      <c r="G27" s="680"/>
      <c r="H27" s="680"/>
      <c r="I27" s="678"/>
      <c r="J27" s="678"/>
      <c r="K27" s="678"/>
      <c r="L27" s="678"/>
      <c r="M27" s="659"/>
      <c r="N27" s="659"/>
      <c r="O27" s="659"/>
      <c r="P27" s="659"/>
      <c r="Q27" s="659"/>
      <c r="R27" s="659"/>
      <c r="S27" s="659"/>
      <c r="T27" s="659"/>
      <c r="U27" s="659"/>
      <c r="V27" s="659"/>
      <c r="W27" s="659"/>
      <c r="X27" s="659"/>
      <c r="Y27" s="659"/>
      <c r="Z27" s="659"/>
      <c r="AA27" s="659"/>
      <c r="AB27" s="659"/>
      <c r="AC27" s="659"/>
      <c r="AD27" s="659"/>
      <c r="AE27" s="659"/>
      <c r="AF27" s="659"/>
      <c r="AG27" s="659"/>
      <c r="AH27" s="659"/>
      <c r="AI27" s="659"/>
      <c r="AJ27" s="659"/>
      <c r="AK27" s="659"/>
      <c r="AL27" s="659"/>
      <c r="AM27" s="659"/>
      <c r="AN27" s="659"/>
      <c r="AO27" s="659"/>
      <c r="AP27" s="659"/>
      <c r="AQ27" s="659"/>
      <c r="AR27" s="659"/>
      <c r="AS27" s="659"/>
      <c r="AT27" s="659"/>
      <c r="AU27" s="659"/>
      <c r="AV27" s="659"/>
      <c r="AW27" s="659"/>
      <c r="AX27" s="659"/>
      <c r="AY27" s="659"/>
      <c r="AZ27" s="659"/>
      <c r="BA27" s="659"/>
      <c r="BB27" s="659"/>
      <c r="BC27" s="659"/>
      <c r="BD27" s="659"/>
      <c r="BE27" s="659"/>
      <c r="BF27" s="659"/>
      <c r="BG27" s="659"/>
      <c r="BH27" s="659"/>
      <c r="BI27" s="659"/>
      <c r="BJ27" s="659"/>
      <c r="BK27" s="659"/>
      <c r="BL27" s="659"/>
      <c r="BM27" s="659"/>
      <c r="BN27" s="659"/>
      <c r="BO27" s="659"/>
      <c r="BP27" s="659"/>
      <c r="BQ27" s="659"/>
      <c r="BR27" s="659"/>
      <c r="BS27" s="659"/>
      <c r="BT27" s="659"/>
      <c r="BU27" s="659"/>
      <c r="BV27" s="659"/>
      <c r="BW27" s="659"/>
      <c r="BX27" s="659"/>
      <c r="BY27" s="659"/>
      <c r="BZ27" s="659"/>
      <c r="CA27" s="659"/>
      <c r="CB27" s="659"/>
      <c r="CC27" s="659"/>
      <c r="CD27" s="659"/>
      <c r="CE27" s="659"/>
      <c r="CF27" s="659"/>
      <c r="CG27" s="659"/>
      <c r="CH27" s="659"/>
      <c r="CI27" s="659"/>
      <c r="CJ27" s="659"/>
      <c r="CK27" s="659"/>
      <c r="CL27" s="659"/>
      <c r="CM27" s="659"/>
      <c r="CN27" s="659"/>
      <c r="CO27" s="659"/>
      <c r="CP27" s="659"/>
      <c r="CQ27" s="659"/>
      <c r="CR27" s="659"/>
      <c r="CS27" s="659"/>
      <c r="CT27" s="659"/>
      <c r="CU27" s="659"/>
      <c r="CV27" s="659"/>
      <c r="CW27" s="659"/>
      <c r="CX27" s="659"/>
      <c r="CY27" s="659"/>
      <c r="CZ27" s="659"/>
      <c r="DA27" s="659"/>
      <c r="DB27" s="659"/>
      <c r="DC27" s="659"/>
      <c r="DD27" s="659"/>
      <c r="DE27" s="659"/>
      <c r="DF27" s="659"/>
      <c r="DG27" s="659"/>
      <c r="DH27" s="659"/>
      <c r="DI27" s="659"/>
      <c r="DJ27" s="659"/>
      <c r="DK27" s="659"/>
      <c r="DL27" s="659"/>
      <c r="DM27" s="659"/>
      <c r="DN27" s="659"/>
      <c r="DO27" s="659"/>
      <c r="DP27" s="659"/>
      <c r="DQ27" s="659"/>
      <c r="DR27" s="659"/>
      <c r="DS27" s="659"/>
      <c r="DT27" s="659"/>
      <c r="DU27" s="659"/>
      <c r="DV27" s="659"/>
      <c r="DW27" s="659"/>
      <c r="DX27" s="659"/>
      <c r="DY27" s="659"/>
      <c r="DZ27" s="659"/>
      <c r="EA27" s="659"/>
      <c r="EB27" s="659"/>
      <c r="EC27" s="659"/>
      <c r="ED27" s="659"/>
      <c r="EE27" s="659"/>
      <c r="EF27" s="659"/>
      <c r="EG27" s="659"/>
      <c r="EH27" s="659"/>
      <c r="EI27" s="659"/>
      <c r="EJ27" s="659"/>
      <c r="EK27" s="659"/>
      <c r="EL27" s="659"/>
      <c r="EM27" s="659"/>
      <c r="EN27" s="659"/>
      <c r="EO27" s="659"/>
      <c r="EP27" s="659"/>
      <c r="EQ27" s="659"/>
      <c r="ER27" s="659"/>
      <c r="ES27" s="659"/>
      <c r="ET27" s="659"/>
      <c r="EU27" s="659"/>
      <c r="EV27" s="659"/>
      <c r="EW27" s="659"/>
      <c r="EX27" s="659"/>
      <c r="EY27" s="659"/>
      <c r="EZ27" s="659"/>
      <c r="FA27" s="659"/>
      <c r="FB27" s="659"/>
      <c r="FC27" s="659"/>
      <c r="FD27" s="659"/>
      <c r="FE27" s="659"/>
      <c r="FF27" s="659"/>
      <c r="FG27" s="659"/>
      <c r="FH27" s="659"/>
      <c r="FI27" s="659"/>
      <c r="FJ27" s="659"/>
      <c r="FK27" s="659"/>
      <c r="FL27" s="659"/>
      <c r="FM27" s="659"/>
      <c r="FN27" s="659"/>
      <c r="FO27" s="659"/>
      <c r="FP27" s="659"/>
      <c r="FQ27" s="659"/>
      <c r="FR27" s="659"/>
      <c r="FS27" s="659"/>
      <c r="FT27" s="659"/>
      <c r="FU27" s="659"/>
      <c r="FV27" s="659"/>
      <c r="FW27" s="659"/>
      <c r="FX27" s="659"/>
      <c r="FY27" s="659"/>
      <c r="FZ27" s="659"/>
      <c r="GA27" s="659"/>
      <c r="GB27" s="659"/>
      <c r="GC27" s="659"/>
      <c r="GD27" s="659"/>
      <c r="GE27" s="659"/>
      <c r="GF27" s="659"/>
      <c r="GG27" s="659"/>
      <c r="GH27" s="659"/>
      <c r="GI27" s="659"/>
      <c r="GJ27" s="659"/>
      <c r="GK27" s="659"/>
      <c r="GL27" s="659"/>
      <c r="GM27" s="659"/>
      <c r="GN27" s="659"/>
      <c r="GO27" s="659"/>
      <c r="GP27" s="659"/>
      <c r="GQ27" s="659"/>
      <c r="GR27" s="659"/>
      <c r="GS27" s="659"/>
      <c r="GT27" s="659"/>
      <c r="GU27" s="659"/>
      <c r="GV27" s="659"/>
      <c r="GW27" s="659"/>
      <c r="GX27" s="659"/>
      <c r="GY27" s="659"/>
      <c r="GZ27" s="659"/>
      <c r="HA27" s="659"/>
      <c r="HB27" s="659"/>
      <c r="HC27" s="659"/>
      <c r="HD27" s="659"/>
      <c r="HE27" s="659"/>
      <c r="HF27" s="659"/>
      <c r="HG27" s="659"/>
      <c r="HH27" s="659"/>
      <c r="HI27" s="659"/>
      <c r="HJ27" s="659"/>
      <c r="HK27" s="659"/>
      <c r="HL27" s="659"/>
      <c r="HM27" s="659"/>
      <c r="HN27" s="659"/>
      <c r="HO27" s="659"/>
      <c r="HP27" s="659"/>
      <c r="HQ27" s="659"/>
      <c r="HR27" s="659"/>
      <c r="HS27" s="659"/>
      <c r="HT27" s="659"/>
      <c r="HU27" s="659"/>
      <c r="HV27" s="659"/>
      <c r="HW27" s="659"/>
      <c r="HX27" s="659"/>
      <c r="HY27" s="659"/>
      <c r="HZ27" s="659"/>
      <c r="IA27" s="659"/>
      <c r="IB27" s="659"/>
      <c r="IC27" s="659"/>
      <c r="ID27" s="659"/>
      <c r="IE27" s="659"/>
      <c r="IF27" s="659"/>
      <c r="IG27" s="659"/>
      <c r="IH27" s="659"/>
      <c r="II27" s="659"/>
      <c r="IJ27" s="659"/>
      <c r="IK27" s="659"/>
      <c r="IL27" s="659"/>
      <c r="IM27" s="659"/>
    </row>
    <row r="28" spans="1:247" x14ac:dyDescent="0.25">
      <c r="A28" s="651"/>
      <c r="B28" s="651"/>
      <c r="C28" s="651"/>
      <c r="D28" s="651"/>
      <c r="E28" s="651"/>
      <c r="F28" s="651"/>
      <c r="G28" s="651"/>
      <c r="H28" s="651"/>
    </row>
    <row r="29" spans="1:247" ht="12.75" customHeight="1" x14ac:dyDescent="0.25">
      <c r="A29" s="651"/>
      <c r="B29" s="651"/>
      <c r="C29" s="651"/>
      <c r="D29" s="651"/>
      <c r="E29" s="685" t="s">
        <v>31</v>
      </c>
      <c r="F29" s="686" t="s">
        <v>32</v>
      </c>
      <c r="G29" s="687" t="s">
        <v>33</v>
      </c>
      <c r="H29" s="688"/>
    </row>
    <row r="30" spans="1:247" x14ac:dyDescent="0.25">
      <c r="A30" s="651"/>
      <c r="B30" s="651"/>
      <c r="C30" s="651"/>
      <c r="D30" s="651"/>
      <c r="E30" s="689"/>
      <c r="F30" s="690"/>
      <c r="G30" s="691" t="s">
        <v>34</v>
      </c>
      <c r="H30" s="692" t="s">
        <v>35</v>
      </c>
    </row>
    <row r="31" spans="1:247" x14ac:dyDescent="0.25">
      <c r="A31" s="651"/>
      <c r="B31" s="651"/>
      <c r="C31" s="651"/>
      <c r="D31" s="651"/>
      <c r="E31" s="399" t="s">
        <v>194</v>
      </c>
      <c r="F31" s="461">
        <v>44227</v>
      </c>
      <c r="G31" s="461">
        <v>44207</v>
      </c>
      <c r="H31" s="317">
        <f>F31</f>
        <v>44227</v>
      </c>
    </row>
    <row r="32" spans="1:247" x14ac:dyDescent="0.25">
      <c r="A32" s="651"/>
      <c r="B32" s="651"/>
      <c r="C32" s="651"/>
      <c r="D32" s="651"/>
      <c r="E32" s="651"/>
      <c r="F32" s="651"/>
      <c r="G32" s="651"/>
      <c r="H32" s="651"/>
    </row>
    <row r="33" spans="1:18" s="698" customFormat="1" x14ac:dyDescent="0.25">
      <c r="A33" s="693"/>
      <c r="B33" s="693"/>
      <c r="C33" s="694"/>
      <c r="D33" s="695"/>
      <c r="E33" s="696"/>
      <c r="F33" s="695"/>
      <c r="G33" s="696"/>
      <c r="H33" s="695"/>
      <c r="I33" s="697"/>
      <c r="J33" s="697"/>
      <c r="K33" s="697"/>
      <c r="L33" s="697"/>
    </row>
    <row r="34" spans="1:18" s="698" customFormat="1" ht="16.5" x14ac:dyDescent="0.25">
      <c r="A34" s="699" t="s">
        <v>567</v>
      </c>
      <c r="B34" s="700"/>
      <c r="C34" s="700"/>
      <c r="D34" s="700"/>
      <c r="E34" s="700"/>
      <c r="F34" s="700"/>
      <c r="G34" s="700"/>
      <c r="H34" s="700"/>
      <c r="I34" s="697" t="s">
        <v>566</v>
      </c>
      <c r="J34" s="697"/>
      <c r="K34" s="697"/>
      <c r="L34" s="697"/>
    </row>
    <row r="35" spans="1:18" s="698" customFormat="1" ht="16.5" x14ac:dyDescent="0.25">
      <c r="A35" s="699" t="s">
        <v>583</v>
      </c>
      <c r="B35" s="700"/>
      <c r="C35" s="700"/>
      <c r="D35" s="700"/>
      <c r="E35" s="700"/>
      <c r="F35" s="700"/>
      <c r="G35" s="700"/>
      <c r="H35" s="700"/>
      <c r="I35" s="697"/>
      <c r="J35" s="697"/>
      <c r="K35" s="697"/>
      <c r="L35" s="697"/>
    </row>
    <row r="36" spans="1:18" s="698" customFormat="1" ht="17.25" thickBot="1" x14ac:dyDescent="0.3">
      <c r="A36" s="701" t="s">
        <v>584</v>
      </c>
      <c r="B36" s="702"/>
      <c r="C36" s="702"/>
      <c r="D36" s="702"/>
      <c r="E36" s="702"/>
      <c r="F36" s="702"/>
      <c r="G36" s="702"/>
      <c r="H36" s="702"/>
      <c r="I36" s="697"/>
      <c r="J36" s="697"/>
      <c r="K36" s="697"/>
      <c r="L36" s="697"/>
    </row>
    <row r="37" spans="1:18" s="698" customFormat="1" ht="22.5" customHeight="1" thickBot="1" x14ac:dyDescent="0.3">
      <c r="A37" s="703" t="s">
        <v>565</v>
      </c>
      <c r="B37" s="704" t="s">
        <v>564</v>
      </c>
      <c r="C37" s="705" t="s">
        <v>563</v>
      </c>
      <c r="D37" s="706"/>
      <c r="E37" s="706"/>
      <c r="F37" s="706"/>
      <c r="G37" s="706"/>
      <c r="H37" s="707"/>
      <c r="I37" s="697"/>
      <c r="J37" s="697"/>
      <c r="K37" s="697"/>
      <c r="L37" s="697"/>
    </row>
    <row r="38" spans="1:18" s="698" customFormat="1" ht="15" customHeight="1" x14ac:dyDescent="0.3">
      <c r="A38" s="708"/>
      <c r="B38" s="709"/>
      <c r="C38" s="710" t="s">
        <v>562</v>
      </c>
      <c r="D38" s="711"/>
      <c r="E38" s="710" t="s">
        <v>561</v>
      </c>
      <c r="F38" s="711"/>
      <c r="G38" s="710" t="s">
        <v>560</v>
      </c>
      <c r="H38" s="711"/>
      <c r="I38" s="697"/>
      <c r="J38" s="697"/>
      <c r="K38" s="697"/>
      <c r="L38" s="697"/>
      <c r="M38" s="712">
        <f>'Реестр январь'!L29</f>
        <v>763133.52</v>
      </c>
      <c r="N38" s="713"/>
    </row>
    <row r="39" spans="1:18" s="698" customFormat="1" ht="16.5" customHeight="1" x14ac:dyDescent="0.3">
      <c r="A39" s="708"/>
      <c r="B39" s="709"/>
      <c r="C39" s="714"/>
      <c r="D39" s="715"/>
      <c r="E39" s="714"/>
      <c r="F39" s="715"/>
      <c r="G39" s="714"/>
      <c r="H39" s="715"/>
      <c r="I39" s="697"/>
      <c r="J39" s="697"/>
      <c r="K39" s="697"/>
      <c r="L39" s="697"/>
      <c r="M39" s="712">
        <f>'Реестр январь'!N29</f>
        <v>5675027.5099999998</v>
      </c>
      <c r="N39" s="713">
        <f>H56-M39</f>
        <v>0</v>
      </c>
    </row>
    <row r="40" spans="1:18" s="698" customFormat="1" x14ac:dyDescent="0.25">
      <c r="A40" s="708"/>
      <c r="B40" s="709"/>
      <c r="C40" s="714" t="s">
        <v>558</v>
      </c>
      <c r="D40" s="716" t="s">
        <v>559</v>
      </c>
      <c r="E40" s="714" t="s">
        <v>558</v>
      </c>
      <c r="F40" s="716" t="s">
        <v>557</v>
      </c>
      <c r="G40" s="714" t="s">
        <v>558</v>
      </c>
      <c r="H40" s="716" t="s">
        <v>557</v>
      </c>
      <c r="I40" s="697"/>
      <c r="J40" s="697"/>
      <c r="K40" s="697"/>
      <c r="L40" s="697"/>
    </row>
    <row r="41" spans="1:18" s="698" customFormat="1" x14ac:dyDescent="0.25">
      <c r="A41" s="708"/>
      <c r="B41" s="709"/>
      <c r="C41" s="714"/>
      <c r="D41" s="716"/>
      <c r="E41" s="714"/>
      <c r="F41" s="716"/>
      <c r="G41" s="714"/>
      <c r="H41" s="716"/>
      <c r="I41" s="697"/>
      <c r="J41" s="697"/>
      <c r="K41" s="697"/>
      <c r="L41" s="697"/>
    </row>
    <row r="42" spans="1:18" s="698" customFormat="1" ht="16.5" thickBot="1" x14ac:dyDescent="0.3">
      <c r="A42" s="717"/>
      <c r="B42" s="718"/>
      <c r="C42" s="719"/>
      <c r="D42" s="720"/>
      <c r="E42" s="719"/>
      <c r="F42" s="720"/>
      <c r="G42" s="719"/>
      <c r="H42" s="721"/>
      <c r="I42" s="722" t="s">
        <v>580</v>
      </c>
      <c r="J42" s="697"/>
      <c r="K42" s="697"/>
      <c r="L42" s="697"/>
      <c r="M42" s="698" t="s">
        <v>579</v>
      </c>
    </row>
    <row r="43" spans="1:18" s="698" customFormat="1" ht="16.5" thickBot="1" x14ac:dyDescent="0.3">
      <c r="A43" s="723">
        <v>1</v>
      </c>
      <c r="B43" s="723">
        <v>2</v>
      </c>
      <c r="C43" s="724">
        <v>3</v>
      </c>
      <c r="D43" s="725">
        <v>4</v>
      </c>
      <c r="E43" s="724">
        <v>5</v>
      </c>
      <c r="F43" s="725">
        <v>6</v>
      </c>
      <c r="G43" s="724">
        <v>7</v>
      </c>
      <c r="H43" s="725">
        <v>8</v>
      </c>
      <c r="I43" s="726"/>
      <c r="J43" s="697"/>
      <c r="K43" s="697"/>
      <c r="L43" s="697"/>
      <c r="R43" s="713"/>
    </row>
    <row r="44" spans="1:18" s="698" customFormat="1" ht="25.5" x14ac:dyDescent="0.2">
      <c r="A44" s="396" t="s">
        <v>12</v>
      </c>
      <c r="B44" s="727" t="s">
        <v>556</v>
      </c>
      <c r="C44" s="728">
        <f t="shared" ref="C44:H44" si="0">C46+C49+C50+C53</f>
        <v>9432548</v>
      </c>
      <c r="D44" s="728">
        <f t="shared" si="0"/>
        <v>47680814</v>
      </c>
      <c r="E44" s="728">
        <f t="shared" si="0"/>
        <v>763133</v>
      </c>
      <c r="F44" s="728">
        <f t="shared" si="0"/>
        <v>5675028</v>
      </c>
      <c r="G44" s="728">
        <f t="shared" si="0"/>
        <v>763133</v>
      </c>
      <c r="H44" s="378">
        <f t="shared" si="0"/>
        <v>5675027.5099999998</v>
      </c>
      <c r="I44" s="378">
        <v>8486700</v>
      </c>
      <c r="J44" s="378">
        <v>41200674.060000002</v>
      </c>
      <c r="K44" s="378">
        <v>8486700</v>
      </c>
      <c r="L44" s="378">
        <v>41200674.060000002</v>
      </c>
      <c r="M44" s="728">
        <v>8669415</v>
      </c>
      <c r="N44" s="729">
        <v>42005786.359999999</v>
      </c>
      <c r="O44" s="728">
        <v>8669415</v>
      </c>
      <c r="P44" s="728">
        <v>42005786</v>
      </c>
      <c r="Q44" s="713"/>
      <c r="R44" s="713"/>
    </row>
    <row r="45" spans="1:18" s="698" customFormat="1" ht="16.5" thickBot="1" x14ac:dyDescent="0.25">
      <c r="A45" s="394"/>
      <c r="B45" s="393" t="s">
        <v>555</v>
      </c>
      <c r="C45" s="376"/>
      <c r="D45" s="377"/>
      <c r="E45" s="376"/>
      <c r="F45" s="377"/>
      <c r="G45" s="391"/>
      <c r="H45" s="372"/>
      <c r="I45" s="391"/>
      <c r="J45" s="372"/>
      <c r="K45" s="391"/>
      <c r="L45" s="372"/>
      <c r="M45" s="391"/>
      <c r="N45" s="372"/>
      <c r="O45" s="391"/>
      <c r="P45" s="372"/>
      <c r="Q45" s="713"/>
      <c r="R45" s="713"/>
    </row>
    <row r="46" spans="1:18" s="698" customFormat="1" ht="16.5" thickBot="1" x14ac:dyDescent="0.25">
      <c r="A46" s="398" t="s">
        <v>189</v>
      </c>
      <c r="B46" s="415" t="s">
        <v>3</v>
      </c>
      <c r="C46" s="730">
        <f>G46+M46</f>
        <v>9387605</v>
      </c>
      <c r="D46" s="405">
        <f>H46+N46</f>
        <v>46673078.890000001</v>
      </c>
      <c r="E46" s="731">
        <f>G46</f>
        <v>754496</v>
      </c>
      <c r="F46" s="405">
        <f>H46</f>
        <v>5480826.4000000004</v>
      </c>
      <c r="G46" s="421">
        <f>'Реестр январь'!F23</f>
        <v>754496</v>
      </c>
      <c r="H46" s="378">
        <f>'Реестр январь'!H23</f>
        <v>5480826.4000000004</v>
      </c>
      <c r="I46" s="383">
        <v>8450873</v>
      </c>
      <c r="J46" s="395">
        <v>40397743.68</v>
      </c>
      <c r="K46" s="383">
        <v>8450873</v>
      </c>
      <c r="L46" s="395">
        <v>40397743.68</v>
      </c>
      <c r="M46" s="728">
        <v>8633109</v>
      </c>
      <c r="N46" s="378">
        <v>41192252.490000002</v>
      </c>
      <c r="O46" s="728">
        <v>8633109</v>
      </c>
      <c r="P46" s="378">
        <v>41192252.490000002</v>
      </c>
      <c r="Q46" s="713"/>
      <c r="R46" s="713"/>
    </row>
    <row r="47" spans="1:18" s="698" customFormat="1" ht="16.5" thickBot="1" x14ac:dyDescent="0.25">
      <c r="A47" s="397" t="s">
        <v>190</v>
      </c>
      <c r="B47" s="409" t="s">
        <v>536</v>
      </c>
      <c r="C47" s="732">
        <f t="shared" ref="C47:C70" si="1">G47+M47</f>
        <v>0</v>
      </c>
      <c r="D47" s="406">
        <f>H47+N47</f>
        <v>9334615.7799999993</v>
      </c>
      <c r="E47" s="733">
        <f t="shared" ref="E47:E62" si="2">G47</f>
        <v>0</v>
      </c>
      <c r="F47" s="406">
        <f>H47</f>
        <v>1096165.28</v>
      </c>
      <c r="G47" s="422"/>
      <c r="H47" s="365">
        <f>ROUND(H46*0.2,2)</f>
        <v>1096165.28</v>
      </c>
      <c r="I47" s="383">
        <v>0</v>
      </c>
      <c r="J47" s="365">
        <v>8079548.7400000002</v>
      </c>
      <c r="K47" s="383">
        <v>0</v>
      </c>
      <c r="L47" s="365">
        <v>8079548.7400000002</v>
      </c>
      <c r="M47" s="383">
        <v>0</v>
      </c>
      <c r="N47" s="378">
        <v>8238450.5</v>
      </c>
      <c r="O47" s="728">
        <v>0</v>
      </c>
      <c r="P47" s="378">
        <v>8238450.5</v>
      </c>
      <c r="Q47" s="713"/>
      <c r="R47" s="713"/>
    </row>
    <row r="48" spans="1:18" s="698" customFormat="1" ht="16.5" thickBot="1" x14ac:dyDescent="0.25">
      <c r="A48" s="394" t="s">
        <v>191</v>
      </c>
      <c r="B48" s="416" t="s">
        <v>554</v>
      </c>
      <c r="C48" s="734">
        <f t="shared" si="1"/>
        <v>0</v>
      </c>
      <c r="D48" s="407">
        <f>H48+N48</f>
        <v>56007694.670000002</v>
      </c>
      <c r="E48" s="735">
        <f t="shared" si="2"/>
        <v>0</v>
      </c>
      <c r="F48" s="407">
        <f>H48</f>
        <v>6576991.6799999997</v>
      </c>
      <c r="G48" s="423"/>
      <c r="H48" s="372">
        <f>H46+H47</f>
        <v>6576991.6799999997</v>
      </c>
      <c r="I48" s="391">
        <v>0</v>
      </c>
      <c r="J48" s="372">
        <v>48477292.420000002</v>
      </c>
      <c r="K48" s="391">
        <v>0</v>
      </c>
      <c r="L48" s="372">
        <v>48477292.420000002</v>
      </c>
      <c r="M48" s="391">
        <v>0</v>
      </c>
      <c r="N48" s="378">
        <v>49430702.990000002</v>
      </c>
      <c r="O48" s="728">
        <v>0</v>
      </c>
      <c r="P48" s="378">
        <v>49430702.990000002</v>
      </c>
      <c r="Q48" s="713"/>
      <c r="R48" s="713"/>
    </row>
    <row r="49" spans="1:18" s="698" customFormat="1" ht="16.5" thickBot="1" x14ac:dyDescent="0.25">
      <c r="A49" s="381" t="s">
        <v>192</v>
      </c>
      <c r="B49" s="415" t="s">
        <v>13</v>
      </c>
      <c r="C49" s="730">
        <f t="shared" si="1"/>
        <v>0</v>
      </c>
      <c r="D49" s="405">
        <f>H49+N49</f>
        <v>0</v>
      </c>
      <c r="E49" s="731">
        <f t="shared" si="2"/>
        <v>0</v>
      </c>
      <c r="F49" s="405">
        <f t="shared" ref="F49:F55" si="3">P49</f>
        <v>0</v>
      </c>
      <c r="G49" s="424">
        <v>0</v>
      </c>
      <c r="H49" s="378">
        <v>0</v>
      </c>
      <c r="I49" s="388">
        <v>0</v>
      </c>
      <c r="J49" s="378">
        <v>0</v>
      </c>
      <c r="K49" s="388">
        <v>0</v>
      </c>
      <c r="L49" s="378">
        <v>0</v>
      </c>
      <c r="M49" s="388">
        <v>0</v>
      </c>
      <c r="N49" s="378">
        <v>0</v>
      </c>
      <c r="O49" s="728">
        <v>0</v>
      </c>
      <c r="P49" s="378">
        <v>0</v>
      </c>
      <c r="Q49" s="713"/>
      <c r="R49" s="713"/>
    </row>
    <row r="50" spans="1:18" s="698" customFormat="1" ht="16.5" thickBot="1" x14ac:dyDescent="0.25">
      <c r="A50" s="396" t="s">
        <v>124</v>
      </c>
      <c r="B50" s="409" t="s">
        <v>60</v>
      </c>
      <c r="C50" s="732">
        <f t="shared" si="1"/>
        <v>44943</v>
      </c>
      <c r="D50" s="406">
        <f>N50+H50</f>
        <v>1007734.98</v>
      </c>
      <c r="E50" s="733">
        <f>G50</f>
        <v>8637</v>
      </c>
      <c r="F50" s="406">
        <f>H50</f>
        <v>194201.11</v>
      </c>
      <c r="G50" s="422">
        <f>'Реестр январь'!I23</f>
        <v>8637</v>
      </c>
      <c r="H50" s="365">
        <f>'Реестр январь'!K23</f>
        <v>194201.11</v>
      </c>
      <c r="I50" s="383">
        <v>35827</v>
      </c>
      <c r="J50" s="395">
        <v>802930.38</v>
      </c>
      <c r="K50" s="383">
        <v>35827</v>
      </c>
      <c r="L50" s="395">
        <v>802930.38</v>
      </c>
      <c r="M50" s="378">
        <v>36306</v>
      </c>
      <c r="N50" s="378">
        <v>813533.87</v>
      </c>
      <c r="O50" s="728">
        <v>36306</v>
      </c>
      <c r="P50" s="378">
        <v>813533.87</v>
      </c>
      <c r="Q50" s="713"/>
      <c r="R50" s="713"/>
    </row>
    <row r="51" spans="1:18" s="698" customFormat="1" ht="16.5" thickBot="1" x14ac:dyDescent="0.25">
      <c r="A51" s="396" t="s">
        <v>193</v>
      </c>
      <c r="B51" s="409" t="s">
        <v>536</v>
      </c>
      <c r="C51" s="732">
        <f t="shared" si="1"/>
        <v>0</v>
      </c>
      <c r="D51" s="406">
        <f>H51+N51</f>
        <v>201546.99</v>
      </c>
      <c r="E51" s="733">
        <f t="shared" si="2"/>
        <v>0</v>
      </c>
      <c r="F51" s="406">
        <f>H51</f>
        <v>38840.22</v>
      </c>
      <c r="G51" s="422"/>
      <c r="H51" s="365">
        <f>ROUND((H49+H50)*0.2,2)</f>
        <v>38840.22</v>
      </c>
      <c r="I51" s="383">
        <v>0</v>
      </c>
      <c r="J51" s="395">
        <v>160586.07</v>
      </c>
      <c r="K51" s="383">
        <v>0</v>
      </c>
      <c r="L51" s="395">
        <v>160586.07</v>
      </c>
      <c r="M51" s="383">
        <v>0</v>
      </c>
      <c r="N51" s="378">
        <v>162706.76999999999</v>
      </c>
      <c r="O51" s="728">
        <v>0</v>
      </c>
      <c r="P51" s="378">
        <v>162706.76999999999</v>
      </c>
      <c r="Q51" s="713"/>
      <c r="R51" s="713"/>
    </row>
    <row r="52" spans="1:18" s="698" customFormat="1" ht="16.5" thickBot="1" x14ac:dyDescent="0.25">
      <c r="A52" s="394" t="s">
        <v>194</v>
      </c>
      <c r="B52" s="416" t="s">
        <v>553</v>
      </c>
      <c r="C52" s="734">
        <f t="shared" si="1"/>
        <v>0</v>
      </c>
      <c r="D52" s="407">
        <f>N52+H52</f>
        <v>1209281.97</v>
      </c>
      <c r="E52" s="735">
        <f t="shared" si="2"/>
        <v>0</v>
      </c>
      <c r="F52" s="407">
        <f>H52</f>
        <v>233041.33</v>
      </c>
      <c r="G52" s="423"/>
      <c r="H52" s="372">
        <f>H49+H50+H51</f>
        <v>233041.33</v>
      </c>
      <c r="I52" s="391">
        <v>0</v>
      </c>
      <c r="J52" s="390">
        <v>963516.45</v>
      </c>
      <c r="K52" s="391">
        <v>0</v>
      </c>
      <c r="L52" s="390">
        <v>963516.45</v>
      </c>
      <c r="M52" s="391">
        <v>0</v>
      </c>
      <c r="N52" s="378">
        <v>976240.64000000001</v>
      </c>
      <c r="O52" s="728">
        <v>0</v>
      </c>
      <c r="P52" s="378">
        <v>976240.64000000001</v>
      </c>
      <c r="Q52" s="713"/>
      <c r="R52" s="713"/>
    </row>
    <row r="53" spans="1:18" s="698" customFormat="1" ht="16.5" thickBot="1" x14ac:dyDescent="0.25">
      <c r="A53" s="381" t="s">
        <v>552</v>
      </c>
      <c r="B53" s="415" t="s">
        <v>62</v>
      </c>
      <c r="C53" s="730">
        <f t="shared" si="1"/>
        <v>0</v>
      </c>
      <c r="D53" s="405">
        <f>L53+H53</f>
        <v>0</v>
      </c>
      <c r="E53" s="731">
        <f t="shared" si="2"/>
        <v>0</v>
      </c>
      <c r="F53" s="405">
        <f t="shared" si="3"/>
        <v>0</v>
      </c>
      <c r="G53" s="425">
        <v>0</v>
      </c>
      <c r="H53" s="378">
        <v>0</v>
      </c>
      <c r="I53" s="388">
        <v>0</v>
      </c>
      <c r="J53" s="395">
        <v>0</v>
      </c>
      <c r="K53" s="388">
        <v>0</v>
      </c>
      <c r="L53" s="395">
        <v>0</v>
      </c>
      <c r="M53" s="388">
        <v>0</v>
      </c>
      <c r="N53" s="395">
        <v>0</v>
      </c>
      <c r="O53" s="728">
        <v>0</v>
      </c>
      <c r="P53" s="378">
        <v>0</v>
      </c>
      <c r="Q53" s="713"/>
      <c r="R53" s="713"/>
    </row>
    <row r="54" spans="1:18" s="698" customFormat="1" ht="16.5" thickBot="1" x14ac:dyDescent="0.25">
      <c r="A54" s="396" t="s">
        <v>551</v>
      </c>
      <c r="B54" s="409" t="s">
        <v>536</v>
      </c>
      <c r="C54" s="732">
        <f t="shared" si="1"/>
        <v>0</v>
      </c>
      <c r="D54" s="406">
        <f>L54+H54</f>
        <v>0</v>
      </c>
      <c r="E54" s="733">
        <f t="shared" si="2"/>
        <v>0</v>
      </c>
      <c r="F54" s="406">
        <f t="shared" si="3"/>
        <v>0</v>
      </c>
      <c r="G54" s="422"/>
      <c r="H54" s="365">
        <f>ROUND(H53*0.2,2)</f>
        <v>0</v>
      </c>
      <c r="I54" s="383">
        <v>0</v>
      </c>
      <c r="J54" s="395">
        <v>0</v>
      </c>
      <c r="K54" s="383">
        <v>0</v>
      </c>
      <c r="L54" s="395">
        <v>0</v>
      </c>
      <c r="M54" s="383">
        <v>0</v>
      </c>
      <c r="N54" s="395">
        <v>0</v>
      </c>
      <c r="O54" s="728">
        <v>0</v>
      </c>
      <c r="P54" s="378">
        <v>0</v>
      </c>
      <c r="Q54" s="713"/>
      <c r="R54" s="713"/>
    </row>
    <row r="55" spans="1:18" s="698" customFormat="1" ht="16.5" thickBot="1" x14ac:dyDescent="0.25">
      <c r="A55" s="394" t="s">
        <v>550</v>
      </c>
      <c r="B55" s="416" t="s">
        <v>549</v>
      </c>
      <c r="C55" s="734">
        <f t="shared" si="1"/>
        <v>0</v>
      </c>
      <c r="D55" s="407">
        <f>L55+H55</f>
        <v>0</v>
      </c>
      <c r="E55" s="735">
        <f t="shared" si="2"/>
        <v>0</v>
      </c>
      <c r="F55" s="407">
        <f t="shared" si="3"/>
        <v>0</v>
      </c>
      <c r="G55" s="423"/>
      <c r="H55" s="392">
        <f>ROUND((H53+H54),20)</f>
        <v>0</v>
      </c>
      <c r="I55" s="391">
        <v>0</v>
      </c>
      <c r="J55" s="390">
        <v>0</v>
      </c>
      <c r="K55" s="391">
        <v>0</v>
      </c>
      <c r="L55" s="390">
        <v>0</v>
      </c>
      <c r="M55" s="391">
        <v>0</v>
      </c>
      <c r="N55" s="390">
        <v>0</v>
      </c>
      <c r="O55" s="728">
        <v>0</v>
      </c>
      <c r="P55" s="378">
        <v>0</v>
      </c>
      <c r="Q55" s="713"/>
      <c r="R55" s="713"/>
    </row>
    <row r="56" spans="1:18" s="698" customFormat="1" ht="27.75" thickBot="1" x14ac:dyDescent="0.25">
      <c r="A56" s="389" t="s">
        <v>548</v>
      </c>
      <c r="B56" s="417" t="s">
        <v>547</v>
      </c>
      <c r="C56" s="730">
        <f t="shared" si="1"/>
        <v>0</v>
      </c>
      <c r="D56" s="405">
        <f>H56+N56</f>
        <v>47680813.869999997</v>
      </c>
      <c r="E56" s="731">
        <f t="shared" si="2"/>
        <v>0</v>
      </c>
      <c r="F56" s="405">
        <f>H56</f>
        <v>5675027.5099999998</v>
      </c>
      <c r="G56" s="426"/>
      <c r="H56" s="387">
        <f>H46+H49+H50+H53</f>
        <v>5675027.5099999998</v>
      </c>
      <c r="I56" s="388">
        <v>0</v>
      </c>
      <c r="J56" s="387">
        <v>41200674.060000002</v>
      </c>
      <c r="K56" s="388">
        <v>0</v>
      </c>
      <c r="L56" s="387">
        <v>41200674.060000002</v>
      </c>
      <c r="M56" s="388">
        <v>0</v>
      </c>
      <c r="N56" s="378">
        <v>42005786.359999999</v>
      </c>
      <c r="O56" s="728">
        <v>0</v>
      </c>
      <c r="P56" s="378">
        <v>42005786.359999999</v>
      </c>
      <c r="Q56" s="713"/>
      <c r="R56" s="713"/>
    </row>
    <row r="57" spans="1:18" s="698" customFormat="1" ht="16.5" thickBot="1" x14ac:dyDescent="0.25">
      <c r="A57" s="386" t="s">
        <v>546</v>
      </c>
      <c r="B57" s="418" t="s">
        <v>545</v>
      </c>
      <c r="C57" s="732">
        <f t="shared" si="1"/>
        <v>0</v>
      </c>
      <c r="D57" s="406">
        <f>N57+H57</f>
        <v>9536162.7699999996</v>
      </c>
      <c r="E57" s="733">
        <f t="shared" si="2"/>
        <v>0</v>
      </c>
      <c r="F57" s="406">
        <f>H57</f>
        <v>1135005.5</v>
      </c>
      <c r="G57" s="427"/>
      <c r="H57" s="385">
        <f>ROUND(H47+H51+H54,2)</f>
        <v>1135005.5</v>
      </c>
      <c r="I57" s="383">
        <v>0</v>
      </c>
      <c r="J57" s="385">
        <v>8240134.8099999996</v>
      </c>
      <c r="K57" s="383">
        <v>0</v>
      </c>
      <c r="L57" s="385">
        <v>8240134.8099999996</v>
      </c>
      <c r="M57" s="383">
        <v>0</v>
      </c>
      <c r="N57" s="378">
        <v>8401157.2699999996</v>
      </c>
      <c r="O57" s="728">
        <v>0</v>
      </c>
      <c r="P57" s="378">
        <v>8401157.2699999996</v>
      </c>
      <c r="Q57" s="713"/>
      <c r="R57" s="713"/>
    </row>
    <row r="58" spans="1:18" s="698" customFormat="1" ht="16.5" thickBot="1" x14ac:dyDescent="0.25">
      <c r="A58" s="384" t="s">
        <v>544</v>
      </c>
      <c r="B58" s="419" t="s">
        <v>543</v>
      </c>
      <c r="C58" s="734">
        <f t="shared" si="1"/>
        <v>0</v>
      </c>
      <c r="D58" s="407">
        <f>H58+N58</f>
        <v>57216976.640000001</v>
      </c>
      <c r="E58" s="735">
        <f t="shared" si="2"/>
        <v>0</v>
      </c>
      <c r="F58" s="407">
        <f>H58</f>
        <v>6810033.0099999998</v>
      </c>
      <c r="G58" s="428"/>
      <c r="H58" s="382">
        <f>ROUND(H48+H52+H55,2)</f>
        <v>6810033.0099999998</v>
      </c>
      <c r="I58" s="383">
        <v>0</v>
      </c>
      <c r="J58" s="382">
        <v>49440808.869999997</v>
      </c>
      <c r="K58" s="383">
        <v>0</v>
      </c>
      <c r="L58" s="382">
        <v>49440808.869999997</v>
      </c>
      <c r="M58" s="383">
        <v>0</v>
      </c>
      <c r="N58" s="378">
        <v>50406943.630000003</v>
      </c>
      <c r="O58" s="728">
        <v>0</v>
      </c>
      <c r="P58" s="378">
        <v>50406943.630000003</v>
      </c>
      <c r="Q58" s="713"/>
      <c r="R58" s="713"/>
    </row>
    <row r="59" spans="1:18" s="698" customFormat="1" ht="16.5" thickBot="1" x14ac:dyDescent="0.25">
      <c r="A59" s="381" t="s">
        <v>542</v>
      </c>
      <c r="B59" s="415" t="s">
        <v>541</v>
      </c>
      <c r="C59" s="730">
        <f t="shared" si="1"/>
        <v>0</v>
      </c>
      <c r="D59" s="405">
        <f>L59+H59</f>
        <v>10143144.779999999</v>
      </c>
      <c r="E59" s="731">
        <f t="shared" si="2"/>
        <v>0</v>
      </c>
      <c r="F59" s="405">
        <f>H59</f>
        <v>10143144.779999999</v>
      </c>
      <c r="G59" s="424"/>
      <c r="H59" s="378">
        <f>'Реестр январь'!O23</f>
        <v>10143144.779999999</v>
      </c>
      <c r="I59" s="380">
        <v>0</v>
      </c>
      <c r="J59" s="378">
        <v>0</v>
      </c>
      <c r="K59" s="380"/>
      <c r="L59" s="378"/>
      <c r="M59" s="380">
        <v>0</v>
      </c>
      <c r="N59" s="378">
        <v>0</v>
      </c>
      <c r="O59" s="728">
        <v>0</v>
      </c>
      <c r="P59" s="378">
        <v>0</v>
      </c>
      <c r="Q59" s="713"/>
      <c r="R59" s="713"/>
    </row>
    <row r="60" spans="1:18" s="698" customFormat="1" ht="16.5" thickBot="1" x14ac:dyDescent="0.25">
      <c r="A60" s="379" t="s">
        <v>540</v>
      </c>
      <c r="B60" s="420" t="s">
        <v>539</v>
      </c>
      <c r="C60" s="734">
        <f>G60+M60</f>
        <v>1907496</v>
      </c>
      <c r="D60" s="407">
        <f>N60+H60</f>
        <v>8944694.6999999993</v>
      </c>
      <c r="E60" s="735">
        <f t="shared" si="2"/>
        <v>0</v>
      </c>
      <c r="F60" s="407">
        <f>H60</f>
        <v>0</v>
      </c>
      <c r="G60" s="429">
        <v>0</v>
      </c>
      <c r="H60" s="377">
        <v>0</v>
      </c>
      <c r="I60" s="376">
        <v>1907496</v>
      </c>
      <c r="J60" s="374">
        <v>8944694.6999999993</v>
      </c>
      <c r="K60" s="376">
        <v>1907496</v>
      </c>
      <c r="L60" s="374">
        <v>8944694.6999999993</v>
      </c>
      <c r="M60" s="376">
        <v>1907496</v>
      </c>
      <c r="N60" s="378">
        <v>8944694.6999999993</v>
      </c>
      <c r="O60" s="728">
        <v>1907496</v>
      </c>
      <c r="P60" s="378">
        <v>8944694.6999999993</v>
      </c>
      <c r="Q60" s="713"/>
      <c r="R60" s="713"/>
    </row>
    <row r="61" spans="1:18" s="698" customFormat="1" ht="16.5" thickBot="1" x14ac:dyDescent="0.3">
      <c r="A61" s="736">
        <v>17</v>
      </c>
      <c r="B61" s="737" t="s">
        <v>538</v>
      </c>
      <c r="C61" s="738"/>
      <c r="D61" s="739"/>
      <c r="E61" s="738"/>
      <c r="F61" s="738"/>
      <c r="G61" s="740"/>
      <c r="H61" s="741"/>
      <c r="I61" s="742"/>
      <c r="J61" s="742"/>
      <c r="K61" s="742"/>
      <c r="L61" s="742"/>
      <c r="Q61" s="713"/>
      <c r="R61" s="713"/>
    </row>
    <row r="62" spans="1:18" s="698" customFormat="1" x14ac:dyDescent="0.25">
      <c r="A62" s="375">
        <v>18</v>
      </c>
      <c r="B62" s="408" t="s">
        <v>537</v>
      </c>
      <c r="C62" s="743">
        <f t="shared" si="1"/>
        <v>0</v>
      </c>
      <c r="D62" s="400">
        <f>N62+H62</f>
        <v>953616.28</v>
      </c>
      <c r="E62" s="730">
        <f t="shared" si="2"/>
        <v>0</v>
      </c>
      <c r="F62" s="405">
        <f t="shared" ref="F62:F70" si="4">H62</f>
        <v>113500.55</v>
      </c>
      <c r="G62" s="400">
        <v>0</v>
      </c>
      <c r="H62" s="367">
        <f>ROUND(H56*0.02,2)</f>
        <v>113500.55</v>
      </c>
      <c r="I62" s="362"/>
      <c r="J62" s="742"/>
      <c r="K62" s="362">
        <v>0</v>
      </c>
      <c r="L62" s="742">
        <v>739691.17</v>
      </c>
      <c r="M62" s="698">
        <v>0</v>
      </c>
      <c r="N62" s="698">
        <v>840115.73</v>
      </c>
      <c r="O62" s="698">
        <v>0</v>
      </c>
      <c r="P62" s="698">
        <v>840115.73</v>
      </c>
      <c r="Q62" s="713"/>
      <c r="R62" s="713"/>
    </row>
    <row r="63" spans="1:18" s="698" customFormat="1" x14ac:dyDescent="0.25">
      <c r="A63" s="370">
        <v>19</v>
      </c>
      <c r="B63" s="409" t="s">
        <v>536</v>
      </c>
      <c r="C63" s="744">
        <f t="shared" si="1"/>
        <v>0</v>
      </c>
      <c r="D63" s="401">
        <f>N63+H63</f>
        <v>190723.26</v>
      </c>
      <c r="E63" s="732">
        <f t="shared" ref="E63:E70" si="5">G63</f>
        <v>0</v>
      </c>
      <c r="F63" s="406">
        <f t="shared" si="4"/>
        <v>22700.11</v>
      </c>
      <c r="G63" s="401">
        <f>ROUND(G62*0.18,2)</f>
        <v>0</v>
      </c>
      <c r="H63" s="365">
        <f>ROUND(H62*0.2,2)</f>
        <v>22700.11</v>
      </c>
      <c r="I63" s="362"/>
      <c r="J63" s="742"/>
      <c r="K63" s="362">
        <v>0</v>
      </c>
      <c r="L63" s="742">
        <v>147938.23000000001</v>
      </c>
      <c r="M63" s="698">
        <v>0</v>
      </c>
      <c r="N63" s="698">
        <v>168023.15</v>
      </c>
      <c r="O63" s="698">
        <v>0</v>
      </c>
      <c r="P63" s="698">
        <v>168023.15</v>
      </c>
      <c r="Q63" s="713"/>
      <c r="R63" s="713"/>
    </row>
    <row r="64" spans="1:18" s="698" customFormat="1" ht="26.25" thickBot="1" x14ac:dyDescent="0.3">
      <c r="A64" s="373">
        <v>20</v>
      </c>
      <c r="B64" s="410" t="s">
        <v>535</v>
      </c>
      <c r="C64" s="745">
        <f t="shared" si="1"/>
        <v>0</v>
      </c>
      <c r="D64" s="402">
        <f>D62+D63</f>
        <v>1144339.54</v>
      </c>
      <c r="E64" s="734">
        <f t="shared" si="5"/>
        <v>0</v>
      </c>
      <c r="F64" s="430">
        <f t="shared" si="4"/>
        <v>136200.66</v>
      </c>
      <c r="G64" s="402">
        <f>G62+G63</f>
        <v>0</v>
      </c>
      <c r="H64" s="372">
        <f>H62+H63</f>
        <v>136200.66</v>
      </c>
      <c r="I64" s="362"/>
      <c r="J64" s="742"/>
      <c r="K64" s="362">
        <v>0</v>
      </c>
      <c r="L64" s="742">
        <v>887629.4</v>
      </c>
      <c r="M64" s="698">
        <v>0</v>
      </c>
      <c r="N64" s="698">
        <v>1008138.88</v>
      </c>
      <c r="O64" s="698">
        <v>0</v>
      </c>
      <c r="P64" s="698">
        <v>1008138.88</v>
      </c>
      <c r="Q64" s="713"/>
      <c r="R64" s="713"/>
    </row>
    <row r="65" spans="1:18" s="698" customFormat="1" x14ac:dyDescent="0.25">
      <c r="A65" s="371">
        <v>21</v>
      </c>
      <c r="B65" s="411" t="s">
        <v>534</v>
      </c>
      <c r="C65" s="743">
        <f t="shared" si="1"/>
        <v>0</v>
      </c>
      <c r="D65" s="403">
        <f>D62</f>
        <v>953616.28</v>
      </c>
      <c r="E65" s="730">
        <f t="shared" si="5"/>
        <v>0</v>
      </c>
      <c r="F65" s="405">
        <f t="shared" si="4"/>
        <v>113500.55</v>
      </c>
      <c r="G65" s="403">
        <f t="shared" ref="G65:H67" si="6">G62</f>
        <v>0</v>
      </c>
      <c r="H65" s="367">
        <f t="shared" si="6"/>
        <v>113500.55</v>
      </c>
      <c r="I65" s="362"/>
      <c r="J65" s="742"/>
      <c r="K65" s="362" t="s">
        <v>528</v>
      </c>
      <c r="L65" s="742">
        <v>739691.17</v>
      </c>
      <c r="M65" s="698">
        <v>0</v>
      </c>
      <c r="N65" s="698">
        <v>840115.73</v>
      </c>
      <c r="O65" s="698">
        <v>0</v>
      </c>
      <c r="P65" s="698">
        <v>840115.73</v>
      </c>
      <c r="Q65" s="713"/>
      <c r="R65" s="713"/>
    </row>
    <row r="66" spans="1:18" s="698" customFormat="1" x14ac:dyDescent="0.25">
      <c r="A66" s="370">
        <v>22</v>
      </c>
      <c r="B66" s="412" t="s">
        <v>533</v>
      </c>
      <c r="C66" s="744">
        <f t="shared" si="1"/>
        <v>0</v>
      </c>
      <c r="D66" s="401">
        <f>D63</f>
        <v>190723.26</v>
      </c>
      <c r="E66" s="732">
        <f t="shared" si="5"/>
        <v>0</v>
      </c>
      <c r="F66" s="406">
        <f t="shared" si="4"/>
        <v>22700.11</v>
      </c>
      <c r="G66" s="401">
        <f t="shared" si="6"/>
        <v>0</v>
      </c>
      <c r="H66" s="365">
        <f t="shared" si="6"/>
        <v>22700.11</v>
      </c>
      <c r="I66" s="362"/>
      <c r="J66" s="742"/>
      <c r="K66" s="362" t="s">
        <v>528</v>
      </c>
      <c r="L66" s="742">
        <v>147938.23000000001</v>
      </c>
      <c r="M66" s="698">
        <v>0</v>
      </c>
      <c r="N66" s="698">
        <v>168023.15</v>
      </c>
      <c r="O66" s="698">
        <v>0</v>
      </c>
      <c r="P66" s="698">
        <v>168023.15</v>
      </c>
      <c r="Q66" s="713"/>
      <c r="R66" s="713"/>
    </row>
    <row r="67" spans="1:18" s="698" customFormat="1" ht="27" customHeight="1" thickBot="1" x14ac:dyDescent="0.3">
      <c r="A67" s="369">
        <v>23</v>
      </c>
      <c r="B67" s="413" t="s">
        <v>532</v>
      </c>
      <c r="C67" s="745">
        <f t="shared" si="1"/>
        <v>0</v>
      </c>
      <c r="D67" s="404">
        <f>D64</f>
        <v>1144339.54</v>
      </c>
      <c r="E67" s="734">
        <f t="shared" si="5"/>
        <v>0</v>
      </c>
      <c r="F67" s="407">
        <f t="shared" si="4"/>
        <v>136200.66</v>
      </c>
      <c r="G67" s="404">
        <f t="shared" si="6"/>
        <v>0</v>
      </c>
      <c r="H67" s="363">
        <f t="shared" si="6"/>
        <v>136200.66</v>
      </c>
      <c r="I67" s="362"/>
      <c r="J67" s="742"/>
      <c r="K67" s="362" t="s">
        <v>528</v>
      </c>
      <c r="L67" s="742">
        <v>887629.4</v>
      </c>
      <c r="M67" s="698">
        <v>0</v>
      </c>
      <c r="N67" s="698">
        <v>1008138.88</v>
      </c>
      <c r="O67" s="698">
        <v>0</v>
      </c>
      <c r="P67" s="698">
        <v>1008138.88</v>
      </c>
      <c r="Q67" s="713"/>
      <c r="R67" s="713"/>
    </row>
    <row r="68" spans="1:18" s="698" customFormat="1" x14ac:dyDescent="0.25">
      <c r="A68" s="368">
        <v>24</v>
      </c>
      <c r="B68" s="411" t="s">
        <v>531</v>
      </c>
      <c r="C68" s="743">
        <f t="shared" si="1"/>
        <v>0</v>
      </c>
      <c r="D68" s="403">
        <f>D56-D65</f>
        <v>46727197.590000004</v>
      </c>
      <c r="E68" s="730">
        <f t="shared" si="5"/>
        <v>0</v>
      </c>
      <c r="F68" s="405">
        <f t="shared" si="4"/>
        <v>5561526.96</v>
      </c>
      <c r="G68" s="403">
        <f>G56-G65</f>
        <v>0</v>
      </c>
      <c r="H68" s="367">
        <f>H56-H65</f>
        <v>5561526.96</v>
      </c>
      <c r="I68" s="362"/>
      <c r="J68" s="742"/>
      <c r="K68" s="362" t="s">
        <v>528</v>
      </c>
      <c r="L68" s="742">
        <v>36244867.289999999</v>
      </c>
      <c r="M68" s="698">
        <v>0</v>
      </c>
      <c r="N68" s="698">
        <v>41165670.630000003</v>
      </c>
      <c r="O68" s="698">
        <v>0</v>
      </c>
      <c r="P68" s="698">
        <v>41165670.630000003</v>
      </c>
      <c r="Q68" s="713"/>
      <c r="R68" s="713"/>
    </row>
    <row r="69" spans="1:18" s="698" customFormat="1" x14ac:dyDescent="0.25">
      <c r="A69" s="366">
        <v>25</v>
      </c>
      <c r="B69" s="412" t="s">
        <v>530</v>
      </c>
      <c r="C69" s="744">
        <f t="shared" si="1"/>
        <v>0</v>
      </c>
      <c r="D69" s="401">
        <f>D57-D66</f>
        <v>9345439.5099999998</v>
      </c>
      <c r="E69" s="732">
        <f t="shared" si="5"/>
        <v>0</v>
      </c>
      <c r="F69" s="406">
        <f t="shared" si="4"/>
        <v>1112305.3899999999</v>
      </c>
      <c r="G69" s="401">
        <f>G57-G66</f>
        <v>0</v>
      </c>
      <c r="H69" s="365">
        <f>H57-H66</f>
        <v>1112305.3899999999</v>
      </c>
      <c r="I69" s="362"/>
      <c r="J69" s="742"/>
      <c r="K69" s="362" t="s">
        <v>528</v>
      </c>
      <c r="L69" s="742">
        <v>7248973.46</v>
      </c>
      <c r="M69" s="698">
        <v>0</v>
      </c>
      <c r="N69" s="698">
        <v>8233134.1200000001</v>
      </c>
      <c r="O69" s="698">
        <v>0</v>
      </c>
      <c r="P69" s="698">
        <v>8233134.1200000001</v>
      </c>
      <c r="Q69" s="713"/>
      <c r="R69" s="713"/>
    </row>
    <row r="70" spans="1:18" s="698" customFormat="1" ht="15" customHeight="1" thickBot="1" x14ac:dyDescent="0.3">
      <c r="A70" s="364">
        <v>26</v>
      </c>
      <c r="B70" s="414" t="s">
        <v>529</v>
      </c>
      <c r="C70" s="745">
        <f t="shared" si="1"/>
        <v>0</v>
      </c>
      <c r="D70" s="404">
        <f>D58-D67</f>
        <v>56072637.100000001</v>
      </c>
      <c r="E70" s="734">
        <f t="shared" si="5"/>
        <v>0</v>
      </c>
      <c r="F70" s="407">
        <f t="shared" si="4"/>
        <v>6673832.3499999996</v>
      </c>
      <c r="G70" s="404">
        <f>G68+G69</f>
        <v>0</v>
      </c>
      <c r="H70" s="363">
        <f>H58-H67</f>
        <v>6673832.3499999996</v>
      </c>
      <c r="I70" s="362"/>
      <c r="J70" s="742"/>
      <c r="K70" s="362" t="s">
        <v>528</v>
      </c>
      <c r="L70" s="742">
        <v>43493840.75</v>
      </c>
      <c r="M70" s="698">
        <v>0</v>
      </c>
      <c r="N70" s="698">
        <v>49398804.75</v>
      </c>
      <c r="O70" s="698">
        <v>0</v>
      </c>
      <c r="P70" s="698">
        <v>49398804.75</v>
      </c>
      <c r="Q70" s="713"/>
      <c r="R70" s="713"/>
    </row>
    <row r="71" spans="1:18" s="698" customFormat="1" ht="23.25" customHeight="1" x14ac:dyDescent="0.25">
      <c r="A71" s="693"/>
      <c r="B71" s="693"/>
      <c r="C71" s="693"/>
      <c r="D71" s="746"/>
      <c r="E71" s="693"/>
      <c r="F71" s="746"/>
      <c r="G71" s="693"/>
      <c r="H71" s="746"/>
      <c r="I71" s="361"/>
      <c r="J71" s="697"/>
      <c r="K71" s="697"/>
      <c r="L71" s="697"/>
    </row>
    <row r="72" spans="1:18" s="698" customFormat="1" ht="20.25" customHeight="1" x14ac:dyDescent="0.25">
      <c r="A72" s="693"/>
      <c r="B72" s="693"/>
      <c r="C72" s="693"/>
      <c r="D72" s="746"/>
      <c r="E72" s="693"/>
      <c r="F72" s="746"/>
      <c r="G72" s="693"/>
      <c r="H72" s="746"/>
      <c r="I72" s="361"/>
      <c r="J72" s="697"/>
      <c r="K72" s="697"/>
      <c r="L72" s="697"/>
    </row>
    <row r="73" spans="1:18" s="698" customFormat="1" ht="17.25" customHeight="1" x14ac:dyDescent="0.25">
      <c r="A73" s="693"/>
      <c r="B73" s="747" t="s">
        <v>456</v>
      </c>
      <c r="C73" s="747"/>
      <c r="D73" s="747"/>
      <c r="E73" s="747"/>
      <c r="F73" s="747"/>
      <c r="G73" s="747"/>
      <c r="H73" s="747"/>
      <c r="I73" s="360"/>
      <c r="J73" s="697"/>
      <c r="K73" s="697"/>
      <c r="L73" s="697"/>
    </row>
    <row r="74" spans="1:18" s="698" customFormat="1" ht="36" customHeight="1" x14ac:dyDescent="0.25">
      <c r="A74" s="693"/>
      <c r="B74" s="748" t="s">
        <v>527</v>
      </c>
      <c r="C74" s="749" t="s">
        <v>525</v>
      </c>
      <c r="D74" s="749"/>
      <c r="E74" s="749"/>
      <c r="F74" s="749"/>
      <c r="G74" s="749"/>
      <c r="H74" s="750" t="s">
        <v>469</v>
      </c>
      <c r="I74" s="361"/>
      <c r="J74" s="697"/>
      <c r="K74" s="697"/>
      <c r="L74" s="697"/>
    </row>
    <row r="75" spans="1:18" s="698" customFormat="1" x14ac:dyDescent="0.25">
      <c r="A75" s="693"/>
      <c r="B75" s="751" t="s">
        <v>523</v>
      </c>
      <c r="C75" s="752"/>
      <c r="D75" s="752"/>
      <c r="E75" s="752"/>
      <c r="F75" s="752"/>
      <c r="G75" s="752"/>
      <c r="H75" s="747"/>
      <c r="I75" s="361"/>
      <c r="J75" s="697"/>
      <c r="K75" s="697"/>
      <c r="L75" s="697"/>
    </row>
    <row r="76" spans="1:18" s="698" customFormat="1" x14ac:dyDescent="0.25">
      <c r="A76" s="693"/>
      <c r="B76" s="747"/>
      <c r="C76" s="752"/>
      <c r="D76" s="752"/>
      <c r="E76" s="752"/>
      <c r="F76" s="752"/>
      <c r="G76" s="752"/>
      <c r="H76" s="753"/>
      <c r="I76" s="360"/>
      <c r="J76" s="697"/>
      <c r="K76" s="697"/>
      <c r="L76" s="697"/>
    </row>
    <row r="77" spans="1:18" s="698" customFormat="1" x14ac:dyDescent="0.25">
      <c r="A77" s="693"/>
      <c r="B77" s="747" t="s">
        <v>453</v>
      </c>
      <c r="C77" s="747"/>
      <c r="D77" s="747"/>
      <c r="E77" s="747"/>
      <c r="F77" s="747"/>
      <c r="G77" s="747"/>
      <c r="H77" s="747"/>
      <c r="I77" s="726"/>
      <c r="J77" s="697"/>
      <c r="K77" s="697"/>
      <c r="L77" s="697"/>
    </row>
    <row r="78" spans="1:18" s="698" customFormat="1" ht="37.5" customHeight="1" x14ac:dyDescent="0.25">
      <c r="A78" s="693"/>
      <c r="B78" s="748" t="s">
        <v>526</v>
      </c>
      <c r="C78" s="749" t="s">
        <v>525</v>
      </c>
      <c r="D78" s="749"/>
      <c r="E78" s="749"/>
      <c r="F78" s="749"/>
      <c r="G78" s="749"/>
      <c r="H78" s="754" t="s">
        <v>524</v>
      </c>
      <c r="I78" s="697"/>
      <c r="J78" s="697"/>
      <c r="K78" s="697"/>
      <c r="L78" s="697"/>
    </row>
    <row r="79" spans="1:18" s="698" customFormat="1" x14ac:dyDescent="0.25">
      <c r="A79" s="693"/>
      <c r="B79" s="751" t="s">
        <v>523</v>
      </c>
      <c r="C79" s="747"/>
      <c r="D79" s="747"/>
      <c r="E79" s="752"/>
      <c r="F79" s="752"/>
      <c r="G79" s="752"/>
      <c r="H79" s="752"/>
      <c r="I79" s="697"/>
      <c r="J79" s="697"/>
      <c r="K79" s="697"/>
      <c r="L79" s="697"/>
    </row>
  </sheetData>
  <mergeCells count="44">
    <mergeCell ref="B61:H61"/>
    <mergeCell ref="A37:A42"/>
    <mergeCell ref="B37:B42"/>
    <mergeCell ref="C37:H37"/>
    <mergeCell ref="C38:D39"/>
    <mergeCell ref="E38:F39"/>
    <mergeCell ref="G38:H39"/>
    <mergeCell ref="C40:C42"/>
    <mergeCell ref="A23:E23"/>
    <mergeCell ref="G24:H24"/>
    <mergeCell ref="G25:H25"/>
    <mergeCell ref="D40:D42"/>
    <mergeCell ref="E40:E42"/>
    <mergeCell ref="F40:F42"/>
    <mergeCell ref="G26:H26"/>
    <mergeCell ref="G27:H27"/>
    <mergeCell ref="F29:F30"/>
    <mergeCell ref="G29:H29"/>
    <mergeCell ref="A34:H34"/>
    <mergeCell ref="A35:H35"/>
    <mergeCell ref="G40:G42"/>
    <mergeCell ref="H40:H42"/>
    <mergeCell ref="A19:E19"/>
    <mergeCell ref="G19:H20"/>
    <mergeCell ref="A20:E20"/>
    <mergeCell ref="A21:E21"/>
    <mergeCell ref="G21:H22"/>
    <mergeCell ref="A22:E22"/>
    <mergeCell ref="A15:E15"/>
    <mergeCell ref="G15:H16"/>
    <mergeCell ref="A16:E16"/>
    <mergeCell ref="A17:E17"/>
    <mergeCell ref="G17:H18"/>
    <mergeCell ref="A18:E18"/>
    <mergeCell ref="G11:H12"/>
    <mergeCell ref="A12:E12"/>
    <mergeCell ref="A13:E13"/>
    <mergeCell ref="G13:H14"/>
    <mergeCell ref="A14:E14"/>
    <mergeCell ref="G5:H5"/>
    <mergeCell ref="G6:H6"/>
    <mergeCell ref="G7:H7"/>
    <mergeCell ref="G9:H9"/>
    <mergeCell ref="G10:H10"/>
  </mergeCells>
  <pageMargins left="0.7" right="0.7" top="0.75" bottom="0.75" header="0.3" footer="0.3"/>
  <pageSetup paperSize="9" scale="58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755"/>
  <sheetViews>
    <sheetView view="pageBreakPreview" topLeftCell="A713" zoomScale="70" zoomScaleNormal="100" zoomScaleSheetLayoutView="70" workbookViewId="0">
      <selection activeCell="A4" sqref="A1:XFD1048576"/>
    </sheetView>
  </sheetViews>
  <sheetFormatPr defaultColWidth="9.33203125" defaultRowHeight="11.25" x14ac:dyDescent="0.2"/>
  <cols>
    <col min="1" max="1" width="9.1640625" style="178" customWidth="1"/>
    <col min="2" max="2" width="10.33203125" style="310" customWidth="1"/>
    <col min="3" max="3" width="16.6640625" style="178" customWidth="1"/>
    <col min="4" max="4" width="50" style="178" customWidth="1"/>
    <col min="5" max="5" width="13.6640625" style="178" customWidth="1"/>
    <col min="6" max="6" width="9.5" style="178" bestFit="1" customWidth="1"/>
    <col min="7" max="7" width="19.6640625" style="178" customWidth="1"/>
    <col min="8" max="8" width="15.6640625" style="178" customWidth="1"/>
    <col min="9" max="9" width="14.6640625" style="178" customWidth="1"/>
    <col min="10" max="10" width="17" style="178" customWidth="1"/>
    <col min="11" max="11" width="14.6640625" style="178" bestFit="1" customWidth="1"/>
    <col min="12" max="12" width="17.5" style="178" customWidth="1"/>
    <col min="13" max="13" width="17.1640625" style="178" customWidth="1"/>
    <col min="14" max="14" width="9.33203125" style="178"/>
    <col min="15" max="30" width="0" style="178" hidden="1" customWidth="1"/>
    <col min="31" max="31" width="157.1640625" style="178" hidden="1" customWidth="1"/>
    <col min="32" max="32" width="117.83203125" style="178" hidden="1" customWidth="1"/>
    <col min="33" max="36" width="0" style="178" hidden="1" customWidth="1"/>
    <col min="37" max="16384" width="9.33203125" style="178"/>
  </cols>
  <sheetData>
    <row r="1" spans="1:12" s="323" customFormat="1" ht="15" x14ac:dyDescent="0.25">
      <c r="A1" s="325"/>
      <c r="D1" s="324"/>
      <c r="E1" s="324"/>
      <c r="F1" s="319"/>
      <c r="G1" s="319"/>
      <c r="H1" s="319"/>
      <c r="I1" s="606" t="s">
        <v>247</v>
      </c>
      <c r="J1" s="606"/>
      <c r="K1" s="606"/>
      <c r="L1" s="606"/>
    </row>
    <row r="2" spans="1:12" s="323" customFormat="1" ht="15" x14ac:dyDescent="0.25">
      <c r="A2" s="319"/>
      <c r="B2" s="319"/>
      <c r="C2" s="319"/>
      <c r="D2" s="319"/>
      <c r="E2" s="319"/>
      <c r="F2" s="319"/>
      <c r="G2" s="319"/>
      <c r="H2" s="319"/>
      <c r="I2" s="606" t="s">
        <v>15</v>
      </c>
      <c r="J2" s="606"/>
      <c r="K2" s="606"/>
      <c r="L2" s="606"/>
    </row>
    <row r="3" spans="1:12" s="323" customFormat="1" ht="15" x14ac:dyDescent="0.25">
      <c r="A3" s="319"/>
      <c r="B3" s="319"/>
      <c r="C3" s="319"/>
      <c r="D3" s="319"/>
      <c r="E3" s="319"/>
      <c r="F3" s="319"/>
      <c r="G3" s="319"/>
      <c r="H3" s="319"/>
      <c r="I3" s="606" t="s">
        <v>16</v>
      </c>
      <c r="J3" s="606"/>
      <c r="K3" s="606"/>
      <c r="L3" s="606"/>
    </row>
    <row r="4" spans="1:12" s="275" customFormat="1" ht="15" x14ac:dyDescent="0.25">
      <c r="A4" s="319"/>
      <c r="B4" s="319"/>
      <c r="C4" s="319"/>
      <c r="D4" s="319"/>
      <c r="E4" s="319"/>
      <c r="F4" s="319"/>
      <c r="G4" s="319"/>
      <c r="H4" s="319"/>
      <c r="I4" s="319"/>
      <c r="J4" s="596" t="s">
        <v>17</v>
      </c>
      <c r="K4" s="597"/>
      <c r="L4" s="598"/>
    </row>
    <row r="5" spans="1:12" s="275" customFormat="1" ht="15" x14ac:dyDescent="0.25">
      <c r="A5" s="319"/>
      <c r="B5" s="319"/>
      <c r="C5" s="319"/>
      <c r="D5" s="319"/>
      <c r="E5" s="319"/>
      <c r="F5" s="319"/>
      <c r="G5" s="319"/>
      <c r="H5" s="319"/>
      <c r="I5" s="466" t="s">
        <v>18</v>
      </c>
      <c r="J5" s="607" t="s">
        <v>19</v>
      </c>
      <c r="K5" s="608"/>
      <c r="L5" s="609"/>
    </row>
    <row r="6" spans="1:12" s="275" customFormat="1" ht="15" x14ac:dyDescent="0.25">
      <c r="A6" s="319"/>
      <c r="B6" s="319"/>
      <c r="C6" s="319"/>
      <c r="D6" s="319"/>
      <c r="E6" s="319"/>
      <c r="F6" s="319"/>
      <c r="G6" s="319"/>
      <c r="H6" s="319"/>
      <c r="I6" s="319"/>
      <c r="J6" s="581" t="s">
        <v>462</v>
      </c>
      <c r="K6" s="582"/>
      <c r="L6" s="583"/>
    </row>
    <row r="7" spans="1:12" s="275" customFormat="1" ht="25.5" customHeight="1" x14ac:dyDescent="0.25">
      <c r="A7" s="610" t="s">
        <v>461</v>
      </c>
      <c r="B7" s="610"/>
      <c r="C7" s="580" t="s">
        <v>460</v>
      </c>
      <c r="D7" s="580"/>
      <c r="E7" s="580"/>
      <c r="F7" s="580"/>
      <c r="G7" s="580"/>
      <c r="H7" s="580"/>
      <c r="I7" s="466" t="s">
        <v>21</v>
      </c>
      <c r="J7" s="584"/>
      <c r="K7" s="585"/>
      <c r="L7" s="586"/>
    </row>
    <row r="8" spans="1:12" s="275" customFormat="1" ht="15" x14ac:dyDescent="0.25">
      <c r="A8" s="319"/>
      <c r="B8" s="319"/>
      <c r="C8" s="594" t="s">
        <v>22</v>
      </c>
      <c r="D8" s="594"/>
      <c r="E8" s="594"/>
      <c r="F8" s="594"/>
      <c r="G8" s="594"/>
      <c r="H8" s="594"/>
      <c r="I8" s="319"/>
      <c r="J8" s="581" t="s">
        <v>56</v>
      </c>
      <c r="K8" s="582"/>
      <c r="L8" s="583"/>
    </row>
    <row r="9" spans="1:12" s="275" customFormat="1" ht="28.5" customHeight="1" x14ac:dyDescent="0.25">
      <c r="A9" s="610" t="s">
        <v>459</v>
      </c>
      <c r="B9" s="610"/>
      <c r="C9" s="580" t="s">
        <v>458</v>
      </c>
      <c r="D9" s="580"/>
      <c r="E9" s="580"/>
      <c r="F9" s="580"/>
      <c r="G9" s="580"/>
      <c r="H9" s="580"/>
      <c r="I9" s="466" t="s">
        <v>21</v>
      </c>
      <c r="J9" s="584"/>
      <c r="K9" s="585"/>
      <c r="L9" s="586"/>
    </row>
    <row r="10" spans="1:12" s="275" customFormat="1" ht="15" x14ac:dyDescent="0.25">
      <c r="A10" s="319"/>
      <c r="B10" s="319"/>
      <c r="C10" s="594" t="s">
        <v>22</v>
      </c>
      <c r="D10" s="594"/>
      <c r="E10" s="594"/>
      <c r="F10" s="594"/>
      <c r="G10" s="594"/>
      <c r="H10" s="594"/>
      <c r="I10" s="319"/>
      <c r="J10" s="581" t="s">
        <v>457</v>
      </c>
      <c r="K10" s="582"/>
      <c r="L10" s="583"/>
    </row>
    <row r="11" spans="1:12" s="275" customFormat="1" ht="14.25" customHeight="1" x14ac:dyDescent="0.25">
      <c r="A11" s="319" t="s">
        <v>456</v>
      </c>
      <c r="B11" s="319"/>
      <c r="C11" s="580" t="s">
        <v>455</v>
      </c>
      <c r="D11" s="580"/>
      <c r="E11" s="580"/>
      <c r="F11" s="580"/>
      <c r="G11" s="580"/>
      <c r="H11" s="580"/>
      <c r="I11" s="466" t="s">
        <v>21</v>
      </c>
      <c r="J11" s="584"/>
      <c r="K11" s="585"/>
      <c r="L11" s="586"/>
    </row>
    <row r="12" spans="1:12" s="275" customFormat="1" ht="15" x14ac:dyDescent="0.25">
      <c r="A12" s="319"/>
      <c r="B12" s="319"/>
      <c r="C12" s="587" t="s">
        <v>22</v>
      </c>
      <c r="D12" s="587"/>
      <c r="E12" s="587"/>
      <c r="F12" s="587"/>
      <c r="G12" s="587"/>
      <c r="H12" s="587"/>
      <c r="I12" s="319"/>
      <c r="J12" s="581" t="s">
        <v>454</v>
      </c>
      <c r="K12" s="582"/>
      <c r="L12" s="583"/>
    </row>
    <row r="13" spans="1:12" s="275" customFormat="1" ht="14.25" customHeight="1" x14ac:dyDescent="0.25">
      <c r="A13" s="319" t="s">
        <v>453</v>
      </c>
      <c r="B13" s="319"/>
      <c r="C13" s="580" t="s">
        <v>452</v>
      </c>
      <c r="D13" s="580"/>
      <c r="E13" s="580"/>
      <c r="F13" s="580"/>
      <c r="G13" s="580"/>
      <c r="H13" s="580"/>
      <c r="I13" s="466" t="s">
        <v>21</v>
      </c>
      <c r="J13" s="584"/>
      <c r="K13" s="585"/>
      <c r="L13" s="586"/>
    </row>
    <row r="14" spans="1:12" s="275" customFormat="1" ht="15" x14ac:dyDescent="0.25">
      <c r="A14" s="319"/>
      <c r="B14" s="319"/>
      <c r="C14" s="587" t="s">
        <v>22</v>
      </c>
      <c r="D14" s="587"/>
      <c r="E14" s="587"/>
      <c r="F14" s="587"/>
      <c r="G14" s="587"/>
      <c r="H14" s="587"/>
      <c r="I14" s="319"/>
      <c r="J14" s="588"/>
      <c r="K14" s="589"/>
      <c r="L14" s="590"/>
    </row>
    <row r="15" spans="1:12" s="275" customFormat="1" ht="30.75" customHeight="1" x14ac:dyDescent="0.25">
      <c r="A15" s="319" t="s">
        <v>23</v>
      </c>
      <c r="B15" s="319"/>
      <c r="C15" s="580" t="s">
        <v>61</v>
      </c>
      <c r="D15" s="580"/>
      <c r="E15" s="580"/>
      <c r="F15" s="580"/>
      <c r="G15" s="580"/>
      <c r="H15" s="580"/>
      <c r="I15" s="319"/>
      <c r="J15" s="591"/>
      <c r="K15" s="592"/>
      <c r="L15" s="593"/>
    </row>
    <row r="16" spans="1:12" s="275" customFormat="1" ht="15" x14ac:dyDescent="0.25">
      <c r="A16" s="319"/>
      <c r="B16" s="319"/>
      <c r="C16" s="587" t="s">
        <v>24</v>
      </c>
      <c r="D16" s="587"/>
      <c r="E16" s="587"/>
      <c r="F16" s="587"/>
      <c r="G16" s="587"/>
      <c r="H16" s="587"/>
      <c r="I16" s="319"/>
      <c r="J16" s="603"/>
      <c r="K16" s="604"/>
      <c r="L16" s="605"/>
    </row>
    <row r="17" spans="1:36" s="275" customFormat="1" ht="31.5" customHeight="1" x14ac:dyDescent="0.25">
      <c r="A17" s="319" t="s">
        <v>25</v>
      </c>
      <c r="B17" s="319"/>
      <c r="C17" s="580" t="s">
        <v>61</v>
      </c>
      <c r="D17" s="580"/>
      <c r="E17" s="580"/>
      <c r="F17" s="580"/>
      <c r="G17" s="580"/>
      <c r="H17" s="580"/>
      <c r="I17" s="319"/>
      <c r="J17" s="591"/>
      <c r="K17" s="592"/>
      <c r="L17" s="593"/>
      <c r="AJ17" s="322" t="s">
        <v>451</v>
      </c>
    </row>
    <row r="18" spans="1:36" s="275" customFormat="1" ht="15" x14ac:dyDescent="0.25">
      <c r="A18" s="319"/>
      <c r="B18" s="319"/>
      <c r="C18" s="594" t="s">
        <v>26</v>
      </c>
      <c r="D18" s="594"/>
      <c r="E18" s="594"/>
      <c r="F18" s="594"/>
      <c r="G18" s="594"/>
      <c r="H18" s="594"/>
      <c r="I18" s="319"/>
      <c r="J18" s="319"/>
      <c r="K18" s="319"/>
      <c r="L18" s="319"/>
    </row>
    <row r="19" spans="1:36" s="275" customFormat="1" ht="14.25" customHeight="1" x14ac:dyDescent="0.25">
      <c r="A19" s="319"/>
      <c r="B19" s="319"/>
      <c r="C19" s="319"/>
      <c r="D19" s="319"/>
      <c r="E19" s="319"/>
      <c r="F19" s="319"/>
      <c r="G19" s="611" t="s">
        <v>27</v>
      </c>
      <c r="H19" s="611"/>
      <c r="I19" s="612"/>
      <c r="J19" s="596"/>
      <c r="K19" s="597"/>
      <c r="L19" s="598"/>
      <c r="AJ19" s="321" t="e">
        <f>IF([85]Source!G35&lt;&gt;"Новый объект", [85]Source!G35, "")</f>
        <v>#REF!</v>
      </c>
    </row>
    <row r="20" spans="1:36" s="275" customFormat="1" ht="15" x14ac:dyDescent="0.25">
      <c r="A20" s="319"/>
      <c r="B20" s="319"/>
      <c r="C20" s="319"/>
      <c r="D20" s="319"/>
      <c r="E20" s="319"/>
      <c r="F20" s="319"/>
      <c r="G20" s="611" t="s">
        <v>28</v>
      </c>
      <c r="H20" s="612"/>
      <c r="I20" s="469" t="s">
        <v>29</v>
      </c>
      <c r="J20" s="596" t="s">
        <v>267</v>
      </c>
      <c r="K20" s="597"/>
      <c r="L20" s="598"/>
    </row>
    <row r="21" spans="1:36" s="275" customFormat="1" ht="15" x14ac:dyDescent="0.25">
      <c r="A21" s="319"/>
      <c r="B21" s="319"/>
      <c r="C21" s="319"/>
      <c r="D21" s="319"/>
      <c r="E21" s="319"/>
      <c r="F21" s="319"/>
      <c r="G21" s="319"/>
      <c r="H21" s="319"/>
      <c r="I21" s="462" t="s">
        <v>30</v>
      </c>
      <c r="J21" s="613">
        <v>43811</v>
      </c>
      <c r="K21" s="614"/>
      <c r="L21" s="615"/>
    </row>
    <row r="22" spans="1:36" s="275" customFormat="1" ht="15" x14ac:dyDescent="0.25">
      <c r="A22" s="319"/>
      <c r="B22" s="319"/>
      <c r="C22" s="319"/>
      <c r="D22" s="319"/>
      <c r="E22" s="319"/>
      <c r="F22" s="319"/>
      <c r="G22" s="319"/>
      <c r="H22" s="319"/>
      <c r="I22" s="466" t="s">
        <v>248</v>
      </c>
      <c r="J22" s="596"/>
      <c r="K22" s="597"/>
      <c r="L22" s="598"/>
    </row>
    <row r="23" spans="1:36" s="275" customFormat="1" ht="15" x14ac:dyDescent="0.25">
      <c r="A23" s="319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</row>
    <row r="24" spans="1:36" s="275" customFormat="1" ht="15" x14ac:dyDescent="0.25">
      <c r="A24" s="319"/>
      <c r="B24" s="319"/>
      <c r="C24" s="319"/>
      <c r="D24" s="319"/>
      <c r="E24" s="319"/>
      <c r="F24" s="319"/>
      <c r="G24" s="319"/>
      <c r="H24" s="319"/>
      <c r="I24" s="599" t="s">
        <v>31</v>
      </c>
      <c r="J24" s="599" t="s">
        <v>32</v>
      </c>
      <c r="K24" s="601" t="s">
        <v>33</v>
      </c>
      <c r="L24" s="602"/>
    </row>
    <row r="25" spans="1:36" s="275" customFormat="1" ht="15" x14ac:dyDescent="0.25">
      <c r="A25" s="319"/>
      <c r="B25" s="319"/>
      <c r="C25" s="319"/>
      <c r="D25" s="319"/>
      <c r="E25" s="319"/>
      <c r="F25" s="319"/>
      <c r="G25" s="319"/>
      <c r="H25" s="319"/>
      <c r="I25" s="600"/>
      <c r="J25" s="600"/>
      <c r="K25" s="320" t="s">
        <v>34</v>
      </c>
      <c r="L25" s="468" t="s">
        <v>35</v>
      </c>
    </row>
    <row r="26" spans="1:36" s="275" customFormat="1" ht="14.25" customHeight="1" x14ac:dyDescent="0.25">
      <c r="A26" s="319"/>
      <c r="B26" s="319"/>
      <c r="C26" s="319"/>
      <c r="D26" s="319"/>
      <c r="E26" s="319"/>
      <c r="F26" s="319"/>
      <c r="G26" s="319"/>
      <c r="H26" s="319"/>
      <c r="I26" s="318" t="s">
        <v>194</v>
      </c>
      <c r="J26" s="461">
        <v>44227</v>
      </c>
      <c r="K26" s="461">
        <v>44207</v>
      </c>
      <c r="L26" s="317">
        <f>J26</f>
        <v>44227</v>
      </c>
    </row>
    <row r="27" spans="1:36" ht="18" x14ac:dyDescent="0.25">
      <c r="A27" s="595" t="s">
        <v>36</v>
      </c>
      <c r="B27" s="595"/>
      <c r="C27" s="595"/>
      <c r="D27" s="595"/>
      <c r="E27" s="595"/>
      <c r="F27" s="595"/>
      <c r="G27" s="595"/>
      <c r="H27" s="595"/>
      <c r="I27" s="595"/>
      <c r="J27" s="595"/>
      <c r="K27" s="595"/>
      <c r="L27" s="595"/>
      <c r="M27" s="316"/>
      <c r="N27" s="316"/>
      <c r="O27" s="316"/>
    </row>
    <row r="28" spans="1:36" ht="21.75" customHeight="1" x14ac:dyDescent="0.25">
      <c r="A28" s="595" t="s">
        <v>37</v>
      </c>
      <c r="B28" s="595"/>
      <c r="C28" s="595"/>
      <c r="D28" s="595"/>
      <c r="E28" s="595"/>
      <c r="F28" s="595"/>
      <c r="G28" s="595"/>
      <c r="H28" s="595"/>
      <c r="I28" s="595"/>
      <c r="J28" s="595"/>
      <c r="K28" s="595"/>
      <c r="L28" s="595"/>
      <c r="M28" s="316"/>
      <c r="N28" s="316"/>
      <c r="O28" s="316"/>
    </row>
    <row r="29" spans="1:36" ht="18" x14ac:dyDescent="0.25">
      <c r="A29" s="595" t="s">
        <v>450</v>
      </c>
      <c r="B29" s="595"/>
      <c r="C29" s="595"/>
      <c r="D29" s="595"/>
      <c r="E29" s="595"/>
      <c r="F29" s="595"/>
      <c r="G29" s="595"/>
      <c r="H29" s="595"/>
      <c r="I29" s="595"/>
      <c r="J29" s="595"/>
      <c r="K29" s="595"/>
      <c r="L29" s="595"/>
    </row>
    <row r="30" spans="1:36" ht="18" x14ac:dyDescent="0.25">
      <c r="A30" s="467"/>
      <c r="B30" s="467"/>
      <c r="C30" s="467"/>
      <c r="D30" s="467"/>
      <c r="E30" s="467"/>
      <c r="F30" s="467"/>
      <c r="G30" s="467"/>
      <c r="H30" s="467"/>
      <c r="I30" s="467"/>
      <c r="J30" s="467"/>
      <c r="K30" s="467"/>
      <c r="L30" s="467"/>
    </row>
    <row r="31" spans="1:36" ht="14.25" x14ac:dyDescent="0.2">
      <c r="A31" s="645" t="s">
        <v>96</v>
      </c>
      <c r="B31" s="645"/>
      <c r="C31" s="645"/>
      <c r="D31" s="645"/>
      <c r="E31" s="645"/>
      <c r="F31" s="645"/>
      <c r="G31" s="645"/>
      <c r="H31" s="645"/>
      <c r="I31" s="645"/>
      <c r="J31" s="645"/>
      <c r="K31" s="645"/>
      <c r="L31" s="645"/>
      <c r="AE31" s="483" t="s">
        <v>96</v>
      </c>
    </row>
    <row r="32" spans="1:36" x14ac:dyDescent="0.2">
      <c r="A32" s="755" t="s">
        <v>38</v>
      </c>
      <c r="B32" s="756"/>
      <c r="C32" s="647" t="s">
        <v>39</v>
      </c>
      <c r="D32" s="647" t="s">
        <v>40</v>
      </c>
      <c r="E32" s="647" t="s">
        <v>75</v>
      </c>
      <c r="F32" s="647" t="s">
        <v>68</v>
      </c>
      <c r="G32" s="647" t="s">
        <v>69</v>
      </c>
      <c r="H32" s="647" t="s">
        <v>76</v>
      </c>
      <c r="I32" s="647" t="s">
        <v>77</v>
      </c>
      <c r="J32" s="647" t="s">
        <v>78</v>
      </c>
      <c r="K32" s="647" t="s">
        <v>79</v>
      </c>
      <c r="L32" s="647" t="s">
        <v>80</v>
      </c>
    </row>
    <row r="33" spans="1:22" ht="18" x14ac:dyDescent="0.25">
      <c r="A33" s="757"/>
      <c r="B33" s="758"/>
      <c r="C33" s="648"/>
      <c r="D33" s="648"/>
      <c r="E33" s="648"/>
      <c r="F33" s="648"/>
      <c r="G33" s="648"/>
      <c r="H33" s="648"/>
      <c r="I33" s="648"/>
      <c r="J33" s="648"/>
      <c r="K33" s="648"/>
      <c r="L33" s="648"/>
      <c r="M33" s="177"/>
    </row>
    <row r="34" spans="1:22" ht="20.25" x14ac:dyDescent="0.3">
      <c r="A34" s="650" t="s">
        <v>41</v>
      </c>
      <c r="B34" s="759" t="s">
        <v>42</v>
      </c>
      <c r="C34" s="648"/>
      <c r="D34" s="648"/>
      <c r="E34" s="648"/>
      <c r="F34" s="648"/>
      <c r="G34" s="648"/>
      <c r="H34" s="648"/>
      <c r="I34" s="648"/>
      <c r="J34" s="648"/>
      <c r="K34" s="648"/>
      <c r="L34" s="648"/>
      <c r="M34" s="760"/>
    </row>
    <row r="35" spans="1:22" x14ac:dyDescent="0.2">
      <c r="A35" s="650"/>
      <c r="B35" s="759"/>
      <c r="C35" s="648"/>
      <c r="D35" s="648"/>
      <c r="E35" s="648"/>
      <c r="F35" s="648"/>
      <c r="G35" s="648"/>
      <c r="H35" s="648"/>
      <c r="I35" s="648"/>
      <c r="J35" s="648"/>
      <c r="K35" s="648"/>
      <c r="L35" s="648"/>
    </row>
    <row r="36" spans="1:22" x14ac:dyDescent="0.2">
      <c r="A36" s="650"/>
      <c r="B36" s="759"/>
      <c r="C36" s="648"/>
      <c r="D36" s="648"/>
      <c r="E36" s="648"/>
      <c r="F36" s="648"/>
      <c r="G36" s="648"/>
      <c r="H36" s="648"/>
      <c r="I36" s="648"/>
      <c r="J36" s="648"/>
      <c r="K36" s="648"/>
      <c r="L36" s="648"/>
    </row>
    <row r="37" spans="1:22" x14ac:dyDescent="0.2">
      <c r="A37" s="650"/>
      <c r="B37" s="759"/>
      <c r="C37" s="648"/>
      <c r="D37" s="648"/>
      <c r="E37" s="648"/>
      <c r="F37" s="648"/>
      <c r="G37" s="648"/>
      <c r="H37" s="648"/>
      <c r="I37" s="648"/>
      <c r="J37" s="648"/>
      <c r="K37" s="648"/>
      <c r="L37" s="648"/>
    </row>
    <row r="38" spans="1:22" x14ac:dyDescent="0.2">
      <c r="A38" s="650"/>
      <c r="B38" s="759"/>
      <c r="C38" s="648"/>
      <c r="D38" s="648"/>
      <c r="E38" s="648"/>
      <c r="F38" s="648"/>
      <c r="G38" s="648"/>
      <c r="H38" s="648"/>
      <c r="I38" s="648"/>
      <c r="J38" s="648"/>
      <c r="K38" s="648"/>
      <c r="L38" s="648"/>
    </row>
    <row r="39" spans="1:22" x14ac:dyDescent="0.2">
      <c r="A39" s="650"/>
      <c r="B39" s="759"/>
      <c r="C39" s="649"/>
      <c r="D39" s="649"/>
      <c r="E39" s="649"/>
      <c r="F39" s="649"/>
      <c r="G39" s="649"/>
      <c r="H39" s="649"/>
      <c r="I39" s="649"/>
      <c r="J39" s="649"/>
      <c r="K39" s="649"/>
      <c r="L39" s="649"/>
    </row>
    <row r="40" spans="1:22" ht="14.25" x14ac:dyDescent="0.2">
      <c r="A40" s="482">
        <v>1</v>
      </c>
      <c r="B40" s="761">
        <v>2</v>
      </c>
      <c r="C40" s="482">
        <v>3</v>
      </c>
      <c r="D40" s="482">
        <v>4</v>
      </c>
      <c r="E40" s="482">
        <v>5</v>
      </c>
      <c r="F40" s="482">
        <v>6</v>
      </c>
      <c r="G40" s="482">
        <v>7</v>
      </c>
      <c r="H40" s="482">
        <v>8</v>
      </c>
      <c r="I40" s="482">
        <v>9</v>
      </c>
      <c r="J40" s="482">
        <v>10</v>
      </c>
      <c r="K40" s="482">
        <v>11</v>
      </c>
      <c r="L40" s="482">
        <v>12</v>
      </c>
    </row>
    <row r="42" spans="1:22" ht="16.5" x14ac:dyDescent="0.2">
      <c r="A42" s="762" t="s">
        <v>97</v>
      </c>
      <c r="B42" s="762"/>
      <c r="C42" s="762"/>
      <c r="D42" s="762"/>
      <c r="E42" s="762"/>
      <c r="F42" s="762"/>
      <c r="G42" s="762"/>
      <c r="H42" s="762"/>
      <c r="I42" s="762"/>
      <c r="J42" s="762"/>
      <c r="K42" s="762"/>
      <c r="L42" s="762"/>
    </row>
    <row r="43" spans="1:22" ht="45.75" customHeight="1" x14ac:dyDescent="0.25">
      <c r="A43" s="642" t="s">
        <v>98</v>
      </c>
      <c r="B43" s="642"/>
      <c r="C43" s="642"/>
      <c r="D43" s="642"/>
      <c r="E43" s="642"/>
      <c r="F43" s="642"/>
      <c r="G43" s="642"/>
      <c r="H43" s="642"/>
      <c r="I43" s="642"/>
      <c r="J43" s="642"/>
      <c r="K43" s="642"/>
      <c r="L43" s="642"/>
    </row>
    <row r="45" spans="1:22" ht="16.5" x14ac:dyDescent="0.25">
      <c r="A45" s="642" t="str">
        <f>CONCATENATE("Раздел: ",IF([86]Source!G28&lt;&gt;"Новый раздел", [86]Source!G28, ""))</f>
        <v>Раздел: Вентиляция</v>
      </c>
      <c r="B45" s="642"/>
      <c r="C45" s="642"/>
      <c r="D45" s="642"/>
      <c r="E45" s="642"/>
      <c r="F45" s="642"/>
      <c r="G45" s="642"/>
      <c r="H45" s="642"/>
      <c r="I45" s="642"/>
      <c r="J45" s="642"/>
      <c r="K45" s="642"/>
      <c r="L45" s="642"/>
    </row>
    <row r="47" spans="1:22" ht="16.5" hidden="1" x14ac:dyDescent="0.25">
      <c r="A47" s="642" t="str">
        <f>CONCATENATE("Подраздел: ",IF([86]Source!G32&lt;&gt;"Новый подраздел", [86]Source!G32, ""))</f>
        <v>Подраздел: П2-9</v>
      </c>
      <c r="B47" s="642"/>
      <c r="C47" s="642"/>
      <c r="D47" s="642"/>
      <c r="E47" s="642"/>
      <c r="F47" s="642"/>
      <c r="G47" s="642"/>
      <c r="H47" s="642"/>
      <c r="I47" s="642"/>
      <c r="J47" s="642"/>
      <c r="K47" s="642"/>
      <c r="L47" s="642"/>
    </row>
    <row r="48" spans="1:22" ht="52.5" hidden="1" x14ac:dyDescent="0.2">
      <c r="A48" s="478">
        <v>1</v>
      </c>
      <c r="B48" s="763" t="str">
        <f>[86]Source!E36</f>
        <v>1</v>
      </c>
      <c r="C48" s="439" t="s">
        <v>108</v>
      </c>
      <c r="D48" s="439" t="s">
        <v>100</v>
      </c>
      <c r="E48" s="440" t="str">
        <f>[86]Source!H36</f>
        <v>1  ШТ.</v>
      </c>
      <c r="F48" s="270">
        <f>[86]Source!I36</f>
        <v>0</v>
      </c>
      <c r="G48" s="441"/>
      <c r="H48" s="442"/>
      <c r="I48" s="270"/>
      <c r="J48" s="480"/>
      <c r="K48" s="270"/>
      <c r="L48" s="480"/>
      <c r="Q48" s="178">
        <f>[86]Source!X36</f>
        <v>0</v>
      </c>
      <c r="R48" s="178">
        <f>[86]Source!X37</f>
        <v>0</v>
      </c>
      <c r="S48" s="178">
        <f>[86]Source!Y36</f>
        <v>0</v>
      </c>
      <c r="T48" s="178">
        <f>[86]Source!Y37</f>
        <v>0</v>
      </c>
      <c r="U48" s="178">
        <f>ROUND((175/100)*ROUND([86]Source!R36, 2), 2)</f>
        <v>0</v>
      </c>
      <c r="V48" s="178">
        <f>ROUND((157/100)*ROUND([86]Source!R37, 2), 2)</f>
        <v>0</v>
      </c>
    </row>
    <row r="49" spans="1:16" ht="14.25" hidden="1" x14ac:dyDescent="0.2">
      <c r="A49" s="478"/>
      <c r="B49" s="763"/>
      <c r="C49" s="439"/>
      <c r="D49" s="439" t="s">
        <v>43</v>
      </c>
      <c r="E49" s="440"/>
      <c r="F49" s="270"/>
      <c r="G49" s="441">
        <f>[86]Source!AO36</f>
        <v>615.5</v>
      </c>
      <c r="H49" s="442" t="str">
        <f>[86]Source!DG36</f>
        <v>)*1,67</v>
      </c>
      <c r="I49" s="270">
        <f>[86]Source!AV37</f>
        <v>1.0669999999999999</v>
      </c>
      <c r="J49" s="480">
        <f>[86]Source!S36</f>
        <v>0</v>
      </c>
      <c r="K49" s="270">
        <f>IF([86]Source!BA37&lt;&gt; 0, [86]Source!BA37, 1)</f>
        <v>24.53</v>
      </c>
      <c r="L49" s="480">
        <f>[86]Source!S37</f>
        <v>0</v>
      </c>
    </row>
    <row r="50" spans="1:16" ht="14.25" hidden="1" x14ac:dyDescent="0.2">
      <c r="A50" s="478"/>
      <c r="B50" s="763"/>
      <c r="C50" s="439"/>
      <c r="D50" s="439" t="s">
        <v>44</v>
      </c>
      <c r="E50" s="440"/>
      <c r="F50" s="270"/>
      <c r="G50" s="441">
        <f>[86]Source!AM36</f>
        <v>15.8</v>
      </c>
      <c r="H50" s="442">
        <f>[86]Source!DE36</f>
        <v>0</v>
      </c>
      <c r="I50" s="270">
        <f>[86]Source!AV37</f>
        <v>1.0669999999999999</v>
      </c>
      <c r="J50" s="480">
        <f>[86]Source!Q36-J60</f>
        <v>0</v>
      </c>
      <c r="K50" s="270">
        <f>IF([86]Source!BB37&lt;&gt; 0, [86]Source!BB37, 1)</f>
        <v>7.59</v>
      </c>
      <c r="L50" s="480">
        <f>[86]Source!Q37-L60</f>
        <v>0</v>
      </c>
    </row>
    <row r="51" spans="1:16" ht="14.25" hidden="1" x14ac:dyDescent="0.2">
      <c r="A51" s="478"/>
      <c r="B51" s="763"/>
      <c r="C51" s="439"/>
      <c r="D51" s="439" t="s">
        <v>45</v>
      </c>
      <c r="E51" s="440"/>
      <c r="F51" s="270"/>
      <c r="G51" s="441">
        <f>[86]Source!AN36</f>
        <v>1.31</v>
      </c>
      <c r="H51" s="442">
        <f>[86]Source!DE36</f>
        <v>0</v>
      </c>
      <c r="I51" s="270">
        <f>[86]Source!AV37</f>
        <v>1.0669999999999999</v>
      </c>
      <c r="J51" s="443">
        <f>[86]Source!R36-J61</f>
        <v>0</v>
      </c>
      <c r="K51" s="270">
        <f>IF([86]Source!BS37&lt;&gt; 0, [86]Source!BS37, 1)</f>
        <v>24.53</v>
      </c>
      <c r="L51" s="443">
        <f>[86]Source!R37-L61</f>
        <v>0</v>
      </c>
    </row>
    <row r="52" spans="1:16" ht="14.25" hidden="1" x14ac:dyDescent="0.2">
      <c r="A52" s="478"/>
      <c r="B52" s="763"/>
      <c r="C52" s="439"/>
      <c r="D52" s="439" t="s">
        <v>46</v>
      </c>
      <c r="E52" s="440"/>
      <c r="F52" s="270"/>
      <c r="G52" s="441">
        <f>[86]Source!AL36</f>
        <v>4.0599999999999996</v>
      </c>
      <c r="H52" s="442">
        <f>[86]Source!DD36</f>
        <v>0</v>
      </c>
      <c r="I52" s="270">
        <f>[86]Source!AW37</f>
        <v>1.028</v>
      </c>
      <c r="J52" s="480">
        <f>[86]Source!P36</f>
        <v>0</v>
      </c>
      <c r="K52" s="270">
        <f>IF([86]Source!BC37&lt;&gt; 0, [86]Source!BC37, 1)</f>
        <v>6.33</v>
      </c>
      <c r="L52" s="480">
        <f>[86]Source!P37</f>
        <v>0</v>
      </c>
    </row>
    <row r="53" spans="1:16" ht="14.25" hidden="1" x14ac:dyDescent="0.2">
      <c r="A53" s="478"/>
      <c r="B53" s="763"/>
      <c r="C53" s="439"/>
      <c r="D53" s="439" t="s">
        <v>47</v>
      </c>
      <c r="E53" s="440" t="s">
        <v>48</v>
      </c>
      <c r="F53" s="270">
        <f>[86]Source!DN37</f>
        <v>68</v>
      </c>
      <c r="G53" s="441"/>
      <c r="H53" s="442"/>
      <c r="I53" s="270"/>
      <c r="J53" s="480">
        <f>SUM(Q48:Q52)</f>
        <v>0</v>
      </c>
      <c r="K53" s="270">
        <f>[86]Source!BZ37</f>
        <v>68</v>
      </c>
      <c r="L53" s="480">
        <f>SUM(R48:R52)</f>
        <v>0</v>
      </c>
    </row>
    <row r="54" spans="1:16" ht="14.25" hidden="1" x14ac:dyDescent="0.2">
      <c r="A54" s="478"/>
      <c r="B54" s="763"/>
      <c r="C54" s="439"/>
      <c r="D54" s="439" t="s">
        <v>49</v>
      </c>
      <c r="E54" s="440" t="s">
        <v>48</v>
      </c>
      <c r="F54" s="270">
        <f>[86]Source!DO37</f>
        <v>43</v>
      </c>
      <c r="G54" s="441"/>
      <c r="H54" s="442"/>
      <c r="I54" s="270"/>
      <c r="J54" s="480">
        <f>SUM(S48:S53)</f>
        <v>0</v>
      </c>
      <c r="K54" s="270">
        <f>[86]Source!CA37</f>
        <v>43</v>
      </c>
      <c r="L54" s="480">
        <f>SUM(T48:T53)</f>
        <v>0</v>
      </c>
    </row>
    <row r="55" spans="1:16" ht="14.25" hidden="1" x14ac:dyDescent="0.2">
      <c r="A55" s="478"/>
      <c r="B55" s="763"/>
      <c r="C55" s="439"/>
      <c r="D55" s="439" t="s">
        <v>50</v>
      </c>
      <c r="E55" s="440" t="s">
        <v>48</v>
      </c>
      <c r="F55" s="270">
        <f>175</f>
        <v>175</v>
      </c>
      <c r="G55" s="441"/>
      <c r="H55" s="442"/>
      <c r="I55" s="270"/>
      <c r="J55" s="480">
        <f>SUM(U48:U54)-J62</f>
        <v>0</v>
      </c>
      <c r="K55" s="270">
        <f>157</f>
        <v>157</v>
      </c>
      <c r="L55" s="480">
        <f>SUM(V48:V54)-L62</f>
        <v>0</v>
      </c>
    </row>
    <row r="56" spans="1:16" ht="14.25" hidden="1" x14ac:dyDescent="0.2">
      <c r="A56" s="479"/>
      <c r="B56" s="309"/>
      <c r="C56" s="308"/>
      <c r="D56" s="308" t="s">
        <v>51</v>
      </c>
      <c r="E56" s="307" t="s">
        <v>52</v>
      </c>
      <c r="F56" s="306">
        <f>[86]Source!AQ36</f>
        <v>51.58</v>
      </c>
      <c r="G56" s="305"/>
      <c r="H56" s="315">
        <f>[86]Source!DI36</f>
        <v>0</v>
      </c>
      <c r="I56" s="306">
        <f>[86]Source!AV37</f>
        <v>1.0669999999999999</v>
      </c>
      <c r="J56" s="314">
        <f>[86]Source!U36</f>
        <v>0</v>
      </c>
      <c r="K56" s="306"/>
      <c r="L56" s="314"/>
    </row>
    <row r="57" spans="1:16" ht="15" hidden="1" x14ac:dyDescent="0.25">
      <c r="D57" s="764" t="s">
        <v>81</v>
      </c>
      <c r="I57" s="640">
        <f>J49+J50+J52+J53+J54+J55</f>
        <v>0</v>
      </c>
      <c r="J57" s="640"/>
      <c r="K57" s="640">
        <f>L49+L50+L52+L53+L54+L55</f>
        <v>0</v>
      </c>
      <c r="L57" s="640"/>
      <c r="O57" s="765">
        <f>J49+J50+J52+J53+J54+J55</f>
        <v>0</v>
      </c>
      <c r="P57" s="765">
        <f>L49+L50+L52+L53+L54+L55</f>
        <v>0</v>
      </c>
    </row>
    <row r="58" spans="1:16" hidden="1" x14ac:dyDescent="0.2"/>
    <row r="59" spans="1:16" ht="28.5" hidden="1" x14ac:dyDescent="0.2">
      <c r="A59" s="478">
        <v>2</v>
      </c>
      <c r="B59" s="763" t="str">
        <f>CONCATENATE([86]Source!E36, "/1")</f>
        <v>1/1</v>
      </c>
      <c r="C59" s="439"/>
      <c r="D59" s="439" t="s">
        <v>82</v>
      </c>
      <c r="E59" s="440" t="str">
        <f>[86]Source!H36</f>
        <v>1  ШТ.</v>
      </c>
      <c r="F59" s="270">
        <f>[86]Source!I36</f>
        <v>0</v>
      </c>
      <c r="G59" s="441"/>
      <c r="H59" s="442"/>
      <c r="I59" s="270"/>
      <c r="J59" s="480"/>
      <c r="K59" s="270"/>
      <c r="L59" s="480"/>
    </row>
    <row r="60" spans="1:16" ht="14.25" hidden="1" x14ac:dyDescent="0.2">
      <c r="A60" s="478"/>
      <c r="B60" s="763"/>
      <c r="C60" s="439"/>
      <c r="D60" s="439" t="s">
        <v>44</v>
      </c>
      <c r="E60" s="440"/>
      <c r="F60" s="270"/>
      <c r="G60" s="441">
        <f t="shared" ref="G60:L60" si="0">G61</f>
        <v>1.31</v>
      </c>
      <c r="H60" s="766" t="str">
        <f t="shared" si="0"/>
        <v>)*(1.67-1)</v>
      </c>
      <c r="I60" s="270">
        <f t="shared" si="0"/>
        <v>1.0669999999999999</v>
      </c>
      <c r="J60" s="480">
        <f t="shared" si="0"/>
        <v>0</v>
      </c>
      <c r="K60" s="270">
        <f t="shared" si="0"/>
        <v>24.53</v>
      </c>
      <c r="L60" s="480">
        <f t="shared" si="0"/>
        <v>0</v>
      </c>
    </row>
    <row r="61" spans="1:16" ht="14.25" hidden="1" x14ac:dyDescent="0.2">
      <c r="A61" s="478"/>
      <c r="B61" s="763"/>
      <c r="C61" s="439"/>
      <c r="D61" s="439" t="s">
        <v>45</v>
      </c>
      <c r="E61" s="440"/>
      <c r="F61" s="270"/>
      <c r="G61" s="441">
        <f>[86]Source!AN36</f>
        <v>1.31</v>
      </c>
      <c r="H61" s="766" t="s">
        <v>53</v>
      </c>
      <c r="I61" s="270">
        <f>[86]Source!AV37</f>
        <v>1.0669999999999999</v>
      </c>
      <c r="J61" s="443">
        <f>ROUND(F48*G61*I61*(1.67-1), 2)</f>
        <v>0</v>
      </c>
      <c r="K61" s="270">
        <f>IF([86]Source!BS37&lt;&gt; 0, [86]Source!BS37, 1)</f>
        <v>24.53</v>
      </c>
      <c r="L61" s="443">
        <f>ROUND(ROUND(F48*G61*I61*(1.67-1), 2)*K61, 2)</f>
        <v>0</v>
      </c>
    </row>
    <row r="62" spans="1:16" ht="14.25" hidden="1" x14ac:dyDescent="0.2">
      <c r="A62" s="478"/>
      <c r="B62" s="763"/>
      <c r="C62" s="439"/>
      <c r="D62" s="439" t="s">
        <v>50</v>
      </c>
      <c r="E62" s="440" t="s">
        <v>48</v>
      </c>
      <c r="F62" s="270">
        <f>175</f>
        <v>175</v>
      </c>
      <c r="G62" s="441"/>
      <c r="H62" s="442"/>
      <c r="I62" s="270"/>
      <c r="J62" s="480">
        <f>ROUND(J61*(F62/100), 2)</f>
        <v>0</v>
      </c>
      <c r="K62" s="270">
        <f>157</f>
        <v>157</v>
      </c>
      <c r="L62" s="480">
        <f>ROUND(L61*(K62/100), 2)</f>
        <v>0</v>
      </c>
    </row>
    <row r="63" spans="1:16" ht="15" hidden="1" x14ac:dyDescent="0.25">
      <c r="A63" s="311"/>
      <c r="B63" s="313"/>
      <c r="C63" s="311"/>
      <c r="D63" s="312" t="s">
        <v>81</v>
      </c>
      <c r="E63" s="311"/>
      <c r="F63" s="311"/>
      <c r="G63" s="311"/>
      <c r="H63" s="311"/>
      <c r="I63" s="639">
        <f>J62+J61</f>
        <v>0</v>
      </c>
      <c r="J63" s="639"/>
      <c r="K63" s="639">
        <f>L62+L61</f>
        <v>0</v>
      </c>
      <c r="L63" s="639"/>
      <c r="O63" s="765">
        <f>I63</f>
        <v>0</v>
      </c>
      <c r="P63" s="765">
        <f>K63</f>
        <v>0</v>
      </c>
    </row>
    <row r="64" spans="1:16" hidden="1" x14ac:dyDescent="0.2"/>
    <row r="65" spans="1:22" s="775" customFormat="1" ht="66.75" hidden="1" x14ac:dyDescent="0.2">
      <c r="A65" s="767">
        <v>3</v>
      </c>
      <c r="B65" s="768" t="str">
        <f>[86]Source!E38</f>
        <v>2</v>
      </c>
      <c r="C65" s="769" t="str">
        <f>[86]Source!F38</f>
        <v>Прайс-лист</v>
      </c>
      <c r="D65" s="769" t="s">
        <v>449</v>
      </c>
      <c r="E65" s="770" t="str">
        <f>[86]Source!H38</f>
        <v>шт.</v>
      </c>
      <c r="F65" s="771">
        <f>[86]Source!I38</f>
        <v>0</v>
      </c>
      <c r="G65" s="772">
        <f>[86]Source!AL38</f>
        <v>81063.11</v>
      </c>
      <c r="H65" s="773">
        <f>[86]Source!DD38</f>
        <v>0</v>
      </c>
      <c r="I65" s="771">
        <f>[86]Source!AW39</f>
        <v>1</v>
      </c>
      <c r="J65" s="774">
        <f>[86]Source!P38</f>
        <v>0</v>
      </c>
      <c r="K65" s="771">
        <f>IF([86]Source!BC39&lt;&gt; 0, [86]Source!BC39, 1)</f>
        <v>4.5999999999999996</v>
      </c>
      <c r="L65" s="774">
        <v>0</v>
      </c>
      <c r="Q65" s="775">
        <f>[86]Source!X38</f>
        <v>0</v>
      </c>
      <c r="R65" s="775">
        <f>[86]Source!X39</f>
        <v>0</v>
      </c>
      <c r="S65" s="775">
        <f>[86]Source!Y38</f>
        <v>0</v>
      </c>
      <c r="T65" s="775">
        <f>[86]Source!Y39</f>
        <v>0</v>
      </c>
      <c r="U65" s="775">
        <f>ROUND((175/100)*ROUND([86]Source!R38, 2), 2)</f>
        <v>0</v>
      </c>
      <c r="V65" s="775">
        <f>ROUND((157/100)*ROUND([86]Source!R39, 2), 2)</f>
        <v>0</v>
      </c>
    </row>
    <row r="66" spans="1:22" s="775" customFormat="1" ht="15" hidden="1" x14ac:dyDescent="0.25">
      <c r="A66" s="776"/>
      <c r="B66" s="777"/>
      <c r="C66" s="776"/>
      <c r="D66" s="778" t="s">
        <v>81</v>
      </c>
      <c r="E66" s="776"/>
      <c r="F66" s="776"/>
      <c r="G66" s="776"/>
      <c r="H66" s="776"/>
      <c r="I66" s="779">
        <f>J65</f>
        <v>0</v>
      </c>
      <c r="J66" s="779"/>
      <c r="K66" s="779">
        <f>L65</f>
        <v>0</v>
      </c>
      <c r="L66" s="779"/>
      <c r="O66" s="780">
        <f>J65</f>
        <v>0</v>
      </c>
      <c r="P66" s="780">
        <f>L65</f>
        <v>0</v>
      </c>
    </row>
    <row r="67" spans="1:22" hidden="1" x14ac:dyDescent="0.2"/>
    <row r="68" spans="1:22" hidden="1" x14ac:dyDescent="0.2"/>
    <row r="69" spans="1:22" ht="15" hidden="1" x14ac:dyDescent="0.25">
      <c r="A69" s="634" t="str">
        <f>CONCATENATE("Итого по подразделу: ",IF([86]Source!G41&lt;&gt;"Новый подраздел", [86]Source!G41, ""))</f>
        <v>Итого по подразделу: П2-9</v>
      </c>
      <c r="B69" s="634"/>
      <c r="C69" s="634"/>
      <c r="D69" s="634"/>
      <c r="E69" s="634"/>
      <c r="F69" s="634"/>
      <c r="G69" s="634"/>
      <c r="H69" s="634"/>
      <c r="I69" s="640">
        <f>SUM(O47:O68)</f>
        <v>0</v>
      </c>
      <c r="J69" s="641"/>
      <c r="K69" s="640">
        <f>SUM(P47:P68)</f>
        <v>0</v>
      </c>
      <c r="L69" s="641"/>
    </row>
    <row r="70" spans="1:22" hidden="1" x14ac:dyDescent="0.2">
      <c r="A70" s="178" t="s">
        <v>54</v>
      </c>
      <c r="J70" s="178">
        <f>SUM(W47:W69)</f>
        <v>0</v>
      </c>
      <c r="K70" s="178">
        <f>SUM(X47:X69)</f>
        <v>0</v>
      </c>
    </row>
    <row r="71" spans="1:22" hidden="1" x14ac:dyDescent="0.2">
      <c r="A71" s="178" t="s">
        <v>55</v>
      </c>
      <c r="J71" s="178">
        <f>SUM(Y47:Y70)</f>
        <v>0</v>
      </c>
      <c r="K71" s="178">
        <f>SUM(Z47:Z70)</f>
        <v>0</v>
      </c>
    </row>
    <row r="72" spans="1:22" hidden="1" x14ac:dyDescent="0.2"/>
    <row r="73" spans="1:22" hidden="1" x14ac:dyDescent="0.2">
      <c r="A73" s="178" t="s">
        <v>54</v>
      </c>
      <c r="J73" s="178" t="e">
        <f>SUM(#REF!)</f>
        <v>#REF!</v>
      </c>
      <c r="K73" s="178" t="e">
        <f>SUM(#REF!)</f>
        <v>#REF!</v>
      </c>
    </row>
    <row r="74" spans="1:22" hidden="1" x14ac:dyDescent="0.2">
      <c r="A74" s="178" t="s">
        <v>55</v>
      </c>
      <c r="J74" s="178">
        <f>SUM(Y73:Y73)</f>
        <v>0</v>
      </c>
      <c r="K74" s="178">
        <f>SUM(Z73:Z73)</f>
        <v>0</v>
      </c>
    </row>
    <row r="75" spans="1:22" hidden="1" x14ac:dyDescent="0.2"/>
    <row r="76" spans="1:22" ht="16.5" hidden="1" x14ac:dyDescent="0.25">
      <c r="A76" s="642" t="str">
        <f>CONCATENATE("Подраздел: ",IF([86]Source!G114&lt;&gt;"Новый подраздел", [86]Source!G114, ""))</f>
        <v>Подраздел: П2-11, П2-11р</v>
      </c>
      <c r="B76" s="642"/>
      <c r="C76" s="642"/>
      <c r="D76" s="642"/>
      <c r="E76" s="642"/>
      <c r="F76" s="642"/>
      <c r="G76" s="642"/>
      <c r="H76" s="642"/>
      <c r="I76" s="642"/>
      <c r="J76" s="642"/>
      <c r="K76" s="642"/>
      <c r="L76" s="642"/>
    </row>
    <row r="77" spans="1:22" ht="52.5" hidden="1" x14ac:dyDescent="0.2">
      <c r="A77" s="478">
        <v>4</v>
      </c>
      <c r="B77" s="763">
        <v>5</v>
      </c>
      <c r="C77" s="439" t="s">
        <v>99</v>
      </c>
      <c r="D77" s="439" t="s">
        <v>100</v>
      </c>
      <c r="E77" s="440" t="str">
        <f>[86]Source!H118</f>
        <v>1  ШТ.</v>
      </c>
      <c r="F77" s="270">
        <f>[86]Source!I118</f>
        <v>0</v>
      </c>
      <c r="G77" s="441"/>
      <c r="H77" s="442"/>
      <c r="I77" s="270"/>
      <c r="J77" s="480"/>
      <c r="K77" s="270"/>
      <c r="L77" s="480"/>
      <c r="Q77" s="178">
        <f>[86]Source!X118</f>
        <v>0</v>
      </c>
      <c r="R77" s="178">
        <f>[86]Source!X119</f>
        <v>0</v>
      </c>
      <c r="S77" s="178">
        <f>[86]Source!Y118</f>
        <v>0</v>
      </c>
      <c r="T77" s="178">
        <f>[86]Source!Y119</f>
        <v>0</v>
      </c>
      <c r="U77" s="178">
        <f>ROUND((175/100)*ROUND([86]Source!R118, 2), 2)</f>
        <v>0</v>
      </c>
      <c r="V77" s="178">
        <f>ROUND((157/100)*ROUND([86]Source!R119, 2), 2)</f>
        <v>0</v>
      </c>
    </row>
    <row r="78" spans="1:22" ht="14.25" hidden="1" x14ac:dyDescent="0.2">
      <c r="A78" s="478"/>
      <c r="B78" s="763"/>
      <c r="C78" s="439"/>
      <c r="D78" s="439" t="s">
        <v>43</v>
      </c>
      <c r="E78" s="440"/>
      <c r="F78" s="270"/>
      <c r="G78" s="441">
        <f>[86]Source!AO118</f>
        <v>615.5</v>
      </c>
      <c r="H78" s="442" t="str">
        <f>[86]Source!DG118</f>
        <v>)*1,67</v>
      </c>
      <c r="I78" s="270">
        <f>[86]Source!AV119</f>
        <v>1.0669999999999999</v>
      </c>
      <c r="J78" s="480">
        <f>[86]Source!S118</f>
        <v>0</v>
      </c>
      <c r="K78" s="270">
        <f>IF([86]Source!BA119&lt;&gt; 0, [86]Source!BA119, 1)</f>
        <v>24.53</v>
      </c>
      <c r="L78" s="480">
        <f>[86]Source!S119</f>
        <v>0</v>
      </c>
    </row>
    <row r="79" spans="1:22" ht="14.25" hidden="1" x14ac:dyDescent="0.2">
      <c r="A79" s="478"/>
      <c r="B79" s="763"/>
      <c r="C79" s="439"/>
      <c r="D79" s="439" t="s">
        <v>44</v>
      </c>
      <c r="E79" s="440"/>
      <c r="F79" s="270"/>
      <c r="G79" s="441">
        <f>[86]Source!AM118</f>
        <v>15.8</v>
      </c>
      <c r="H79" s="442">
        <f>[86]Source!DE118</f>
        <v>0</v>
      </c>
      <c r="I79" s="270">
        <f>[86]Source!AV119</f>
        <v>1.0669999999999999</v>
      </c>
      <c r="J79" s="480">
        <f>[86]Source!Q118-J89</f>
        <v>0</v>
      </c>
      <c r="K79" s="270">
        <f>IF([86]Source!BB119&lt;&gt; 0, [86]Source!BB119, 1)</f>
        <v>7.59</v>
      </c>
      <c r="L79" s="480">
        <f>[86]Source!Q119-L89</f>
        <v>0</v>
      </c>
    </row>
    <row r="80" spans="1:22" ht="14.25" hidden="1" x14ac:dyDescent="0.2">
      <c r="A80" s="478"/>
      <c r="B80" s="763"/>
      <c r="C80" s="439"/>
      <c r="D80" s="439" t="s">
        <v>45</v>
      </c>
      <c r="E80" s="440"/>
      <c r="F80" s="270"/>
      <c r="G80" s="441">
        <f>[86]Source!AN118</f>
        <v>1.31</v>
      </c>
      <c r="H80" s="442">
        <f>[86]Source!DE118</f>
        <v>0</v>
      </c>
      <c r="I80" s="270">
        <f>[86]Source!AV119</f>
        <v>1.0669999999999999</v>
      </c>
      <c r="J80" s="443">
        <f>[86]Source!R118-J90</f>
        <v>0</v>
      </c>
      <c r="K80" s="270">
        <f>IF([86]Source!BS119&lt;&gt; 0, [86]Source!BS119, 1)</f>
        <v>24.53</v>
      </c>
      <c r="L80" s="443">
        <f>[86]Source!R119-L90</f>
        <v>0</v>
      </c>
    </row>
    <row r="81" spans="1:22" ht="14.25" hidden="1" x14ac:dyDescent="0.2">
      <c r="A81" s="478"/>
      <c r="B81" s="763"/>
      <c r="C81" s="439"/>
      <c r="D81" s="439" t="s">
        <v>46</v>
      </c>
      <c r="E81" s="440"/>
      <c r="F81" s="270"/>
      <c r="G81" s="441">
        <f>[86]Source!AL118</f>
        <v>4.0599999999999996</v>
      </c>
      <c r="H81" s="442">
        <f>[86]Source!DD118</f>
        <v>0</v>
      </c>
      <c r="I81" s="270">
        <f>[86]Source!AW119</f>
        <v>1.028</v>
      </c>
      <c r="J81" s="480">
        <f>[86]Source!P118</f>
        <v>0</v>
      </c>
      <c r="K81" s="270">
        <f>IF([86]Source!BC119&lt;&gt; 0, [86]Source!BC119, 1)</f>
        <v>6.33</v>
      </c>
      <c r="L81" s="480">
        <f>[86]Source!P119</f>
        <v>0</v>
      </c>
    </row>
    <row r="82" spans="1:22" ht="14.25" hidden="1" x14ac:dyDescent="0.2">
      <c r="A82" s="478"/>
      <c r="B82" s="763"/>
      <c r="C82" s="439"/>
      <c r="D82" s="439" t="s">
        <v>47</v>
      </c>
      <c r="E82" s="440" t="s">
        <v>48</v>
      </c>
      <c r="F82" s="270">
        <f>[86]Source!DN119</f>
        <v>68</v>
      </c>
      <c r="G82" s="441"/>
      <c r="H82" s="442"/>
      <c r="I82" s="270"/>
      <c r="J82" s="480">
        <f>SUM(Q77:Q81)</f>
        <v>0</v>
      </c>
      <c r="K82" s="270">
        <f>[86]Source!BZ119</f>
        <v>68</v>
      </c>
      <c r="L82" s="480">
        <f>SUM(R77:R81)</f>
        <v>0</v>
      </c>
    </row>
    <row r="83" spans="1:22" ht="14.25" hidden="1" x14ac:dyDescent="0.2">
      <c r="A83" s="478"/>
      <c r="B83" s="763"/>
      <c r="C83" s="439"/>
      <c r="D83" s="439" t="s">
        <v>49</v>
      </c>
      <c r="E83" s="440" t="s">
        <v>48</v>
      </c>
      <c r="F83" s="270">
        <f>[86]Source!DO119</f>
        <v>43</v>
      </c>
      <c r="G83" s="441"/>
      <c r="H83" s="442"/>
      <c r="I83" s="270"/>
      <c r="J83" s="480">
        <f>SUM(S77:S82)</f>
        <v>0</v>
      </c>
      <c r="K83" s="270">
        <f>[86]Source!CA119</f>
        <v>43</v>
      </c>
      <c r="L83" s="480">
        <f>SUM(T77:T82)</f>
        <v>0</v>
      </c>
    </row>
    <row r="84" spans="1:22" ht="14.25" hidden="1" x14ac:dyDescent="0.2">
      <c r="A84" s="478"/>
      <c r="B84" s="763"/>
      <c r="C84" s="439"/>
      <c r="D84" s="439" t="s">
        <v>50</v>
      </c>
      <c r="E84" s="440" t="s">
        <v>48</v>
      </c>
      <c r="F84" s="270">
        <f>175</f>
        <v>175</v>
      </c>
      <c r="G84" s="441"/>
      <c r="H84" s="442"/>
      <c r="I84" s="270"/>
      <c r="J84" s="480">
        <f>SUM(U77:U83)-J91</f>
        <v>0</v>
      </c>
      <c r="K84" s="270">
        <f>157</f>
        <v>157</v>
      </c>
      <c r="L84" s="480">
        <f>SUM(V77:V83)-L91</f>
        <v>0</v>
      </c>
    </row>
    <row r="85" spans="1:22" ht="14.25" hidden="1" x14ac:dyDescent="0.2">
      <c r="A85" s="479"/>
      <c r="B85" s="309"/>
      <c r="C85" s="308"/>
      <c r="D85" s="308" t="s">
        <v>51</v>
      </c>
      <c r="E85" s="307" t="s">
        <v>52</v>
      </c>
      <c r="F85" s="306">
        <f>[86]Source!AQ118</f>
        <v>51.58</v>
      </c>
      <c r="G85" s="305"/>
      <c r="H85" s="315">
        <f>[86]Source!DI118</f>
        <v>0</v>
      </c>
      <c r="I85" s="306">
        <f>[86]Source!AV119</f>
        <v>1.0669999999999999</v>
      </c>
      <c r="J85" s="314">
        <f>[86]Source!U118</f>
        <v>0</v>
      </c>
      <c r="K85" s="306"/>
      <c r="L85" s="314"/>
    </row>
    <row r="86" spans="1:22" ht="15" hidden="1" x14ac:dyDescent="0.25">
      <c r="D86" s="764" t="s">
        <v>81</v>
      </c>
      <c r="I86" s="640">
        <f>J78+J79+J81+J82+J83+J84</f>
        <v>0</v>
      </c>
      <c r="J86" s="640"/>
      <c r="K86" s="640">
        <f>L78+L79+L81+L82+L83+L84</f>
        <v>0</v>
      </c>
      <c r="L86" s="640"/>
      <c r="O86" s="765">
        <f>J78+J79+J81+J82+J83+J84</f>
        <v>0</v>
      </c>
      <c r="P86" s="765">
        <f>L78+L79+L81+L82+L83+L84</f>
        <v>0</v>
      </c>
    </row>
    <row r="87" spans="1:22" hidden="1" x14ac:dyDescent="0.2"/>
    <row r="88" spans="1:22" ht="28.5" hidden="1" x14ac:dyDescent="0.2">
      <c r="A88" s="478">
        <v>5</v>
      </c>
      <c r="B88" s="763" t="s">
        <v>448</v>
      </c>
      <c r="C88" s="439"/>
      <c r="D88" s="439" t="s">
        <v>82</v>
      </c>
      <c r="E88" s="440" t="str">
        <f>[86]Source!H118</f>
        <v>1  ШТ.</v>
      </c>
      <c r="F88" s="270">
        <f>[86]Source!I118</f>
        <v>0</v>
      </c>
      <c r="G88" s="441"/>
      <c r="H88" s="442"/>
      <c r="I88" s="270"/>
      <c r="J88" s="480"/>
      <c r="K88" s="270"/>
      <c r="L88" s="480"/>
    </row>
    <row r="89" spans="1:22" ht="14.25" hidden="1" x14ac:dyDescent="0.2">
      <c r="A89" s="478"/>
      <c r="B89" s="763"/>
      <c r="C89" s="439"/>
      <c r="D89" s="439" t="s">
        <v>44</v>
      </c>
      <c r="E89" s="440"/>
      <c r="F89" s="270"/>
      <c r="G89" s="441">
        <f t="shared" ref="G89:L89" si="1">G90</f>
        <v>1.31</v>
      </c>
      <c r="H89" s="766" t="str">
        <f t="shared" si="1"/>
        <v>)*(1.67-1)</v>
      </c>
      <c r="I89" s="270">
        <f t="shared" si="1"/>
        <v>1.0669999999999999</v>
      </c>
      <c r="J89" s="480">
        <f t="shared" si="1"/>
        <v>0</v>
      </c>
      <c r="K89" s="270">
        <f t="shared" si="1"/>
        <v>24.53</v>
      </c>
      <c r="L89" s="480">
        <f t="shared" si="1"/>
        <v>0</v>
      </c>
    </row>
    <row r="90" spans="1:22" ht="14.25" hidden="1" x14ac:dyDescent="0.2">
      <c r="A90" s="478"/>
      <c r="B90" s="763"/>
      <c r="C90" s="439"/>
      <c r="D90" s="439" t="s">
        <v>45</v>
      </c>
      <c r="E90" s="440"/>
      <c r="F90" s="270"/>
      <c r="G90" s="441">
        <f>[86]Source!AN118</f>
        <v>1.31</v>
      </c>
      <c r="H90" s="766" t="s">
        <v>53</v>
      </c>
      <c r="I90" s="270">
        <f>[86]Source!AV119</f>
        <v>1.0669999999999999</v>
      </c>
      <c r="J90" s="443">
        <f>ROUND(F77*G90*I90*(1.67-1), 2)</f>
        <v>0</v>
      </c>
      <c r="K90" s="270">
        <f>IF([86]Source!BS119&lt;&gt; 0, [86]Source!BS119, 1)</f>
        <v>24.53</v>
      </c>
      <c r="L90" s="443">
        <f>ROUND(ROUND(F77*G90*I90*(1.67-1), 2)*K90, 2)</f>
        <v>0</v>
      </c>
    </row>
    <row r="91" spans="1:22" ht="14.25" hidden="1" x14ac:dyDescent="0.2">
      <c r="A91" s="478"/>
      <c r="B91" s="763"/>
      <c r="C91" s="439"/>
      <c r="D91" s="439" t="s">
        <v>50</v>
      </c>
      <c r="E91" s="440" t="s">
        <v>48</v>
      </c>
      <c r="F91" s="270">
        <f>175</f>
        <v>175</v>
      </c>
      <c r="G91" s="441"/>
      <c r="H91" s="442"/>
      <c r="I91" s="270"/>
      <c r="J91" s="480">
        <f>ROUND(J90*(F91/100), 2)</f>
        <v>0</v>
      </c>
      <c r="K91" s="270">
        <f>157</f>
        <v>157</v>
      </c>
      <c r="L91" s="480">
        <f>ROUND(L90*(K91/100), 2)</f>
        <v>0</v>
      </c>
    </row>
    <row r="92" spans="1:22" ht="15" hidden="1" x14ac:dyDescent="0.25">
      <c r="A92" s="311"/>
      <c r="B92" s="313"/>
      <c r="C92" s="311"/>
      <c r="D92" s="312" t="s">
        <v>81</v>
      </c>
      <c r="E92" s="311"/>
      <c r="F92" s="311"/>
      <c r="G92" s="311"/>
      <c r="H92" s="311"/>
      <c r="I92" s="639">
        <f>J91+J90</f>
        <v>0</v>
      </c>
      <c r="J92" s="639"/>
      <c r="K92" s="639">
        <f>L91+L90</f>
        <v>0</v>
      </c>
      <c r="L92" s="639"/>
      <c r="O92" s="765">
        <f>I92</f>
        <v>0</v>
      </c>
      <c r="P92" s="765">
        <f>K92</f>
        <v>0</v>
      </c>
    </row>
    <row r="93" spans="1:22" hidden="1" x14ac:dyDescent="0.2"/>
    <row r="94" spans="1:22" s="775" customFormat="1" ht="66.75" hidden="1" x14ac:dyDescent="0.2">
      <c r="A94" s="767">
        <v>6</v>
      </c>
      <c r="B94" s="768" t="s">
        <v>124</v>
      </c>
      <c r="C94" s="769" t="str">
        <f>[86]Source!F120</f>
        <v>Прайс-лист</v>
      </c>
      <c r="D94" s="769" t="s">
        <v>447</v>
      </c>
      <c r="E94" s="770" t="str">
        <f>[86]Source!H120</f>
        <v>шт.</v>
      </c>
      <c r="F94" s="771">
        <f>[86]Source!I120</f>
        <v>0</v>
      </c>
      <c r="G94" s="772">
        <f>[86]Source!AL120</f>
        <v>131180.4</v>
      </c>
      <c r="H94" s="773">
        <f>[86]Source!DD120</f>
        <v>0</v>
      </c>
      <c r="I94" s="771">
        <f>[86]Source!AW121</f>
        <v>1</v>
      </c>
      <c r="J94" s="774">
        <f>[86]Source!P120</f>
        <v>0</v>
      </c>
      <c r="K94" s="771">
        <f>IF([86]Source!BC121&lt;&gt; 0, [86]Source!BC121, 1)</f>
        <v>4.5999999999999996</v>
      </c>
      <c r="L94" s="774">
        <v>0</v>
      </c>
      <c r="Q94" s="775">
        <f>[86]Source!X120</f>
        <v>0</v>
      </c>
      <c r="R94" s="775">
        <f>[86]Source!X121</f>
        <v>0</v>
      </c>
      <c r="S94" s="775">
        <f>[86]Source!Y120</f>
        <v>0</v>
      </c>
      <c r="T94" s="775">
        <f>[86]Source!Y121</f>
        <v>0</v>
      </c>
      <c r="U94" s="775">
        <f>ROUND((175/100)*ROUND([86]Source!R120, 2), 2)</f>
        <v>0</v>
      </c>
      <c r="V94" s="775">
        <f>ROUND((157/100)*ROUND([86]Source!R121, 2), 2)</f>
        <v>0</v>
      </c>
    </row>
    <row r="95" spans="1:22" s="775" customFormat="1" ht="15" hidden="1" x14ac:dyDescent="0.25">
      <c r="A95" s="776"/>
      <c r="B95" s="777"/>
      <c r="C95" s="776"/>
      <c r="D95" s="778" t="s">
        <v>81</v>
      </c>
      <c r="E95" s="776"/>
      <c r="F95" s="776"/>
      <c r="G95" s="776"/>
      <c r="H95" s="776"/>
      <c r="I95" s="779">
        <f>J94</f>
        <v>0</v>
      </c>
      <c r="J95" s="779"/>
      <c r="K95" s="779">
        <f>L94</f>
        <v>0</v>
      </c>
      <c r="L95" s="779"/>
      <c r="O95" s="780">
        <f>J94</f>
        <v>0</v>
      </c>
      <c r="P95" s="780">
        <f>L94</f>
        <v>0</v>
      </c>
    </row>
    <row r="96" spans="1:22" hidden="1" x14ac:dyDescent="0.2"/>
    <row r="97" spans="1:22" hidden="1" x14ac:dyDescent="0.2"/>
    <row r="98" spans="1:22" ht="15" hidden="1" x14ac:dyDescent="0.25">
      <c r="A98" s="634" t="str">
        <f>CONCATENATE("Итого по подразделу: ",IF([86]Source!G161&lt;&gt;"Новый подраздел", [86]Source!G161, ""))</f>
        <v>Итого по подразделу: П2-11, П2-11р</v>
      </c>
      <c r="B98" s="634"/>
      <c r="C98" s="634"/>
      <c r="D98" s="634"/>
      <c r="E98" s="634"/>
      <c r="F98" s="634"/>
      <c r="G98" s="634"/>
      <c r="H98" s="634"/>
      <c r="I98" s="640">
        <f>SUM(O76:O97)</f>
        <v>0</v>
      </c>
      <c r="J98" s="641"/>
      <c r="K98" s="640">
        <f>SUM(P76:P97)</f>
        <v>0</v>
      </c>
      <c r="L98" s="641"/>
    </row>
    <row r="99" spans="1:22" hidden="1" x14ac:dyDescent="0.2">
      <c r="A99" s="178" t="s">
        <v>54</v>
      </c>
      <c r="J99" s="178">
        <f>SUM(W76:W98)</f>
        <v>0</v>
      </c>
      <c r="K99" s="178">
        <f>SUM(X76:X98)</f>
        <v>0</v>
      </c>
    </row>
    <row r="100" spans="1:22" hidden="1" x14ac:dyDescent="0.2">
      <c r="A100" s="178" t="s">
        <v>55</v>
      </c>
      <c r="J100" s="178">
        <f>SUM(Y76:Y99)</f>
        <v>0</v>
      </c>
      <c r="K100" s="178">
        <f>SUM(Z76:Z99)</f>
        <v>0</v>
      </c>
    </row>
    <row r="101" spans="1:22" hidden="1" x14ac:dyDescent="0.2"/>
    <row r="102" spans="1:22" hidden="1" x14ac:dyDescent="0.2">
      <c r="A102" s="178" t="s">
        <v>54</v>
      </c>
      <c r="J102" s="178" t="e">
        <f>SUM(#REF!)</f>
        <v>#REF!</v>
      </c>
      <c r="K102" s="178" t="e">
        <f>SUM(#REF!)</f>
        <v>#REF!</v>
      </c>
    </row>
    <row r="103" spans="1:22" hidden="1" x14ac:dyDescent="0.2">
      <c r="A103" s="178" t="s">
        <v>55</v>
      </c>
      <c r="J103" s="178">
        <f>SUM(Y102:Y102)</f>
        <v>0</v>
      </c>
      <c r="K103" s="178">
        <f>SUM(Z102:Z102)</f>
        <v>0</v>
      </c>
    </row>
    <row r="104" spans="1:22" hidden="1" x14ac:dyDescent="0.2"/>
    <row r="105" spans="1:22" ht="16.5" hidden="1" x14ac:dyDescent="0.25">
      <c r="A105" s="642" t="str">
        <f>CONCATENATE("Подраздел: ",IF([86]Source!G234&lt;&gt;"Новый подраздел", [86]Source!G234, ""))</f>
        <v>Подраздел: П2-14, П2-14р</v>
      </c>
      <c r="B105" s="642"/>
      <c r="C105" s="642"/>
      <c r="D105" s="642"/>
      <c r="E105" s="642"/>
      <c r="F105" s="642"/>
      <c r="G105" s="642"/>
      <c r="H105" s="642"/>
      <c r="I105" s="642"/>
      <c r="J105" s="642"/>
      <c r="K105" s="642"/>
      <c r="L105" s="642"/>
    </row>
    <row r="106" spans="1:22" ht="52.5" hidden="1" x14ac:dyDescent="0.2">
      <c r="A106" s="478">
        <v>7</v>
      </c>
      <c r="B106" s="763" t="s">
        <v>446</v>
      </c>
      <c r="C106" s="439" t="s">
        <v>445</v>
      </c>
      <c r="D106" s="439" t="s">
        <v>100</v>
      </c>
      <c r="E106" s="440" t="str">
        <f>[86]Source!H238</f>
        <v>1  ШТ.</v>
      </c>
      <c r="F106" s="270">
        <f>[86]Source!I238</f>
        <v>0</v>
      </c>
      <c r="G106" s="441"/>
      <c r="H106" s="442"/>
      <c r="I106" s="270"/>
      <c r="J106" s="480"/>
      <c r="K106" s="270"/>
      <c r="L106" s="480"/>
      <c r="Q106" s="178">
        <f>[86]Source!X238</f>
        <v>0</v>
      </c>
      <c r="R106" s="178">
        <f>[86]Source!X239</f>
        <v>0</v>
      </c>
      <c r="S106" s="178">
        <f>[86]Source!Y238</f>
        <v>0</v>
      </c>
      <c r="T106" s="178">
        <f>[86]Source!Y239</f>
        <v>0</v>
      </c>
      <c r="U106" s="178">
        <f>ROUND((175/100)*ROUND([86]Source!R238, 2), 2)</f>
        <v>0</v>
      </c>
      <c r="V106" s="178">
        <f>ROUND((157/100)*ROUND([86]Source!R239, 2), 2)</f>
        <v>0</v>
      </c>
    </row>
    <row r="107" spans="1:22" ht="14.25" hidden="1" x14ac:dyDescent="0.2">
      <c r="A107" s="478"/>
      <c r="B107" s="763"/>
      <c r="C107" s="439"/>
      <c r="D107" s="439" t="s">
        <v>43</v>
      </c>
      <c r="E107" s="440"/>
      <c r="F107" s="270"/>
      <c r="G107" s="441">
        <f>[86]Source!AO238</f>
        <v>615.5</v>
      </c>
      <c r="H107" s="442" t="str">
        <f>[86]Source!DG238</f>
        <v>)*1,67</v>
      </c>
      <c r="I107" s="270">
        <f>[86]Source!AV239</f>
        <v>1.0669999999999999</v>
      </c>
      <c r="J107" s="480">
        <f>[86]Source!S238</f>
        <v>0</v>
      </c>
      <c r="K107" s="270">
        <f>IF([86]Source!BA239&lt;&gt; 0, [86]Source!BA239, 1)</f>
        <v>24.53</v>
      </c>
      <c r="L107" s="480">
        <f>[86]Source!S239</f>
        <v>0</v>
      </c>
    </row>
    <row r="108" spans="1:22" ht="14.25" hidden="1" x14ac:dyDescent="0.2">
      <c r="A108" s="478"/>
      <c r="B108" s="763"/>
      <c r="C108" s="439"/>
      <c r="D108" s="439" t="s">
        <v>44</v>
      </c>
      <c r="E108" s="440"/>
      <c r="F108" s="270"/>
      <c r="G108" s="441">
        <f>[86]Source!AM238</f>
        <v>15.8</v>
      </c>
      <c r="H108" s="442">
        <f>[86]Source!DE238</f>
        <v>0</v>
      </c>
      <c r="I108" s="270">
        <f>[86]Source!AV239</f>
        <v>1.0669999999999999</v>
      </c>
      <c r="J108" s="480">
        <f>[86]Source!Q238-J118</f>
        <v>0</v>
      </c>
      <c r="K108" s="270">
        <f>IF([86]Source!BB239&lt;&gt; 0, [86]Source!BB239, 1)</f>
        <v>7.59</v>
      </c>
      <c r="L108" s="480">
        <f>[86]Source!Q239-L118</f>
        <v>0</v>
      </c>
    </row>
    <row r="109" spans="1:22" ht="14.25" hidden="1" x14ac:dyDescent="0.2">
      <c r="A109" s="478"/>
      <c r="B109" s="763"/>
      <c r="C109" s="439"/>
      <c r="D109" s="439" t="s">
        <v>45</v>
      </c>
      <c r="E109" s="440"/>
      <c r="F109" s="270"/>
      <c r="G109" s="441">
        <f>[86]Source!AN238</f>
        <v>1.31</v>
      </c>
      <c r="H109" s="442">
        <f>[86]Source!DE238</f>
        <v>0</v>
      </c>
      <c r="I109" s="270">
        <f>[86]Source!AV239</f>
        <v>1.0669999999999999</v>
      </c>
      <c r="J109" s="443">
        <f>[86]Source!R238-J119</f>
        <v>0</v>
      </c>
      <c r="K109" s="270">
        <f>IF([86]Source!BS239&lt;&gt; 0, [86]Source!BS239, 1)</f>
        <v>24.53</v>
      </c>
      <c r="L109" s="443">
        <f>[86]Source!R239-L119</f>
        <v>0</v>
      </c>
    </row>
    <row r="110" spans="1:22" ht="14.25" hidden="1" x14ac:dyDescent="0.2">
      <c r="A110" s="478"/>
      <c r="B110" s="763"/>
      <c r="C110" s="439"/>
      <c r="D110" s="439" t="s">
        <v>46</v>
      </c>
      <c r="E110" s="440"/>
      <c r="F110" s="270"/>
      <c r="G110" s="441">
        <f>[86]Source!AL238</f>
        <v>4.0599999999999996</v>
      </c>
      <c r="H110" s="442">
        <f>[86]Source!DD238</f>
        <v>0</v>
      </c>
      <c r="I110" s="270">
        <f>[86]Source!AW239</f>
        <v>1.028</v>
      </c>
      <c r="J110" s="480">
        <f>[86]Source!P238</f>
        <v>0</v>
      </c>
      <c r="K110" s="270">
        <f>IF([86]Source!BC239&lt;&gt; 0, [86]Source!BC239, 1)</f>
        <v>6.33</v>
      </c>
      <c r="L110" s="480">
        <f>[86]Source!P239</f>
        <v>0</v>
      </c>
    </row>
    <row r="111" spans="1:22" ht="14.25" hidden="1" x14ac:dyDescent="0.2">
      <c r="A111" s="478"/>
      <c r="B111" s="763"/>
      <c r="C111" s="439"/>
      <c r="D111" s="439" t="s">
        <v>47</v>
      </c>
      <c r="E111" s="440" t="s">
        <v>48</v>
      </c>
      <c r="F111" s="270">
        <f>[86]Source!DN239</f>
        <v>68</v>
      </c>
      <c r="G111" s="441"/>
      <c r="H111" s="442"/>
      <c r="I111" s="270"/>
      <c r="J111" s="480">
        <f>SUM(Q106:Q110)</f>
        <v>0</v>
      </c>
      <c r="K111" s="270">
        <f>[86]Source!BZ239</f>
        <v>68</v>
      </c>
      <c r="L111" s="480">
        <f>SUM(R106:R110)</f>
        <v>0</v>
      </c>
    </row>
    <row r="112" spans="1:22" ht="14.25" hidden="1" x14ac:dyDescent="0.2">
      <c r="A112" s="478"/>
      <c r="B112" s="763"/>
      <c r="C112" s="439"/>
      <c r="D112" s="439" t="s">
        <v>49</v>
      </c>
      <c r="E112" s="440" t="s">
        <v>48</v>
      </c>
      <c r="F112" s="270">
        <f>[86]Source!DO239</f>
        <v>43</v>
      </c>
      <c r="G112" s="441"/>
      <c r="H112" s="442"/>
      <c r="I112" s="270"/>
      <c r="J112" s="480">
        <f>SUM(S106:S111)</f>
        <v>0</v>
      </c>
      <c r="K112" s="270">
        <f>[86]Source!CA239</f>
        <v>43</v>
      </c>
      <c r="L112" s="480">
        <f>SUM(T106:T111)</f>
        <v>0</v>
      </c>
    </row>
    <row r="113" spans="1:22" ht="14.25" hidden="1" x14ac:dyDescent="0.2">
      <c r="A113" s="478"/>
      <c r="B113" s="763"/>
      <c r="C113" s="439"/>
      <c r="D113" s="439" t="s">
        <v>50</v>
      </c>
      <c r="E113" s="440" t="s">
        <v>48</v>
      </c>
      <c r="F113" s="270">
        <f>175</f>
        <v>175</v>
      </c>
      <c r="G113" s="441"/>
      <c r="H113" s="442"/>
      <c r="I113" s="270"/>
      <c r="J113" s="480">
        <f>SUM(U106:U112)-J120</f>
        <v>0</v>
      </c>
      <c r="K113" s="270">
        <f>157</f>
        <v>157</v>
      </c>
      <c r="L113" s="480">
        <f>SUM(V106:V112)-L120</f>
        <v>0</v>
      </c>
    </row>
    <row r="114" spans="1:22" ht="14.25" hidden="1" x14ac:dyDescent="0.2">
      <c r="A114" s="479"/>
      <c r="B114" s="309"/>
      <c r="C114" s="308"/>
      <c r="D114" s="308" t="s">
        <v>51</v>
      </c>
      <c r="E114" s="307" t="s">
        <v>52</v>
      </c>
      <c r="F114" s="306">
        <f>[86]Source!AQ238</f>
        <v>51.58</v>
      </c>
      <c r="G114" s="305"/>
      <c r="H114" s="315">
        <f>[86]Source!DI238</f>
        <v>0</v>
      </c>
      <c r="I114" s="306">
        <f>[86]Source!AV239</f>
        <v>1.0669999999999999</v>
      </c>
      <c r="J114" s="314">
        <f>[86]Source!U238</f>
        <v>0</v>
      </c>
      <c r="K114" s="306"/>
      <c r="L114" s="314"/>
    </row>
    <row r="115" spans="1:22" ht="15" hidden="1" x14ac:dyDescent="0.25">
      <c r="D115" s="764" t="s">
        <v>81</v>
      </c>
      <c r="I115" s="640">
        <f>J107+J108+J110+J111+J112+J113</f>
        <v>0</v>
      </c>
      <c r="J115" s="640"/>
      <c r="K115" s="640">
        <f>L107+L108+L110+L111+L112+L113</f>
        <v>0</v>
      </c>
      <c r="L115" s="640"/>
      <c r="O115" s="765">
        <f>J107+J108+J110+J111+J112+J113</f>
        <v>0</v>
      </c>
      <c r="P115" s="765">
        <f>L107+L108+L110+L111+L112+L113</f>
        <v>0</v>
      </c>
    </row>
    <row r="116" spans="1:22" hidden="1" x14ac:dyDescent="0.2"/>
    <row r="117" spans="1:22" ht="52.5" hidden="1" x14ac:dyDescent="0.2">
      <c r="A117" s="478">
        <v>8</v>
      </c>
      <c r="B117" s="763" t="s">
        <v>444</v>
      </c>
      <c r="C117" s="439" t="s">
        <v>443</v>
      </c>
      <c r="D117" s="439" t="s">
        <v>82</v>
      </c>
      <c r="E117" s="440" t="str">
        <f>[86]Source!H238</f>
        <v>1  ШТ.</v>
      </c>
      <c r="F117" s="270">
        <f>[86]Source!I238</f>
        <v>0</v>
      </c>
      <c r="G117" s="441"/>
      <c r="H117" s="442"/>
      <c r="I117" s="270"/>
      <c r="J117" s="480"/>
      <c r="K117" s="270"/>
      <c r="L117" s="480"/>
    </row>
    <row r="118" spans="1:22" ht="14.25" hidden="1" x14ac:dyDescent="0.2">
      <c r="A118" s="478"/>
      <c r="B118" s="763"/>
      <c r="C118" s="439"/>
      <c r="D118" s="439" t="s">
        <v>44</v>
      </c>
      <c r="E118" s="440"/>
      <c r="F118" s="270"/>
      <c r="G118" s="441">
        <f t="shared" ref="G118:L118" si="2">G119</f>
        <v>1.31</v>
      </c>
      <c r="H118" s="766" t="str">
        <f t="shared" si="2"/>
        <v>)*(1.67-1)</v>
      </c>
      <c r="I118" s="270">
        <f t="shared" si="2"/>
        <v>1.0669999999999999</v>
      </c>
      <c r="J118" s="480">
        <f t="shared" si="2"/>
        <v>0</v>
      </c>
      <c r="K118" s="270">
        <f t="shared" si="2"/>
        <v>24.53</v>
      </c>
      <c r="L118" s="480">
        <f t="shared" si="2"/>
        <v>0</v>
      </c>
    </row>
    <row r="119" spans="1:22" ht="14.25" hidden="1" x14ac:dyDescent="0.2">
      <c r="A119" s="478"/>
      <c r="B119" s="763"/>
      <c r="C119" s="439"/>
      <c r="D119" s="439" t="s">
        <v>45</v>
      </c>
      <c r="E119" s="440"/>
      <c r="F119" s="270"/>
      <c r="G119" s="441">
        <f>[86]Source!AN238</f>
        <v>1.31</v>
      </c>
      <c r="H119" s="766" t="s">
        <v>53</v>
      </c>
      <c r="I119" s="270">
        <f>[86]Source!AV239</f>
        <v>1.0669999999999999</v>
      </c>
      <c r="J119" s="443">
        <f>ROUND(F106*G119*I119*(1.67-1), 2)</f>
        <v>0</v>
      </c>
      <c r="K119" s="270">
        <f>IF([86]Source!BS239&lt;&gt; 0, [86]Source!BS239, 1)</f>
        <v>24.53</v>
      </c>
      <c r="L119" s="443">
        <f>ROUND(ROUND(F106*G119*I119*(1.67-1), 2)*K119, 2)</f>
        <v>0</v>
      </c>
    </row>
    <row r="120" spans="1:22" ht="14.25" hidden="1" x14ac:dyDescent="0.2">
      <c r="A120" s="478"/>
      <c r="B120" s="763"/>
      <c r="C120" s="439"/>
      <c r="D120" s="439" t="s">
        <v>50</v>
      </c>
      <c r="E120" s="440" t="s">
        <v>48</v>
      </c>
      <c r="F120" s="270">
        <f>175</f>
        <v>175</v>
      </c>
      <c r="G120" s="441"/>
      <c r="H120" s="442"/>
      <c r="I120" s="270"/>
      <c r="J120" s="480">
        <f>ROUND(J119*(F120/100), 2)</f>
        <v>0</v>
      </c>
      <c r="K120" s="270">
        <f>157</f>
        <v>157</v>
      </c>
      <c r="L120" s="480">
        <f>ROUND(L119*(K120/100), 2)</f>
        <v>0</v>
      </c>
    </row>
    <row r="121" spans="1:22" ht="15" hidden="1" x14ac:dyDescent="0.25">
      <c r="A121" s="311"/>
      <c r="B121" s="313"/>
      <c r="C121" s="311"/>
      <c r="D121" s="312" t="s">
        <v>81</v>
      </c>
      <c r="E121" s="311"/>
      <c r="F121" s="311"/>
      <c r="G121" s="311"/>
      <c r="H121" s="311"/>
      <c r="I121" s="639">
        <f>J120+J119</f>
        <v>0</v>
      </c>
      <c r="J121" s="639"/>
      <c r="K121" s="639">
        <f>L120+L119</f>
        <v>0</v>
      </c>
      <c r="L121" s="639"/>
      <c r="O121" s="765">
        <f>I121</f>
        <v>0</v>
      </c>
      <c r="P121" s="765">
        <f>K121</f>
        <v>0</v>
      </c>
    </row>
    <row r="122" spans="1:22" hidden="1" x14ac:dyDescent="0.2"/>
    <row r="123" spans="1:22" s="775" customFormat="1" ht="66.75" hidden="1" x14ac:dyDescent="0.2">
      <c r="A123" s="767">
        <v>9</v>
      </c>
      <c r="B123" s="768" t="s">
        <v>442</v>
      </c>
      <c r="C123" s="769" t="str">
        <f>[86]Source!F240</f>
        <v>Прайс-лист</v>
      </c>
      <c r="D123" s="769" t="s">
        <v>441</v>
      </c>
      <c r="E123" s="770" t="str">
        <f>[86]Source!H240</f>
        <v>шт.</v>
      </c>
      <c r="F123" s="771">
        <f>[86]Source!I240</f>
        <v>0</v>
      </c>
      <c r="G123" s="772">
        <f>[86]Source!AL240</f>
        <v>102218.26</v>
      </c>
      <c r="H123" s="773">
        <f>[86]Source!DD240</f>
        <v>0</v>
      </c>
      <c r="I123" s="771">
        <f>[86]Source!AW241</f>
        <v>1</v>
      </c>
      <c r="J123" s="774">
        <f>[86]Source!P240</f>
        <v>0</v>
      </c>
      <c r="K123" s="771">
        <f>IF([86]Source!BC241&lt;&gt; 0, [86]Source!BC241, 1)</f>
        <v>4.5999999999999996</v>
      </c>
      <c r="L123" s="774">
        <v>0</v>
      </c>
      <c r="Q123" s="775">
        <f>[86]Source!X240</f>
        <v>0</v>
      </c>
      <c r="R123" s="775">
        <f>[86]Source!X241</f>
        <v>0</v>
      </c>
      <c r="S123" s="775">
        <f>[86]Source!Y240</f>
        <v>0</v>
      </c>
      <c r="T123" s="775">
        <f>[86]Source!Y241</f>
        <v>0</v>
      </c>
      <c r="U123" s="775">
        <f>ROUND((175/100)*ROUND([86]Source!R240, 2), 2)</f>
        <v>0</v>
      </c>
      <c r="V123" s="775">
        <f>ROUND((157/100)*ROUND([86]Source!R241, 2), 2)</f>
        <v>0</v>
      </c>
    </row>
    <row r="124" spans="1:22" s="775" customFormat="1" ht="15" hidden="1" x14ac:dyDescent="0.25">
      <c r="A124" s="776"/>
      <c r="B124" s="777"/>
      <c r="C124" s="776"/>
      <c r="D124" s="778" t="s">
        <v>81</v>
      </c>
      <c r="E124" s="776"/>
      <c r="F124" s="776"/>
      <c r="G124" s="776"/>
      <c r="H124" s="776"/>
      <c r="I124" s="779">
        <f>J123</f>
        <v>0</v>
      </c>
      <c r="J124" s="779"/>
      <c r="K124" s="779">
        <f>L123</f>
        <v>0</v>
      </c>
      <c r="L124" s="779"/>
      <c r="O124" s="780">
        <f>J123</f>
        <v>0</v>
      </c>
      <c r="P124" s="780">
        <f>L123</f>
        <v>0</v>
      </c>
    </row>
    <row r="125" spans="1:22" hidden="1" x14ac:dyDescent="0.2"/>
    <row r="126" spans="1:22" hidden="1" x14ac:dyDescent="0.2"/>
    <row r="127" spans="1:22" ht="15" hidden="1" x14ac:dyDescent="0.25">
      <c r="A127" s="634" t="str">
        <f>CONCATENATE("Итого по подразделу: ",IF([86]Source!G273&lt;&gt;"Новый подраздел", [86]Source!G273, ""))</f>
        <v>Итого по подразделу: П2-14, П2-14р</v>
      </c>
      <c r="B127" s="634"/>
      <c r="C127" s="634"/>
      <c r="D127" s="634"/>
      <c r="E127" s="634"/>
      <c r="F127" s="634"/>
      <c r="G127" s="634"/>
      <c r="H127" s="634"/>
      <c r="I127" s="640">
        <f>SUM(O105:O126)</f>
        <v>0</v>
      </c>
      <c r="J127" s="641"/>
      <c r="K127" s="640">
        <f>SUM(P105:P126)</f>
        <v>0</v>
      </c>
      <c r="L127" s="641"/>
    </row>
    <row r="128" spans="1:22" hidden="1" x14ac:dyDescent="0.2">
      <c r="A128" s="178" t="s">
        <v>54</v>
      </c>
      <c r="J128" s="178">
        <f>SUM(W105:W127)</f>
        <v>0</v>
      </c>
      <c r="K128" s="178">
        <f>SUM(X105:X127)</f>
        <v>0</v>
      </c>
    </row>
    <row r="129" spans="1:22" hidden="1" x14ac:dyDescent="0.2">
      <c r="A129" s="178" t="s">
        <v>55</v>
      </c>
      <c r="J129" s="178">
        <f>SUM(Y105:Y128)</f>
        <v>0</v>
      </c>
      <c r="K129" s="178">
        <f>SUM(Z105:Z128)</f>
        <v>0</v>
      </c>
    </row>
    <row r="130" spans="1:22" hidden="1" x14ac:dyDescent="0.2"/>
    <row r="131" spans="1:22" ht="16.5" hidden="1" x14ac:dyDescent="0.25">
      <c r="A131" s="642" t="str">
        <f>CONCATENATE("Подраздел: ",IF([86]Source!G303&lt;&gt;"Новый подраздел", [86]Source!G303, ""))</f>
        <v>Подраздел: П2-15</v>
      </c>
      <c r="B131" s="642"/>
      <c r="C131" s="642"/>
      <c r="D131" s="642"/>
      <c r="E131" s="642"/>
      <c r="F131" s="642"/>
      <c r="G131" s="642"/>
      <c r="H131" s="642"/>
      <c r="I131" s="642"/>
      <c r="J131" s="642"/>
      <c r="K131" s="642"/>
      <c r="L131" s="642"/>
    </row>
    <row r="132" spans="1:22" ht="52.5" hidden="1" x14ac:dyDescent="0.2">
      <c r="A132" s="478">
        <v>10</v>
      </c>
      <c r="B132" s="763" t="s">
        <v>440</v>
      </c>
      <c r="C132" s="439" t="s">
        <v>108</v>
      </c>
      <c r="D132" s="439" t="s">
        <v>100</v>
      </c>
      <c r="E132" s="440" t="str">
        <f>[86]Source!H307</f>
        <v>1  ШТ.</v>
      </c>
      <c r="F132" s="270">
        <f>[86]Source!I307</f>
        <v>0</v>
      </c>
      <c r="G132" s="441"/>
      <c r="H132" s="442"/>
      <c r="I132" s="270"/>
      <c r="J132" s="480"/>
      <c r="K132" s="270"/>
      <c r="L132" s="480"/>
      <c r="Q132" s="178">
        <f>[86]Source!X307</f>
        <v>0</v>
      </c>
      <c r="R132" s="178">
        <f>[86]Source!X308</f>
        <v>0</v>
      </c>
      <c r="S132" s="178">
        <f>[86]Source!Y307</f>
        <v>0</v>
      </c>
      <c r="T132" s="178">
        <f>[86]Source!Y308</f>
        <v>0</v>
      </c>
      <c r="U132" s="178">
        <f>ROUND((175/100)*ROUND([86]Source!R307, 2), 2)</f>
        <v>0</v>
      </c>
      <c r="V132" s="178">
        <f>ROUND((157/100)*ROUND([86]Source!R308, 2), 2)</f>
        <v>0</v>
      </c>
    </row>
    <row r="133" spans="1:22" ht="14.25" hidden="1" x14ac:dyDescent="0.2">
      <c r="A133" s="478"/>
      <c r="B133" s="763"/>
      <c r="C133" s="439"/>
      <c r="D133" s="439" t="s">
        <v>43</v>
      </c>
      <c r="E133" s="440"/>
      <c r="F133" s="270"/>
      <c r="G133" s="441">
        <f>[86]Source!AO307</f>
        <v>615.5</v>
      </c>
      <c r="H133" s="442" t="str">
        <f>[86]Source!DG307</f>
        <v>)*1,67</v>
      </c>
      <c r="I133" s="270">
        <f>[86]Source!AV308</f>
        <v>1.0669999999999999</v>
      </c>
      <c r="J133" s="480">
        <f>[86]Source!S307</f>
        <v>0</v>
      </c>
      <c r="K133" s="270">
        <f>IF([86]Source!BA308&lt;&gt; 0, [86]Source!BA308, 1)</f>
        <v>24.53</v>
      </c>
      <c r="L133" s="480">
        <f>[86]Source!S308</f>
        <v>0</v>
      </c>
    </row>
    <row r="134" spans="1:22" ht="14.25" hidden="1" x14ac:dyDescent="0.2">
      <c r="A134" s="478"/>
      <c r="B134" s="763"/>
      <c r="C134" s="439"/>
      <c r="D134" s="439" t="s">
        <v>44</v>
      </c>
      <c r="E134" s="440"/>
      <c r="F134" s="270"/>
      <c r="G134" s="441">
        <f>[86]Source!AM307</f>
        <v>15.8</v>
      </c>
      <c r="H134" s="442">
        <f>[86]Source!DE307</f>
        <v>0</v>
      </c>
      <c r="I134" s="270">
        <f>[86]Source!AV308</f>
        <v>1.0669999999999999</v>
      </c>
      <c r="J134" s="480">
        <f>[86]Source!Q307-J144</f>
        <v>0</v>
      </c>
      <c r="K134" s="270">
        <f>IF([86]Source!BB308&lt;&gt; 0, [86]Source!BB308, 1)</f>
        <v>7.59</v>
      </c>
      <c r="L134" s="480">
        <f>[86]Source!Q308-L144</f>
        <v>0</v>
      </c>
    </row>
    <row r="135" spans="1:22" ht="14.25" hidden="1" x14ac:dyDescent="0.2">
      <c r="A135" s="478"/>
      <c r="B135" s="763"/>
      <c r="C135" s="439"/>
      <c r="D135" s="439" t="s">
        <v>45</v>
      </c>
      <c r="E135" s="440"/>
      <c r="F135" s="270"/>
      <c r="G135" s="441">
        <f>[86]Source!AN307</f>
        <v>1.31</v>
      </c>
      <c r="H135" s="442">
        <f>[86]Source!DE307</f>
        <v>0</v>
      </c>
      <c r="I135" s="270">
        <f>[86]Source!AV308</f>
        <v>1.0669999999999999</v>
      </c>
      <c r="J135" s="443">
        <f>[86]Source!R307-J145</f>
        <v>0</v>
      </c>
      <c r="K135" s="270">
        <f>IF([86]Source!BS308&lt;&gt; 0, [86]Source!BS308, 1)</f>
        <v>24.53</v>
      </c>
      <c r="L135" s="443">
        <f>[86]Source!R308-L145</f>
        <v>0</v>
      </c>
    </row>
    <row r="136" spans="1:22" ht="14.25" hidden="1" x14ac:dyDescent="0.2">
      <c r="A136" s="478"/>
      <c r="B136" s="763"/>
      <c r="C136" s="439"/>
      <c r="D136" s="439" t="s">
        <v>46</v>
      </c>
      <c r="E136" s="440"/>
      <c r="F136" s="270"/>
      <c r="G136" s="441">
        <f>[86]Source!AL307</f>
        <v>4.0599999999999996</v>
      </c>
      <c r="H136" s="442">
        <f>[86]Source!DD307</f>
        <v>0</v>
      </c>
      <c r="I136" s="270">
        <f>[86]Source!AW308</f>
        <v>1.028</v>
      </c>
      <c r="J136" s="480">
        <f>[86]Source!P307</f>
        <v>0</v>
      </c>
      <c r="K136" s="270">
        <f>IF([86]Source!BC308&lt;&gt; 0, [86]Source!BC308, 1)</f>
        <v>6.33</v>
      </c>
      <c r="L136" s="480">
        <f>[86]Source!P308</f>
        <v>0</v>
      </c>
    </row>
    <row r="137" spans="1:22" ht="14.25" hidden="1" x14ac:dyDescent="0.2">
      <c r="A137" s="478"/>
      <c r="B137" s="763"/>
      <c r="C137" s="439"/>
      <c r="D137" s="439" t="s">
        <v>47</v>
      </c>
      <c r="E137" s="440" t="s">
        <v>48</v>
      </c>
      <c r="F137" s="270">
        <f>[86]Source!DN308</f>
        <v>68</v>
      </c>
      <c r="G137" s="441"/>
      <c r="H137" s="442"/>
      <c r="I137" s="270"/>
      <c r="J137" s="480">
        <f>SUM(Q132:Q136)</f>
        <v>0</v>
      </c>
      <c r="K137" s="270">
        <f>[86]Source!BZ308</f>
        <v>68</v>
      </c>
      <c r="L137" s="480">
        <f>SUM(R132:R136)</f>
        <v>0</v>
      </c>
    </row>
    <row r="138" spans="1:22" ht="14.25" hidden="1" x14ac:dyDescent="0.2">
      <c r="A138" s="478"/>
      <c r="B138" s="763"/>
      <c r="C138" s="439"/>
      <c r="D138" s="439" t="s">
        <v>49</v>
      </c>
      <c r="E138" s="440" t="s">
        <v>48</v>
      </c>
      <c r="F138" s="270">
        <f>[86]Source!DO308</f>
        <v>43</v>
      </c>
      <c r="G138" s="441"/>
      <c r="H138" s="442"/>
      <c r="I138" s="270"/>
      <c r="J138" s="480">
        <f>SUM(S132:S137)</f>
        <v>0</v>
      </c>
      <c r="K138" s="270">
        <f>[86]Source!CA308</f>
        <v>43</v>
      </c>
      <c r="L138" s="480">
        <f>SUM(T132:T137)</f>
        <v>0</v>
      </c>
    </row>
    <row r="139" spans="1:22" ht="14.25" hidden="1" x14ac:dyDescent="0.2">
      <c r="A139" s="478"/>
      <c r="B139" s="763"/>
      <c r="C139" s="439"/>
      <c r="D139" s="439" t="s">
        <v>50</v>
      </c>
      <c r="E139" s="440" t="s">
        <v>48</v>
      </c>
      <c r="F139" s="270">
        <f>175</f>
        <v>175</v>
      </c>
      <c r="G139" s="441"/>
      <c r="H139" s="442"/>
      <c r="I139" s="270"/>
      <c r="J139" s="480">
        <f>SUM(U132:U138)-J146</f>
        <v>0</v>
      </c>
      <c r="K139" s="270">
        <f>157</f>
        <v>157</v>
      </c>
      <c r="L139" s="480">
        <f>SUM(V132:V138)-L146</f>
        <v>0</v>
      </c>
    </row>
    <row r="140" spans="1:22" ht="14.25" hidden="1" x14ac:dyDescent="0.2">
      <c r="A140" s="479"/>
      <c r="B140" s="309"/>
      <c r="C140" s="308"/>
      <c r="D140" s="308" t="s">
        <v>51</v>
      </c>
      <c r="E140" s="307" t="s">
        <v>52</v>
      </c>
      <c r="F140" s="306">
        <f>[86]Source!AQ307</f>
        <v>51.58</v>
      </c>
      <c r="G140" s="305"/>
      <c r="H140" s="315">
        <f>[86]Source!DI307</f>
        <v>0</v>
      </c>
      <c r="I140" s="306">
        <f>[86]Source!AV308</f>
        <v>1.0669999999999999</v>
      </c>
      <c r="J140" s="314">
        <f>[86]Source!U307</f>
        <v>0</v>
      </c>
      <c r="K140" s="306"/>
      <c r="L140" s="314"/>
    </row>
    <row r="141" spans="1:22" ht="15" hidden="1" x14ac:dyDescent="0.25">
      <c r="D141" s="764" t="s">
        <v>81</v>
      </c>
      <c r="I141" s="640">
        <f>J133+J134+J136+J137+J138+J139</f>
        <v>0</v>
      </c>
      <c r="J141" s="640"/>
      <c r="K141" s="640">
        <f>L133+L134+L136+L137+L138+L139</f>
        <v>0</v>
      </c>
      <c r="L141" s="640"/>
      <c r="O141" s="765">
        <f>J133+J134+J136+J137+J138+J139</f>
        <v>0</v>
      </c>
      <c r="P141" s="765">
        <f>L133+L134+L136+L137+L138+L139</f>
        <v>0</v>
      </c>
    </row>
    <row r="142" spans="1:22" hidden="1" x14ac:dyDescent="0.2"/>
    <row r="143" spans="1:22" ht="28.5" hidden="1" x14ac:dyDescent="0.2">
      <c r="A143" s="478">
        <v>11</v>
      </c>
      <c r="B143" s="763" t="s">
        <v>439</v>
      </c>
      <c r="C143" s="439"/>
      <c r="D143" s="439" t="s">
        <v>82</v>
      </c>
      <c r="E143" s="440" t="str">
        <f>[86]Source!H307</f>
        <v>1  ШТ.</v>
      </c>
      <c r="F143" s="270">
        <f>[86]Source!I307</f>
        <v>0</v>
      </c>
      <c r="G143" s="441"/>
      <c r="H143" s="442"/>
      <c r="I143" s="270"/>
      <c r="J143" s="480"/>
      <c r="K143" s="270"/>
      <c r="L143" s="480"/>
    </row>
    <row r="144" spans="1:22" ht="14.25" hidden="1" x14ac:dyDescent="0.2">
      <c r="A144" s="478"/>
      <c r="B144" s="763"/>
      <c r="C144" s="439"/>
      <c r="D144" s="439" t="s">
        <v>44</v>
      </c>
      <c r="E144" s="440"/>
      <c r="F144" s="270"/>
      <c r="G144" s="441">
        <f t="shared" ref="G144:L144" si="3">G145</f>
        <v>1.31</v>
      </c>
      <c r="H144" s="766" t="str">
        <f t="shared" si="3"/>
        <v>)*(1.67-1)</v>
      </c>
      <c r="I144" s="270">
        <f t="shared" si="3"/>
        <v>1.0669999999999999</v>
      </c>
      <c r="J144" s="480">
        <f t="shared" si="3"/>
        <v>0</v>
      </c>
      <c r="K144" s="270">
        <f t="shared" si="3"/>
        <v>24.53</v>
      </c>
      <c r="L144" s="480">
        <f t="shared" si="3"/>
        <v>0</v>
      </c>
    </row>
    <row r="145" spans="1:22" ht="14.25" hidden="1" x14ac:dyDescent="0.2">
      <c r="A145" s="478"/>
      <c r="B145" s="763"/>
      <c r="C145" s="439"/>
      <c r="D145" s="439" t="s">
        <v>45</v>
      </c>
      <c r="E145" s="440"/>
      <c r="F145" s="270"/>
      <c r="G145" s="441">
        <f>[86]Source!AN307</f>
        <v>1.31</v>
      </c>
      <c r="H145" s="766" t="s">
        <v>53</v>
      </c>
      <c r="I145" s="270">
        <f>[86]Source!AV308</f>
        <v>1.0669999999999999</v>
      </c>
      <c r="J145" s="443">
        <f>ROUND(F132*G145*I145*(1.67-1), 2)</f>
        <v>0</v>
      </c>
      <c r="K145" s="270">
        <f>IF([86]Source!BS308&lt;&gt; 0, [86]Source!BS308, 1)</f>
        <v>24.53</v>
      </c>
      <c r="L145" s="443">
        <f>ROUND(ROUND(F132*G145*I145*(1.67-1), 2)*K145, 2)</f>
        <v>0</v>
      </c>
    </row>
    <row r="146" spans="1:22" ht="14.25" hidden="1" x14ac:dyDescent="0.2">
      <c r="A146" s="478"/>
      <c r="B146" s="763"/>
      <c r="C146" s="439"/>
      <c r="D146" s="439" t="s">
        <v>50</v>
      </c>
      <c r="E146" s="440" t="s">
        <v>48</v>
      </c>
      <c r="F146" s="270">
        <f>175</f>
        <v>175</v>
      </c>
      <c r="G146" s="441"/>
      <c r="H146" s="442"/>
      <c r="I146" s="270"/>
      <c r="J146" s="480">
        <f>ROUND(J145*(F146/100), 2)</f>
        <v>0</v>
      </c>
      <c r="K146" s="270">
        <f>157</f>
        <v>157</v>
      </c>
      <c r="L146" s="480">
        <f>ROUND(L145*(K146/100), 2)</f>
        <v>0</v>
      </c>
    </row>
    <row r="147" spans="1:22" ht="15" hidden="1" x14ac:dyDescent="0.25">
      <c r="A147" s="311"/>
      <c r="B147" s="313"/>
      <c r="C147" s="311"/>
      <c r="D147" s="312" t="s">
        <v>81</v>
      </c>
      <c r="E147" s="311"/>
      <c r="F147" s="311"/>
      <c r="G147" s="311"/>
      <c r="H147" s="311"/>
      <c r="I147" s="639">
        <f>J146+J145</f>
        <v>0</v>
      </c>
      <c r="J147" s="639"/>
      <c r="K147" s="639">
        <f>L146+L145</f>
        <v>0</v>
      </c>
      <c r="L147" s="639"/>
      <c r="O147" s="765">
        <f>I147</f>
        <v>0</v>
      </c>
      <c r="P147" s="765">
        <f>K147</f>
        <v>0</v>
      </c>
    </row>
    <row r="148" spans="1:22" hidden="1" x14ac:dyDescent="0.2"/>
    <row r="149" spans="1:22" s="775" customFormat="1" ht="66.75" hidden="1" x14ac:dyDescent="0.2">
      <c r="A149" s="767">
        <v>12</v>
      </c>
      <c r="B149" s="768" t="s">
        <v>438</v>
      </c>
      <c r="C149" s="769" t="str">
        <f>[86]Source!F309</f>
        <v>Прайс-лист</v>
      </c>
      <c r="D149" s="769" t="s">
        <v>437</v>
      </c>
      <c r="E149" s="770" t="str">
        <f>[86]Source!H309</f>
        <v>шт.</v>
      </c>
      <c r="F149" s="771">
        <f>[86]Source!I309</f>
        <v>0</v>
      </c>
      <c r="G149" s="772">
        <f>[86]Source!AL309</f>
        <v>54107.42</v>
      </c>
      <c r="H149" s="773">
        <f>[86]Source!DD309</f>
        <v>0</v>
      </c>
      <c r="I149" s="771">
        <f>[86]Source!AW310</f>
        <v>1</v>
      </c>
      <c r="J149" s="774">
        <f>[86]Source!P309</f>
        <v>0</v>
      </c>
      <c r="K149" s="771">
        <f>IF([86]Source!BC310&lt;&gt; 0, [86]Source!BC310, 1)</f>
        <v>4.5999999999999996</v>
      </c>
      <c r="L149" s="774">
        <v>0</v>
      </c>
      <c r="Q149" s="775">
        <f>[86]Source!X309</f>
        <v>0</v>
      </c>
      <c r="R149" s="775">
        <f>[86]Source!X310</f>
        <v>0</v>
      </c>
      <c r="S149" s="775">
        <f>[86]Source!Y309</f>
        <v>0</v>
      </c>
      <c r="T149" s="775">
        <f>[86]Source!Y310</f>
        <v>0</v>
      </c>
      <c r="U149" s="775">
        <f>ROUND((175/100)*ROUND([86]Source!R309, 2), 2)</f>
        <v>0</v>
      </c>
      <c r="V149" s="775">
        <f>ROUND((157/100)*ROUND([86]Source!R310, 2), 2)</f>
        <v>0</v>
      </c>
    </row>
    <row r="150" spans="1:22" s="775" customFormat="1" ht="15" hidden="1" x14ac:dyDescent="0.25">
      <c r="A150" s="776"/>
      <c r="B150" s="777"/>
      <c r="C150" s="776"/>
      <c r="D150" s="778" t="s">
        <v>81</v>
      </c>
      <c r="E150" s="776"/>
      <c r="F150" s="776"/>
      <c r="G150" s="776"/>
      <c r="H150" s="776"/>
      <c r="I150" s="779">
        <f>J149</f>
        <v>0</v>
      </c>
      <c r="J150" s="779"/>
      <c r="K150" s="779">
        <f>L149</f>
        <v>0</v>
      </c>
      <c r="L150" s="779"/>
      <c r="O150" s="780">
        <f>J149</f>
        <v>0</v>
      </c>
      <c r="P150" s="780">
        <f>L149</f>
        <v>0</v>
      </c>
    </row>
    <row r="151" spans="1:22" hidden="1" x14ac:dyDescent="0.2"/>
    <row r="152" spans="1:22" hidden="1" x14ac:dyDescent="0.2"/>
    <row r="153" spans="1:22" ht="15" hidden="1" x14ac:dyDescent="0.25">
      <c r="A153" s="634" t="str">
        <f>CONCATENATE("Итого по подразделу: ",IF([86]Source!G312&lt;&gt;"Новый подраздел", [86]Source!G312, ""))</f>
        <v>Итого по подразделу: П2-15</v>
      </c>
      <c r="B153" s="634"/>
      <c r="C153" s="634"/>
      <c r="D153" s="634"/>
      <c r="E153" s="634"/>
      <c r="F153" s="634"/>
      <c r="G153" s="634"/>
      <c r="H153" s="634"/>
      <c r="I153" s="640">
        <f>SUM(O131:O152)</f>
        <v>0</v>
      </c>
      <c r="J153" s="641"/>
      <c r="K153" s="640">
        <f>SUM(P131:P152)</f>
        <v>0</v>
      </c>
      <c r="L153" s="641"/>
    </row>
    <row r="154" spans="1:22" hidden="1" x14ac:dyDescent="0.2">
      <c r="A154" s="178" t="s">
        <v>54</v>
      </c>
      <c r="J154" s="178">
        <f>SUM(W131:W153)</f>
        <v>0</v>
      </c>
      <c r="K154" s="178">
        <f>SUM(X131:X153)</f>
        <v>0</v>
      </c>
    </row>
    <row r="155" spans="1:22" hidden="1" x14ac:dyDescent="0.2">
      <c r="A155" s="178" t="s">
        <v>55</v>
      </c>
      <c r="J155" s="178">
        <f>SUM(Y131:Y154)</f>
        <v>0</v>
      </c>
      <c r="K155" s="178">
        <f>SUM(Z131:Z154)</f>
        <v>0</v>
      </c>
    </row>
    <row r="156" spans="1:22" hidden="1" x14ac:dyDescent="0.2"/>
    <row r="157" spans="1:22" hidden="1" x14ac:dyDescent="0.2">
      <c r="A157" s="178" t="s">
        <v>54</v>
      </c>
      <c r="J157" s="178" t="e">
        <f>SUM(#REF!)</f>
        <v>#REF!</v>
      </c>
      <c r="K157" s="178" t="e">
        <f>SUM(#REF!)</f>
        <v>#REF!</v>
      </c>
    </row>
    <row r="158" spans="1:22" hidden="1" x14ac:dyDescent="0.2">
      <c r="A158" s="178" t="s">
        <v>55</v>
      </c>
      <c r="J158" s="178">
        <f>SUM(Y157:Y157)</f>
        <v>0</v>
      </c>
      <c r="K158" s="178">
        <f>SUM(Z157:Z157)</f>
        <v>0</v>
      </c>
    </row>
    <row r="159" spans="1:22" hidden="1" x14ac:dyDescent="0.2"/>
    <row r="160" spans="1:22" ht="16.5" hidden="1" x14ac:dyDescent="0.25">
      <c r="A160" s="642" t="str">
        <f>CONCATENATE("Подраздел: ",IF([86]Source!G411&lt;&gt;"Новый подраздел", [86]Source!G411, ""))</f>
        <v>Подраздел: П2-17</v>
      </c>
      <c r="B160" s="642"/>
      <c r="C160" s="642"/>
      <c r="D160" s="642"/>
      <c r="E160" s="642"/>
      <c r="F160" s="642"/>
      <c r="G160" s="642"/>
      <c r="H160" s="642"/>
      <c r="I160" s="642"/>
      <c r="J160" s="642"/>
      <c r="K160" s="642"/>
      <c r="L160" s="642"/>
    </row>
    <row r="161" spans="1:22" ht="52.5" hidden="1" x14ac:dyDescent="0.2">
      <c r="A161" s="478">
        <v>13</v>
      </c>
      <c r="B161" s="763" t="s">
        <v>436</v>
      </c>
      <c r="C161" s="439" t="s">
        <v>99</v>
      </c>
      <c r="D161" s="439" t="s">
        <v>100</v>
      </c>
      <c r="E161" s="440" t="str">
        <f>[86]Source!H415</f>
        <v>1  ШТ.</v>
      </c>
      <c r="F161" s="270">
        <f>[86]Source!I415</f>
        <v>0</v>
      </c>
      <c r="G161" s="441"/>
      <c r="H161" s="442"/>
      <c r="I161" s="270"/>
      <c r="J161" s="480"/>
      <c r="K161" s="270"/>
      <c r="L161" s="480"/>
      <c r="Q161" s="178">
        <f>[86]Source!X415</f>
        <v>0</v>
      </c>
      <c r="R161" s="178">
        <f>[86]Source!X416</f>
        <v>0</v>
      </c>
      <c r="S161" s="178">
        <f>[86]Source!Y415</f>
        <v>0</v>
      </c>
      <c r="T161" s="178">
        <f>[86]Source!Y416</f>
        <v>0</v>
      </c>
      <c r="U161" s="178">
        <f>ROUND((175/100)*ROUND([86]Source!R415, 2), 2)</f>
        <v>0</v>
      </c>
      <c r="V161" s="178">
        <f>ROUND((157/100)*ROUND([86]Source!R416, 2), 2)</f>
        <v>0</v>
      </c>
    </row>
    <row r="162" spans="1:22" ht="14.25" hidden="1" x14ac:dyDescent="0.2">
      <c r="A162" s="478"/>
      <c r="B162" s="763"/>
      <c r="C162" s="439"/>
      <c r="D162" s="439" t="s">
        <v>43</v>
      </c>
      <c r="E162" s="440"/>
      <c r="F162" s="270"/>
      <c r="G162" s="441">
        <f>[86]Source!AO415</f>
        <v>615.5</v>
      </c>
      <c r="H162" s="442" t="str">
        <f>[86]Source!DG415</f>
        <v>)*1,67</v>
      </c>
      <c r="I162" s="270">
        <f>[86]Source!AV416</f>
        <v>1.0669999999999999</v>
      </c>
      <c r="J162" s="480">
        <f>[86]Source!S415</f>
        <v>0</v>
      </c>
      <c r="K162" s="270">
        <f>IF([86]Source!BA416&lt;&gt; 0, [86]Source!BA416, 1)</f>
        <v>24.53</v>
      </c>
      <c r="L162" s="480">
        <f>[86]Source!S416</f>
        <v>0</v>
      </c>
    </row>
    <row r="163" spans="1:22" ht="14.25" hidden="1" x14ac:dyDescent="0.2">
      <c r="A163" s="478"/>
      <c r="B163" s="763"/>
      <c r="C163" s="439"/>
      <c r="D163" s="439" t="s">
        <v>44</v>
      </c>
      <c r="E163" s="440"/>
      <c r="F163" s="270"/>
      <c r="G163" s="441">
        <f>[86]Source!AM415</f>
        <v>15.8</v>
      </c>
      <c r="H163" s="442">
        <f>[86]Source!DE415</f>
        <v>0</v>
      </c>
      <c r="I163" s="270">
        <f>[86]Source!AV416</f>
        <v>1.0669999999999999</v>
      </c>
      <c r="J163" s="480">
        <f>[86]Source!Q415-J173</f>
        <v>0</v>
      </c>
      <c r="K163" s="270">
        <f>IF([86]Source!BB416&lt;&gt; 0, [86]Source!BB416, 1)</f>
        <v>7.59</v>
      </c>
      <c r="L163" s="480">
        <f>[86]Source!Q416-L173</f>
        <v>0</v>
      </c>
    </row>
    <row r="164" spans="1:22" ht="14.25" hidden="1" x14ac:dyDescent="0.2">
      <c r="A164" s="478"/>
      <c r="B164" s="763"/>
      <c r="C164" s="439"/>
      <c r="D164" s="439" t="s">
        <v>45</v>
      </c>
      <c r="E164" s="440"/>
      <c r="F164" s="270"/>
      <c r="G164" s="441">
        <f>[86]Source!AN415</f>
        <v>1.31</v>
      </c>
      <c r="H164" s="442">
        <f>[86]Source!DE415</f>
        <v>0</v>
      </c>
      <c r="I164" s="270">
        <f>[86]Source!AV416</f>
        <v>1.0669999999999999</v>
      </c>
      <c r="J164" s="443">
        <f>[86]Source!R415-J174</f>
        <v>0</v>
      </c>
      <c r="K164" s="270">
        <f>IF([86]Source!BS416&lt;&gt; 0, [86]Source!BS416, 1)</f>
        <v>24.53</v>
      </c>
      <c r="L164" s="443">
        <f>[86]Source!R416-L174</f>
        <v>0</v>
      </c>
    </row>
    <row r="165" spans="1:22" ht="14.25" hidden="1" x14ac:dyDescent="0.2">
      <c r="A165" s="478"/>
      <c r="B165" s="763"/>
      <c r="C165" s="439"/>
      <c r="D165" s="439" t="s">
        <v>46</v>
      </c>
      <c r="E165" s="440"/>
      <c r="F165" s="270"/>
      <c r="G165" s="441">
        <f>[86]Source!AL415</f>
        <v>4.0599999999999996</v>
      </c>
      <c r="H165" s="442">
        <f>[86]Source!DD415</f>
        <v>0</v>
      </c>
      <c r="I165" s="270">
        <f>[86]Source!AW416</f>
        <v>1.028</v>
      </c>
      <c r="J165" s="480">
        <f>[86]Source!P415</f>
        <v>0</v>
      </c>
      <c r="K165" s="270">
        <f>IF([86]Source!BC416&lt;&gt; 0, [86]Source!BC416, 1)</f>
        <v>6.33</v>
      </c>
      <c r="L165" s="480">
        <f>[86]Source!P416</f>
        <v>0</v>
      </c>
    </row>
    <row r="166" spans="1:22" ht="14.25" hidden="1" x14ac:dyDescent="0.2">
      <c r="A166" s="478"/>
      <c r="B166" s="763"/>
      <c r="C166" s="439"/>
      <c r="D166" s="439" t="s">
        <v>47</v>
      </c>
      <c r="E166" s="440" t="s">
        <v>48</v>
      </c>
      <c r="F166" s="270">
        <f>[86]Source!DN416</f>
        <v>68</v>
      </c>
      <c r="G166" s="441"/>
      <c r="H166" s="442"/>
      <c r="I166" s="270"/>
      <c r="J166" s="480">
        <f>SUM(Q161:Q165)</f>
        <v>0</v>
      </c>
      <c r="K166" s="270">
        <f>[86]Source!BZ416</f>
        <v>68</v>
      </c>
      <c r="L166" s="480">
        <f>SUM(R161:R165)</f>
        <v>0</v>
      </c>
    </row>
    <row r="167" spans="1:22" ht="14.25" hidden="1" x14ac:dyDescent="0.2">
      <c r="A167" s="478"/>
      <c r="B167" s="763"/>
      <c r="C167" s="439"/>
      <c r="D167" s="439" t="s">
        <v>49</v>
      </c>
      <c r="E167" s="440" t="s">
        <v>48</v>
      </c>
      <c r="F167" s="270">
        <f>[86]Source!DO416</f>
        <v>43</v>
      </c>
      <c r="G167" s="441"/>
      <c r="H167" s="442"/>
      <c r="I167" s="270"/>
      <c r="J167" s="480">
        <f>SUM(S161:S166)</f>
        <v>0</v>
      </c>
      <c r="K167" s="270">
        <f>[86]Source!CA416</f>
        <v>43</v>
      </c>
      <c r="L167" s="480">
        <f>SUM(T161:T166)</f>
        <v>0</v>
      </c>
    </row>
    <row r="168" spans="1:22" ht="14.25" hidden="1" x14ac:dyDescent="0.2">
      <c r="A168" s="478"/>
      <c r="B168" s="763"/>
      <c r="C168" s="439"/>
      <c r="D168" s="439" t="s">
        <v>50</v>
      </c>
      <c r="E168" s="440" t="s">
        <v>48</v>
      </c>
      <c r="F168" s="270">
        <f>175</f>
        <v>175</v>
      </c>
      <c r="G168" s="441"/>
      <c r="H168" s="442"/>
      <c r="I168" s="270"/>
      <c r="J168" s="480">
        <f>SUM(U161:U167)-J175</f>
        <v>0</v>
      </c>
      <c r="K168" s="270">
        <f>157</f>
        <v>157</v>
      </c>
      <c r="L168" s="480">
        <f>SUM(V161:V167)-L175</f>
        <v>0</v>
      </c>
    </row>
    <row r="169" spans="1:22" ht="14.25" hidden="1" x14ac:dyDescent="0.2">
      <c r="A169" s="479"/>
      <c r="B169" s="309"/>
      <c r="C169" s="308"/>
      <c r="D169" s="308" t="s">
        <v>51</v>
      </c>
      <c r="E169" s="307" t="s">
        <v>52</v>
      </c>
      <c r="F169" s="306">
        <f>[86]Source!AQ415</f>
        <v>51.58</v>
      </c>
      <c r="G169" s="305"/>
      <c r="H169" s="315">
        <f>[86]Source!DI415</f>
        <v>0</v>
      </c>
      <c r="I169" s="306">
        <f>[86]Source!AV416</f>
        <v>1.0669999999999999</v>
      </c>
      <c r="J169" s="314">
        <f>[86]Source!U415</f>
        <v>0</v>
      </c>
      <c r="K169" s="306"/>
      <c r="L169" s="314"/>
    </row>
    <row r="170" spans="1:22" ht="15" hidden="1" x14ac:dyDescent="0.25">
      <c r="D170" s="764" t="s">
        <v>81</v>
      </c>
      <c r="I170" s="640">
        <f>J162+J163+J165+J166+J167+J168</f>
        <v>0</v>
      </c>
      <c r="J170" s="640"/>
      <c r="K170" s="640">
        <f>L162+L163+L165+L166+L167+L168</f>
        <v>0</v>
      </c>
      <c r="L170" s="640"/>
      <c r="O170" s="765">
        <f>J162+J163+J165+J166+J167+J168</f>
        <v>0</v>
      </c>
      <c r="P170" s="765">
        <f>L162+L163+L165+L166+L167+L168</f>
        <v>0</v>
      </c>
    </row>
    <row r="171" spans="1:22" hidden="1" x14ac:dyDescent="0.2"/>
    <row r="172" spans="1:22" ht="28.5" hidden="1" x14ac:dyDescent="0.2">
      <c r="A172" s="478">
        <v>14</v>
      </c>
      <c r="B172" s="763" t="s">
        <v>435</v>
      </c>
      <c r="C172" s="439"/>
      <c r="D172" s="439" t="s">
        <v>82</v>
      </c>
      <c r="E172" s="440" t="str">
        <f>[86]Source!H415</f>
        <v>1  ШТ.</v>
      </c>
      <c r="F172" s="270">
        <f>[86]Source!I415</f>
        <v>0</v>
      </c>
      <c r="G172" s="441"/>
      <c r="H172" s="442"/>
      <c r="I172" s="270"/>
      <c r="J172" s="480"/>
      <c r="K172" s="270"/>
      <c r="L172" s="480"/>
    </row>
    <row r="173" spans="1:22" ht="14.25" hidden="1" x14ac:dyDescent="0.2">
      <c r="A173" s="478"/>
      <c r="B173" s="763"/>
      <c r="C173" s="439"/>
      <c r="D173" s="439" t="s">
        <v>44</v>
      </c>
      <c r="E173" s="440"/>
      <c r="F173" s="270"/>
      <c r="G173" s="441">
        <f t="shared" ref="G173:L173" si="4">G174</f>
        <v>1.31</v>
      </c>
      <c r="H173" s="766" t="str">
        <f t="shared" si="4"/>
        <v>)*(1.67-1)</v>
      </c>
      <c r="I173" s="270">
        <f t="shared" si="4"/>
        <v>1.0669999999999999</v>
      </c>
      <c r="J173" s="480">
        <f t="shared" si="4"/>
        <v>0</v>
      </c>
      <c r="K173" s="270">
        <f t="shared" si="4"/>
        <v>24.53</v>
      </c>
      <c r="L173" s="480">
        <f t="shared" si="4"/>
        <v>0</v>
      </c>
    </row>
    <row r="174" spans="1:22" ht="14.25" hidden="1" x14ac:dyDescent="0.2">
      <c r="A174" s="478"/>
      <c r="B174" s="763"/>
      <c r="C174" s="439"/>
      <c r="D174" s="439" t="s">
        <v>45</v>
      </c>
      <c r="E174" s="440"/>
      <c r="F174" s="270"/>
      <c r="G174" s="441">
        <f>[86]Source!AN415</f>
        <v>1.31</v>
      </c>
      <c r="H174" s="766" t="s">
        <v>53</v>
      </c>
      <c r="I174" s="270">
        <f>[86]Source!AV416</f>
        <v>1.0669999999999999</v>
      </c>
      <c r="J174" s="443">
        <f>ROUND(F161*G174*I174*(1.67-1), 2)</f>
        <v>0</v>
      </c>
      <c r="K174" s="270">
        <f>IF([86]Source!BS416&lt;&gt; 0, [86]Source!BS416, 1)</f>
        <v>24.53</v>
      </c>
      <c r="L174" s="443">
        <f>ROUND(ROUND(F161*G174*I174*(1.67-1), 2)*K174, 2)</f>
        <v>0</v>
      </c>
    </row>
    <row r="175" spans="1:22" ht="14.25" hidden="1" x14ac:dyDescent="0.2">
      <c r="A175" s="478"/>
      <c r="B175" s="763"/>
      <c r="C175" s="439"/>
      <c r="D175" s="439" t="s">
        <v>50</v>
      </c>
      <c r="E175" s="440" t="s">
        <v>48</v>
      </c>
      <c r="F175" s="270">
        <f>175</f>
        <v>175</v>
      </c>
      <c r="G175" s="441"/>
      <c r="H175" s="442"/>
      <c r="I175" s="270"/>
      <c r="J175" s="480">
        <f>ROUND(J174*(F175/100), 2)</f>
        <v>0</v>
      </c>
      <c r="K175" s="270">
        <f>157</f>
        <v>157</v>
      </c>
      <c r="L175" s="480">
        <f>ROUND(L174*(K175/100), 2)</f>
        <v>0</v>
      </c>
    </row>
    <row r="176" spans="1:22" ht="15" hidden="1" x14ac:dyDescent="0.25">
      <c r="A176" s="311"/>
      <c r="B176" s="313"/>
      <c r="C176" s="311"/>
      <c r="D176" s="312" t="s">
        <v>81</v>
      </c>
      <c r="E176" s="311"/>
      <c r="F176" s="311"/>
      <c r="G176" s="311"/>
      <c r="H176" s="311"/>
      <c r="I176" s="639">
        <f>J175+J174</f>
        <v>0</v>
      </c>
      <c r="J176" s="639"/>
      <c r="K176" s="639">
        <f>L175+L174</f>
        <v>0</v>
      </c>
      <c r="L176" s="639"/>
      <c r="O176" s="765">
        <f>I176</f>
        <v>0</v>
      </c>
      <c r="P176" s="765">
        <f>K176</f>
        <v>0</v>
      </c>
    </row>
    <row r="177" spans="1:22" hidden="1" x14ac:dyDescent="0.2"/>
    <row r="178" spans="1:22" s="775" customFormat="1" ht="66.75" hidden="1" x14ac:dyDescent="0.2">
      <c r="A178" s="767">
        <v>15</v>
      </c>
      <c r="B178" s="768" t="s">
        <v>434</v>
      </c>
      <c r="C178" s="769" t="str">
        <f>[86]Source!F417</f>
        <v>Прайс-лист</v>
      </c>
      <c r="D178" s="769" t="s">
        <v>433</v>
      </c>
      <c r="E178" s="770" t="str">
        <f>[86]Source!H417</f>
        <v>шт.</v>
      </c>
      <c r="F178" s="771">
        <f>[86]Source!I417</f>
        <v>0</v>
      </c>
      <c r="G178" s="772">
        <f>[86]Source!AL417</f>
        <v>73114.259999999995</v>
      </c>
      <c r="H178" s="773">
        <f>[86]Source!DD417</f>
        <v>0</v>
      </c>
      <c r="I178" s="771">
        <f>[86]Source!AW418</f>
        <v>1</v>
      </c>
      <c r="J178" s="774">
        <f>[86]Source!P417</f>
        <v>0</v>
      </c>
      <c r="K178" s="771">
        <f>IF([86]Source!BC418&lt;&gt; 0, [86]Source!BC418, 1)</f>
        <v>4.5999999999999996</v>
      </c>
      <c r="L178" s="774">
        <v>0</v>
      </c>
      <c r="Q178" s="775">
        <f>[86]Source!X417</f>
        <v>0</v>
      </c>
      <c r="R178" s="775">
        <f>[86]Source!X418</f>
        <v>0</v>
      </c>
      <c r="S178" s="775">
        <f>[86]Source!Y417</f>
        <v>0</v>
      </c>
      <c r="T178" s="775">
        <f>[86]Source!Y418</f>
        <v>0</v>
      </c>
      <c r="U178" s="775">
        <f>ROUND((175/100)*ROUND([86]Source!R417, 2), 2)</f>
        <v>0</v>
      </c>
      <c r="V178" s="775">
        <f>ROUND((157/100)*ROUND([86]Source!R418, 2), 2)</f>
        <v>0</v>
      </c>
    </row>
    <row r="179" spans="1:22" s="775" customFormat="1" ht="15" hidden="1" x14ac:dyDescent="0.25">
      <c r="A179" s="776"/>
      <c r="B179" s="777"/>
      <c r="C179" s="776"/>
      <c r="D179" s="778" t="s">
        <v>81</v>
      </c>
      <c r="E179" s="776"/>
      <c r="F179" s="776"/>
      <c r="G179" s="776"/>
      <c r="H179" s="776"/>
      <c r="I179" s="779">
        <f>J178</f>
        <v>0</v>
      </c>
      <c r="J179" s="779"/>
      <c r="K179" s="779">
        <f>L178</f>
        <v>0</v>
      </c>
      <c r="L179" s="779"/>
      <c r="O179" s="780">
        <f>J178</f>
        <v>0</v>
      </c>
      <c r="P179" s="780">
        <f>L178</f>
        <v>0</v>
      </c>
    </row>
    <row r="180" spans="1:22" hidden="1" x14ac:dyDescent="0.2"/>
    <row r="181" spans="1:22" hidden="1" x14ac:dyDescent="0.2"/>
    <row r="182" spans="1:22" ht="15" hidden="1" x14ac:dyDescent="0.25">
      <c r="A182" s="634" t="str">
        <f>CONCATENATE("Итого по подразделу: ",IF([86]Source!G420&lt;&gt;"Новый подраздел", [86]Source!G420, ""))</f>
        <v>Итого по подразделу: П2-17</v>
      </c>
      <c r="B182" s="634"/>
      <c r="C182" s="634"/>
      <c r="D182" s="634"/>
      <c r="E182" s="634"/>
      <c r="F182" s="634"/>
      <c r="G182" s="634"/>
      <c r="H182" s="634"/>
      <c r="I182" s="640">
        <f>SUM(O160:O181)</f>
        <v>0</v>
      </c>
      <c r="J182" s="641"/>
      <c r="K182" s="640">
        <f>SUM(P160:P181)</f>
        <v>0</v>
      </c>
      <c r="L182" s="641"/>
    </row>
    <row r="183" spans="1:22" hidden="1" x14ac:dyDescent="0.2">
      <c r="A183" s="178" t="s">
        <v>54</v>
      </c>
      <c r="J183" s="178">
        <f>SUM(W160:W182)</f>
        <v>0</v>
      </c>
      <c r="K183" s="178">
        <f>SUM(X160:X182)</f>
        <v>0</v>
      </c>
    </row>
    <row r="184" spans="1:22" hidden="1" x14ac:dyDescent="0.2">
      <c r="A184" s="178" t="s">
        <v>55</v>
      </c>
      <c r="J184" s="178">
        <f>SUM(Y160:Y183)</f>
        <v>0</v>
      </c>
      <c r="K184" s="178">
        <f>SUM(Z160:Z183)</f>
        <v>0</v>
      </c>
    </row>
    <row r="185" spans="1:22" hidden="1" x14ac:dyDescent="0.2"/>
    <row r="186" spans="1:22" ht="16.5" hidden="1" x14ac:dyDescent="0.25">
      <c r="A186" s="642" t="str">
        <f>CONCATENATE("Подраздел: ",IF([86]Source!G450&lt;&gt;"Новый подраздел", [86]Source!G450, ""))</f>
        <v>Подраздел: П2-18</v>
      </c>
      <c r="B186" s="642"/>
      <c r="C186" s="642"/>
      <c r="D186" s="642"/>
      <c r="E186" s="642"/>
      <c r="F186" s="642"/>
      <c r="G186" s="642"/>
      <c r="H186" s="642"/>
      <c r="I186" s="642"/>
      <c r="J186" s="642"/>
      <c r="K186" s="642"/>
      <c r="L186" s="642"/>
    </row>
    <row r="187" spans="1:22" ht="52.5" hidden="1" x14ac:dyDescent="0.2">
      <c r="A187" s="478">
        <v>16</v>
      </c>
      <c r="B187" s="763" t="s">
        <v>432</v>
      </c>
      <c r="C187" s="439" t="s">
        <v>99</v>
      </c>
      <c r="D187" s="439" t="s">
        <v>100</v>
      </c>
      <c r="E187" s="440" t="str">
        <f>[86]Source!H454</f>
        <v>1  ШТ.</v>
      </c>
      <c r="F187" s="270">
        <f>[86]Source!I454</f>
        <v>0</v>
      </c>
      <c r="G187" s="441"/>
      <c r="H187" s="442"/>
      <c r="I187" s="270"/>
      <c r="J187" s="480"/>
      <c r="K187" s="270"/>
      <c r="L187" s="480"/>
      <c r="Q187" s="178">
        <f>[86]Source!X454</f>
        <v>0</v>
      </c>
      <c r="R187" s="178">
        <f>[86]Source!X455</f>
        <v>0</v>
      </c>
      <c r="S187" s="178">
        <f>[86]Source!Y454</f>
        <v>0</v>
      </c>
      <c r="T187" s="178">
        <f>[86]Source!Y455</f>
        <v>0</v>
      </c>
      <c r="U187" s="178">
        <f>ROUND((175/100)*ROUND([86]Source!R454, 2), 2)</f>
        <v>0</v>
      </c>
      <c r="V187" s="178">
        <f>ROUND((157/100)*ROUND([86]Source!R455, 2), 2)</f>
        <v>0</v>
      </c>
    </row>
    <row r="188" spans="1:22" ht="14.25" hidden="1" x14ac:dyDescent="0.2">
      <c r="A188" s="478"/>
      <c r="B188" s="763"/>
      <c r="C188" s="439"/>
      <c r="D188" s="439" t="s">
        <v>43</v>
      </c>
      <c r="E188" s="440"/>
      <c r="F188" s="270"/>
      <c r="G188" s="441">
        <f>[86]Source!AO454</f>
        <v>615.5</v>
      </c>
      <c r="H188" s="442" t="str">
        <f>[86]Source!DG454</f>
        <v>)*1,67</v>
      </c>
      <c r="I188" s="270">
        <f>[86]Source!AV455</f>
        <v>1.0669999999999999</v>
      </c>
      <c r="J188" s="480">
        <f>[86]Source!S454</f>
        <v>0</v>
      </c>
      <c r="K188" s="270">
        <f>IF([86]Source!BA455&lt;&gt; 0, [86]Source!BA455, 1)</f>
        <v>24.53</v>
      </c>
      <c r="L188" s="480">
        <f>[86]Source!S455</f>
        <v>0</v>
      </c>
    </row>
    <row r="189" spans="1:22" ht="14.25" hidden="1" x14ac:dyDescent="0.2">
      <c r="A189" s="478"/>
      <c r="B189" s="763"/>
      <c r="C189" s="439"/>
      <c r="D189" s="439" t="s">
        <v>44</v>
      </c>
      <c r="E189" s="440"/>
      <c r="F189" s="270"/>
      <c r="G189" s="441">
        <f>[86]Source!AM454</f>
        <v>15.8</v>
      </c>
      <c r="H189" s="442">
        <f>[86]Source!DE454</f>
        <v>0</v>
      </c>
      <c r="I189" s="270">
        <f>[86]Source!AV455</f>
        <v>1.0669999999999999</v>
      </c>
      <c r="J189" s="480">
        <f>[86]Source!Q454-J199</f>
        <v>0</v>
      </c>
      <c r="K189" s="270">
        <f>IF([86]Source!BB455&lt;&gt; 0, [86]Source!BB455, 1)</f>
        <v>7.59</v>
      </c>
      <c r="L189" s="480">
        <f>[86]Source!Q455-L199</f>
        <v>0</v>
      </c>
    </row>
    <row r="190" spans="1:22" ht="14.25" hidden="1" x14ac:dyDescent="0.2">
      <c r="A190" s="478"/>
      <c r="B190" s="763"/>
      <c r="C190" s="439"/>
      <c r="D190" s="439" t="s">
        <v>45</v>
      </c>
      <c r="E190" s="440"/>
      <c r="F190" s="270"/>
      <c r="G190" s="441">
        <f>[86]Source!AN454</f>
        <v>1.31</v>
      </c>
      <c r="H190" s="442">
        <f>[86]Source!DE454</f>
        <v>0</v>
      </c>
      <c r="I190" s="270">
        <f>[86]Source!AV455</f>
        <v>1.0669999999999999</v>
      </c>
      <c r="J190" s="443">
        <f>[86]Source!R454-J200</f>
        <v>0</v>
      </c>
      <c r="K190" s="270">
        <f>IF([86]Source!BS455&lt;&gt; 0, [86]Source!BS455, 1)</f>
        <v>24.53</v>
      </c>
      <c r="L190" s="443">
        <f>[86]Source!R455-L200</f>
        <v>0</v>
      </c>
    </row>
    <row r="191" spans="1:22" ht="14.25" hidden="1" x14ac:dyDescent="0.2">
      <c r="A191" s="478"/>
      <c r="B191" s="763"/>
      <c r="C191" s="439"/>
      <c r="D191" s="439" t="s">
        <v>46</v>
      </c>
      <c r="E191" s="440"/>
      <c r="F191" s="270"/>
      <c r="G191" s="441">
        <f>[86]Source!AL454</f>
        <v>4.0599999999999996</v>
      </c>
      <c r="H191" s="442">
        <f>[86]Source!DD454</f>
        <v>0</v>
      </c>
      <c r="I191" s="270">
        <f>[86]Source!AW455</f>
        <v>1.028</v>
      </c>
      <c r="J191" s="480">
        <f>[86]Source!P454</f>
        <v>0</v>
      </c>
      <c r="K191" s="270">
        <f>IF([86]Source!BC455&lt;&gt; 0, [86]Source!BC455, 1)</f>
        <v>6.33</v>
      </c>
      <c r="L191" s="480">
        <f>[86]Source!P455</f>
        <v>0</v>
      </c>
    </row>
    <row r="192" spans="1:22" ht="14.25" hidden="1" x14ac:dyDescent="0.2">
      <c r="A192" s="478"/>
      <c r="B192" s="763"/>
      <c r="C192" s="439"/>
      <c r="D192" s="439" t="s">
        <v>47</v>
      </c>
      <c r="E192" s="440" t="s">
        <v>48</v>
      </c>
      <c r="F192" s="270">
        <f>[86]Source!DN455</f>
        <v>68</v>
      </c>
      <c r="G192" s="441"/>
      <c r="H192" s="442"/>
      <c r="I192" s="270"/>
      <c r="J192" s="480">
        <f>SUM(Q187:Q191)</f>
        <v>0</v>
      </c>
      <c r="K192" s="270">
        <f>[86]Source!BZ455</f>
        <v>68</v>
      </c>
      <c r="L192" s="480">
        <f>SUM(R187:R191)</f>
        <v>0</v>
      </c>
    </row>
    <row r="193" spans="1:22" ht="14.25" hidden="1" x14ac:dyDescent="0.2">
      <c r="A193" s="478"/>
      <c r="B193" s="763"/>
      <c r="C193" s="439"/>
      <c r="D193" s="439" t="s">
        <v>49</v>
      </c>
      <c r="E193" s="440" t="s">
        <v>48</v>
      </c>
      <c r="F193" s="270">
        <f>[86]Source!DO455</f>
        <v>43</v>
      </c>
      <c r="G193" s="441"/>
      <c r="H193" s="442"/>
      <c r="I193" s="270"/>
      <c r="J193" s="480">
        <f>SUM(S187:S192)</f>
        <v>0</v>
      </c>
      <c r="K193" s="270">
        <f>[86]Source!CA455</f>
        <v>43</v>
      </c>
      <c r="L193" s="480">
        <f>SUM(T187:T192)</f>
        <v>0</v>
      </c>
    </row>
    <row r="194" spans="1:22" ht="14.25" hidden="1" x14ac:dyDescent="0.2">
      <c r="A194" s="478"/>
      <c r="B194" s="763"/>
      <c r="C194" s="439"/>
      <c r="D194" s="439" t="s">
        <v>50</v>
      </c>
      <c r="E194" s="440" t="s">
        <v>48</v>
      </c>
      <c r="F194" s="270">
        <f>175</f>
        <v>175</v>
      </c>
      <c r="G194" s="441"/>
      <c r="H194" s="442"/>
      <c r="I194" s="270"/>
      <c r="J194" s="480">
        <f>SUM(U187:U193)-J201</f>
        <v>0</v>
      </c>
      <c r="K194" s="270">
        <f>157</f>
        <v>157</v>
      </c>
      <c r="L194" s="480">
        <f>SUM(V187:V193)-L201</f>
        <v>0</v>
      </c>
    </row>
    <row r="195" spans="1:22" ht="14.25" hidden="1" x14ac:dyDescent="0.2">
      <c r="A195" s="479"/>
      <c r="B195" s="309"/>
      <c r="C195" s="308"/>
      <c r="D195" s="308" t="s">
        <v>51</v>
      </c>
      <c r="E195" s="307" t="s">
        <v>52</v>
      </c>
      <c r="F195" s="306">
        <f>[86]Source!AQ454</f>
        <v>51.58</v>
      </c>
      <c r="G195" s="305"/>
      <c r="H195" s="315">
        <f>[86]Source!DI454</f>
        <v>0</v>
      </c>
      <c r="I195" s="306">
        <f>[86]Source!AV455</f>
        <v>1.0669999999999999</v>
      </c>
      <c r="J195" s="314">
        <f>[86]Source!U454</f>
        <v>0</v>
      </c>
      <c r="K195" s="306"/>
      <c r="L195" s="314"/>
    </row>
    <row r="196" spans="1:22" ht="15" hidden="1" x14ac:dyDescent="0.25">
      <c r="D196" s="764" t="s">
        <v>81</v>
      </c>
      <c r="I196" s="640">
        <f>J188+J189+J191+J192+J193+J194</f>
        <v>0</v>
      </c>
      <c r="J196" s="640"/>
      <c r="K196" s="640">
        <f>L188+L189+L191+L192+L193+L194</f>
        <v>0</v>
      </c>
      <c r="L196" s="640"/>
      <c r="O196" s="765">
        <f>J188+J189+J191+J192+J193+J194</f>
        <v>0</v>
      </c>
      <c r="P196" s="765">
        <f>L188+L189+L191+L192+L193+L194</f>
        <v>0</v>
      </c>
    </row>
    <row r="197" spans="1:22" hidden="1" x14ac:dyDescent="0.2"/>
    <row r="198" spans="1:22" ht="28.5" hidden="1" x14ac:dyDescent="0.2">
      <c r="A198" s="478">
        <v>17</v>
      </c>
      <c r="B198" s="763" t="s">
        <v>431</v>
      </c>
      <c r="C198" s="439"/>
      <c r="D198" s="439" t="s">
        <v>82</v>
      </c>
      <c r="E198" s="440" t="str">
        <f>[86]Source!H454</f>
        <v>1  ШТ.</v>
      </c>
      <c r="F198" s="270">
        <f>[86]Source!I454</f>
        <v>0</v>
      </c>
      <c r="G198" s="441"/>
      <c r="H198" s="442"/>
      <c r="I198" s="270"/>
      <c r="J198" s="480"/>
      <c r="K198" s="270"/>
      <c r="L198" s="480"/>
    </row>
    <row r="199" spans="1:22" ht="14.25" hidden="1" x14ac:dyDescent="0.2">
      <c r="A199" s="478"/>
      <c r="B199" s="763"/>
      <c r="C199" s="439"/>
      <c r="D199" s="439" t="s">
        <v>44</v>
      </c>
      <c r="E199" s="440"/>
      <c r="F199" s="270"/>
      <c r="G199" s="441">
        <f t="shared" ref="G199:L199" si="5">G200</f>
        <v>1.31</v>
      </c>
      <c r="H199" s="766" t="str">
        <f t="shared" si="5"/>
        <v>)*(1.67-1)</v>
      </c>
      <c r="I199" s="270">
        <f t="shared" si="5"/>
        <v>1.0669999999999999</v>
      </c>
      <c r="J199" s="480">
        <f t="shared" si="5"/>
        <v>0</v>
      </c>
      <c r="K199" s="270">
        <f t="shared" si="5"/>
        <v>24.53</v>
      </c>
      <c r="L199" s="480">
        <f t="shared" si="5"/>
        <v>0</v>
      </c>
    </row>
    <row r="200" spans="1:22" ht="14.25" hidden="1" x14ac:dyDescent="0.2">
      <c r="A200" s="478"/>
      <c r="B200" s="763"/>
      <c r="C200" s="439"/>
      <c r="D200" s="439" t="s">
        <v>45</v>
      </c>
      <c r="E200" s="440"/>
      <c r="F200" s="270"/>
      <c r="G200" s="441">
        <f>[86]Source!AN454</f>
        <v>1.31</v>
      </c>
      <c r="H200" s="766" t="s">
        <v>53</v>
      </c>
      <c r="I200" s="270">
        <f>[86]Source!AV455</f>
        <v>1.0669999999999999</v>
      </c>
      <c r="J200" s="443">
        <f>ROUND(F187*G200*I200*(1.67-1), 2)</f>
        <v>0</v>
      </c>
      <c r="K200" s="270">
        <f>IF([86]Source!BS455&lt;&gt; 0, [86]Source!BS455, 1)</f>
        <v>24.53</v>
      </c>
      <c r="L200" s="443">
        <f>ROUND(ROUND(F187*G200*I200*(1.67-1), 2)*K200, 2)</f>
        <v>0</v>
      </c>
    </row>
    <row r="201" spans="1:22" ht="14.25" hidden="1" x14ac:dyDescent="0.2">
      <c r="A201" s="478"/>
      <c r="B201" s="763"/>
      <c r="C201" s="439"/>
      <c r="D201" s="439" t="s">
        <v>50</v>
      </c>
      <c r="E201" s="440" t="s">
        <v>48</v>
      </c>
      <c r="F201" s="270">
        <f>175</f>
        <v>175</v>
      </c>
      <c r="G201" s="441"/>
      <c r="H201" s="442"/>
      <c r="I201" s="270"/>
      <c r="J201" s="480">
        <f>ROUND(J200*(F201/100), 2)</f>
        <v>0</v>
      </c>
      <c r="K201" s="270">
        <f>157</f>
        <v>157</v>
      </c>
      <c r="L201" s="480">
        <f>ROUND(L200*(K201/100), 2)</f>
        <v>0</v>
      </c>
    </row>
    <row r="202" spans="1:22" ht="15" hidden="1" x14ac:dyDescent="0.25">
      <c r="A202" s="311"/>
      <c r="B202" s="313"/>
      <c r="C202" s="311"/>
      <c r="D202" s="312" t="s">
        <v>81</v>
      </c>
      <c r="E202" s="311"/>
      <c r="F202" s="311"/>
      <c r="G202" s="311"/>
      <c r="H202" s="311"/>
      <c r="I202" s="639">
        <f>J201+J200</f>
        <v>0</v>
      </c>
      <c r="J202" s="639"/>
      <c r="K202" s="639">
        <f>L201+L200</f>
        <v>0</v>
      </c>
      <c r="L202" s="639"/>
      <c r="O202" s="765">
        <f>I202</f>
        <v>0</v>
      </c>
      <c r="P202" s="765">
        <f>K202</f>
        <v>0</v>
      </c>
    </row>
    <row r="203" spans="1:22" hidden="1" x14ac:dyDescent="0.2"/>
    <row r="204" spans="1:22" s="775" customFormat="1" ht="66.75" hidden="1" x14ac:dyDescent="0.2">
      <c r="A204" s="767">
        <v>18</v>
      </c>
      <c r="B204" s="768" t="s">
        <v>430</v>
      </c>
      <c r="C204" s="769" t="str">
        <f>[86]Source!F456</f>
        <v>Прайс-лист</v>
      </c>
      <c r="D204" s="769" t="s">
        <v>429</v>
      </c>
      <c r="E204" s="770" t="str">
        <f>[86]Source!H456</f>
        <v>шт.</v>
      </c>
      <c r="F204" s="771">
        <f>[86]Source!I456</f>
        <v>0</v>
      </c>
      <c r="G204" s="772">
        <f>[86]Source!AL456</f>
        <v>62849.1</v>
      </c>
      <c r="H204" s="773">
        <f>[86]Source!DD456</f>
        <v>0</v>
      </c>
      <c r="I204" s="771">
        <f>[86]Source!AW457</f>
        <v>1</v>
      </c>
      <c r="J204" s="774">
        <f>[86]Source!P456</f>
        <v>0</v>
      </c>
      <c r="K204" s="771">
        <f>IF([86]Source!BC457&lt;&gt; 0, [86]Source!BC457, 1)</f>
        <v>4.5999999999999996</v>
      </c>
      <c r="L204" s="774">
        <v>0</v>
      </c>
      <c r="Q204" s="775">
        <f>[86]Source!X456</f>
        <v>0</v>
      </c>
      <c r="R204" s="775">
        <f>[86]Source!X457</f>
        <v>0</v>
      </c>
      <c r="S204" s="775">
        <f>[86]Source!Y456</f>
        <v>0</v>
      </c>
      <c r="T204" s="775">
        <f>[86]Source!Y457</f>
        <v>0</v>
      </c>
      <c r="U204" s="775">
        <f>ROUND((175/100)*ROUND([86]Source!R456, 2), 2)</f>
        <v>0</v>
      </c>
      <c r="V204" s="775">
        <f>ROUND((157/100)*ROUND([86]Source!R457, 2), 2)</f>
        <v>0</v>
      </c>
    </row>
    <row r="205" spans="1:22" s="775" customFormat="1" ht="15" hidden="1" x14ac:dyDescent="0.25">
      <c r="A205" s="776"/>
      <c r="B205" s="777"/>
      <c r="C205" s="776"/>
      <c r="D205" s="778" t="s">
        <v>81</v>
      </c>
      <c r="E205" s="776"/>
      <c r="F205" s="776"/>
      <c r="G205" s="776"/>
      <c r="H205" s="776"/>
      <c r="I205" s="779">
        <f>J204</f>
        <v>0</v>
      </c>
      <c r="J205" s="779"/>
      <c r="K205" s="779">
        <f>L204</f>
        <v>0</v>
      </c>
      <c r="L205" s="779"/>
      <c r="O205" s="780">
        <f>J204</f>
        <v>0</v>
      </c>
      <c r="P205" s="780">
        <f>L204</f>
        <v>0</v>
      </c>
    </row>
    <row r="206" spans="1:22" hidden="1" x14ac:dyDescent="0.2"/>
    <row r="207" spans="1:22" hidden="1" x14ac:dyDescent="0.2"/>
    <row r="208" spans="1:22" ht="15" hidden="1" x14ac:dyDescent="0.25">
      <c r="A208" s="634" t="str">
        <f>CONCATENATE("Итого по подразделу: ",IF([86]Source!G459&lt;&gt;"Новый подраздел", [86]Source!G459, ""))</f>
        <v>Итого по подразделу: П2-18</v>
      </c>
      <c r="B208" s="634"/>
      <c r="C208" s="634"/>
      <c r="D208" s="634"/>
      <c r="E208" s="634"/>
      <c r="F208" s="634"/>
      <c r="G208" s="634"/>
      <c r="H208" s="634"/>
      <c r="I208" s="640">
        <f>SUM(O186:O207)</f>
        <v>0</v>
      </c>
      <c r="J208" s="641"/>
      <c r="K208" s="640">
        <f>SUM(P186:P207)</f>
        <v>0</v>
      </c>
      <c r="L208" s="641"/>
    </row>
    <row r="209" spans="1:22" hidden="1" x14ac:dyDescent="0.2">
      <c r="A209" s="178" t="s">
        <v>54</v>
      </c>
      <c r="J209" s="178">
        <f>SUM(W186:W208)</f>
        <v>0</v>
      </c>
      <c r="K209" s="178">
        <f>SUM(X186:X208)</f>
        <v>0</v>
      </c>
    </row>
    <row r="210" spans="1:22" hidden="1" x14ac:dyDescent="0.2">
      <c r="A210" s="178" t="s">
        <v>55</v>
      </c>
      <c r="J210" s="178">
        <f>SUM(Y186:Y209)</f>
        <v>0</v>
      </c>
      <c r="K210" s="178">
        <f>SUM(Z186:Z209)</f>
        <v>0</v>
      </c>
    </row>
    <row r="211" spans="1:22" hidden="1" x14ac:dyDescent="0.2"/>
    <row r="212" spans="1:22" ht="16.5" hidden="1" x14ac:dyDescent="0.25">
      <c r="A212" s="642" t="str">
        <f>CONCATENATE("Подраздел: ",IF([86]Source!G585&lt;&gt;"Новый подраздел", [86]Source!G585, ""))</f>
        <v>Подраздел: П2-21</v>
      </c>
      <c r="B212" s="642"/>
      <c r="C212" s="642"/>
      <c r="D212" s="642"/>
      <c r="E212" s="642"/>
      <c r="F212" s="642"/>
      <c r="G212" s="642"/>
      <c r="H212" s="642"/>
      <c r="I212" s="642"/>
      <c r="J212" s="642"/>
      <c r="K212" s="642"/>
      <c r="L212" s="642"/>
    </row>
    <row r="213" spans="1:22" ht="52.5" hidden="1" x14ac:dyDescent="0.2">
      <c r="A213" s="478">
        <v>19</v>
      </c>
      <c r="B213" s="763" t="s">
        <v>428</v>
      </c>
      <c r="C213" s="439" t="s">
        <v>99</v>
      </c>
      <c r="D213" s="439" t="s">
        <v>100</v>
      </c>
      <c r="E213" s="440" t="str">
        <f>[86]Source!H589</f>
        <v>1  ШТ.</v>
      </c>
      <c r="F213" s="270">
        <f>[86]Source!I589</f>
        <v>0</v>
      </c>
      <c r="G213" s="441"/>
      <c r="H213" s="442"/>
      <c r="I213" s="270"/>
      <c r="J213" s="480"/>
      <c r="K213" s="270"/>
      <c r="L213" s="480"/>
      <c r="Q213" s="178">
        <f>[86]Source!X589</f>
        <v>0</v>
      </c>
      <c r="R213" s="178">
        <f>[86]Source!X590</f>
        <v>0</v>
      </c>
      <c r="S213" s="178">
        <f>[86]Source!Y589</f>
        <v>0</v>
      </c>
      <c r="T213" s="178">
        <f>[86]Source!Y590</f>
        <v>0</v>
      </c>
      <c r="U213" s="178">
        <f>ROUND((175/100)*ROUND([86]Source!R589, 2), 2)</f>
        <v>0</v>
      </c>
      <c r="V213" s="178">
        <f>ROUND((157/100)*ROUND([86]Source!R590, 2), 2)</f>
        <v>0</v>
      </c>
    </row>
    <row r="214" spans="1:22" ht="14.25" hidden="1" x14ac:dyDescent="0.2">
      <c r="A214" s="478"/>
      <c r="B214" s="763"/>
      <c r="C214" s="439"/>
      <c r="D214" s="439" t="s">
        <v>43</v>
      </c>
      <c r="E214" s="440"/>
      <c r="F214" s="270"/>
      <c r="G214" s="441">
        <f>[86]Source!AO589</f>
        <v>615.5</v>
      </c>
      <c r="H214" s="442" t="str">
        <f>[86]Source!DG589</f>
        <v>)*1,67</v>
      </c>
      <c r="I214" s="270">
        <f>[86]Source!AV590</f>
        <v>1.0669999999999999</v>
      </c>
      <c r="J214" s="480">
        <f>[86]Source!S589</f>
        <v>0</v>
      </c>
      <c r="K214" s="270">
        <f>IF([86]Source!BA590&lt;&gt; 0, [86]Source!BA590, 1)</f>
        <v>24.53</v>
      </c>
      <c r="L214" s="480">
        <f>[86]Source!S590</f>
        <v>0</v>
      </c>
    </row>
    <row r="215" spans="1:22" ht="14.25" hidden="1" x14ac:dyDescent="0.2">
      <c r="A215" s="478"/>
      <c r="B215" s="763"/>
      <c r="C215" s="439"/>
      <c r="D215" s="439" t="s">
        <v>44</v>
      </c>
      <c r="E215" s="440"/>
      <c r="F215" s="270"/>
      <c r="G215" s="441">
        <f>[86]Source!AM589</f>
        <v>15.8</v>
      </c>
      <c r="H215" s="442">
        <f>[86]Source!DE589</f>
        <v>0</v>
      </c>
      <c r="I215" s="270">
        <f>[86]Source!AV590</f>
        <v>1.0669999999999999</v>
      </c>
      <c r="J215" s="480">
        <f>[86]Source!Q589-J225</f>
        <v>0</v>
      </c>
      <c r="K215" s="270">
        <f>IF([86]Source!BB590&lt;&gt; 0, [86]Source!BB590, 1)</f>
        <v>7.59</v>
      </c>
      <c r="L215" s="480">
        <f>[86]Source!Q590-L225</f>
        <v>0</v>
      </c>
    </row>
    <row r="216" spans="1:22" ht="14.25" hidden="1" x14ac:dyDescent="0.2">
      <c r="A216" s="478"/>
      <c r="B216" s="763"/>
      <c r="C216" s="439"/>
      <c r="D216" s="439" t="s">
        <v>45</v>
      </c>
      <c r="E216" s="440"/>
      <c r="F216" s="270"/>
      <c r="G216" s="441">
        <f>[86]Source!AN589</f>
        <v>1.31</v>
      </c>
      <c r="H216" s="442">
        <f>[86]Source!DE589</f>
        <v>0</v>
      </c>
      <c r="I216" s="270">
        <f>[86]Source!AV590</f>
        <v>1.0669999999999999</v>
      </c>
      <c r="J216" s="443">
        <f>[86]Source!R589-J226</f>
        <v>0</v>
      </c>
      <c r="K216" s="270">
        <f>IF([86]Source!BS590&lt;&gt; 0, [86]Source!BS590, 1)</f>
        <v>24.53</v>
      </c>
      <c r="L216" s="443">
        <f>[86]Source!R590-L226</f>
        <v>0</v>
      </c>
    </row>
    <row r="217" spans="1:22" ht="14.25" hidden="1" x14ac:dyDescent="0.2">
      <c r="A217" s="478"/>
      <c r="B217" s="763"/>
      <c r="C217" s="439"/>
      <c r="D217" s="439" t="s">
        <v>46</v>
      </c>
      <c r="E217" s="440"/>
      <c r="F217" s="270"/>
      <c r="G217" s="441">
        <f>[86]Source!AL589</f>
        <v>4.0599999999999996</v>
      </c>
      <c r="H217" s="442">
        <f>[86]Source!DD589</f>
        <v>0</v>
      </c>
      <c r="I217" s="270">
        <f>[86]Source!AW590</f>
        <v>1.028</v>
      </c>
      <c r="J217" s="480">
        <f>[86]Source!P589</f>
        <v>0</v>
      </c>
      <c r="K217" s="270">
        <f>IF([86]Source!BC590&lt;&gt; 0, [86]Source!BC590, 1)</f>
        <v>6.33</v>
      </c>
      <c r="L217" s="480">
        <f>[86]Source!P590</f>
        <v>0</v>
      </c>
    </row>
    <row r="218" spans="1:22" ht="14.25" hidden="1" x14ac:dyDescent="0.2">
      <c r="A218" s="478"/>
      <c r="B218" s="763"/>
      <c r="C218" s="439"/>
      <c r="D218" s="439" t="s">
        <v>47</v>
      </c>
      <c r="E218" s="440" t="s">
        <v>48</v>
      </c>
      <c r="F218" s="270">
        <f>[86]Source!DN590</f>
        <v>68</v>
      </c>
      <c r="G218" s="441"/>
      <c r="H218" s="442"/>
      <c r="I218" s="270"/>
      <c r="J218" s="480">
        <f>SUM(Q213:Q217)</f>
        <v>0</v>
      </c>
      <c r="K218" s="270">
        <f>[86]Source!BZ590</f>
        <v>68</v>
      </c>
      <c r="L218" s="480">
        <f>SUM(R213:R217)</f>
        <v>0</v>
      </c>
    </row>
    <row r="219" spans="1:22" ht="14.25" hidden="1" x14ac:dyDescent="0.2">
      <c r="A219" s="478"/>
      <c r="B219" s="763"/>
      <c r="C219" s="439"/>
      <c r="D219" s="439" t="s">
        <v>49</v>
      </c>
      <c r="E219" s="440" t="s">
        <v>48</v>
      </c>
      <c r="F219" s="270">
        <f>[86]Source!DO590</f>
        <v>43</v>
      </c>
      <c r="G219" s="441"/>
      <c r="H219" s="442"/>
      <c r="I219" s="270"/>
      <c r="J219" s="480">
        <f>SUM(S213:S218)</f>
        <v>0</v>
      </c>
      <c r="K219" s="270">
        <f>[86]Source!CA590</f>
        <v>43</v>
      </c>
      <c r="L219" s="480">
        <f>SUM(T213:T218)</f>
        <v>0</v>
      </c>
    </row>
    <row r="220" spans="1:22" ht="14.25" hidden="1" x14ac:dyDescent="0.2">
      <c r="A220" s="478"/>
      <c r="B220" s="763"/>
      <c r="C220" s="439"/>
      <c r="D220" s="439" t="s">
        <v>50</v>
      </c>
      <c r="E220" s="440" t="s">
        <v>48</v>
      </c>
      <c r="F220" s="270">
        <f>175</f>
        <v>175</v>
      </c>
      <c r="G220" s="441"/>
      <c r="H220" s="442"/>
      <c r="I220" s="270"/>
      <c r="J220" s="480">
        <f>SUM(U213:U219)-J227</f>
        <v>0</v>
      </c>
      <c r="K220" s="270">
        <f>157</f>
        <v>157</v>
      </c>
      <c r="L220" s="480">
        <f>SUM(V213:V219)-L227</f>
        <v>0</v>
      </c>
    </row>
    <row r="221" spans="1:22" ht="14.25" hidden="1" x14ac:dyDescent="0.2">
      <c r="A221" s="479"/>
      <c r="B221" s="309"/>
      <c r="C221" s="308"/>
      <c r="D221" s="308" t="s">
        <v>51</v>
      </c>
      <c r="E221" s="307" t="s">
        <v>52</v>
      </c>
      <c r="F221" s="306">
        <f>[86]Source!AQ589</f>
        <v>51.58</v>
      </c>
      <c r="G221" s="305"/>
      <c r="H221" s="315">
        <f>[86]Source!DI589</f>
        <v>0</v>
      </c>
      <c r="I221" s="306">
        <f>[86]Source!AV590</f>
        <v>1.0669999999999999</v>
      </c>
      <c r="J221" s="314">
        <f>[86]Source!U589</f>
        <v>0</v>
      </c>
      <c r="K221" s="306"/>
      <c r="L221" s="314"/>
    </row>
    <row r="222" spans="1:22" ht="15" hidden="1" x14ac:dyDescent="0.25">
      <c r="D222" s="764" t="s">
        <v>81</v>
      </c>
      <c r="I222" s="640">
        <f>J214+J215+J217+J218+J219+J220</f>
        <v>0</v>
      </c>
      <c r="J222" s="640"/>
      <c r="K222" s="640">
        <f>L214+L215+L217+L218+L219+L220</f>
        <v>0</v>
      </c>
      <c r="L222" s="640"/>
      <c r="O222" s="765">
        <f>J214+J215+J217+J218+J219+J220</f>
        <v>0</v>
      </c>
      <c r="P222" s="765">
        <f>L214+L215+L217+L218+L219+L220</f>
        <v>0</v>
      </c>
    </row>
    <row r="223" spans="1:22" hidden="1" x14ac:dyDescent="0.2"/>
    <row r="224" spans="1:22" ht="28.5" hidden="1" x14ac:dyDescent="0.2">
      <c r="A224" s="478">
        <v>20</v>
      </c>
      <c r="B224" s="763" t="s">
        <v>427</v>
      </c>
      <c r="C224" s="439"/>
      <c r="D224" s="439" t="s">
        <v>82</v>
      </c>
      <c r="E224" s="440" t="str">
        <f>[86]Source!H589</f>
        <v>1  ШТ.</v>
      </c>
      <c r="F224" s="270">
        <f>[86]Source!I589</f>
        <v>0</v>
      </c>
      <c r="G224" s="441"/>
      <c r="H224" s="442"/>
      <c r="I224" s="270"/>
      <c r="J224" s="480"/>
      <c r="K224" s="270"/>
      <c r="L224" s="480"/>
    </row>
    <row r="225" spans="1:22" ht="14.25" hidden="1" x14ac:dyDescent="0.2">
      <c r="A225" s="478"/>
      <c r="B225" s="763"/>
      <c r="C225" s="439"/>
      <c r="D225" s="439" t="s">
        <v>44</v>
      </c>
      <c r="E225" s="440"/>
      <c r="F225" s="270"/>
      <c r="G225" s="441">
        <f t="shared" ref="G225:L225" si="6">G226</f>
        <v>1.31</v>
      </c>
      <c r="H225" s="766" t="str">
        <f t="shared" si="6"/>
        <v>)*(1.67-1)</v>
      </c>
      <c r="I225" s="270">
        <f t="shared" si="6"/>
        <v>1.0669999999999999</v>
      </c>
      <c r="J225" s="480">
        <f t="shared" si="6"/>
        <v>0</v>
      </c>
      <c r="K225" s="270">
        <f t="shared" si="6"/>
        <v>24.53</v>
      </c>
      <c r="L225" s="480">
        <f t="shared" si="6"/>
        <v>0</v>
      </c>
    </row>
    <row r="226" spans="1:22" ht="14.25" hidden="1" x14ac:dyDescent="0.2">
      <c r="A226" s="478"/>
      <c r="B226" s="763"/>
      <c r="C226" s="439"/>
      <c r="D226" s="439" t="s">
        <v>45</v>
      </c>
      <c r="E226" s="440"/>
      <c r="F226" s="270"/>
      <c r="G226" s="441">
        <f>[86]Source!AN589</f>
        <v>1.31</v>
      </c>
      <c r="H226" s="766" t="s">
        <v>53</v>
      </c>
      <c r="I226" s="270">
        <f>[86]Source!AV590</f>
        <v>1.0669999999999999</v>
      </c>
      <c r="J226" s="443">
        <f>ROUND(F213*G226*I226*(1.67-1), 2)</f>
        <v>0</v>
      </c>
      <c r="K226" s="270">
        <f>IF([86]Source!BS590&lt;&gt; 0, [86]Source!BS590, 1)</f>
        <v>24.53</v>
      </c>
      <c r="L226" s="443">
        <f>ROUND(ROUND(F213*G226*I226*(1.67-1), 2)*K226, 2)</f>
        <v>0</v>
      </c>
    </row>
    <row r="227" spans="1:22" ht="14.25" hidden="1" x14ac:dyDescent="0.2">
      <c r="A227" s="478"/>
      <c r="B227" s="763"/>
      <c r="C227" s="439"/>
      <c r="D227" s="439" t="s">
        <v>50</v>
      </c>
      <c r="E227" s="440" t="s">
        <v>48</v>
      </c>
      <c r="F227" s="270">
        <f>175</f>
        <v>175</v>
      </c>
      <c r="G227" s="441"/>
      <c r="H227" s="442"/>
      <c r="I227" s="270"/>
      <c r="J227" s="480">
        <f>ROUND(J226*(F227/100), 2)</f>
        <v>0</v>
      </c>
      <c r="K227" s="270">
        <f>157</f>
        <v>157</v>
      </c>
      <c r="L227" s="480">
        <f>ROUND(L226*(K227/100), 2)</f>
        <v>0</v>
      </c>
    </row>
    <row r="228" spans="1:22" ht="15" hidden="1" x14ac:dyDescent="0.25">
      <c r="A228" s="311"/>
      <c r="B228" s="313"/>
      <c r="C228" s="311"/>
      <c r="D228" s="312" t="s">
        <v>81</v>
      </c>
      <c r="E228" s="311"/>
      <c r="F228" s="311"/>
      <c r="G228" s="311"/>
      <c r="H228" s="311"/>
      <c r="I228" s="639">
        <f>J227+J226</f>
        <v>0</v>
      </c>
      <c r="J228" s="639"/>
      <c r="K228" s="639">
        <f>L227+L226</f>
        <v>0</v>
      </c>
      <c r="L228" s="639"/>
      <c r="O228" s="765">
        <f>I228</f>
        <v>0</v>
      </c>
      <c r="P228" s="765">
        <f>K228</f>
        <v>0</v>
      </c>
    </row>
    <row r="229" spans="1:22" hidden="1" x14ac:dyDescent="0.2"/>
    <row r="230" spans="1:22" s="775" customFormat="1" ht="54" hidden="1" x14ac:dyDescent="0.2">
      <c r="A230" s="767">
        <v>21</v>
      </c>
      <c r="B230" s="768" t="s">
        <v>426</v>
      </c>
      <c r="C230" s="769" t="str">
        <f>[86]Source!F591</f>
        <v>Прайс-лист</v>
      </c>
      <c r="D230" s="769" t="s">
        <v>425</v>
      </c>
      <c r="E230" s="770" t="str">
        <f>[86]Source!H591</f>
        <v>шт.</v>
      </c>
      <c r="F230" s="771">
        <f>[86]Source!I591</f>
        <v>0</v>
      </c>
      <c r="G230" s="772">
        <f>[86]Source!AL591</f>
        <v>46837.27</v>
      </c>
      <c r="H230" s="773">
        <f>[86]Source!DD591</f>
        <v>0</v>
      </c>
      <c r="I230" s="771">
        <f>[86]Source!AW592</f>
        <v>1</v>
      </c>
      <c r="J230" s="774">
        <f>[86]Source!P591</f>
        <v>0</v>
      </c>
      <c r="K230" s="771">
        <f>IF([86]Source!BC592&lt;&gt; 0, [86]Source!BC592, 1)</f>
        <v>4.5999999999999996</v>
      </c>
      <c r="L230" s="774">
        <v>0</v>
      </c>
      <c r="Q230" s="775">
        <f>[86]Source!X591</f>
        <v>0</v>
      </c>
      <c r="R230" s="775">
        <f>[86]Source!X592</f>
        <v>0</v>
      </c>
      <c r="S230" s="775">
        <f>[86]Source!Y591</f>
        <v>0</v>
      </c>
      <c r="T230" s="775">
        <f>[86]Source!Y592</f>
        <v>0</v>
      </c>
      <c r="U230" s="775">
        <f>ROUND((175/100)*ROUND([86]Source!R591, 2), 2)</f>
        <v>0</v>
      </c>
      <c r="V230" s="775">
        <f>ROUND((157/100)*ROUND([86]Source!R592, 2), 2)</f>
        <v>0</v>
      </c>
    </row>
    <row r="231" spans="1:22" s="775" customFormat="1" ht="15" hidden="1" x14ac:dyDescent="0.25">
      <c r="A231" s="776"/>
      <c r="B231" s="777"/>
      <c r="C231" s="776"/>
      <c r="D231" s="778" t="s">
        <v>81</v>
      </c>
      <c r="E231" s="776"/>
      <c r="F231" s="776"/>
      <c r="G231" s="776"/>
      <c r="H231" s="776"/>
      <c r="I231" s="779">
        <f>J230</f>
        <v>0</v>
      </c>
      <c r="J231" s="779"/>
      <c r="K231" s="779">
        <f>L230</f>
        <v>0</v>
      </c>
      <c r="L231" s="779"/>
      <c r="O231" s="780">
        <f>J230</f>
        <v>0</v>
      </c>
      <c r="P231" s="780">
        <f>L230</f>
        <v>0</v>
      </c>
    </row>
    <row r="232" spans="1:22" hidden="1" x14ac:dyDescent="0.2"/>
    <row r="233" spans="1:22" hidden="1" x14ac:dyDescent="0.2"/>
    <row r="234" spans="1:22" ht="15" hidden="1" x14ac:dyDescent="0.25">
      <c r="A234" s="634" t="str">
        <f>CONCATENATE("Итого по подразделу: ",IF([86]Source!G598&lt;&gt;"Новый подраздел", [86]Source!G598, ""))</f>
        <v>Итого по подразделу: П2-21</v>
      </c>
      <c r="B234" s="634"/>
      <c r="C234" s="634"/>
      <c r="D234" s="634"/>
      <c r="E234" s="634"/>
      <c r="F234" s="634"/>
      <c r="G234" s="634"/>
      <c r="H234" s="634"/>
      <c r="I234" s="640">
        <f>SUM(O212:O233)</f>
        <v>0</v>
      </c>
      <c r="J234" s="641"/>
      <c r="K234" s="640">
        <f>SUM(P212:P233)</f>
        <v>0</v>
      </c>
      <c r="L234" s="641"/>
    </row>
    <row r="235" spans="1:22" hidden="1" x14ac:dyDescent="0.2">
      <c r="A235" s="178" t="s">
        <v>54</v>
      </c>
      <c r="J235" s="178">
        <f>SUM(W212:W234)</f>
        <v>0</v>
      </c>
      <c r="K235" s="178">
        <f>SUM(X212:X234)</f>
        <v>0</v>
      </c>
    </row>
    <row r="236" spans="1:22" hidden="1" x14ac:dyDescent="0.2">
      <c r="A236" s="178" t="s">
        <v>55</v>
      </c>
      <c r="J236" s="178">
        <f>SUM(Y212:Y235)</f>
        <v>0</v>
      </c>
      <c r="K236" s="178">
        <f>SUM(Z212:Z235)</f>
        <v>0</v>
      </c>
    </row>
    <row r="237" spans="1:22" hidden="1" x14ac:dyDescent="0.2"/>
    <row r="238" spans="1:22" ht="16.5" hidden="1" x14ac:dyDescent="0.25">
      <c r="A238" s="642" t="str">
        <f>CONCATENATE("Подраздел: ",IF([86]Source!G628&lt;&gt;"Новый подраздел", [86]Source!G628, ""))</f>
        <v>Подраздел: П2-23</v>
      </c>
      <c r="B238" s="642"/>
      <c r="C238" s="642"/>
      <c r="D238" s="642"/>
      <c r="E238" s="642"/>
      <c r="F238" s="642"/>
      <c r="G238" s="642"/>
      <c r="H238" s="642"/>
      <c r="I238" s="642"/>
      <c r="J238" s="642"/>
      <c r="K238" s="642"/>
      <c r="L238" s="642"/>
    </row>
    <row r="239" spans="1:22" ht="52.5" hidden="1" x14ac:dyDescent="0.2">
      <c r="A239" s="478">
        <v>22</v>
      </c>
      <c r="B239" s="763" t="s">
        <v>424</v>
      </c>
      <c r="C239" s="439" t="s">
        <v>108</v>
      </c>
      <c r="D239" s="439" t="s">
        <v>100</v>
      </c>
      <c r="E239" s="440" t="str">
        <f>[86]Source!H632</f>
        <v>1  ШТ.</v>
      </c>
      <c r="F239" s="270">
        <f>[86]Source!I632</f>
        <v>0</v>
      </c>
      <c r="G239" s="441"/>
      <c r="H239" s="442"/>
      <c r="I239" s="270"/>
      <c r="J239" s="480"/>
      <c r="K239" s="270"/>
      <c r="L239" s="480"/>
      <c r="Q239" s="178">
        <f>[86]Source!X632</f>
        <v>0</v>
      </c>
      <c r="R239" s="178">
        <f>[86]Source!X633</f>
        <v>0</v>
      </c>
      <c r="S239" s="178">
        <f>[86]Source!Y632</f>
        <v>0</v>
      </c>
      <c r="T239" s="178">
        <f>[86]Source!Y633</f>
        <v>0</v>
      </c>
      <c r="U239" s="178">
        <f>ROUND((175/100)*ROUND([86]Source!R632, 2), 2)</f>
        <v>0</v>
      </c>
      <c r="V239" s="178">
        <f>ROUND((157/100)*ROUND([86]Source!R633, 2), 2)</f>
        <v>0</v>
      </c>
    </row>
    <row r="240" spans="1:22" ht="14.25" hidden="1" x14ac:dyDescent="0.2">
      <c r="A240" s="478"/>
      <c r="B240" s="763"/>
      <c r="C240" s="439"/>
      <c r="D240" s="439" t="s">
        <v>43</v>
      </c>
      <c r="E240" s="440"/>
      <c r="F240" s="270"/>
      <c r="G240" s="441">
        <f>[86]Source!AO632</f>
        <v>615.5</v>
      </c>
      <c r="H240" s="442" t="str">
        <f>[86]Source!DG632</f>
        <v>)*1,67</v>
      </c>
      <c r="I240" s="270">
        <f>[86]Source!AV633</f>
        <v>1.0669999999999999</v>
      </c>
      <c r="J240" s="480">
        <f>[86]Source!S632</f>
        <v>0</v>
      </c>
      <c r="K240" s="270">
        <f>IF([86]Source!BA633&lt;&gt; 0, [86]Source!BA633, 1)</f>
        <v>24.53</v>
      </c>
      <c r="L240" s="480">
        <f>[86]Source!S633</f>
        <v>0</v>
      </c>
    </row>
    <row r="241" spans="1:22" ht="14.25" hidden="1" x14ac:dyDescent="0.2">
      <c r="A241" s="478"/>
      <c r="B241" s="763"/>
      <c r="C241" s="439"/>
      <c r="D241" s="439" t="s">
        <v>44</v>
      </c>
      <c r="E241" s="440"/>
      <c r="F241" s="270"/>
      <c r="G241" s="441">
        <f>[86]Source!AM632</f>
        <v>15.8</v>
      </c>
      <c r="H241" s="442">
        <f>[86]Source!DE632</f>
        <v>0</v>
      </c>
      <c r="I241" s="270">
        <f>[86]Source!AV633</f>
        <v>1.0669999999999999</v>
      </c>
      <c r="J241" s="480">
        <f>[86]Source!Q632-J251</f>
        <v>0</v>
      </c>
      <c r="K241" s="270">
        <f>IF([86]Source!BB633&lt;&gt; 0, [86]Source!BB633, 1)</f>
        <v>7.59</v>
      </c>
      <c r="L241" s="480">
        <f>[86]Source!Q633-L251</f>
        <v>0</v>
      </c>
    </row>
    <row r="242" spans="1:22" ht="14.25" hidden="1" x14ac:dyDescent="0.2">
      <c r="A242" s="478"/>
      <c r="B242" s="763"/>
      <c r="C242" s="439"/>
      <c r="D242" s="439" t="s">
        <v>45</v>
      </c>
      <c r="E242" s="440"/>
      <c r="F242" s="270"/>
      <c r="G242" s="441">
        <f>[86]Source!AN632</f>
        <v>1.31</v>
      </c>
      <c r="H242" s="442">
        <f>[86]Source!DE632</f>
        <v>0</v>
      </c>
      <c r="I242" s="270">
        <f>[86]Source!AV633</f>
        <v>1.0669999999999999</v>
      </c>
      <c r="J242" s="443">
        <f>[86]Source!R632-J252</f>
        <v>0</v>
      </c>
      <c r="K242" s="270">
        <f>IF([86]Source!BS633&lt;&gt; 0, [86]Source!BS633, 1)</f>
        <v>24.53</v>
      </c>
      <c r="L242" s="443">
        <f>[86]Source!R633-L252</f>
        <v>0</v>
      </c>
    </row>
    <row r="243" spans="1:22" ht="14.25" hidden="1" x14ac:dyDescent="0.2">
      <c r="A243" s="478"/>
      <c r="B243" s="763"/>
      <c r="C243" s="439"/>
      <c r="D243" s="439" t="s">
        <v>46</v>
      </c>
      <c r="E243" s="440"/>
      <c r="F243" s="270"/>
      <c r="G243" s="441">
        <f>[86]Source!AL632</f>
        <v>4.0599999999999996</v>
      </c>
      <c r="H243" s="442">
        <f>[86]Source!DD632</f>
        <v>0</v>
      </c>
      <c r="I243" s="270">
        <f>[86]Source!AW633</f>
        <v>1.028</v>
      </c>
      <c r="J243" s="480">
        <f>[86]Source!P632</f>
        <v>0</v>
      </c>
      <c r="K243" s="270">
        <f>IF([86]Source!BC633&lt;&gt; 0, [86]Source!BC633, 1)</f>
        <v>6.33</v>
      </c>
      <c r="L243" s="480">
        <f>[86]Source!P633</f>
        <v>0</v>
      </c>
    </row>
    <row r="244" spans="1:22" ht="14.25" hidden="1" x14ac:dyDescent="0.2">
      <c r="A244" s="478"/>
      <c r="B244" s="763"/>
      <c r="C244" s="439"/>
      <c r="D244" s="439" t="s">
        <v>47</v>
      </c>
      <c r="E244" s="440" t="s">
        <v>48</v>
      </c>
      <c r="F244" s="270">
        <f>[86]Source!DN633</f>
        <v>68</v>
      </c>
      <c r="G244" s="441"/>
      <c r="H244" s="442"/>
      <c r="I244" s="270"/>
      <c r="J244" s="480">
        <f>SUM(Q239:Q243)</f>
        <v>0</v>
      </c>
      <c r="K244" s="270">
        <f>[86]Source!BZ633</f>
        <v>68</v>
      </c>
      <c r="L244" s="480">
        <f>SUM(R239:R243)</f>
        <v>0</v>
      </c>
    </row>
    <row r="245" spans="1:22" ht="14.25" hidden="1" x14ac:dyDescent="0.2">
      <c r="A245" s="478"/>
      <c r="B245" s="763"/>
      <c r="C245" s="439"/>
      <c r="D245" s="439" t="s">
        <v>49</v>
      </c>
      <c r="E245" s="440" t="s">
        <v>48</v>
      </c>
      <c r="F245" s="270">
        <f>[86]Source!DO633</f>
        <v>43</v>
      </c>
      <c r="G245" s="441"/>
      <c r="H245" s="442"/>
      <c r="I245" s="270"/>
      <c r="J245" s="480">
        <f>SUM(S239:S244)</f>
        <v>0</v>
      </c>
      <c r="K245" s="270">
        <f>[86]Source!CA633</f>
        <v>43</v>
      </c>
      <c r="L245" s="480">
        <f>SUM(T239:T244)</f>
        <v>0</v>
      </c>
    </row>
    <row r="246" spans="1:22" ht="14.25" hidden="1" x14ac:dyDescent="0.2">
      <c r="A246" s="478"/>
      <c r="B246" s="763"/>
      <c r="C246" s="439"/>
      <c r="D246" s="439" t="s">
        <v>50</v>
      </c>
      <c r="E246" s="440" t="s">
        <v>48</v>
      </c>
      <c r="F246" s="270">
        <f>175</f>
        <v>175</v>
      </c>
      <c r="G246" s="441"/>
      <c r="H246" s="442"/>
      <c r="I246" s="270"/>
      <c r="J246" s="480">
        <f>SUM(U239:U245)-J253</f>
        <v>0</v>
      </c>
      <c r="K246" s="270">
        <f>157</f>
        <v>157</v>
      </c>
      <c r="L246" s="480">
        <f>SUM(V239:V245)-L253</f>
        <v>0</v>
      </c>
    </row>
    <row r="247" spans="1:22" ht="14.25" hidden="1" x14ac:dyDescent="0.2">
      <c r="A247" s="479"/>
      <c r="B247" s="309"/>
      <c r="C247" s="308"/>
      <c r="D247" s="308" t="s">
        <v>51</v>
      </c>
      <c r="E247" s="307" t="s">
        <v>52</v>
      </c>
      <c r="F247" s="306">
        <f>[86]Source!AQ632</f>
        <v>51.58</v>
      </c>
      <c r="G247" s="305"/>
      <c r="H247" s="315">
        <f>[86]Source!DI632</f>
        <v>0</v>
      </c>
      <c r="I247" s="306">
        <f>[86]Source!AV633</f>
        <v>1.0669999999999999</v>
      </c>
      <c r="J247" s="314">
        <f>[86]Source!U632</f>
        <v>0</v>
      </c>
      <c r="K247" s="306"/>
      <c r="L247" s="314"/>
    </row>
    <row r="248" spans="1:22" ht="15" hidden="1" x14ac:dyDescent="0.25">
      <c r="D248" s="764" t="s">
        <v>81</v>
      </c>
      <c r="I248" s="640">
        <f>J240+J241+J243+J244+J245+J246</f>
        <v>0</v>
      </c>
      <c r="J248" s="640"/>
      <c r="K248" s="640">
        <f>L240+L241+L243+L244+L245+L246</f>
        <v>0</v>
      </c>
      <c r="L248" s="640"/>
      <c r="O248" s="765">
        <f>J240+J241+J243+J244+J245+J246</f>
        <v>0</v>
      </c>
      <c r="P248" s="765">
        <f>L240+L241+L243+L244+L245+L246</f>
        <v>0</v>
      </c>
    </row>
    <row r="249" spans="1:22" hidden="1" x14ac:dyDescent="0.2"/>
    <row r="250" spans="1:22" ht="28.5" hidden="1" x14ac:dyDescent="0.2">
      <c r="A250" s="478">
        <v>23</v>
      </c>
      <c r="B250" s="763" t="s">
        <v>423</v>
      </c>
      <c r="C250" s="439"/>
      <c r="D250" s="439" t="s">
        <v>82</v>
      </c>
      <c r="E250" s="440" t="str">
        <f>[86]Source!H632</f>
        <v>1  ШТ.</v>
      </c>
      <c r="F250" s="270">
        <f>[86]Source!I632</f>
        <v>0</v>
      </c>
      <c r="G250" s="441"/>
      <c r="H250" s="442"/>
      <c r="I250" s="270"/>
      <c r="J250" s="480"/>
      <c r="K250" s="270"/>
      <c r="L250" s="480"/>
    </row>
    <row r="251" spans="1:22" ht="14.25" hidden="1" x14ac:dyDescent="0.2">
      <c r="A251" s="478"/>
      <c r="B251" s="763"/>
      <c r="C251" s="439"/>
      <c r="D251" s="439" t="s">
        <v>44</v>
      </c>
      <c r="E251" s="440"/>
      <c r="F251" s="270"/>
      <c r="G251" s="441">
        <f t="shared" ref="G251:L251" si="7">G252</f>
        <v>1.31</v>
      </c>
      <c r="H251" s="766" t="str">
        <f t="shared" si="7"/>
        <v>)*(1.67-1)</v>
      </c>
      <c r="I251" s="270">
        <f t="shared" si="7"/>
        <v>1.0669999999999999</v>
      </c>
      <c r="J251" s="480">
        <f t="shared" si="7"/>
        <v>0</v>
      </c>
      <c r="K251" s="270">
        <f t="shared" si="7"/>
        <v>24.53</v>
      </c>
      <c r="L251" s="480">
        <f t="shared" si="7"/>
        <v>0</v>
      </c>
    </row>
    <row r="252" spans="1:22" ht="14.25" hidden="1" x14ac:dyDescent="0.2">
      <c r="A252" s="478"/>
      <c r="B252" s="763"/>
      <c r="C252" s="439"/>
      <c r="D252" s="439" t="s">
        <v>45</v>
      </c>
      <c r="E252" s="440"/>
      <c r="F252" s="270"/>
      <c r="G252" s="441">
        <f>[86]Source!AN632</f>
        <v>1.31</v>
      </c>
      <c r="H252" s="766" t="s">
        <v>53</v>
      </c>
      <c r="I252" s="270">
        <f>[86]Source!AV633</f>
        <v>1.0669999999999999</v>
      </c>
      <c r="J252" s="443">
        <f>ROUND(F239*G252*I252*(1.67-1), 2)</f>
        <v>0</v>
      </c>
      <c r="K252" s="270">
        <f>IF([86]Source!BS633&lt;&gt; 0, [86]Source!BS633, 1)</f>
        <v>24.53</v>
      </c>
      <c r="L252" s="443">
        <f>ROUND(ROUND(F239*G252*I252*(1.67-1), 2)*K252, 2)</f>
        <v>0</v>
      </c>
    </row>
    <row r="253" spans="1:22" ht="14.25" hidden="1" x14ac:dyDescent="0.2">
      <c r="A253" s="478"/>
      <c r="B253" s="763"/>
      <c r="C253" s="439"/>
      <c r="D253" s="439" t="s">
        <v>50</v>
      </c>
      <c r="E253" s="440" t="s">
        <v>48</v>
      </c>
      <c r="F253" s="270">
        <f>175</f>
        <v>175</v>
      </c>
      <c r="G253" s="441"/>
      <c r="H253" s="442"/>
      <c r="I253" s="270"/>
      <c r="J253" s="480">
        <f>ROUND(J252*(F253/100), 2)</f>
        <v>0</v>
      </c>
      <c r="K253" s="270">
        <f>157</f>
        <v>157</v>
      </c>
      <c r="L253" s="480">
        <f>ROUND(L252*(K253/100), 2)</f>
        <v>0</v>
      </c>
    </row>
    <row r="254" spans="1:22" ht="15" hidden="1" x14ac:dyDescent="0.25">
      <c r="A254" s="311"/>
      <c r="B254" s="313"/>
      <c r="C254" s="311"/>
      <c r="D254" s="312" t="s">
        <v>81</v>
      </c>
      <c r="E254" s="311"/>
      <c r="F254" s="311"/>
      <c r="G254" s="311"/>
      <c r="H254" s="311"/>
      <c r="I254" s="639">
        <f>J253+J252</f>
        <v>0</v>
      </c>
      <c r="J254" s="639"/>
      <c r="K254" s="639">
        <f>L253+L252</f>
        <v>0</v>
      </c>
      <c r="L254" s="639"/>
      <c r="O254" s="765">
        <f>I254</f>
        <v>0</v>
      </c>
      <c r="P254" s="765">
        <f>K254</f>
        <v>0</v>
      </c>
    </row>
    <row r="255" spans="1:22" hidden="1" x14ac:dyDescent="0.2"/>
    <row r="256" spans="1:22" s="775" customFormat="1" ht="54" hidden="1" x14ac:dyDescent="0.2">
      <c r="A256" s="767">
        <v>24</v>
      </c>
      <c r="B256" s="768" t="s">
        <v>422</v>
      </c>
      <c r="C256" s="769" t="str">
        <f>[86]Source!F634</f>
        <v>Прайс-лист</v>
      </c>
      <c r="D256" s="769" t="s">
        <v>421</v>
      </c>
      <c r="E256" s="770" t="str">
        <f>[86]Source!H634</f>
        <v>шт.</v>
      </c>
      <c r="F256" s="771">
        <f>[86]Source!I634</f>
        <v>0</v>
      </c>
      <c r="G256" s="772">
        <f>[86]Source!AL634</f>
        <v>90277.67</v>
      </c>
      <c r="H256" s="773">
        <f>[86]Source!DD634</f>
        <v>0</v>
      </c>
      <c r="I256" s="771">
        <f>[86]Source!AW635</f>
        <v>1</v>
      </c>
      <c r="J256" s="774">
        <f>[86]Source!P634</f>
        <v>0</v>
      </c>
      <c r="K256" s="771">
        <f>IF([86]Source!BC635&lt;&gt; 0, [86]Source!BC635, 1)</f>
        <v>4.5999999999999996</v>
      </c>
      <c r="L256" s="774">
        <v>0</v>
      </c>
      <c r="Q256" s="775">
        <f>[86]Source!X634</f>
        <v>0</v>
      </c>
      <c r="R256" s="775">
        <f>[86]Source!X635</f>
        <v>0</v>
      </c>
      <c r="S256" s="775">
        <f>[86]Source!Y634</f>
        <v>0</v>
      </c>
      <c r="T256" s="775">
        <f>[86]Source!Y635</f>
        <v>0</v>
      </c>
      <c r="U256" s="775">
        <f>ROUND((175/100)*ROUND([86]Source!R634, 2), 2)</f>
        <v>0</v>
      </c>
      <c r="V256" s="775">
        <f>ROUND((157/100)*ROUND([86]Source!R635, 2), 2)</f>
        <v>0</v>
      </c>
    </row>
    <row r="257" spans="1:22" s="775" customFormat="1" ht="15" hidden="1" x14ac:dyDescent="0.25">
      <c r="A257" s="776"/>
      <c r="B257" s="777"/>
      <c r="C257" s="776"/>
      <c r="D257" s="778" t="s">
        <v>81</v>
      </c>
      <c r="E257" s="776"/>
      <c r="F257" s="776"/>
      <c r="G257" s="776"/>
      <c r="H257" s="776"/>
      <c r="I257" s="779">
        <f>J256</f>
        <v>0</v>
      </c>
      <c r="J257" s="779"/>
      <c r="K257" s="779">
        <f>L256</f>
        <v>0</v>
      </c>
      <c r="L257" s="779"/>
      <c r="O257" s="780">
        <f>J256</f>
        <v>0</v>
      </c>
      <c r="P257" s="780">
        <f>L256</f>
        <v>0</v>
      </c>
    </row>
    <row r="258" spans="1:22" hidden="1" x14ac:dyDescent="0.2"/>
    <row r="259" spans="1:22" hidden="1" x14ac:dyDescent="0.2"/>
    <row r="260" spans="1:22" ht="15" hidden="1" x14ac:dyDescent="0.25">
      <c r="A260" s="634" t="str">
        <f>CONCATENATE("Итого по подразделу: ",IF([86]Source!G641&lt;&gt;"Новый подраздел", [86]Source!G641, ""))</f>
        <v>Итого по подразделу: П2-23</v>
      </c>
      <c r="B260" s="634"/>
      <c r="C260" s="634"/>
      <c r="D260" s="634"/>
      <c r="E260" s="634"/>
      <c r="F260" s="634"/>
      <c r="G260" s="634"/>
      <c r="H260" s="634"/>
      <c r="I260" s="640">
        <f>SUM(O238:O259)</f>
        <v>0</v>
      </c>
      <c r="J260" s="641"/>
      <c r="K260" s="640">
        <f>SUM(P238:P259)</f>
        <v>0</v>
      </c>
      <c r="L260" s="641"/>
    </row>
    <row r="261" spans="1:22" hidden="1" x14ac:dyDescent="0.2">
      <c r="A261" s="178" t="s">
        <v>54</v>
      </c>
      <c r="J261" s="178">
        <f>SUM(W238:W260)</f>
        <v>0</v>
      </c>
      <c r="K261" s="178">
        <f>SUM(X238:X260)</f>
        <v>0</v>
      </c>
    </row>
    <row r="262" spans="1:22" hidden="1" x14ac:dyDescent="0.2">
      <c r="A262" s="178" t="s">
        <v>55</v>
      </c>
      <c r="J262" s="178">
        <f>SUM(Y238:Y261)</f>
        <v>0</v>
      </c>
      <c r="K262" s="178">
        <f>SUM(Z238:Z261)</f>
        <v>0</v>
      </c>
    </row>
    <row r="263" spans="1:22" hidden="1" x14ac:dyDescent="0.2"/>
    <row r="264" spans="1:22" hidden="1" x14ac:dyDescent="0.2">
      <c r="A264" s="178" t="s">
        <v>54</v>
      </c>
      <c r="J264" s="178" t="e">
        <f>SUM(#REF!)</f>
        <v>#REF!</v>
      </c>
      <c r="K264" s="178" t="e">
        <f>SUM(#REF!)</f>
        <v>#REF!</v>
      </c>
    </row>
    <row r="265" spans="1:22" hidden="1" x14ac:dyDescent="0.2">
      <c r="A265" s="178" t="s">
        <v>55</v>
      </c>
      <c r="J265" s="178">
        <f>SUM(Y264:Y264)</f>
        <v>0</v>
      </c>
      <c r="K265" s="178">
        <f>SUM(Z264:Z264)</f>
        <v>0</v>
      </c>
    </row>
    <row r="266" spans="1:22" hidden="1" x14ac:dyDescent="0.2"/>
    <row r="267" spans="1:22" ht="16.5" hidden="1" x14ac:dyDescent="0.25">
      <c r="A267" s="642" t="str">
        <f>CONCATENATE("Подраздел: ",IF([86]Source!G842&lt;&gt;"Новый подраздел", [86]Source!G842, ""))</f>
        <v>Подраздел: У2-1</v>
      </c>
      <c r="B267" s="642"/>
      <c r="C267" s="642"/>
      <c r="D267" s="642"/>
      <c r="E267" s="642"/>
      <c r="F267" s="642"/>
      <c r="G267" s="642"/>
      <c r="H267" s="642"/>
      <c r="I267" s="642"/>
      <c r="J267" s="642"/>
      <c r="K267" s="642"/>
      <c r="L267" s="642"/>
    </row>
    <row r="268" spans="1:22" ht="52.5" hidden="1" x14ac:dyDescent="0.2">
      <c r="A268" s="478">
        <v>25</v>
      </c>
      <c r="B268" s="763" t="s">
        <v>420</v>
      </c>
      <c r="C268" s="439" t="s">
        <v>108</v>
      </c>
      <c r="D268" s="439" t="s">
        <v>100</v>
      </c>
      <c r="E268" s="440" t="str">
        <f>[86]Source!H846</f>
        <v>1  ШТ.</v>
      </c>
      <c r="F268" s="270">
        <f>[86]Source!I846</f>
        <v>0</v>
      </c>
      <c r="G268" s="441"/>
      <c r="H268" s="442"/>
      <c r="I268" s="270"/>
      <c r="J268" s="480"/>
      <c r="K268" s="270"/>
      <c r="L268" s="480"/>
      <c r="Q268" s="178">
        <f>[86]Source!X846</f>
        <v>0</v>
      </c>
      <c r="R268" s="178">
        <f>[86]Source!X847</f>
        <v>0</v>
      </c>
      <c r="S268" s="178">
        <f>[86]Source!Y846</f>
        <v>0</v>
      </c>
      <c r="T268" s="178">
        <f>[86]Source!Y847</f>
        <v>0</v>
      </c>
      <c r="U268" s="178">
        <f>ROUND((175/100)*ROUND([86]Source!R846, 2), 2)</f>
        <v>0</v>
      </c>
      <c r="V268" s="178">
        <f>ROUND((157/100)*ROUND([86]Source!R847, 2), 2)</f>
        <v>0</v>
      </c>
    </row>
    <row r="269" spans="1:22" ht="14.25" hidden="1" x14ac:dyDescent="0.2">
      <c r="A269" s="478"/>
      <c r="B269" s="763"/>
      <c r="C269" s="439"/>
      <c r="D269" s="439" t="s">
        <v>43</v>
      </c>
      <c r="E269" s="440"/>
      <c r="F269" s="270"/>
      <c r="G269" s="441">
        <f>[86]Source!AO846</f>
        <v>615.5</v>
      </c>
      <c r="H269" s="442" t="str">
        <f>[86]Source!DG846</f>
        <v>)*1,67</v>
      </c>
      <c r="I269" s="270">
        <f>[86]Source!AV847</f>
        <v>1.0669999999999999</v>
      </c>
      <c r="J269" s="480">
        <f>[86]Source!S846</f>
        <v>0</v>
      </c>
      <c r="K269" s="270">
        <f>IF([86]Source!BA847&lt;&gt; 0, [86]Source!BA847, 1)</f>
        <v>24.53</v>
      </c>
      <c r="L269" s="480">
        <f>[86]Source!S847</f>
        <v>0</v>
      </c>
    </row>
    <row r="270" spans="1:22" ht="14.25" hidden="1" x14ac:dyDescent="0.2">
      <c r="A270" s="478"/>
      <c r="B270" s="763"/>
      <c r="C270" s="439"/>
      <c r="D270" s="439" t="s">
        <v>44</v>
      </c>
      <c r="E270" s="440"/>
      <c r="F270" s="270"/>
      <c r="G270" s="441">
        <f>[86]Source!AM846</f>
        <v>15.8</v>
      </c>
      <c r="H270" s="442">
        <f>[86]Source!DE846</f>
        <v>0</v>
      </c>
      <c r="I270" s="270">
        <f>[86]Source!AV847</f>
        <v>1.0669999999999999</v>
      </c>
      <c r="J270" s="480">
        <f>[86]Source!Q846-J280</f>
        <v>0</v>
      </c>
      <c r="K270" s="270">
        <f>IF([86]Source!BB847&lt;&gt; 0, [86]Source!BB847, 1)</f>
        <v>7.59</v>
      </c>
      <c r="L270" s="480">
        <f>[86]Source!Q847-L280</f>
        <v>0</v>
      </c>
    </row>
    <row r="271" spans="1:22" ht="14.25" hidden="1" x14ac:dyDescent="0.2">
      <c r="A271" s="478"/>
      <c r="B271" s="763"/>
      <c r="C271" s="439"/>
      <c r="D271" s="439" t="s">
        <v>45</v>
      </c>
      <c r="E271" s="440"/>
      <c r="F271" s="270"/>
      <c r="G271" s="441">
        <f>[86]Source!AN846</f>
        <v>1.31</v>
      </c>
      <c r="H271" s="442">
        <f>[86]Source!DE846</f>
        <v>0</v>
      </c>
      <c r="I271" s="270">
        <f>[86]Source!AV847</f>
        <v>1.0669999999999999</v>
      </c>
      <c r="J271" s="443">
        <f>[86]Source!R846-J281</f>
        <v>0</v>
      </c>
      <c r="K271" s="270">
        <f>IF([86]Source!BS847&lt;&gt; 0, [86]Source!BS847, 1)</f>
        <v>24.53</v>
      </c>
      <c r="L271" s="443">
        <f>[86]Source!R847-L281</f>
        <v>0</v>
      </c>
    </row>
    <row r="272" spans="1:22" ht="14.25" hidden="1" x14ac:dyDescent="0.2">
      <c r="A272" s="478"/>
      <c r="B272" s="763"/>
      <c r="C272" s="439"/>
      <c r="D272" s="439" t="s">
        <v>46</v>
      </c>
      <c r="E272" s="440"/>
      <c r="F272" s="270"/>
      <c r="G272" s="441">
        <f>[86]Source!AL846</f>
        <v>4.0599999999999996</v>
      </c>
      <c r="H272" s="442">
        <f>[86]Source!DD846</f>
        <v>0</v>
      </c>
      <c r="I272" s="270">
        <f>[86]Source!AW847</f>
        <v>1.028</v>
      </c>
      <c r="J272" s="480">
        <f>[86]Source!P846</f>
        <v>0</v>
      </c>
      <c r="K272" s="270">
        <f>IF([86]Source!BC847&lt;&gt; 0, [86]Source!BC847, 1)</f>
        <v>6.33</v>
      </c>
      <c r="L272" s="480">
        <f>[86]Source!P847</f>
        <v>0</v>
      </c>
    </row>
    <row r="273" spans="1:22" ht="14.25" hidden="1" x14ac:dyDescent="0.2">
      <c r="A273" s="478"/>
      <c r="B273" s="763"/>
      <c r="C273" s="439"/>
      <c r="D273" s="439" t="s">
        <v>47</v>
      </c>
      <c r="E273" s="440" t="s">
        <v>48</v>
      </c>
      <c r="F273" s="270">
        <f>[86]Source!DN847</f>
        <v>68</v>
      </c>
      <c r="G273" s="441"/>
      <c r="H273" s="442"/>
      <c r="I273" s="270"/>
      <c r="J273" s="480">
        <f>SUM(Q268:Q272)</f>
        <v>0</v>
      </c>
      <c r="K273" s="270">
        <f>[86]Source!BZ847</f>
        <v>68</v>
      </c>
      <c r="L273" s="480">
        <f>SUM(R268:R272)</f>
        <v>0</v>
      </c>
    </row>
    <row r="274" spans="1:22" ht="14.25" hidden="1" x14ac:dyDescent="0.2">
      <c r="A274" s="478"/>
      <c r="B274" s="763"/>
      <c r="C274" s="439"/>
      <c r="D274" s="439" t="s">
        <v>49</v>
      </c>
      <c r="E274" s="440" t="s">
        <v>48</v>
      </c>
      <c r="F274" s="270">
        <f>[86]Source!DO847</f>
        <v>43</v>
      </c>
      <c r="G274" s="441"/>
      <c r="H274" s="442"/>
      <c r="I274" s="270"/>
      <c r="J274" s="480">
        <f>SUM(S268:S273)</f>
        <v>0</v>
      </c>
      <c r="K274" s="270">
        <f>[86]Source!CA847</f>
        <v>43</v>
      </c>
      <c r="L274" s="480">
        <f>SUM(T268:T273)</f>
        <v>0</v>
      </c>
    </row>
    <row r="275" spans="1:22" ht="14.25" hidden="1" x14ac:dyDescent="0.2">
      <c r="A275" s="478"/>
      <c r="B275" s="763"/>
      <c r="C275" s="439"/>
      <c r="D275" s="439" t="s">
        <v>50</v>
      </c>
      <c r="E275" s="440" t="s">
        <v>48</v>
      </c>
      <c r="F275" s="270">
        <f>175</f>
        <v>175</v>
      </c>
      <c r="G275" s="441"/>
      <c r="H275" s="442"/>
      <c r="I275" s="270"/>
      <c r="J275" s="480">
        <f>SUM(U268:U274)-J282</f>
        <v>0</v>
      </c>
      <c r="K275" s="270">
        <f>157</f>
        <v>157</v>
      </c>
      <c r="L275" s="480">
        <f>SUM(V268:V274)-L282</f>
        <v>0</v>
      </c>
    </row>
    <row r="276" spans="1:22" ht="14.25" hidden="1" x14ac:dyDescent="0.2">
      <c r="A276" s="479"/>
      <c r="B276" s="309"/>
      <c r="C276" s="308"/>
      <c r="D276" s="308" t="s">
        <v>51</v>
      </c>
      <c r="E276" s="307" t="s">
        <v>52</v>
      </c>
      <c r="F276" s="306">
        <f>[86]Source!AQ846</f>
        <v>51.58</v>
      </c>
      <c r="G276" s="305"/>
      <c r="H276" s="315">
        <f>[86]Source!DI846</f>
        <v>0</v>
      </c>
      <c r="I276" s="306">
        <f>[86]Source!AV847</f>
        <v>1.0669999999999999</v>
      </c>
      <c r="J276" s="314">
        <f>[86]Source!U846</f>
        <v>0</v>
      </c>
      <c r="K276" s="306"/>
      <c r="L276" s="314"/>
    </row>
    <row r="277" spans="1:22" ht="15" hidden="1" x14ac:dyDescent="0.25">
      <c r="D277" s="764" t="s">
        <v>81</v>
      </c>
      <c r="I277" s="640">
        <f>J269+J270+J272+J273+J274+J275</f>
        <v>0</v>
      </c>
      <c r="J277" s="640"/>
      <c r="K277" s="640">
        <f>L269+L270+L272+L273+L274+L275</f>
        <v>0</v>
      </c>
      <c r="L277" s="640"/>
      <c r="O277" s="765">
        <f>J269+J270+J272+J273+J274+J275</f>
        <v>0</v>
      </c>
      <c r="P277" s="765">
        <f>L269+L270+L272+L273+L274+L275</f>
        <v>0</v>
      </c>
    </row>
    <row r="278" spans="1:22" hidden="1" x14ac:dyDescent="0.2"/>
    <row r="279" spans="1:22" ht="28.5" hidden="1" x14ac:dyDescent="0.2">
      <c r="A279" s="478">
        <v>26</v>
      </c>
      <c r="B279" s="763" t="s">
        <v>419</v>
      </c>
      <c r="C279" s="439"/>
      <c r="D279" s="439" t="s">
        <v>82</v>
      </c>
      <c r="E279" s="440" t="str">
        <f>[86]Source!H846</f>
        <v>1  ШТ.</v>
      </c>
      <c r="F279" s="270">
        <f>[86]Source!I846</f>
        <v>0</v>
      </c>
      <c r="G279" s="441"/>
      <c r="H279" s="442"/>
      <c r="I279" s="270"/>
      <c r="J279" s="480"/>
      <c r="K279" s="270"/>
      <c r="L279" s="480"/>
    </row>
    <row r="280" spans="1:22" ht="14.25" hidden="1" x14ac:dyDescent="0.2">
      <c r="A280" s="478"/>
      <c r="B280" s="763"/>
      <c r="C280" s="439"/>
      <c r="D280" s="439" t="s">
        <v>44</v>
      </c>
      <c r="E280" s="440"/>
      <c r="F280" s="270"/>
      <c r="G280" s="441">
        <f t="shared" ref="G280:L280" si="8">G281</f>
        <v>1.31</v>
      </c>
      <c r="H280" s="766" t="str">
        <f t="shared" si="8"/>
        <v>)*(1.67-1)</v>
      </c>
      <c r="I280" s="270">
        <f t="shared" si="8"/>
        <v>1.0669999999999999</v>
      </c>
      <c r="J280" s="480">
        <f t="shared" si="8"/>
        <v>0</v>
      </c>
      <c r="K280" s="270">
        <f t="shared" si="8"/>
        <v>24.53</v>
      </c>
      <c r="L280" s="480">
        <f t="shared" si="8"/>
        <v>0</v>
      </c>
    </row>
    <row r="281" spans="1:22" ht="14.25" hidden="1" x14ac:dyDescent="0.2">
      <c r="A281" s="478"/>
      <c r="B281" s="763"/>
      <c r="C281" s="439"/>
      <c r="D281" s="439" t="s">
        <v>45</v>
      </c>
      <c r="E281" s="440"/>
      <c r="F281" s="270"/>
      <c r="G281" s="441">
        <f>[86]Source!AN846</f>
        <v>1.31</v>
      </c>
      <c r="H281" s="766" t="s">
        <v>53</v>
      </c>
      <c r="I281" s="270">
        <f>[86]Source!AV847</f>
        <v>1.0669999999999999</v>
      </c>
      <c r="J281" s="443">
        <f>ROUND(F268*G281*I281*(1.67-1), 2)</f>
        <v>0</v>
      </c>
      <c r="K281" s="270">
        <f>IF([86]Source!BS847&lt;&gt; 0, [86]Source!BS847, 1)</f>
        <v>24.53</v>
      </c>
      <c r="L281" s="443">
        <f>ROUND(ROUND(F268*G281*I281*(1.67-1), 2)*K281, 2)</f>
        <v>0</v>
      </c>
    </row>
    <row r="282" spans="1:22" ht="14.25" hidden="1" x14ac:dyDescent="0.2">
      <c r="A282" s="478"/>
      <c r="B282" s="763"/>
      <c r="C282" s="439"/>
      <c r="D282" s="439" t="s">
        <v>50</v>
      </c>
      <c r="E282" s="440" t="s">
        <v>48</v>
      </c>
      <c r="F282" s="270">
        <f>175</f>
        <v>175</v>
      </c>
      <c r="G282" s="441"/>
      <c r="H282" s="442"/>
      <c r="I282" s="270"/>
      <c r="J282" s="480">
        <f>ROUND(J281*(F282/100), 2)</f>
        <v>0</v>
      </c>
      <c r="K282" s="270">
        <f>157</f>
        <v>157</v>
      </c>
      <c r="L282" s="480">
        <f>ROUND(L281*(K282/100), 2)</f>
        <v>0</v>
      </c>
    </row>
    <row r="283" spans="1:22" ht="15" hidden="1" x14ac:dyDescent="0.25">
      <c r="A283" s="311"/>
      <c r="B283" s="313"/>
      <c r="C283" s="311"/>
      <c r="D283" s="312" t="s">
        <v>81</v>
      </c>
      <c r="E283" s="311"/>
      <c r="F283" s="311"/>
      <c r="G283" s="311"/>
      <c r="H283" s="311"/>
      <c r="I283" s="639">
        <f>J282+J281</f>
        <v>0</v>
      </c>
      <c r="J283" s="639"/>
      <c r="K283" s="639">
        <f>L282+L281</f>
        <v>0</v>
      </c>
      <c r="L283" s="639"/>
      <c r="O283" s="765">
        <f>I283</f>
        <v>0</v>
      </c>
      <c r="P283" s="765">
        <f>K283</f>
        <v>0</v>
      </c>
    </row>
    <row r="284" spans="1:22" hidden="1" x14ac:dyDescent="0.2"/>
    <row r="285" spans="1:22" s="775" customFormat="1" ht="66.75" hidden="1" x14ac:dyDescent="0.2">
      <c r="A285" s="767">
        <v>27</v>
      </c>
      <c r="B285" s="768" t="s">
        <v>418</v>
      </c>
      <c r="C285" s="769" t="str">
        <f>[86]Source!F848</f>
        <v>Прайс-лист</v>
      </c>
      <c r="D285" s="769" t="s">
        <v>414</v>
      </c>
      <c r="E285" s="770" t="str">
        <f>[86]Source!H848</f>
        <v>шт.</v>
      </c>
      <c r="F285" s="771">
        <f>[86]Source!I848</f>
        <v>0</v>
      </c>
      <c r="G285" s="772">
        <f>[86]Source!AL848</f>
        <v>181705.29</v>
      </c>
      <c r="H285" s="773">
        <f>[86]Source!DD848</f>
        <v>0</v>
      </c>
      <c r="I285" s="771">
        <f>[86]Source!AW849</f>
        <v>1</v>
      </c>
      <c r="J285" s="774">
        <f>[86]Source!P848</f>
        <v>0</v>
      </c>
      <c r="K285" s="771">
        <f>IF([86]Source!BC849&lt;&gt; 0, [86]Source!BC849, 1)</f>
        <v>4.5999999999999996</v>
      </c>
      <c r="L285" s="774">
        <v>0</v>
      </c>
      <c r="Q285" s="775">
        <f>[86]Source!X848</f>
        <v>0</v>
      </c>
      <c r="R285" s="775">
        <f>[86]Source!X849</f>
        <v>0</v>
      </c>
      <c r="S285" s="775">
        <f>[86]Source!Y848</f>
        <v>0</v>
      </c>
      <c r="T285" s="775">
        <f>[86]Source!Y849</f>
        <v>0</v>
      </c>
      <c r="U285" s="775">
        <f>ROUND((175/100)*ROUND([86]Source!R848, 2), 2)</f>
        <v>0</v>
      </c>
      <c r="V285" s="775">
        <f>ROUND((157/100)*ROUND([86]Source!R849, 2), 2)</f>
        <v>0</v>
      </c>
    </row>
    <row r="286" spans="1:22" s="775" customFormat="1" ht="15" hidden="1" x14ac:dyDescent="0.25">
      <c r="A286" s="776"/>
      <c r="B286" s="777"/>
      <c r="C286" s="776"/>
      <c r="D286" s="778" t="s">
        <v>81</v>
      </c>
      <c r="E286" s="776"/>
      <c r="F286" s="776"/>
      <c r="G286" s="776"/>
      <c r="H286" s="776"/>
      <c r="I286" s="779">
        <f>J285</f>
        <v>0</v>
      </c>
      <c r="J286" s="779"/>
      <c r="K286" s="779">
        <f>L285</f>
        <v>0</v>
      </c>
      <c r="L286" s="779"/>
      <c r="O286" s="780">
        <f>J285</f>
        <v>0</v>
      </c>
      <c r="P286" s="780">
        <f>L285</f>
        <v>0</v>
      </c>
    </row>
    <row r="287" spans="1:22" hidden="1" x14ac:dyDescent="0.2"/>
    <row r="288" spans="1:22" hidden="1" x14ac:dyDescent="0.2"/>
    <row r="289" spans="1:22" ht="15" hidden="1" x14ac:dyDescent="0.25">
      <c r="A289" s="634" t="str">
        <f>CONCATENATE("Итого по подразделу: ",IF([86]Source!G851&lt;&gt;"Новый подраздел", [86]Source!G851, ""))</f>
        <v>Итого по подразделу: У2-1</v>
      </c>
      <c r="B289" s="634"/>
      <c r="C289" s="634"/>
      <c r="D289" s="634"/>
      <c r="E289" s="634"/>
      <c r="F289" s="634"/>
      <c r="G289" s="634"/>
      <c r="H289" s="634"/>
      <c r="I289" s="640">
        <f>SUM(O267:O288)</f>
        <v>0</v>
      </c>
      <c r="J289" s="641"/>
      <c r="K289" s="640">
        <f>SUM(P267:P288)</f>
        <v>0</v>
      </c>
      <c r="L289" s="641"/>
    </row>
    <row r="290" spans="1:22" hidden="1" x14ac:dyDescent="0.2">
      <c r="A290" s="178" t="s">
        <v>54</v>
      </c>
      <c r="J290" s="178">
        <f>SUM(W267:W289)</f>
        <v>0</v>
      </c>
      <c r="K290" s="178">
        <f>SUM(X267:X289)</f>
        <v>0</v>
      </c>
    </row>
    <row r="291" spans="1:22" hidden="1" x14ac:dyDescent="0.2">
      <c r="A291" s="178" t="s">
        <v>55</v>
      </c>
      <c r="J291" s="178">
        <f>SUM(Y267:Y290)</f>
        <v>0</v>
      </c>
      <c r="K291" s="178">
        <f>SUM(Z267:Z290)</f>
        <v>0</v>
      </c>
    </row>
    <row r="292" spans="1:22" hidden="1" x14ac:dyDescent="0.2"/>
    <row r="293" spans="1:22" ht="16.5" hidden="1" x14ac:dyDescent="0.25">
      <c r="A293" s="642" t="str">
        <f>CONCATENATE("Подраздел: ",IF([86]Source!G881&lt;&gt;"Новый подраздел", [86]Source!G881, ""))</f>
        <v>Подраздел: У2-2</v>
      </c>
      <c r="B293" s="642"/>
      <c r="C293" s="642"/>
      <c r="D293" s="642"/>
      <c r="E293" s="642"/>
      <c r="F293" s="642"/>
      <c r="G293" s="642"/>
      <c r="H293" s="642"/>
      <c r="I293" s="642"/>
      <c r="J293" s="642"/>
      <c r="K293" s="642"/>
      <c r="L293" s="642"/>
    </row>
    <row r="294" spans="1:22" ht="52.5" hidden="1" x14ac:dyDescent="0.2">
      <c r="A294" s="478">
        <v>28</v>
      </c>
      <c r="B294" s="763" t="s">
        <v>417</v>
      </c>
      <c r="C294" s="439" t="s">
        <v>99</v>
      </c>
      <c r="D294" s="439" t="s">
        <v>100</v>
      </c>
      <c r="E294" s="440" t="str">
        <f>[86]Source!H885</f>
        <v>1  ШТ.</v>
      </c>
      <c r="F294" s="270">
        <f>[86]Source!I885</f>
        <v>0</v>
      </c>
      <c r="G294" s="441"/>
      <c r="H294" s="442"/>
      <c r="I294" s="270"/>
      <c r="J294" s="480"/>
      <c r="K294" s="270"/>
      <c r="L294" s="480"/>
      <c r="Q294" s="178">
        <f>[86]Source!X885</f>
        <v>0</v>
      </c>
      <c r="R294" s="178">
        <f>[86]Source!X886</f>
        <v>0</v>
      </c>
      <c r="S294" s="178">
        <f>[86]Source!Y885</f>
        <v>0</v>
      </c>
      <c r="T294" s="178">
        <f>[86]Source!Y886</f>
        <v>0</v>
      </c>
      <c r="U294" s="178">
        <f>ROUND((175/100)*ROUND([86]Source!R885, 2), 2)</f>
        <v>0</v>
      </c>
      <c r="V294" s="178">
        <f>ROUND((157/100)*ROUND([86]Source!R886, 2), 2)</f>
        <v>0</v>
      </c>
    </row>
    <row r="295" spans="1:22" ht="14.25" hidden="1" x14ac:dyDescent="0.2">
      <c r="A295" s="478"/>
      <c r="B295" s="763"/>
      <c r="C295" s="439"/>
      <c r="D295" s="439" t="s">
        <v>43</v>
      </c>
      <c r="E295" s="440"/>
      <c r="F295" s="270"/>
      <c r="G295" s="441">
        <f>[86]Source!AO885</f>
        <v>615.5</v>
      </c>
      <c r="H295" s="442" t="str">
        <f>[86]Source!DG885</f>
        <v>)*1,67</v>
      </c>
      <c r="I295" s="270">
        <f>[86]Source!AV886</f>
        <v>1.0669999999999999</v>
      </c>
      <c r="J295" s="480">
        <f>[86]Source!S885</f>
        <v>0</v>
      </c>
      <c r="K295" s="270">
        <f>IF([86]Source!BA886&lt;&gt; 0, [86]Source!BA886, 1)</f>
        <v>24.53</v>
      </c>
      <c r="L295" s="480">
        <f>[86]Source!S886</f>
        <v>0</v>
      </c>
    </row>
    <row r="296" spans="1:22" ht="14.25" hidden="1" x14ac:dyDescent="0.2">
      <c r="A296" s="478"/>
      <c r="B296" s="763"/>
      <c r="C296" s="439"/>
      <c r="D296" s="439" t="s">
        <v>44</v>
      </c>
      <c r="E296" s="440"/>
      <c r="F296" s="270"/>
      <c r="G296" s="441">
        <f>[86]Source!AM885</f>
        <v>15.8</v>
      </c>
      <c r="H296" s="442">
        <f>[86]Source!DE885</f>
        <v>0</v>
      </c>
      <c r="I296" s="270">
        <f>[86]Source!AV886</f>
        <v>1.0669999999999999</v>
      </c>
      <c r="J296" s="480">
        <f>[86]Source!Q885-J306</f>
        <v>0</v>
      </c>
      <c r="K296" s="270">
        <f>IF([86]Source!BB886&lt;&gt; 0, [86]Source!BB886, 1)</f>
        <v>7.59</v>
      </c>
      <c r="L296" s="480">
        <f>[86]Source!Q886-L306</f>
        <v>0</v>
      </c>
    </row>
    <row r="297" spans="1:22" ht="14.25" hidden="1" x14ac:dyDescent="0.2">
      <c r="A297" s="478"/>
      <c r="B297" s="763"/>
      <c r="C297" s="439"/>
      <c r="D297" s="439" t="s">
        <v>45</v>
      </c>
      <c r="E297" s="440"/>
      <c r="F297" s="270"/>
      <c r="G297" s="441">
        <f>[86]Source!AN885</f>
        <v>1.31</v>
      </c>
      <c r="H297" s="442">
        <f>[86]Source!DE885</f>
        <v>0</v>
      </c>
      <c r="I297" s="270">
        <f>[86]Source!AV886</f>
        <v>1.0669999999999999</v>
      </c>
      <c r="J297" s="443">
        <f>[86]Source!R885-J307</f>
        <v>0</v>
      </c>
      <c r="K297" s="270">
        <f>IF([86]Source!BS886&lt;&gt; 0, [86]Source!BS886, 1)</f>
        <v>24.53</v>
      </c>
      <c r="L297" s="443">
        <f>[86]Source!R886-L307</f>
        <v>0</v>
      </c>
    </row>
    <row r="298" spans="1:22" ht="14.25" hidden="1" x14ac:dyDescent="0.2">
      <c r="A298" s="478"/>
      <c r="B298" s="763"/>
      <c r="C298" s="439"/>
      <c r="D298" s="439" t="s">
        <v>46</v>
      </c>
      <c r="E298" s="440"/>
      <c r="F298" s="270"/>
      <c r="G298" s="441">
        <f>[86]Source!AL885</f>
        <v>4.0599999999999996</v>
      </c>
      <c r="H298" s="442">
        <f>[86]Source!DD885</f>
        <v>0</v>
      </c>
      <c r="I298" s="270">
        <f>[86]Source!AW886</f>
        <v>1.028</v>
      </c>
      <c r="J298" s="480">
        <f>[86]Source!P885</f>
        <v>0</v>
      </c>
      <c r="K298" s="270">
        <f>IF([86]Source!BC886&lt;&gt; 0, [86]Source!BC886, 1)</f>
        <v>6.33</v>
      </c>
      <c r="L298" s="480">
        <f>[86]Source!P886</f>
        <v>0</v>
      </c>
    </row>
    <row r="299" spans="1:22" ht="14.25" hidden="1" x14ac:dyDescent="0.2">
      <c r="A299" s="478"/>
      <c r="B299" s="763"/>
      <c r="C299" s="439"/>
      <c r="D299" s="439" t="s">
        <v>47</v>
      </c>
      <c r="E299" s="440" t="s">
        <v>48</v>
      </c>
      <c r="F299" s="270">
        <f>[86]Source!DN886</f>
        <v>68</v>
      </c>
      <c r="G299" s="441"/>
      <c r="H299" s="442"/>
      <c r="I299" s="270"/>
      <c r="J299" s="480">
        <f>SUM(Q294:Q298)</f>
        <v>0</v>
      </c>
      <c r="K299" s="270">
        <f>[86]Source!BZ886</f>
        <v>68</v>
      </c>
      <c r="L299" s="480">
        <f>SUM(R294:R298)</f>
        <v>0</v>
      </c>
    </row>
    <row r="300" spans="1:22" ht="14.25" hidden="1" x14ac:dyDescent="0.2">
      <c r="A300" s="478"/>
      <c r="B300" s="763"/>
      <c r="C300" s="439"/>
      <c r="D300" s="439" t="s">
        <v>49</v>
      </c>
      <c r="E300" s="440" t="s">
        <v>48</v>
      </c>
      <c r="F300" s="270">
        <f>[86]Source!DO886</f>
        <v>43</v>
      </c>
      <c r="G300" s="441"/>
      <c r="H300" s="442"/>
      <c r="I300" s="270"/>
      <c r="J300" s="480">
        <f>SUM(S294:S299)</f>
        <v>0</v>
      </c>
      <c r="K300" s="270">
        <f>[86]Source!CA886</f>
        <v>43</v>
      </c>
      <c r="L300" s="480">
        <f>SUM(T294:T299)</f>
        <v>0</v>
      </c>
    </row>
    <row r="301" spans="1:22" ht="14.25" hidden="1" x14ac:dyDescent="0.2">
      <c r="A301" s="478"/>
      <c r="B301" s="763"/>
      <c r="C301" s="439"/>
      <c r="D301" s="439" t="s">
        <v>50</v>
      </c>
      <c r="E301" s="440" t="s">
        <v>48</v>
      </c>
      <c r="F301" s="270">
        <f>175</f>
        <v>175</v>
      </c>
      <c r="G301" s="441"/>
      <c r="H301" s="442"/>
      <c r="I301" s="270"/>
      <c r="J301" s="480">
        <f>SUM(U294:U300)-J308</f>
        <v>0</v>
      </c>
      <c r="K301" s="270">
        <f>157</f>
        <v>157</v>
      </c>
      <c r="L301" s="480">
        <f>SUM(V294:V300)-L308</f>
        <v>0</v>
      </c>
    </row>
    <row r="302" spans="1:22" ht="14.25" hidden="1" x14ac:dyDescent="0.2">
      <c r="A302" s="479"/>
      <c r="B302" s="309"/>
      <c r="C302" s="308"/>
      <c r="D302" s="308" t="s">
        <v>51</v>
      </c>
      <c r="E302" s="307" t="s">
        <v>52</v>
      </c>
      <c r="F302" s="306">
        <f>[86]Source!AQ885</f>
        <v>51.58</v>
      </c>
      <c r="G302" s="305"/>
      <c r="H302" s="315">
        <f>[86]Source!DI885</f>
        <v>0</v>
      </c>
      <c r="I302" s="306">
        <f>[86]Source!AV886</f>
        <v>1.0669999999999999</v>
      </c>
      <c r="J302" s="314">
        <f>[86]Source!U885</f>
        <v>0</v>
      </c>
      <c r="K302" s="306"/>
      <c r="L302" s="314"/>
    </row>
    <row r="303" spans="1:22" ht="15" hidden="1" x14ac:dyDescent="0.25">
      <c r="D303" s="764" t="s">
        <v>81</v>
      </c>
      <c r="I303" s="640">
        <f>J295+J296+J298+J299+J300+J301</f>
        <v>0</v>
      </c>
      <c r="J303" s="640"/>
      <c r="K303" s="640">
        <f>L295+L296+L298+L299+L300+L301</f>
        <v>0</v>
      </c>
      <c r="L303" s="640"/>
      <c r="O303" s="765">
        <f>J295+J296+J298+J299+J300+J301</f>
        <v>0</v>
      </c>
      <c r="P303" s="765">
        <f>L295+L296+L298+L299+L300+L301</f>
        <v>0</v>
      </c>
    </row>
    <row r="304" spans="1:22" hidden="1" x14ac:dyDescent="0.2"/>
    <row r="305" spans="1:22" ht="28.5" hidden="1" x14ac:dyDescent="0.2">
      <c r="A305" s="478">
        <v>29</v>
      </c>
      <c r="B305" s="763" t="s">
        <v>416</v>
      </c>
      <c r="C305" s="439"/>
      <c r="D305" s="439" t="s">
        <v>82</v>
      </c>
      <c r="E305" s="440" t="str">
        <f>[86]Source!H885</f>
        <v>1  ШТ.</v>
      </c>
      <c r="F305" s="270">
        <f>[86]Source!I885</f>
        <v>0</v>
      </c>
      <c r="G305" s="441"/>
      <c r="H305" s="442"/>
      <c r="I305" s="270"/>
      <c r="J305" s="480"/>
      <c r="K305" s="270"/>
      <c r="L305" s="480"/>
    </row>
    <row r="306" spans="1:22" ht="14.25" hidden="1" x14ac:dyDescent="0.2">
      <c r="A306" s="478"/>
      <c r="B306" s="763"/>
      <c r="C306" s="439"/>
      <c r="D306" s="439" t="s">
        <v>44</v>
      </c>
      <c r="E306" s="440"/>
      <c r="F306" s="270"/>
      <c r="G306" s="441">
        <f t="shared" ref="G306:L306" si="9">G307</f>
        <v>1.31</v>
      </c>
      <c r="H306" s="766" t="str">
        <f t="shared" si="9"/>
        <v>)*(1.67-1)</v>
      </c>
      <c r="I306" s="270">
        <f t="shared" si="9"/>
        <v>1.0669999999999999</v>
      </c>
      <c r="J306" s="480">
        <f t="shared" si="9"/>
        <v>0</v>
      </c>
      <c r="K306" s="270">
        <f t="shared" si="9"/>
        <v>24.53</v>
      </c>
      <c r="L306" s="480">
        <f t="shared" si="9"/>
        <v>0</v>
      </c>
    </row>
    <row r="307" spans="1:22" ht="14.25" hidden="1" x14ac:dyDescent="0.2">
      <c r="A307" s="478"/>
      <c r="B307" s="763"/>
      <c r="C307" s="439"/>
      <c r="D307" s="439" t="s">
        <v>45</v>
      </c>
      <c r="E307" s="440"/>
      <c r="F307" s="270"/>
      <c r="G307" s="441">
        <f>[86]Source!AN885</f>
        <v>1.31</v>
      </c>
      <c r="H307" s="766" t="s">
        <v>53</v>
      </c>
      <c r="I307" s="270">
        <f>[86]Source!AV886</f>
        <v>1.0669999999999999</v>
      </c>
      <c r="J307" s="443">
        <f>ROUND(F294*G307*I307*(1.67-1), 2)</f>
        <v>0</v>
      </c>
      <c r="K307" s="270">
        <f>IF([86]Source!BS886&lt;&gt; 0, [86]Source!BS886, 1)</f>
        <v>24.53</v>
      </c>
      <c r="L307" s="443">
        <f>ROUND(ROUND(F294*G307*I307*(1.67-1), 2)*K307, 2)</f>
        <v>0</v>
      </c>
    </row>
    <row r="308" spans="1:22" ht="14.25" hidden="1" x14ac:dyDescent="0.2">
      <c r="A308" s="478"/>
      <c r="B308" s="763"/>
      <c r="C308" s="439"/>
      <c r="D308" s="439" t="s">
        <v>50</v>
      </c>
      <c r="E308" s="440" t="s">
        <v>48</v>
      </c>
      <c r="F308" s="270">
        <f>175</f>
        <v>175</v>
      </c>
      <c r="G308" s="441"/>
      <c r="H308" s="442"/>
      <c r="I308" s="270"/>
      <c r="J308" s="480">
        <f>ROUND(J307*(F308/100), 2)</f>
        <v>0</v>
      </c>
      <c r="K308" s="270">
        <f>157</f>
        <v>157</v>
      </c>
      <c r="L308" s="480">
        <f>ROUND(L307*(K308/100), 2)</f>
        <v>0</v>
      </c>
    </row>
    <row r="309" spans="1:22" ht="15" hidden="1" x14ac:dyDescent="0.25">
      <c r="A309" s="311"/>
      <c r="B309" s="313"/>
      <c r="C309" s="311"/>
      <c r="D309" s="312" t="s">
        <v>81</v>
      </c>
      <c r="E309" s="311"/>
      <c r="F309" s="311"/>
      <c r="G309" s="311"/>
      <c r="H309" s="311"/>
      <c r="I309" s="639">
        <f>J308+J307</f>
        <v>0</v>
      </c>
      <c r="J309" s="639"/>
      <c r="K309" s="639">
        <f>L308+L307</f>
        <v>0</v>
      </c>
      <c r="L309" s="639"/>
      <c r="O309" s="765">
        <f>I309</f>
        <v>0</v>
      </c>
      <c r="P309" s="765">
        <f>K309</f>
        <v>0</v>
      </c>
    </row>
    <row r="310" spans="1:22" hidden="1" x14ac:dyDescent="0.2"/>
    <row r="311" spans="1:22" s="775" customFormat="1" ht="66.75" hidden="1" x14ac:dyDescent="0.2">
      <c r="A311" s="767">
        <v>30</v>
      </c>
      <c r="B311" s="768" t="s">
        <v>415</v>
      </c>
      <c r="C311" s="769" t="str">
        <f>[86]Source!F887</f>
        <v>Прайс-лист</v>
      </c>
      <c r="D311" s="769" t="s">
        <v>414</v>
      </c>
      <c r="E311" s="770" t="str">
        <f>[86]Source!H887</f>
        <v>шт.</v>
      </c>
      <c r="F311" s="771">
        <f>[86]Source!I887</f>
        <v>0</v>
      </c>
      <c r="G311" s="772">
        <f>[86]Source!AL887</f>
        <v>181705.29</v>
      </c>
      <c r="H311" s="773">
        <f>[86]Source!DD887</f>
        <v>0</v>
      </c>
      <c r="I311" s="771">
        <f>[86]Source!AW888</f>
        <v>1</v>
      </c>
      <c r="J311" s="774">
        <f>[86]Source!P887</f>
        <v>0</v>
      </c>
      <c r="K311" s="771">
        <f>IF([86]Source!BC888&lt;&gt; 0, [86]Source!BC888, 1)</f>
        <v>4.5999999999999996</v>
      </c>
      <c r="L311" s="774">
        <v>0</v>
      </c>
      <c r="Q311" s="775">
        <f>[86]Source!X887</f>
        <v>0</v>
      </c>
      <c r="R311" s="775">
        <f>[86]Source!X888</f>
        <v>0</v>
      </c>
      <c r="S311" s="775">
        <f>[86]Source!Y887</f>
        <v>0</v>
      </c>
      <c r="T311" s="775">
        <f>[86]Source!Y888</f>
        <v>0</v>
      </c>
      <c r="U311" s="775">
        <f>ROUND((175/100)*ROUND([86]Source!R887, 2), 2)</f>
        <v>0</v>
      </c>
      <c r="V311" s="775">
        <f>ROUND((157/100)*ROUND([86]Source!R888, 2), 2)</f>
        <v>0</v>
      </c>
    </row>
    <row r="312" spans="1:22" s="775" customFormat="1" ht="15" hidden="1" x14ac:dyDescent="0.25">
      <c r="A312" s="776"/>
      <c r="B312" s="777"/>
      <c r="C312" s="776"/>
      <c r="D312" s="778" t="s">
        <v>81</v>
      </c>
      <c r="E312" s="776"/>
      <c r="F312" s="776"/>
      <c r="G312" s="776"/>
      <c r="H312" s="776"/>
      <c r="I312" s="779">
        <f>J311</f>
        <v>0</v>
      </c>
      <c r="J312" s="779"/>
      <c r="K312" s="779">
        <f>L311</f>
        <v>0</v>
      </c>
      <c r="L312" s="779"/>
      <c r="O312" s="780">
        <f>J311</f>
        <v>0</v>
      </c>
      <c r="P312" s="780">
        <f>L311</f>
        <v>0</v>
      </c>
    </row>
    <row r="313" spans="1:22" hidden="1" x14ac:dyDescent="0.2"/>
    <row r="314" spans="1:22" hidden="1" x14ac:dyDescent="0.2"/>
    <row r="315" spans="1:22" ht="15" hidden="1" x14ac:dyDescent="0.25">
      <c r="A315" s="634" t="str">
        <f>CONCATENATE("Итого по подразделу: ",IF([86]Source!G890&lt;&gt;"Новый подраздел", [86]Source!G890, ""))</f>
        <v>Итого по подразделу: У2-2</v>
      </c>
      <c r="B315" s="634"/>
      <c r="C315" s="634"/>
      <c r="D315" s="634"/>
      <c r="E315" s="634"/>
      <c r="F315" s="634"/>
      <c r="G315" s="634"/>
      <c r="H315" s="634"/>
      <c r="I315" s="640">
        <f>SUM(O293:O314)</f>
        <v>0</v>
      </c>
      <c r="J315" s="641"/>
      <c r="K315" s="640">
        <f>SUM(P293:P314)</f>
        <v>0</v>
      </c>
      <c r="L315" s="641"/>
    </row>
    <row r="316" spans="1:22" hidden="1" x14ac:dyDescent="0.2">
      <c r="A316" s="178" t="s">
        <v>54</v>
      </c>
      <c r="J316" s="178">
        <f>SUM(W293:W315)</f>
        <v>0</v>
      </c>
      <c r="K316" s="178">
        <f>SUM(X293:X315)</f>
        <v>0</v>
      </c>
    </row>
    <row r="317" spans="1:22" hidden="1" x14ac:dyDescent="0.2">
      <c r="A317" s="178" t="s">
        <v>55</v>
      </c>
      <c r="J317" s="178">
        <f>SUM(Y293:Y316)</f>
        <v>0</v>
      </c>
      <c r="K317" s="178">
        <f>SUM(Z293:Z316)</f>
        <v>0</v>
      </c>
    </row>
    <row r="318" spans="1:22" hidden="1" x14ac:dyDescent="0.2"/>
    <row r="319" spans="1:22" ht="16.5" hidden="1" x14ac:dyDescent="0.25">
      <c r="A319" s="642" t="str">
        <f>CONCATENATE("Подраздел: ",IF([86]Source!G920&lt;&gt;"Новый подраздел", [86]Source!G920, ""))</f>
        <v>Подраздел: В2-11</v>
      </c>
      <c r="B319" s="642"/>
      <c r="C319" s="642"/>
      <c r="D319" s="642"/>
      <c r="E319" s="642"/>
      <c r="F319" s="642"/>
      <c r="G319" s="642"/>
      <c r="H319" s="642"/>
      <c r="I319" s="642"/>
      <c r="J319" s="642"/>
      <c r="K319" s="642"/>
      <c r="L319" s="642"/>
    </row>
    <row r="320" spans="1:22" ht="52.5" hidden="1" x14ac:dyDescent="0.2">
      <c r="A320" s="478">
        <v>31</v>
      </c>
      <c r="B320" s="763" t="s">
        <v>413</v>
      </c>
      <c r="C320" s="439" t="s">
        <v>108</v>
      </c>
      <c r="D320" s="439" t="s">
        <v>100</v>
      </c>
      <c r="E320" s="440" t="str">
        <f>[86]Source!H924</f>
        <v>1  ШТ.</v>
      </c>
      <c r="F320" s="270">
        <f>[86]Source!I924</f>
        <v>0</v>
      </c>
      <c r="G320" s="441"/>
      <c r="H320" s="442"/>
      <c r="I320" s="270"/>
      <c r="J320" s="480"/>
      <c r="K320" s="270"/>
      <c r="L320" s="480"/>
      <c r="Q320" s="178">
        <f>[86]Source!X924</f>
        <v>0</v>
      </c>
      <c r="R320" s="178">
        <f>[86]Source!X925</f>
        <v>0</v>
      </c>
      <c r="S320" s="178">
        <f>[86]Source!Y924</f>
        <v>0</v>
      </c>
      <c r="T320" s="178">
        <f>[86]Source!Y925</f>
        <v>0</v>
      </c>
      <c r="U320" s="178">
        <f>ROUND((175/100)*ROUND([86]Source!R924, 2), 2)</f>
        <v>0</v>
      </c>
      <c r="V320" s="178">
        <f>ROUND((157/100)*ROUND([86]Source!R925, 2), 2)</f>
        <v>0</v>
      </c>
    </row>
    <row r="321" spans="1:16" ht="14.25" hidden="1" x14ac:dyDescent="0.2">
      <c r="A321" s="478"/>
      <c r="B321" s="763"/>
      <c r="C321" s="439"/>
      <c r="D321" s="439" t="s">
        <v>43</v>
      </c>
      <c r="E321" s="440"/>
      <c r="F321" s="270"/>
      <c r="G321" s="441">
        <f>[86]Source!AO924</f>
        <v>615.5</v>
      </c>
      <c r="H321" s="442" t="str">
        <f>[86]Source!DG924</f>
        <v>)*1,67</v>
      </c>
      <c r="I321" s="270">
        <f>[86]Source!AV925</f>
        <v>1.0669999999999999</v>
      </c>
      <c r="J321" s="480">
        <f>[86]Source!S924</f>
        <v>0</v>
      </c>
      <c r="K321" s="270">
        <f>IF([86]Source!BA925&lt;&gt; 0, [86]Source!BA925, 1)</f>
        <v>24.53</v>
      </c>
      <c r="L321" s="480">
        <f>[86]Source!S925</f>
        <v>0</v>
      </c>
    </row>
    <row r="322" spans="1:16" ht="14.25" hidden="1" x14ac:dyDescent="0.2">
      <c r="A322" s="478"/>
      <c r="B322" s="763"/>
      <c r="C322" s="439"/>
      <c r="D322" s="439" t="s">
        <v>44</v>
      </c>
      <c r="E322" s="440"/>
      <c r="F322" s="270"/>
      <c r="G322" s="441">
        <f>[86]Source!AM924</f>
        <v>15.8</v>
      </c>
      <c r="H322" s="442">
        <f>[86]Source!DE924</f>
        <v>0</v>
      </c>
      <c r="I322" s="270">
        <f>[86]Source!AV925</f>
        <v>1.0669999999999999</v>
      </c>
      <c r="J322" s="480">
        <f>[86]Source!Q924-J332</f>
        <v>0</v>
      </c>
      <c r="K322" s="270">
        <f>IF([86]Source!BB925&lt;&gt; 0, [86]Source!BB925, 1)</f>
        <v>7.59</v>
      </c>
      <c r="L322" s="480">
        <f>[86]Source!Q925-L332</f>
        <v>0</v>
      </c>
    </row>
    <row r="323" spans="1:16" ht="14.25" hidden="1" x14ac:dyDescent="0.2">
      <c r="A323" s="478"/>
      <c r="B323" s="763"/>
      <c r="C323" s="439"/>
      <c r="D323" s="439" t="s">
        <v>45</v>
      </c>
      <c r="E323" s="440"/>
      <c r="F323" s="270"/>
      <c r="G323" s="441">
        <f>[86]Source!AN924</f>
        <v>1.31</v>
      </c>
      <c r="H323" s="442">
        <f>[86]Source!DE924</f>
        <v>0</v>
      </c>
      <c r="I323" s="270">
        <f>[86]Source!AV925</f>
        <v>1.0669999999999999</v>
      </c>
      <c r="J323" s="443">
        <f>[86]Source!R924-J333</f>
        <v>0</v>
      </c>
      <c r="K323" s="270">
        <f>IF([86]Source!BS925&lt;&gt; 0, [86]Source!BS925, 1)</f>
        <v>24.53</v>
      </c>
      <c r="L323" s="443">
        <f>[86]Source!R925-L333</f>
        <v>0</v>
      </c>
    </row>
    <row r="324" spans="1:16" ht="14.25" hidden="1" x14ac:dyDescent="0.2">
      <c r="A324" s="478"/>
      <c r="B324" s="763"/>
      <c r="C324" s="439"/>
      <c r="D324" s="439" t="s">
        <v>46</v>
      </c>
      <c r="E324" s="440"/>
      <c r="F324" s="270"/>
      <c r="G324" s="441">
        <f>[86]Source!AL924</f>
        <v>4.0599999999999996</v>
      </c>
      <c r="H324" s="442">
        <f>[86]Source!DD924</f>
        <v>0</v>
      </c>
      <c r="I324" s="270">
        <f>[86]Source!AW925</f>
        <v>1.028</v>
      </c>
      <c r="J324" s="480">
        <f>[86]Source!P924</f>
        <v>0</v>
      </c>
      <c r="K324" s="270">
        <f>IF([86]Source!BC925&lt;&gt; 0, [86]Source!BC925, 1)</f>
        <v>6.33</v>
      </c>
      <c r="L324" s="480">
        <f>[86]Source!P925</f>
        <v>0</v>
      </c>
    </row>
    <row r="325" spans="1:16" ht="14.25" hidden="1" x14ac:dyDescent="0.2">
      <c r="A325" s="478"/>
      <c r="B325" s="763"/>
      <c r="C325" s="439"/>
      <c r="D325" s="439" t="s">
        <v>47</v>
      </c>
      <c r="E325" s="440" t="s">
        <v>48</v>
      </c>
      <c r="F325" s="270">
        <f>[86]Source!DN925</f>
        <v>68</v>
      </c>
      <c r="G325" s="441"/>
      <c r="H325" s="442"/>
      <c r="I325" s="270"/>
      <c r="J325" s="480">
        <f>SUM(Q320:Q324)</f>
        <v>0</v>
      </c>
      <c r="K325" s="270">
        <f>[86]Source!BZ925</f>
        <v>68</v>
      </c>
      <c r="L325" s="480">
        <f>SUM(R320:R324)</f>
        <v>0</v>
      </c>
    </row>
    <row r="326" spans="1:16" ht="14.25" hidden="1" x14ac:dyDescent="0.2">
      <c r="A326" s="478"/>
      <c r="B326" s="763"/>
      <c r="C326" s="439"/>
      <c r="D326" s="439" t="s">
        <v>49</v>
      </c>
      <c r="E326" s="440" t="s">
        <v>48</v>
      </c>
      <c r="F326" s="270">
        <f>[86]Source!DO925</f>
        <v>43</v>
      </c>
      <c r="G326" s="441"/>
      <c r="H326" s="442"/>
      <c r="I326" s="270"/>
      <c r="J326" s="480">
        <f>SUM(S320:S325)</f>
        <v>0</v>
      </c>
      <c r="K326" s="270">
        <f>[86]Source!CA925</f>
        <v>43</v>
      </c>
      <c r="L326" s="480">
        <f>SUM(T320:T325)</f>
        <v>0</v>
      </c>
    </row>
    <row r="327" spans="1:16" ht="14.25" hidden="1" x14ac:dyDescent="0.2">
      <c r="A327" s="478"/>
      <c r="B327" s="763"/>
      <c r="C327" s="439"/>
      <c r="D327" s="439" t="s">
        <v>50</v>
      </c>
      <c r="E327" s="440" t="s">
        <v>48</v>
      </c>
      <c r="F327" s="270">
        <f>175</f>
        <v>175</v>
      </c>
      <c r="G327" s="441"/>
      <c r="H327" s="442"/>
      <c r="I327" s="270"/>
      <c r="J327" s="480">
        <f>SUM(U320:U326)-J334</f>
        <v>0</v>
      </c>
      <c r="K327" s="270">
        <f>157</f>
        <v>157</v>
      </c>
      <c r="L327" s="480">
        <f>SUM(V320:V326)-L334</f>
        <v>0</v>
      </c>
    </row>
    <row r="328" spans="1:16" ht="14.25" hidden="1" x14ac:dyDescent="0.2">
      <c r="A328" s="479"/>
      <c r="B328" s="309"/>
      <c r="C328" s="308"/>
      <c r="D328" s="308" t="s">
        <v>51</v>
      </c>
      <c r="E328" s="307" t="s">
        <v>52</v>
      </c>
      <c r="F328" s="306">
        <f>[86]Source!AQ924</f>
        <v>51.58</v>
      </c>
      <c r="G328" s="305"/>
      <c r="H328" s="315">
        <f>[86]Source!DI924</f>
        <v>0</v>
      </c>
      <c r="I328" s="306">
        <f>[86]Source!AV925</f>
        <v>1.0669999999999999</v>
      </c>
      <c r="J328" s="314">
        <f>[86]Source!U924</f>
        <v>0</v>
      </c>
      <c r="K328" s="306"/>
      <c r="L328" s="314"/>
    </row>
    <row r="329" spans="1:16" ht="15" hidden="1" x14ac:dyDescent="0.25">
      <c r="D329" s="764" t="s">
        <v>81</v>
      </c>
      <c r="I329" s="640">
        <f>J321+J322+J324+J325+J326+J327</f>
        <v>0</v>
      </c>
      <c r="J329" s="640"/>
      <c r="K329" s="640">
        <f>L321+L322+L324+L325+L326+L327</f>
        <v>0</v>
      </c>
      <c r="L329" s="640"/>
      <c r="O329" s="765">
        <f>J321+J322+J324+J325+J326+J327</f>
        <v>0</v>
      </c>
      <c r="P329" s="765">
        <f>L321+L322+L324+L325+L326+L327</f>
        <v>0</v>
      </c>
    </row>
    <row r="330" spans="1:16" hidden="1" x14ac:dyDescent="0.2"/>
    <row r="331" spans="1:16" ht="28.5" hidden="1" x14ac:dyDescent="0.2">
      <c r="A331" s="478">
        <v>32</v>
      </c>
      <c r="B331" s="763" t="s">
        <v>412</v>
      </c>
      <c r="C331" s="439"/>
      <c r="D331" s="439" t="s">
        <v>82</v>
      </c>
      <c r="E331" s="440" t="str">
        <f>[86]Source!H924</f>
        <v>1  ШТ.</v>
      </c>
      <c r="F331" s="270">
        <f>[86]Source!I924</f>
        <v>0</v>
      </c>
      <c r="G331" s="441"/>
      <c r="H331" s="442"/>
      <c r="I331" s="270"/>
      <c r="J331" s="480"/>
      <c r="K331" s="270"/>
      <c r="L331" s="480"/>
    </row>
    <row r="332" spans="1:16" ht="14.25" hidden="1" x14ac:dyDescent="0.2">
      <c r="A332" s="478"/>
      <c r="B332" s="763"/>
      <c r="C332" s="439"/>
      <c r="D332" s="439" t="s">
        <v>44</v>
      </c>
      <c r="E332" s="440"/>
      <c r="F332" s="270"/>
      <c r="G332" s="441">
        <f t="shared" ref="G332:L332" si="10">G333</f>
        <v>1.31</v>
      </c>
      <c r="H332" s="766" t="str">
        <f t="shared" si="10"/>
        <v>)*(1.67-1)</v>
      </c>
      <c r="I332" s="270">
        <f t="shared" si="10"/>
        <v>1.0669999999999999</v>
      </c>
      <c r="J332" s="480">
        <f t="shared" si="10"/>
        <v>0</v>
      </c>
      <c r="K332" s="270">
        <f t="shared" si="10"/>
        <v>24.53</v>
      </c>
      <c r="L332" s="480">
        <f t="shared" si="10"/>
        <v>0</v>
      </c>
    </row>
    <row r="333" spans="1:16" ht="14.25" hidden="1" x14ac:dyDescent="0.2">
      <c r="A333" s="478"/>
      <c r="B333" s="763"/>
      <c r="C333" s="439"/>
      <c r="D333" s="439" t="s">
        <v>45</v>
      </c>
      <c r="E333" s="440"/>
      <c r="F333" s="270"/>
      <c r="G333" s="441">
        <f>[86]Source!AN924</f>
        <v>1.31</v>
      </c>
      <c r="H333" s="766" t="s">
        <v>53</v>
      </c>
      <c r="I333" s="270">
        <f>[86]Source!AV925</f>
        <v>1.0669999999999999</v>
      </c>
      <c r="J333" s="443">
        <f>ROUND(F320*G333*I333*(1.67-1), 2)</f>
        <v>0</v>
      </c>
      <c r="K333" s="270">
        <f>IF([86]Source!BS925&lt;&gt; 0, [86]Source!BS925, 1)</f>
        <v>24.53</v>
      </c>
      <c r="L333" s="443">
        <f>ROUND(ROUND(F320*G333*I333*(1.67-1), 2)*K333, 2)</f>
        <v>0</v>
      </c>
    </row>
    <row r="334" spans="1:16" ht="14.25" hidden="1" x14ac:dyDescent="0.2">
      <c r="A334" s="478"/>
      <c r="B334" s="763"/>
      <c r="C334" s="439"/>
      <c r="D334" s="439" t="s">
        <v>50</v>
      </c>
      <c r="E334" s="440" t="s">
        <v>48</v>
      </c>
      <c r="F334" s="270">
        <f>175</f>
        <v>175</v>
      </c>
      <c r="G334" s="441"/>
      <c r="H334" s="442"/>
      <c r="I334" s="270"/>
      <c r="J334" s="480">
        <f>ROUND(J333*(F334/100), 2)</f>
        <v>0</v>
      </c>
      <c r="K334" s="270">
        <f>157</f>
        <v>157</v>
      </c>
      <c r="L334" s="480">
        <f>ROUND(L333*(K334/100), 2)</f>
        <v>0</v>
      </c>
    </row>
    <row r="335" spans="1:16" ht="15" hidden="1" x14ac:dyDescent="0.25">
      <c r="A335" s="311"/>
      <c r="B335" s="313"/>
      <c r="C335" s="311"/>
      <c r="D335" s="312" t="s">
        <v>81</v>
      </c>
      <c r="E335" s="311"/>
      <c r="F335" s="311"/>
      <c r="G335" s="311"/>
      <c r="H335" s="311"/>
      <c r="I335" s="639">
        <f>J334+J333</f>
        <v>0</v>
      </c>
      <c r="J335" s="639"/>
      <c r="K335" s="639">
        <f>L334+L333</f>
        <v>0</v>
      </c>
      <c r="L335" s="639"/>
      <c r="O335" s="765">
        <f>I335</f>
        <v>0</v>
      </c>
      <c r="P335" s="765">
        <f>K335</f>
        <v>0</v>
      </c>
    </row>
    <row r="336" spans="1:16" hidden="1" x14ac:dyDescent="0.2"/>
    <row r="337" spans="1:22" s="775" customFormat="1" ht="66.75" hidden="1" x14ac:dyDescent="0.2">
      <c r="A337" s="767">
        <v>33</v>
      </c>
      <c r="B337" s="768" t="s">
        <v>411</v>
      </c>
      <c r="C337" s="769" t="str">
        <f>[86]Source!F926</f>
        <v>Прайс-лист</v>
      </c>
      <c r="D337" s="769" t="s">
        <v>410</v>
      </c>
      <c r="E337" s="770" t="str">
        <f>[86]Source!H926</f>
        <v>шт.</v>
      </c>
      <c r="F337" s="771">
        <f>[86]Source!I926</f>
        <v>0</v>
      </c>
      <c r="G337" s="772">
        <f>[86]Source!AL926</f>
        <v>50618.28</v>
      </c>
      <c r="H337" s="773">
        <f>[86]Source!DD926</f>
        <v>0</v>
      </c>
      <c r="I337" s="771">
        <f>[86]Source!AW927</f>
        <v>1</v>
      </c>
      <c r="J337" s="774">
        <f>[86]Source!P926</f>
        <v>0</v>
      </c>
      <c r="K337" s="771">
        <f>IF([86]Source!BC927&lt;&gt; 0, [86]Source!BC927, 1)</f>
        <v>4.5999999999999996</v>
      </c>
      <c r="L337" s="774">
        <v>0</v>
      </c>
      <c r="Q337" s="775">
        <f>[86]Source!X926</f>
        <v>0</v>
      </c>
      <c r="R337" s="775">
        <f>[86]Source!X927</f>
        <v>0</v>
      </c>
      <c r="S337" s="775">
        <f>[86]Source!Y926</f>
        <v>0</v>
      </c>
      <c r="T337" s="775">
        <f>[86]Source!Y927</f>
        <v>0</v>
      </c>
      <c r="U337" s="775">
        <f>ROUND((175/100)*ROUND([86]Source!R926, 2), 2)</f>
        <v>0</v>
      </c>
      <c r="V337" s="775">
        <f>ROUND((157/100)*ROUND([86]Source!R927, 2), 2)</f>
        <v>0</v>
      </c>
    </row>
    <row r="338" spans="1:22" s="775" customFormat="1" ht="15" hidden="1" x14ac:dyDescent="0.25">
      <c r="A338" s="776"/>
      <c r="B338" s="777"/>
      <c r="C338" s="776"/>
      <c r="D338" s="778" t="s">
        <v>81</v>
      </c>
      <c r="E338" s="776"/>
      <c r="F338" s="776"/>
      <c r="G338" s="776"/>
      <c r="H338" s="776"/>
      <c r="I338" s="779">
        <f>J337</f>
        <v>0</v>
      </c>
      <c r="J338" s="779"/>
      <c r="K338" s="779">
        <f>L337</f>
        <v>0</v>
      </c>
      <c r="L338" s="779"/>
      <c r="O338" s="780">
        <f>J337</f>
        <v>0</v>
      </c>
      <c r="P338" s="780">
        <f>L337</f>
        <v>0</v>
      </c>
    </row>
    <row r="339" spans="1:22" hidden="1" x14ac:dyDescent="0.2"/>
    <row r="340" spans="1:22" hidden="1" x14ac:dyDescent="0.2"/>
    <row r="341" spans="1:22" ht="15" hidden="1" x14ac:dyDescent="0.25">
      <c r="A341" s="634" t="str">
        <f>CONCATENATE("Итого по подразделу: ",IF([86]Source!G929&lt;&gt;"Новый подраздел", [86]Source!G929, ""))</f>
        <v>Итого по подразделу: В2-11</v>
      </c>
      <c r="B341" s="634"/>
      <c r="C341" s="634"/>
      <c r="D341" s="634"/>
      <c r="E341" s="634"/>
      <c r="F341" s="634"/>
      <c r="G341" s="634"/>
      <c r="H341" s="634"/>
      <c r="I341" s="640">
        <f>SUM(O319:O340)</f>
        <v>0</v>
      </c>
      <c r="J341" s="641"/>
      <c r="K341" s="640">
        <f>SUM(P319:P340)</f>
        <v>0</v>
      </c>
      <c r="L341" s="641"/>
    </row>
    <row r="342" spans="1:22" hidden="1" x14ac:dyDescent="0.2">
      <c r="A342" s="178" t="s">
        <v>54</v>
      </c>
      <c r="J342" s="178">
        <f>SUM(W319:W341)</f>
        <v>0</v>
      </c>
      <c r="K342" s="178">
        <f>SUM(X319:X341)</f>
        <v>0</v>
      </c>
    </row>
    <row r="343" spans="1:22" hidden="1" x14ac:dyDescent="0.2">
      <c r="A343" s="178" t="s">
        <v>55</v>
      </c>
      <c r="J343" s="178">
        <f>SUM(Y319:Y342)</f>
        <v>0</v>
      </c>
      <c r="K343" s="178">
        <f>SUM(Z319:Z342)</f>
        <v>0</v>
      </c>
    </row>
    <row r="344" spans="1:22" hidden="1" x14ac:dyDescent="0.2"/>
    <row r="345" spans="1:22" hidden="1" x14ac:dyDescent="0.2">
      <c r="A345" s="178" t="s">
        <v>54</v>
      </c>
      <c r="J345" s="178" t="e">
        <f>SUM(#REF!)</f>
        <v>#REF!</v>
      </c>
      <c r="K345" s="178" t="e">
        <f>SUM(#REF!)</f>
        <v>#REF!</v>
      </c>
    </row>
    <row r="346" spans="1:22" hidden="1" x14ac:dyDescent="0.2">
      <c r="A346" s="178" t="s">
        <v>55</v>
      </c>
      <c r="J346" s="178">
        <f>SUM(Y345:Y345)</f>
        <v>0</v>
      </c>
      <c r="K346" s="178">
        <f>SUM(Z345:Z345)</f>
        <v>0</v>
      </c>
    </row>
    <row r="347" spans="1:22" hidden="1" x14ac:dyDescent="0.2"/>
    <row r="348" spans="1:22" ht="16.5" hidden="1" x14ac:dyDescent="0.25">
      <c r="A348" s="642" t="str">
        <f>CONCATENATE("Подраздел: ",IF([86]Source!G1214&lt;&gt;"Новый подраздел", [86]Source!G1214, ""))</f>
        <v>Подраздел: В2-17</v>
      </c>
      <c r="B348" s="642"/>
      <c r="C348" s="642"/>
      <c r="D348" s="642"/>
      <c r="E348" s="642"/>
      <c r="F348" s="642"/>
      <c r="G348" s="642"/>
      <c r="H348" s="642"/>
      <c r="I348" s="642"/>
      <c r="J348" s="642"/>
      <c r="K348" s="642"/>
      <c r="L348" s="642"/>
    </row>
    <row r="349" spans="1:22" ht="52.5" hidden="1" x14ac:dyDescent="0.2">
      <c r="A349" s="478">
        <v>34</v>
      </c>
      <c r="B349" s="763" t="s">
        <v>409</v>
      </c>
      <c r="C349" s="439" t="s">
        <v>108</v>
      </c>
      <c r="D349" s="439" t="s">
        <v>100</v>
      </c>
      <c r="E349" s="440" t="str">
        <f>[86]Source!H1218</f>
        <v>1  ШТ.</v>
      </c>
      <c r="F349" s="270">
        <f>[86]Source!I1218</f>
        <v>0</v>
      </c>
      <c r="G349" s="441"/>
      <c r="H349" s="442"/>
      <c r="I349" s="270"/>
      <c r="J349" s="480"/>
      <c r="K349" s="270"/>
      <c r="L349" s="480"/>
      <c r="Q349" s="178">
        <f>[86]Source!X1218</f>
        <v>0</v>
      </c>
      <c r="R349" s="178">
        <f>[86]Source!X1219</f>
        <v>0</v>
      </c>
      <c r="S349" s="178">
        <f>[86]Source!Y1218</f>
        <v>0</v>
      </c>
      <c r="T349" s="178">
        <f>[86]Source!Y1219</f>
        <v>0</v>
      </c>
      <c r="U349" s="178">
        <f>ROUND((175/100)*ROUND([86]Source!R1218, 2), 2)</f>
        <v>0</v>
      </c>
      <c r="V349" s="178">
        <f>ROUND((157/100)*ROUND([86]Source!R1219, 2), 2)</f>
        <v>0</v>
      </c>
    </row>
    <row r="350" spans="1:22" ht="14.25" hidden="1" x14ac:dyDescent="0.2">
      <c r="A350" s="478"/>
      <c r="B350" s="763"/>
      <c r="C350" s="439"/>
      <c r="D350" s="439" t="s">
        <v>43</v>
      </c>
      <c r="E350" s="440"/>
      <c r="F350" s="270"/>
      <c r="G350" s="441">
        <f>[86]Source!AO1218</f>
        <v>615.5</v>
      </c>
      <c r="H350" s="442" t="str">
        <f>[86]Source!DG1218</f>
        <v>)*1,67</v>
      </c>
      <c r="I350" s="270">
        <f>[86]Source!AV1219</f>
        <v>1.0669999999999999</v>
      </c>
      <c r="J350" s="480">
        <f>[86]Source!S1218</f>
        <v>0</v>
      </c>
      <c r="K350" s="270">
        <f>IF([86]Source!BA1219&lt;&gt; 0, [86]Source!BA1219, 1)</f>
        <v>24.53</v>
      </c>
      <c r="L350" s="480">
        <f>[86]Source!S1219</f>
        <v>0</v>
      </c>
    </row>
    <row r="351" spans="1:22" ht="14.25" hidden="1" x14ac:dyDescent="0.2">
      <c r="A351" s="478"/>
      <c r="B351" s="763"/>
      <c r="C351" s="439"/>
      <c r="D351" s="439" t="s">
        <v>44</v>
      </c>
      <c r="E351" s="440"/>
      <c r="F351" s="270"/>
      <c r="G351" s="441">
        <f>[86]Source!AM1218</f>
        <v>15.8</v>
      </c>
      <c r="H351" s="442">
        <f>[86]Source!DE1218</f>
        <v>0</v>
      </c>
      <c r="I351" s="270">
        <f>[86]Source!AV1219</f>
        <v>1.0669999999999999</v>
      </c>
      <c r="J351" s="480">
        <f>[86]Source!Q1218-J361</f>
        <v>0</v>
      </c>
      <c r="K351" s="270">
        <f>IF([86]Source!BB1219&lt;&gt; 0, [86]Source!BB1219, 1)</f>
        <v>7.59</v>
      </c>
      <c r="L351" s="480">
        <f>[86]Source!Q1219-L361</f>
        <v>0</v>
      </c>
    </row>
    <row r="352" spans="1:22" ht="14.25" hidden="1" x14ac:dyDescent="0.2">
      <c r="A352" s="478"/>
      <c r="B352" s="763"/>
      <c r="C352" s="439"/>
      <c r="D352" s="439" t="s">
        <v>45</v>
      </c>
      <c r="E352" s="440"/>
      <c r="F352" s="270"/>
      <c r="G352" s="441">
        <f>[86]Source!AN1218</f>
        <v>1.31</v>
      </c>
      <c r="H352" s="442">
        <f>[86]Source!DE1218</f>
        <v>0</v>
      </c>
      <c r="I352" s="270">
        <f>[86]Source!AV1219</f>
        <v>1.0669999999999999</v>
      </c>
      <c r="J352" s="443">
        <f>[86]Source!R1218-J362</f>
        <v>0</v>
      </c>
      <c r="K352" s="270">
        <f>IF([86]Source!BS1219&lt;&gt; 0, [86]Source!BS1219, 1)</f>
        <v>24.53</v>
      </c>
      <c r="L352" s="443">
        <f>[86]Source!R1219-L362</f>
        <v>0</v>
      </c>
    </row>
    <row r="353" spans="1:22" ht="14.25" hidden="1" x14ac:dyDescent="0.2">
      <c r="A353" s="478"/>
      <c r="B353" s="763"/>
      <c r="C353" s="439"/>
      <c r="D353" s="439" t="s">
        <v>46</v>
      </c>
      <c r="E353" s="440"/>
      <c r="F353" s="270"/>
      <c r="G353" s="441">
        <f>[86]Source!AL1218</f>
        <v>4.0599999999999996</v>
      </c>
      <c r="H353" s="442">
        <f>[86]Source!DD1218</f>
        <v>0</v>
      </c>
      <c r="I353" s="270">
        <f>[86]Source!AW1219</f>
        <v>1.028</v>
      </c>
      <c r="J353" s="480">
        <f>[86]Source!P1218</f>
        <v>0</v>
      </c>
      <c r="K353" s="270">
        <f>IF([86]Source!BC1219&lt;&gt; 0, [86]Source!BC1219, 1)</f>
        <v>6.33</v>
      </c>
      <c r="L353" s="480">
        <f>[86]Source!P1219</f>
        <v>0</v>
      </c>
    </row>
    <row r="354" spans="1:22" ht="14.25" hidden="1" x14ac:dyDescent="0.2">
      <c r="A354" s="478"/>
      <c r="B354" s="763"/>
      <c r="C354" s="439"/>
      <c r="D354" s="439" t="s">
        <v>47</v>
      </c>
      <c r="E354" s="440" t="s">
        <v>48</v>
      </c>
      <c r="F354" s="270">
        <f>[86]Source!DN1219</f>
        <v>68</v>
      </c>
      <c r="G354" s="441"/>
      <c r="H354" s="442"/>
      <c r="I354" s="270"/>
      <c r="J354" s="480">
        <f>SUM(Q349:Q353)</f>
        <v>0</v>
      </c>
      <c r="K354" s="270">
        <f>[86]Source!BZ1219</f>
        <v>68</v>
      </c>
      <c r="L354" s="480">
        <f>SUM(R349:R353)</f>
        <v>0</v>
      </c>
    </row>
    <row r="355" spans="1:22" ht="14.25" hidden="1" x14ac:dyDescent="0.2">
      <c r="A355" s="478"/>
      <c r="B355" s="763"/>
      <c r="C355" s="439"/>
      <c r="D355" s="439" t="s">
        <v>49</v>
      </c>
      <c r="E355" s="440" t="s">
        <v>48</v>
      </c>
      <c r="F355" s="270">
        <f>[86]Source!DO1219</f>
        <v>43</v>
      </c>
      <c r="G355" s="441"/>
      <c r="H355" s="442"/>
      <c r="I355" s="270"/>
      <c r="J355" s="480">
        <f>SUM(S349:S354)</f>
        <v>0</v>
      </c>
      <c r="K355" s="270">
        <f>[86]Source!CA1219</f>
        <v>43</v>
      </c>
      <c r="L355" s="480">
        <f>SUM(T349:T354)</f>
        <v>0</v>
      </c>
    </row>
    <row r="356" spans="1:22" ht="14.25" hidden="1" x14ac:dyDescent="0.2">
      <c r="A356" s="478"/>
      <c r="B356" s="763"/>
      <c r="C356" s="439"/>
      <c r="D356" s="439" t="s">
        <v>50</v>
      </c>
      <c r="E356" s="440" t="s">
        <v>48</v>
      </c>
      <c r="F356" s="270">
        <f>175</f>
        <v>175</v>
      </c>
      <c r="G356" s="441"/>
      <c r="H356" s="442"/>
      <c r="I356" s="270"/>
      <c r="J356" s="480">
        <f>SUM(U349:U355)-J363</f>
        <v>0</v>
      </c>
      <c r="K356" s="270">
        <f>157</f>
        <v>157</v>
      </c>
      <c r="L356" s="480">
        <f>SUM(V349:V355)-L363</f>
        <v>0</v>
      </c>
    </row>
    <row r="357" spans="1:22" ht="14.25" hidden="1" x14ac:dyDescent="0.2">
      <c r="A357" s="479"/>
      <c r="B357" s="309"/>
      <c r="C357" s="308"/>
      <c r="D357" s="308" t="s">
        <v>51</v>
      </c>
      <c r="E357" s="307" t="s">
        <v>52</v>
      </c>
      <c r="F357" s="306">
        <f>[86]Source!AQ1218</f>
        <v>51.58</v>
      </c>
      <c r="G357" s="305"/>
      <c r="H357" s="315">
        <f>[86]Source!DI1218</f>
        <v>0</v>
      </c>
      <c r="I357" s="306">
        <f>[86]Source!AV1219</f>
        <v>1.0669999999999999</v>
      </c>
      <c r="J357" s="314">
        <f>[86]Source!U1218</f>
        <v>0</v>
      </c>
      <c r="K357" s="306"/>
      <c r="L357" s="314"/>
    </row>
    <row r="358" spans="1:22" ht="15" hidden="1" x14ac:dyDescent="0.25">
      <c r="D358" s="764" t="s">
        <v>81</v>
      </c>
      <c r="I358" s="640">
        <f>J350+J351+J353+J354+J355+J356</f>
        <v>0</v>
      </c>
      <c r="J358" s="640"/>
      <c r="K358" s="640">
        <f>L350+L351+L353+L354+L355+L356</f>
        <v>0</v>
      </c>
      <c r="L358" s="640"/>
      <c r="O358" s="765">
        <f>J350+J351+J353+J354+J355+J356</f>
        <v>0</v>
      </c>
      <c r="P358" s="765">
        <f>L350+L351+L353+L354+L355+L356</f>
        <v>0</v>
      </c>
    </row>
    <row r="359" spans="1:22" hidden="1" x14ac:dyDescent="0.2"/>
    <row r="360" spans="1:22" ht="28.5" hidden="1" x14ac:dyDescent="0.2">
      <c r="A360" s="478">
        <v>35</v>
      </c>
      <c r="B360" s="763" t="s">
        <v>408</v>
      </c>
      <c r="C360" s="439"/>
      <c r="D360" s="439" t="s">
        <v>82</v>
      </c>
      <c r="E360" s="440" t="str">
        <f>[86]Source!H1218</f>
        <v>1  ШТ.</v>
      </c>
      <c r="F360" s="270">
        <f>[86]Source!I1218</f>
        <v>0</v>
      </c>
      <c r="G360" s="441"/>
      <c r="H360" s="442"/>
      <c r="I360" s="270"/>
      <c r="J360" s="480"/>
      <c r="K360" s="270"/>
      <c r="L360" s="480"/>
    </row>
    <row r="361" spans="1:22" ht="14.25" hidden="1" x14ac:dyDescent="0.2">
      <c r="A361" s="478"/>
      <c r="B361" s="763"/>
      <c r="C361" s="439"/>
      <c r="D361" s="439" t="s">
        <v>44</v>
      </c>
      <c r="E361" s="440"/>
      <c r="F361" s="270"/>
      <c r="G361" s="441">
        <f t="shared" ref="G361:L361" si="11">G362</f>
        <v>1.31</v>
      </c>
      <c r="H361" s="766" t="str">
        <f t="shared" si="11"/>
        <v>)*(1.67-1)</v>
      </c>
      <c r="I361" s="270">
        <f t="shared" si="11"/>
        <v>1.0669999999999999</v>
      </c>
      <c r="J361" s="480">
        <f t="shared" si="11"/>
        <v>0</v>
      </c>
      <c r="K361" s="270">
        <f t="shared" si="11"/>
        <v>24.53</v>
      </c>
      <c r="L361" s="480">
        <f t="shared" si="11"/>
        <v>0</v>
      </c>
    </row>
    <row r="362" spans="1:22" ht="14.25" hidden="1" x14ac:dyDescent="0.2">
      <c r="A362" s="478"/>
      <c r="B362" s="763"/>
      <c r="C362" s="439"/>
      <c r="D362" s="439" t="s">
        <v>45</v>
      </c>
      <c r="E362" s="440"/>
      <c r="F362" s="270"/>
      <c r="G362" s="441">
        <f>[86]Source!AN1218</f>
        <v>1.31</v>
      </c>
      <c r="H362" s="766" t="s">
        <v>53</v>
      </c>
      <c r="I362" s="270">
        <f>[86]Source!AV1219</f>
        <v>1.0669999999999999</v>
      </c>
      <c r="J362" s="443">
        <f>ROUND(F349*G362*I362*(1.67-1), 2)</f>
        <v>0</v>
      </c>
      <c r="K362" s="270">
        <f>IF([86]Source!BS1219&lt;&gt; 0, [86]Source!BS1219, 1)</f>
        <v>24.53</v>
      </c>
      <c r="L362" s="443">
        <f>ROUND(ROUND(F349*G362*I362*(1.67-1), 2)*K362, 2)</f>
        <v>0</v>
      </c>
    </row>
    <row r="363" spans="1:22" ht="14.25" hidden="1" x14ac:dyDescent="0.2">
      <c r="A363" s="478"/>
      <c r="B363" s="763"/>
      <c r="C363" s="439"/>
      <c r="D363" s="439" t="s">
        <v>50</v>
      </c>
      <c r="E363" s="440" t="s">
        <v>48</v>
      </c>
      <c r="F363" s="270">
        <f>175</f>
        <v>175</v>
      </c>
      <c r="G363" s="441"/>
      <c r="H363" s="442"/>
      <c r="I363" s="270"/>
      <c r="J363" s="480">
        <f>ROUND(J362*(F363/100), 2)</f>
        <v>0</v>
      </c>
      <c r="K363" s="270">
        <f>157</f>
        <v>157</v>
      </c>
      <c r="L363" s="480">
        <f>ROUND(L362*(K363/100), 2)</f>
        <v>0</v>
      </c>
    </row>
    <row r="364" spans="1:22" ht="15" hidden="1" x14ac:dyDescent="0.25">
      <c r="A364" s="311"/>
      <c r="B364" s="313"/>
      <c r="C364" s="311"/>
      <c r="D364" s="312" t="s">
        <v>81</v>
      </c>
      <c r="E364" s="311"/>
      <c r="F364" s="311"/>
      <c r="G364" s="311"/>
      <c r="H364" s="311"/>
      <c r="I364" s="639">
        <f>J363+J362</f>
        <v>0</v>
      </c>
      <c r="J364" s="639"/>
      <c r="K364" s="639">
        <f>L363+L362</f>
        <v>0</v>
      </c>
      <c r="L364" s="639"/>
      <c r="O364" s="765">
        <f>I364</f>
        <v>0</v>
      </c>
      <c r="P364" s="765">
        <f>K364</f>
        <v>0</v>
      </c>
    </row>
    <row r="365" spans="1:22" hidden="1" x14ac:dyDescent="0.2"/>
    <row r="366" spans="1:22" s="775" customFormat="1" ht="66.75" hidden="1" x14ac:dyDescent="0.2">
      <c r="A366" s="767">
        <v>36</v>
      </c>
      <c r="B366" s="768" t="s">
        <v>407</v>
      </c>
      <c r="C366" s="769" t="str">
        <f>[86]Source!F1220</f>
        <v>Прайс-лист</v>
      </c>
      <c r="D366" s="769" t="s">
        <v>406</v>
      </c>
      <c r="E366" s="770" t="str">
        <f>[86]Source!H1220</f>
        <v>шт.</v>
      </c>
      <c r="F366" s="771">
        <f>[86]Source!I1220</f>
        <v>0</v>
      </c>
      <c r="G366" s="772">
        <f>[86]Source!AL1220</f>
        <v>48038.28</v>
      </c>
      <c r="H366" s="773">
        <f>[86]Source!DD1220</f>
        <v>0</v>
      </c>
      <c r="I366" s="771">
        <f>[86]Source!AW1221</f>
        <v>1</v>
      </c>
      <c r="J366" s="774">
        <f>[86]Source!P1220</f>
        <v>0</v>
      </c>
      <c r="K366" s="771">
        <f>IF([86]Source!BC1221&lt;&gt; 0, [86]Source!BC1221, 1)</f>
        <v>4.5999999999999996</v>
      </c>
      <c r="L366" s="774">
        <v>0</v>
      </c>
      <c r="Q366" s="775">
        <f>[86]Source!X1220</f>
        <v>0</v>
      </c>
      <c r="R366" s="775">
        <f>[86]Source!X1221</f>
        <v>0</v>
      </c>
      <c r="S366" s="775">
        <f>[86]Source!Y1220</f>
        <v>0</v>
      </c>
      <c r="T366" s="775">
        <f>[86]Source!Y1221</f>
        <v>0</v>
      </c>
      <c r="U366" s="775">
        <f>ROUND((175/100)*ROUND([86]Source!R1220, 2), 2)</f>
        <v>0</v>
      </c>
      <c r="V366" s="775">
        <f>ROUND((157/100)*ROUND([86]Source!R1221, 2), 2)</f>
        <v>0</v>
      </c>
    </row>
    <row r="367" spans="1:22" s="775" customFormat="1" ht="15" hidden="1" x14ac:dyDescent="0.25">
      <c r="A367" s="776"/>
      <c r="B367" s="777"/>
      <c r="C367" s="776"/>
      <c r="D367" s="778" t="s">
        <v>81</v>
      </c>
      <c r="E367" s="776"/>
      <c r="F367" s="776"/>
      <c r="G367" s="776"/>
      <c r="H367" s="776"/>
      <c r="I367" s="779">
        <f>J366</f>
        <v>0</v>
      </c>
      <c r="J367" s="779"/>
      <c r="K367" s="779">
        <f>L366</f>
        <v>0</v>
      </c>
      <c r="L367" s="779"/>
      <c r="O367" s="780">
        <f>J366</f>
        <v>0</v>
      </c>
      <c r="P367" s="780">
        <f>L366</f>
        <v>0</v>
      </c>
    </row>
    <row r="368" spans="1:22" hidden="1" x14ac:dyDescent="0.2"/>
    <row r="369" spans="1:22" hidden="1" x14ac:dyDescent="0.2"/>
    <row r="370" spans="1:22" ht="15" hidden="1" x14ac:dyDescent="0.25">
      <c r="A370" s="634" t="str">
        <f>CONCATENATE("Итого по подразделу: ",IF([86]Source!G1223&lt;&gt;"Новый подраздел", [86]Source!G1223, ""))</f>
        <v>Итого по подразделу: В2-17</v>
      </c>
      <c r="B370" s="634"/>
      <c r="C370" s="634"/>
      <c r="D370" s="634"/>
      <c r="E370" s="634"/>
      <c r="F370" s="634"/>
      <c r="G370" s="634"/>
      <c r="H370" s="634"/>
      <c r="I370" s="640">
        <f>SUM(O348:O369)</f>
        <v>0</v>
      </c>
      <c r="J370" s="641"/>
      <c r="K370" s="640">
        <f>SUM(P348:P369)</f>
        <v>0</v>
      </c>
      <c r="L370" s="641"/>
    </row>
    <row r="371" spans="1:22" hidden="1" x14ac:dyDescent="0.2">
      <c r="A371" s="178" t="s">
        <v>54</v>
      </c>
      <c r="J371" s="178">
        <f>SUM(W348:W370)</f>
        <v>0</v>
      </c>
      <c r="K371" s="178">
        <f>SUM(X348:X370)</f>
        <v>0</v>
      </c>
    </row>
    <row r="372" spans="1:22" hidden="1" x14ac:dyDescent="0.2">
      <c r="A372" s="178" t="s">
        <v>55</v>
      </c>
      <c r="J372" s="178">
        <f>SUM(Y348:Y371)</f>
        <v>0</v>
      </c>
      <c r="K372" s="178">
        <f>SUM(Z348:Z371)</f>
        <v>0</v>
      </c>
    </row>
    <row r="373" spans="1:22" hidden="1" x14ac:dyDescent="0.2"/>
    <row r="374" spans="1:22" hidden="1" x14ac:dyDescent="0.2">
      <c r="A374" s="178" t="s">
        <v>54</v>
      </c>
      <c r="J374" s="178" t="e">
        <f>SUM(#REF!)</f>
        <v>#REF!</v>
      </c>
      <c r="K374" s="178" t="e">
        <f>SUM(#REF!)</f>
        <v>#REF!</v>
      </c>
    </row>
    <row r="375" spans="1:22" hidden="1" x14ac:dyDescent="0.2">
      <c r="A375" s="178" t="s">
        <v>55</v>
      </c>
      <c r="J375" s="178">
        <f>SUM(Y374:Y374)</f>
        <v>0</v>
      </c>
      <c r="K375" s="178">
        <f>SUM(Z374:Z374)</f>
        <v>0</v>
      </c>
    </row>
    <row r="376" spans="1:22" hidden="1" x14ac:dyDescent="0.2"/>
    <row r="377" spans="1:22" ht="16.5" hidden="1" x14ac:dyDescent="0.25">
      <c r="A377" s="642" t="str">
        <f>CONCATENATE("Подраздел: ",IF([86]Source!G1345&lt;&gt;"Новый подраздел", [86]Source!G1345, ""))</f>
        <v>Подраздел: В2-20, В2-20р</v>
      </c>
      <c r="B377" s="642"/>
      <c r="C377" s="642"/>
      <c r="D377" s="642"/>
      <c r="E377" s="642"/>
      <c r="F377" s="642"/>
      <c r="G377" s="642"/>
      <c r="H377" s="642"/>
      <c r="I377" s="642"/>
      <c r="J377" s="642"/>
      <c r="K377" s="642"/>
      <c r="L377" s="642"/>
    </row>
    <row r="378" spans="1:22" ht="52.5" hidden="1" x14ac:dyDescent="0.2">
      <c r="A378" s="478">
        <v>37</v>
      </c>
      <c r="B378" s="763" t="s">
        <v>405</v>
      </c>
      <c r="C378" s="439" t="s">
        <v>99</v>
      </c>
      <c r="D378" s="439" t="s">
        <v>100</v>
      </c>
      <c r="E378" s="440" t="str">
        <f>[86]Source!H1349</f>
        <v>1  ШТ.</v>
      </c>
      <c r="F378" s="270">
        <f>[86]Source!I1349</f>
        <v>0</v>
      </c>
      <c r="G378" s="441"/>
      <c r="H378" s="442"/>
      <c r="I378" s="270"/>
      <c r="J378" s="480"/>
      <c r="K378" s="270"/>
      <c r="L378" s="480"/>
      <c r="Q378" s="178">
        <f>[86]Source!X1349</f>
        <v>0</v>
      </c>
      <c r="R378" s="178">
        <f>[86]Source!X1350</f>
        <v>0</v>
      </c>
      <c r="S378" s="178">
        <f>[86]Source!Y1349</f>
        <v>0</v>
      </c>
      <c r="T378" s="178">
        <f>[86]Source!Y1350</f>
        <v>0</v>
      </c>
      <c r="U378" s="178">
        <f>ROUND((175/100)*ROUND([86]Source!R1349, 2), 2)</f>
        <v>0</v>
      </c>
      <c r="V378" s="178">
        <f>ROUND((157/100)*ROUND([86]Source!R1350, 2), 2)</f>
        <v>0</v>
      </c>
    </row>
    <row r="379" spans="1:22" ht="14.25" hidden="1" x14ac:dyDescent="0.2">
      <c r="A379" s="478"/>
      <c r="B379" s="763"/>
      <c r="C379" s="439"/>
      <c r="D379" s="439" t="s">
        <v>43</v>
      </c>
      <c r="E379" s="440"/>
      <c r="F379" s="270"/>
      <c r="G379" s="441">
        <f>[86]Source!AO1349</f>
        <v>615.5</v>
      </c>
      <c r="H379" s="442" t="str">
        <f>[86]Source!DG1349</f>
        <v>)*1,67</v>
      </c>
      <c r="I379" s="270">
        <f>[86]Source!AV1350</f>
        <v>1.0669999999999999</v>
      </c>
      <c r="J379" s="480">
        <f>[86]Source!S1349</f>
        <v>0</v>
      </c>
      <c r="K379" s="270">
        <f>IF([86]Source!BA1350&lt;&gt; 0, [86]Source!BA1350, 1)</f>
        <v>24.53</v>
      </c>
      <c r="L379" s="480">
        <f>[86]Source!S1350</f>
        <v>0</v>
      </c>
    </row>
    <row r="380" spans="1:22" ht="14.25" hidden="1" x14ac:dyDescent="0.2">
      <c r="A380" s="478"/>
      <c r="B380" s="763"/>
      <c r="C380" s="439"/>
      <c r="D380" s="439" t="s">
        <v>44</v>
      </c>
      <c r="E380" s="440"/>
      <c r="F380" s="270"/>
      <c r="G380" s="441">
        <f>[86]Source!AM1349</f>
        <v>15.8</v>
      </c>
      <c r="H380" s="442">
        <f>[86]Source!DE1349</f>
        <v>0</v>
      </c>
      <c r="I380" s="270">
        <f>[86]Source!AV1350</f>
        <v>1.0669999999999999</v>
      </c>
      <c r="J380" s="480">
        <f>[86]Source!Q1349-J390</f>
        <v>0</v>
      </c>
      <c r="K380" s="270">
        <f>IF([86]Source!BB1350&lt;&gt; 0, [86]Source!BB1350, 1)</f>
        <v>7.59</v>
      </c>
      <c r="L380" s="480">
        <f>[86]Source!Q1350-L390</f>
        <v>0</v>
      </c>
    </row>
    <row r="381" spans="1:22" ht="14.25" hidden="1" x14ac:dyDescent="0.2">
      <c r="A381" s="478"/>
      <c r="B381" s="763"/>
      <c r="C381" s="439"/>
      <c r="D381" s="439" t="s">
        <v>45</v>
      </c>
      <c r="E381" s="440"/>
      <c r="F381" s="270"/>
      <c r="G381" s="441">
        <f>[86]Source!AN1349</f>
        <v>1.31</v>
      </c>
      <c r="H381" s="442">
        <f>[86]Source!DE1349</f>
        <v>0</v>
      </c>
      <c r="I381" s="270">
        <f>[86]Source!AV1350</f>
        <v>1.0669999999999999</v>
      </c>
      <c r="J381" s="443">
        <f>[86]Source!R1349-J391</f>
        <v>0</v>
      </c>
      <c r="K381" s="270">
        <f>IF([86]Source!BS1350&lt;&gt; 0, [86]Source!BS1350, 1)</f>
        <v>24.53</v>
      </c>
      <c r="L381" s="443">
        <f>[86]Source!R1350-L391</f>
        <v>0</v>
      </c>
    </row>
    <row r="382" spans="1:22" ht="14.25" hidden="1" x14ac:dyDescent="0.2">
      <c r="A382" s="478"/>
      <c r="B382" s="763"/>
      <c r="C382" s="439"/>
      <c r="D382" s="439" t="s">
        <v>46</v>
      </c>
      <c r="E382" s="440"/>
      <c r="F382" s="270"/>
      <c r="G382" s="441">
        <f>[86]Source!AL1349</f>
        <v>4.0599999999999996</v>
      </c>
      <c r="H382" s="442">
        <f>[86]Source!DD1349</f>
        <v>0</v>
      </c>
      <c r="I382" s="270">
        <f>[86]Source!AW1350</f>
        <v>1.028</v>
      </c>
      <c r="J382" s="480">
        <f>[86]Source!P1349</f>
        <v>0</v>
      </c>
      <c r="K382" s="270">
        <f>IF([86]Source!BC1350&lt;&gt; 0, [86]Source!BC1350, 1)</f>
        <v>6.33</v>
      </c>
      <c r="L382" s="480">
        <f>[86]Source!P1350</f>
        <v>0</v>
      </c>
    </row>
    <row r="383" spans="1:22" ht="14.25" hidden="1" x14ac:dyDescent="0.2">
      <c r="A383" s="478"/>
      <c r="B383" s="763"/>
      <c r="C383" s="439"/>
      <c r="D383" s="439" t="s">
        <v>47</v>
      </c>
      <c r="E383" s="440" t="s">
        <v>48</v>
      </c>
      <c r="F383" s="270">
        <f>[86]Source!DN1350</f>
        <v>68</v>
      </c>
      <c r="G383" s="441"/>
      <c r="H383" s="442"/>
      <c r="I383" s="270"/>
      <c r="J383" s="480">
        <f>SUM(Q378:Q382)</f>
        <v>0</v>
      </c>
      <c r="K383" s="270">
        <f>[86]Source!BZ1350</f>
        <v>68</v>
      </c>
      <c r="L383" s="480">
        <f>SUM(R378:R382)</f>
        <v>0</v>
      </c>
    </row>
    <row r="384" spans="1:22" ht="14.25" hidden="1" x14ac:dyDescent="0.2">
      <c r="A384" s="478"/>
      <c r="B384" s="763"/>
      <c r="C384" s="439"/>
      <c r="D384" s="439" t="s">
        <v>49</v>
      </c>
      <c r="E384" s="440" t="s">
        <v>48</v>
      </c>
      <c r="F384" s="270">
        <f>[86]Source!DO1350</f>
        <v>43</v>
      </c>
      <c r="G384" s="441"/>
      <c r="H384" s="442"/>
      <c r="I384" s="270"/>
      <c r="J384" s="480">
        <f>SUM(S378:S383)</f>
        <v>0</v>
      </c>
      <c r="K384" s="270">
        <f>[86]Source!CA1350</f>
        <v>43</v>
      </c>
      <c r="L384" s="480">
        <f>SUM(T378:T383)</f>
        <v>0</v>
      </c>
    </row>
    <row r="385" spans="1:22" ht="14.25" hidden="1" x14ac:dyDescent="0.2">
      <c r="A385" s="478"/>
      <c r="B385" s="763"/>
      <c r="C385" s="439"/>
      <c r="D385" s="439" t="s">
        <v>50</v>
      </c>
      <c r="E385" s="440" t="s">
        <v>48</v>
      </c>
      <c r="F385" s="270">
        <f>175</f>
        <v>175</v>
      </c>
      <c r="G385" s="441"/>
      <c r="H385" s="442"/>
      <c r="I385" s="270"/>
      <c r="J385" s="480">
        <f>SUM(U378:U384)-J392</f>
        <v>0</v>
      </c>
      <c r="K385" s="270">
        <f>157</f>
        <v>157</v>
      </c>
      <c r="L385" s="480">
        <f>SUM(V378:V384)-L392</f>
        <v>0</v>
      </c>
    </row>
    <row r="386" spans="1:22" ht="14.25" hidden="1" x14ac:dyDescent="0.2">
      <c r="A386" s="479"/>
      <c r="B386" s="309"/>
      <c r="C386" s="308"/>
      <c r="D386" s="308" t="s">
        <v>51</v>
      </c>
      <c r="E386" s="307" t="s">
        <v>52</v>
      </c>
      <c r="F386" s="306">
        <f>[86]Source!AQ1349</f>
        <v>51.58</v>
      </c>
      <c r="G386" s="305"/>
      <c r="H386" s="315">
        <f>[86]Source!DI1349</f>
        <v>0</v>
      </c>
      <c r="I386" s="306">
        <f>[86]Source!AV1350</f>
        <v>1.0669999999999999</v>
      </c>
      <c r="J386" s="314">
        <f>[86]Source!U1349</f>
        <v>0</v>
      </c>
      <c r="K386" s="306"/>
      <c r="L386" s="314"/>
    </row>
    <row r="387" spans="1:22" ht="15" hidden="1" x14ac:dyDescent="0.25">
      <c r="D387" s="764" t="s">
        <v>81</v>
      </c>
      <c r="I387" s="640">
        <f>J379+J380+J382+J383+J384+J385</f>
        <v>0</v>
      </c>
      <c r="J387" s="640"/>
      <c r="K387" s="640">
        <f>L379+L380+L382+L383+L384+L385</f>
        <v>0</v>
      </c>
      <c r="L387" s="640"/>
      <c r="O387" s="765">
        <f>J379+J380+J382+J383+J384+J385</f>
        <v>0</v>
      </c>
      <c r="P387" s="765">
        <f>L379+L380+L382+L383+L384+L385</f>
        <v>0</v>
      </c>
    </row>
    <row r="388" spans="1:22" hidden="1" x14ac:dyDescent="0.2"/>
    <row r="389" spans="1:22" ht="28.5" hidden="1" x14ac:dyDescent="0.2">
      <c r="A389" s="478">
        <v>38</v>
      </c>
      <c r="B389" s="763" t="s">
        <v>404</v>
      </c>
      <c r="C389" s="439"/>
      <c r="D389" s="439" t="s">
        <v>82</v>
      </c>
      <c r="E389" s="440" t="str">
        <f>[86]Source!H1349</f>
        <v>1  ШТ.</v>
      </c>
      <c r="F389" s="270">
        <f>[86]Source!I1349</f>
        <v>0</v>
      </c>
      <c r="G389" s="441"/>
      <c r="H389" s="442"/>
      <c r="I389" s="270"/>
      <c r="J389" s="480"/>
      <c r="K389" s="270"/>
      <c r="L389" s="480"/>
    </row>
    <row r="390" spans="1:22" ht="14.25" hidden="1" x14ac:dyDescent="0.2">
      <c r="A390" s="478"/>
      <c r="B390" s="763"/>
      <c r="C390" s="439"/>
      <c r="D390" s="439" t="s">
        <v>44</v>
      </c>
      <c r="E390" s="440"/>
      <c r="F390" s="270"/>
      <c r="G390" s="441">
        <f t="shared" ref="G390:L390" si="12">G391</f>
        <v>1.31</v>
      </c>
      <c r="H390" s="766" t="str">
        <f t="shared" si="12"/>
        <v>)*(1.67-1)</v>
      </c>
      <c r="I390" s="270">
        <f t="shared" si="12"/>
        <v>1.0669999999999999</v>
      </c>
      <c r="J390" s="480">
        <f t="shared" si="12"/>
        <v>0</v>
      </c>
      <c r="K390" s="270">
        <f t="shared" si="12"/>
        <v>24.53</v>
      </c>
      <c r="L390" s="480">
        <f t="shared" si="12"/>
        <v>0</v>
      </c>
    </row>
    <row r="391" spans="1:22" ht="14.25" hidden="1" x14ac:dyDescent="0.2">
      <c r="A391" s="478"/>
      <c r="B391" s="763"/>
      <c r="C391" s="439"/>
      <c r="D391" s="439" t="s">
        <v>45</v>
      </c>
      <c r="E391" s="440"/>
      <c r="F391" s="270"/>
      <c r="G391" s="441">
        <f>[86]Source!AN1349</f>
        <v>1.31</v>
      </c>
      <c r="H391" s="766" t="s">
        <v>53</v>
      </c>
      <c r="I391" s="270">
        <f>[86]Source!AV1350</f>
        <v>1.0669999999999999</v>
      </c>
      <c r="J391" s="443">
        <f>ROUND(F378*G391*I391*(1.67-1), 2)</f>
        <v>0</v>
      </c>
      <c r="K391" s="270">
        <f>IF([86]Source!BS1350&lt;&gt; 0, [86]Source!BS1350, 1)</f>
        <v>24.53</v>
      </c>
      <c r="L391" s="443">
        <f>ROUND(ROUND(F378*G391*I391*(1.67-1), 2)*K391, 2)</f>
        <v>0</v>
      </c>
    </row>
    <row r="392" spans="1:22" ht="14.25" hidden="1" x14ac:dyDescent="0.2">
      <c r="A392" s="478"/>
      <c r="B392" s="763"/>
      <c r="C392" s="439"/>
      <c r="D392" s="439" t="s">
        <v>50</v>
      </c>
      <c r="E392" s="440" t="s">
        <v>48</v>
      </c>
      <c r="F392" s="270">
        <f>175</f>
        <v>175</v>
      </c>
      <c r="G392" s="441"/>
      <c r="H392" s="442"/>
      <c r="I392" s="270"/>
      <c r="J392" s="480">
        <f>ROUND(J391*(F392/100), 2)</f>
        <v>0</v>
      </c>
      <c r="K392" s="270">
        <f>157</f>
        <v>157</v>
      </c>
      <c r="L392" s="480">
        <f>ROUND(L391*(K392/100), 2)</f>
        <v>0</v>
      </c>
    </row>
    <row r="393" spans="1:22" ht="15" hidden="1" x14ac:dyDescent="0.25">
      <c r="A393" s="311"/>
      <c r="B393" s="313"/>
      <c r="C393" s="311"/>
      <c r="D393" s="312" t="s">
        <v>81</v>
      </c>
      <c r="E393" s="311"/>
      <c r="F393" s="311"/>
      <c r="G393" s="311"/>
      <c r="H393" s="311"/>
      <c r="I393" s="639">
        <f>J392+J391</f>
        <v>0</v>
      </c>
      <c r="J393" s="639"/>
      <c r="K393" s="639">
        <f>L392+L391</f>
        <v>0</v>
      </c>
      <c r="L393" s="639"/>
      <c r="O393" s="765">
        <f>I393</f>
        <v>0</v>
      </c>
      <c r="P393" s="765">
        <f>K393</f>
        <v>0</v>
      </c>
    </row>
    <row r="394" spans="1:22" hidden="1" x14ac:dyDescent="0.2"/>
    <row r="395" spans="1:22" s="775" customFormat="1" ht="66.75" hidden="1" x14ac:dyDescent="0.2">
      <c r="A395" s="767">
        <v>39</v>
      </c>
      <c r="B395" s="768" t="s">
        <v>403</v>
      </c>
      <c r="C395" s="769" t="str">
        <f>[86]Source!F1351</f>
        <v>Прайс-лист</v>
      </c>
      <c r="D395" s="769" t="s">
        <v>402</v>
      </c>
      <c r="E395" s="770" t="str">
        <f>[86]Source!H1351</f>
        <v>шт.</v>
      </c>
      <c r="F395" s="771">
        <f>[86]Source!I1351</f>
        <v>0</v>
      </c>
      <c r="G395" s="772">
        <f>[86]Source!AL1351</f>
        <v>95477.86</v>
      </c>
      <c r="H395" s="773">
        <f>[86]Source!DD1351</f>
        <v>0</v>
      </c>
      <c r="I395" s="771">
        <f>[86]Source!AW1352</f>
        <v>1</v>
      </c>
      <c r="J395" s="774">
        <f>[86]Source!P1351</f>
        <v>0</v>
      </c>
      <c r="K395" s="771">
        <f>IF([86]Source!BC1352&lt;&gt; 0, [86]Source!BC1352, 1)</f>
        <v>4.5999999999999996</v>
      </c>
      <c r="L395" s="774">
        <v>0</v>
      </c>
      <c r="Q395" s="775">
        <f>[86]Source!X1351</f>
        <v>0</v>
      </c>
      <c r="R395" s="775">
        <f>[86]Source!X1352</f>
        <v>0</v>
      </c>
      <c r="S395" s="775">
        <f>[86]Source!Y1351</f>
        <v>0</v>
      </c>
      <c r="T395" s="775">
        <f>[86]Source!Y1352</f>
        <v>0</v>
      </c>
      <c r="U395" s="775">
        <f>ROUND((175/100)*ROUND([86]Source!R1351, 2), 2)</f>
        <v>0</v>
      </c>
      <c r="V395" s="775">
        <f>ROUND((157/100)*ROUND([86]Source!R1352, 2), 2)</f>
        <v>0</v>
      </c>
    </row>
    <row r="396" spans="1:22" s="775" customFormat="1" ht="15" hidden="1" x14ac:dyDescent="0.25">
      <c r="A396" s="776"/>
      <c r="B396" s="777"/>
      <c r="C396" s="776"/>
      <c r="D396" s="778" t="s">
        <v>81</v>
      </c>
      <c r="E396" s="776"/>
      <c r="F396" s="776"/>
      <c r="G396" s="776"/>
      <c r="H396" s="776"/>
      <c r="I396" s="779">
        <f>J395</f>
        <v>0</v>
      </c>
      <c r="J396" s="779"/>
      <c r="K396" s="779">
        <f>L395</f>
        <v>0</v>
      </c>
      <c r="L396" s="779"/>
      <c r="O396" s="780">
        <f>J395</f>
        <v>0</v>
      </c>
      <c r="P396" s="780">
        <f>L395</f>
        <v>0</v>
      </c>
    </row>
    <row r="397" spans="1:22" hidden="1" x14ac:dyDescent="0.2"/>
    <row r="398" spans="1:22" hidden="1" x14ac:dyDescent="0.2"/>
    <row r="399" spans="1:22" ht="15" hidden="1" x14ac:dyDescent="0.25">
      <c r="A399" s="634" t="str">
        <f>CONCATENATE("Итого по подразделу: ",IF([86]Source!G1354&lt;&gt;"Новый подраздел", [86]Source!G1354, ""))</f>
        <v>Итого по подразделу: В2-20, В2-20р</v>
      </c>
      <c r="B399" s="634"/>
      <c r="C399" s="634"/>
      <c r="D399" s="634"/>
      <c r="E399" s="634"/>
      <c r="F399" s="634"/>
      <c r="G399" s="634"/>
      <c r="H399" s="634"/>
      <c r="I399" s="640">
        <f>SUM(O377:O398)</f>
        <v>0</v>
      </c>
      <c r="J399" s="641"/>
      <c r="K399" s="640">
        <f>SUM(P377:P398)</f>
        <v>0</v>
      </c>
      <c r="L399" s="641"/>
    </row>
    <row r="400" spans="1:22" hidden="1" x14ac:dyDescent="0.2">
      <c r="A400" s="178" t="s">
        <v>54</v>
      </c>
      <c r="J400" s="178">
        <f>SUM(W377:W399)</f>
        <v>0</v>
      </c>
      <c r="K400" s="178">
        <f>SUM(X377:X399)</f>
        <v>0</v>
      </c>
    </row>
    <row r="401" spans="1:22" hidden="1" x14ac:dyDescent="0.2">
      <c r="A401" s="178" t="s">
        <v>55</v>
      </c>
      <c r="J401" s="178">
        <f>SUM(Y377:Y400)</f>
        <v>0</v>
      </c>
      <c r="K401" s="178">
        <f>SUM(Z377:Z400)</f>
        <v>0</v>
      </c>
    </row>
    <row r="402" spans="1:22" hidden="1" x14ac:dyDescent="0.2"/>
    <row r="403" spans="1:22" hidden="1" x14ac:dyDescent="0.2">
      <c r="A403" s="178" t="s">
        <v>54</v>
      </c>
      <c r="J403" s="178" t="e">
        <f>SUM(#REF!)</f>
        <v>#REF!</v>
      </c>
      <c r="K403" s="178" t="e">
        <f>SUM(#REF!)</f>
        <v>#REF!</v>
      </c>
    </row>
    <row r="404" spans="1:22" hidden="1" x14ac:dyDescent="0.2">
      <c r="A404" s="178" t="s">
        <v>55</v>
      </c>
      <c r="J404" s="178">
        <f>SUM(Y403:Y403)</f>
        <v>0</v>
      </c>
      <c r="K404" s="178">
        <f>SUM(Z403:Z403)</f>
        <v>0</v>
      </c>
    </row>
    <row r="405" spans="1:22" hidden="1" x14ac:dyDescent="0.2"/>
    <row r="406" spans="1:22" ht="16.5" hidden="1" x14ac:dyDescent="0.25">
      <c r="A406" s="642" t="str">
        <f>CONCATENATE("Подраздел: ",IF([86]Source!G1582&lt;&gt;"Новый подраздел", [86]Source!G1582, ""))</f>
        <v>Подраздел: В2-27, В2-27р</v>
      </c>
      <c r="B406" s="642"/>
      <c r="C406" s="642"/>
      <c r="D406" s="642"/>
      <c r="E406" s="642"/>
      <c r="F406" s="642"/>
      <c r="G406" s="642"/>
      <c r="H406" s="642"/>
      <c r="I406" s="642"/>
      <c r="J406" s="642"/>
      <c r="K406" s="642"/>
      <c r="L406" s="642"/>
    </row>
    <row r="407" spans="1:22" ht="52.5" hidden="1" x14ac:dyDescent="0.2">
      <c r="A407" s="478">
        <v>40</v>
      </c>
      <c r="B407" s="763" t="s">
        <v>401</v>
      </c>
      <c r="C407" s="439" t="s">
        <v>108</v>
      </c>
      <c r="D407" s="439" t="s">
        <v>100</v>
      </c>
      <c r="E407" s="440" t="str">
        <f>[86]Source!H1586</f>
        <v>1  ШТ.</v>
      </c>
      <c r="F407" s="270">
        <f>[86]Source!I1586</f>
        <v>0</v>
      </c>
      <c r="G407" s="441"/>
      <c r="H407" s="442"/>
      <c r="I407" s="270"/>
      <c r="J407" s="480"/>
      <c r="K407" s="270"/>
      <c r="L407" s="480"/>
      <c r="Q407" s="178">
        <f>[86]Source!X1586</f>
        <v>0</v>
      </c>
      <c r="R407" s="178">
        <f>[86]Source!X1587</f>
        <v>0</v>
      </c>
      <c r="S407" s="178">
        <f>[86]Source!Y1586</f>
        <v>0</v>
      </c>
      <c r="T407" s="178">
        <f>[86]Source!Y1587</f>
        <v>0</v>
      </c>
      <c r="U407" s="178">
        <f>ROUND((175/100)*ROUND([86]Source!R1586, 2), 2)</f>
        <v>0</v>
      </c>
      <c r="V407" s="178">
        <f>ROUND((157/100)*ROUND([86]Source!R1587, 2), 2)</f>
        <v>0</v>
      </c>
    </row>
    <row r="408" spans="1:22" ht="14.25" hidden="1" x14ac:dyDescent="0.2">
      <c r="A408" s="478"/>
      <c r="B408" s="763"/>
      <c r="C408" s="439"/>
      <c r="D408" s="439" t="s">
        <v>43</v>
      </c>
      <c r="E408" s="440"/>
      <c r="F408" s="270"/>
      <c r="G408" s="441">
        <f>[86]Source!AO1586</f>
        <v>615.5</v>
      </c>
      <c r="H408" s="442" t="str">
        <f>[86]Source!DG1586</f>
        <v>)*1,67</v>
      </c>
      <c r="I408" s="270">
        <f>[86]Source!AV1587</f>
        <v>1.0669999999999999</v>
      </c>
      <c r="J408" s="480">
        <f>[86]Source!S1586</f>
        <v>0</v>
      </c>
      <c r="K408" s="270">
        <f>IF([86]Source!BA1587&lt;&gt; 0, [86]Source!BA1587, 1)</f>
        <v>24.53</v>
      </c>
      <c r="L408" s="480">
        <f>[86]Source!S1587</f>
        <v>0</v>
      </c>
    </row>
    <row r="409" spans="1:22" ht="14.25" hidden="1" x14ac:dyDescent="0.2">
      <c r="A409" s="478"/>
      <c r="B409" s="763"/>
      <c r="C409" s="439"/>
      <c r="D409" s="439" t="s">
        <v>44</v>
      </c>
      <c r="E409" s="440"/>
      <c r="F409" s="270"/>
      <c r="G409" s="441">
        <f>[86]Source!AM1586</f>
        <v>15.8</v>
      </c>
      <c r="H409" s="442">
        <f>[86]Source!DE1586</f>
        <v>0</v>
      </c>
      <c r="I409" s="270">
        <f>[86]Source!AV1587</f>
        <v>1.0669999999999999</v>
      </c>
      <c r="J409" s="480">
        <f>[86]Source!Q1586-J419</f>
        <v>0</v>
      </c>
      <c r="K409" s="270">
        <f>IF([86]Source!BB1587&lt;&gt; 0, [86]Source!BB1587, 1)</f>
        <v>7.59</v>
      </c>
      <c r="L409" s="480">
        <f>[86]Source!Q1587-L419</f>
        <v>0</v>
      </c>
    </row>
    <row r="410" spans="1:22" ht="14.25" hidden="1" x14ac:dyDescent="0.2">
      <c r="A410" s="478"/>
      <c r="B410" s="763"/>
      <c r="C410" s="439"/>
      <c r="D410" s="439" t="s">
        <v>45</v>
      </c>
      <c r="E410" s="440"/>
      <c r="F410" s="270"/>
      <c r="G410" s="441">
        <f>[86]Source!AN1586</f>
        <v>1.31</v>
      </c>
      <c r="H410" s="442">
        <f>[86]Source!DE1586</f>
        <v>0</v>
      </c>
      <c r="I410" s="270">
        <f>[86]Source!AV1587</f>
        <v>1.0669999999999999</v>
      </c>
      <c r="J410" s="443">
        <f>[86]Source!R1586-J420</f>
        <v>0</v>
      </c>
      <c r="K410" s="270">
        <f>IF([86]Source!BS1587&lt;&gt; 0, [86]Source!BS1587, 1)</f>
        <v>24.53</v>
      </c>
      <c r="L410" s="443">
        <f>[86]Source!R1587-L420</f>
        <v>0</v>
      </c>
    </row>
    <row r="411" spans="1:22" ht="14.25" hidden="1" x14ac:dyDescent="0.2">
      <c r="A411" s="478"/>
      <c r="B411" s="763"/>
      <c r="C411" s="439"/>
      <c r="D411" s="439" t="s">
        <v>46</v>
      </c>
      <c r="E411" s="440"/>
      <c r="F411" s="270"/>
      <c r="G411" s="441">
        <f>[86]Source!AL1586</f>
        <v>4.0599999999999996</v>
      </c>
      <c r="H411" s="442">
        <f>[86]Source!DD1586</f>
        <v>0</v>
      </c>
      <c r="I411" s="270">
        <f>[86]Source!AW1587</f>
        <v>1.028</v>
      </c>
      <c r="J411" s="480">
        <f>[86]Source!P1586</f>
        <v>0</v>
      </c>
      <c r="K411" s="270">
        <f>IF([86]Source!BC1587&lt;&gt; 0, [86]Source!BC1587, 1)</f>
        <v>6.33</v>
      </c>
      <c r="L411" s="480">
        <f>[86]Source!P1587</f>
        <v>0</v>
      </c>
    </row>
    <row r="412" spans="1:22" ht="14.25" hidden="1" x14ac:dyDescent="0.2">
      <c r="A412" s="478"/>
      <c r="B412" s="763"/>
      <c r="C412" s="439"/>
      <c r="D412" s="439" t="s">
        <v>47</v>
      </c>
      <c r="E412" s="440" t="s">
        <v>48</v>
      </c>
      <c r="F412" s="270">
        <f>[86]Source!DN1587</f>
        <v>68</v>
      </c>
      <c r="G412" s="441"/>
      <c r="H412" s="442"/>
      <c r="I412" s="270"/>
      <c r="J412" s="480">
        <f>SUM(Q407:Q411)</f>
        <v>0</v>
      </c>
      <c r="K412" s="270">
        <f>[86]Source!BZ1587</f>
        <v>68</v>
      </c>
      <c r="L412" s="480">
        <f>SUM(R407:R411)</f>
        <v>0</v>
      </c>
    </row>
    <row r="413" spans="1:22" ht="14.25" hidden="1" x14ac:dyDescent="0.2">
      <c r="A413" s="478"/>
      <c r="B413" s="763"/>
      <c r="C413" s="439"/>
      <c r="D413" s="439" t="s">
        <v>49</v>
      </c>
      <c r="E413" s="440" t="s">
        <v>48</v>
      </c>
      <c r="F413" s="270">
        <f>[86]Source!DO1587</f>
        <v>43</v>
      </c>
      <c r="G413" s="441"/>
      <c r="H413" s="442"/>
      <c r="I413" s="270"/>
      <c r="J413" s="480">
        <f>SUM(S407:S412)</f>
        <v>0</v>
      </c>
      <c r="K413" s="270">
        <f>[86]Source!CA1587</f>
        <v>43</v>
      </c>
      <c r="L413" s="480">
        <f>SUM(T407:T412)</f>
        <v>0</v>
      </c>
    </row>
    <row r="414" spans="1:22" ht="14.25" hidden="1" x14ac:dyDescent="0.2">
      <c r="A414" s="478"/>
      <c r="B414" s="763"/>
      <c r="C414" s="439"/>
      <c r="D414" s="439" t="s">
        <v>50</v>
      </c>
      <c r="E414" s="440" t="s">
        <v>48</v>
      </c>
      <c r="F414" s="270">
        <f>175</f>
        <v>175</v>
      </c>
      <c r="G414" s="441"/>
      <c r="H414" s="442"/>
      <c r="I414" s="270"/>
      <c r="J414" s="480">
        <f>SUM(U407:U413)-J421</f>
        <v>0</v>
      </c>
      <c r="K414" s="270">
        <f>157</f>
        <v>157</v>
      </c>
      <c r="L414" s="480">
        <f>SUM(V407:V413)-L421</f>
        <v>0</v>
      </c>
    </row>
    <row r="415" spans="1:22" ht="14.25" hidden="1" x14ac:dyDescent="0.2">
      <c r="A415" s="479"/>
      <c r="B415" s="309"/>
      <c r="C415" s="308"/>
      <c r="D415" s="308" t="s">
        <v>51</v>
      </c>
      <c r="E415" s="307" t="s">
        <v>52</v>
      </c>
      <c r="F415" s="306">
        <f>[86]Source!AQ1586</f>
        <v>51.58</v>
      </c>
      <c r="G415" s="305"/>
      <c r="H415" s="315">
        <f>[86]Source!DI1586</f>
        <v>0</v>
      </c>
      <c r="I415" s="306">
        <f>[86]Source!AV1587</f>
        <v>1.0669999999999999</v>
      </c>
      <c r="J415" s="314">
        <f>[86]Source!U1586</f>
        <v>0</v>
      </c>
      <c r="K415" s="306"/>
      <c r="L415" s="314"/>
    </row>
    <row r="416" spans="1:22" ht="15" hidden="1" x14ac:dyDescent="0.25">
      <c r="D416" s="764" t="s">
        <v>81</v>
      </c>
      <c r="I416" s="640">
        <f>J408+J409+J411+J412+J413+J414</f>
        <v>0</v>
      </c>
      <c r="J416" s="640"/>
      <c r="K416" s="640">
        <f>L408+L409+L411+L412+L413+L414</f>
        <v>0</v>
      </c>
      <c r="L416" s="640"/>
      <c r="O416" s="765">
        <f>J408+J409+J411+J412+J413+J414</f>
        <v>0</v>
      </c>
      <c r="P416" s="765">
        <f>L408+L409+L411+L412+L413+L414</f>
        <v>0</v>
      </c>
    </row>
    <row r="417" spans="1:22" hidden="1" x14ac:dyDescent="0.2"/>
    <row r="418" spans="1:22" ht="28.5" hidden="1" x14ac:dyDescent="0.2">
      <c r="A418" s="478">
        <v>41</v>
      </c>
      <c r="B418" s="763" t="s">
        <v>400</v>
      </c>
      <c r="C418" s="439"/>
      <c r="D418" s="439" t="s">
        <v>82</v>
      </c>
      <c r="E418" s="440" t="str">
        <f>[86]Source!H1586</f>
        <v>1  ШТ.</v>
      </c>
      <c r="F418" s="270">
        <f>[86]Source!I1586</f>
        <v>0</v>
      </c>
      <c r="G418" s="441"/>
      <c r="H418" s="442"/>
      <c r="I418" s="270"/>
      <c r="J418" s="480"/>
      <c r="K418" s="270"/>
      <c r="L418" s="480"/>
    </row>
    <row r="419" spans="1:22" ht="14.25" hidden="1" x14ac:dyDescent="0.2">
      <c r="A419" s="478"/>
      <c r="B419" s="763"/>
      <c r="C419" s="439"/>
      <c r="D419" s="439" t="s">
        <v>44</v>
      </c>
      <c r="E419" s="440"/>
      <c r="F419" s="270"/>
      <c r="G419" s="441">
        <f t="shared" ref="G419:L419" si="13">G420</f>
        <v>1.31</v>
      </c>
      <c r="H419" s="766" t="str">
        <f t="shared" si="13"/>
        <v>)*(1.67-1)</v>
      </c>
      <c r="I419" s="270">
        <f t="shared" si="13"/>
        <v>1.0669999999999999</v>
      </c>
      <c r="J419" s="480">
        <f t="shared" si="13"/>
        <v>0</v>
      </c>
      <c r="K419" s="270">
        <f t="shared" si="13"/>
        <v>24.53</v>
      </c>
      <c r="L419" s="480">
        <f t="shared" si="13"/>
        <v>0</v>
      </c>
    </row>
    <row r="420" spans="1:22" ht="14.25" hidden="1" x14ac:dyDescent="0.2">
      <c r="A420" s="478"/>
      <c r="B420" s="763"/>
      <c r="C420" s="439"/>
      <c r="D420" s="439" t="s">
        <v>45</v>
      </c>
      <c r="E420" s="440"/>
      <c r="F420" s="270"/>
      <c r="G420" s="441">
        <f>[86]Source!AN1586</f>
        <v>1.31</v>
      </c>
      <c r="H420" s="766" t="s">
        <v>53</v>
      </c>
      <c r="I420" s="270">
        <f>[86]Source!AV1587</f>
        <v>1.0669999999999999</v>
      </c>
      <c r="J420" s="443">
        <f>ROUND(F407*G420*I420*(1.67-1), 2)</f>
        <v>0</v>
      </c>
      <c r="K420" s="270">
        <f>IF([86]Source!BS1587&lt;&gt; 0, [86]Source!BS1587, 1)</f>
        <v>24.53</v>
      </c>
      <c r="L420" s="443">
        <f>ROUND(ROUND(F407*G420*I420*(1.67-1), 2)*K420, 2)</f>
        <v>0</v>
      </c>
    </row>
    <row r="421" spans="1:22" ht="14.25" hidden="1" x14ac:dyDescent="0.2">
      <c r="A421" s="478"/>
      <c r="B421" s="763"/>
      <c r="C421" s="439"/>
      <c r="D421" s="439" t="s">
        <v>50</v>
      </c>
      <c r="E421" s="440" t="s">
        <v>48</v>
      </c>
      <c r="F421" s="270">
        <f>175</f>
        <v>175</v>
      </c>
      <c r="G421" s="441"/>
      <c r="H421" s="442"/>
      <c r="I421" s="270"/>
      <c r="J421" s="480">
        <f>ROUND(J420*(F421/100), 2)</f>
        <v>0</v>
      </c>
      <c r="K421" s="270">
        <f>157</f>
        <v>157</v>
      </c>
      <c r="L421" s="480">
        <f>ROUND(L420*(K421/100), 2)</f>
        <v>0</v>
      </c>
    </row>
    <row r="422" spans="1:22" ht="15" hidden="1" x14ac:dyDescent="0.25">
      <c r="A422" s="311"/>
      <c r="B422" s="313"/>
      <c r="C422" s="311"/>
      <c r="D422" s="312" t="s">
        <v>81</v>
      </c>
      <c r="E422" s="311"/>
      <c r="F422" s="311"/>
      <c r="G422" s="311"/>
      <c r="H422" s="311"/>
      <c r="I422" s="639">
        <f>J421+J420</f>
        <v>0</v>
      </c>
      <c r="J422" s="639"/>
      <c r="K422" s="639">
        <f>L421+L420</f>
        <v>0</v>
      </c>
      <c r="L422" s="639"/>
      <c r="O422" s="765">
        <f>I422</f>
        <v>0</v>
      </c>
      <c r="P422" s="765">
        <f>K422</f>
        <v>0</v>
      </c>
    </row>
    <row r="423" spans="1:22" hidden="1" x14ac:dyDescent="0.2"/>
    <row r="424" spans="1:22" s="775" customFormat="1" ht="54" hidden="1" x14ac:dyDescent="0.2">
      <c r="A424" s="767">
        <v>42</v>
      </c>
      <c r="B424" s="768" t="s">
        <v>399</v>
      </c>
      <c r="C424" s="769" t="str">
        <f>[86]Source!F1588</f>
        <v>Прайс-лист</v>
      </c>
      <c r="D424" s="769" t="s">
        <v>398</v>
      </c>
      <c r="E424" s="770" t="str">
        <f>[86]Source!H1588</f>
        <v>шт.</v>
      </c>
      <c r="F424" s="771">
        <f>[86]Source!I1588</f>
        <v>0</v>
      </c>
      <c r="G424" s="772">
        <f>[86]Source!AL1588</f>
        <v>92252.99</v>
      </c>
      <c r="H424" s="773">
        <f>[86]Source!DD1588</f>
        <v>0</v>
      </c>
      <c r="I424" s="771">
        <f>[86]Source!AW1589</f>
        <v>1</v>
      </c>
      <c r="J424" s="774">
        <f>[86]Source!P1588</f>
        <v>0</v>
      </c>
      <c r="K424" s="771">
        <f>IF([86]Source!BC1589&lt;&gt; 0, [86]Source!BC1589, 1)</f>
        <v>4.5999999999999996</v>
      </c>
      <c r="L424" s="774">
        <v>0</v>
      </c>
      <c r="Q424" s="775">
        <f>[86]Source!X1588</f>
        <v>0</v>
      </c>
      <c r="R424" s="775">
        <f>[86]Source!X1589</f>
        <v>0</v>
      </c>
      <c r="S424" s="775">
        <f>[86]Source!Y1588</f>
        <v>0</v>
      </c>
      <c r="T424" s="775">
        <f>[86]Source!Y1589</f>
        <v>0</v>
      </c>
      <c r="U424" s="775">
        <f>ROUND((175/100)*ROUND([86]Source!R1588, 2), 2)</f>
        <v>0</v>
      </c>
      <c r="V424" s="775">
        <f>ROUND((157/100)*ROUND([86]Source!R1589, 2), 2)</f>
        <v>0</v>
      </c>
    </row>
    <row r="425" spans="1:22" s="775" customFormat="1" ht="15" hidden="1" x14ac:dyDescent="0.25">
      <c r="A425" s="776"/>
      <c r="B425" s="777"/>
      <c r="C425" s="776"/>
      <c r="D425" s="778" t="s">
        <v>81</v>
      </c>
      <c r="E425" s="776"/>
      <c r="F425" s="776"/>
      <c r="G425" s="776"/>
      <c r="H425" s="776"/>
      <c r="I425" s="779">
        <f>J424</f>
        <v>0</v>
      </c>
      <c r="J425" s="779"/>
      <c r="K425" s="779">
        <f>L424</f>
        <v>0</v>
      </c>
      <c r="L425" s="779"/>
      <c r="O425" s="780">
        <f>J424</f>
        <v>0</v>
      </c>
      <c r="P425" s="780">
        <f>L424</f>
        <v>0</v>
      </c>
    </row>
    <row r="426" spans="1:22" hidden="1" x14ac:dyDescent="0.2"/>
    <row r="427" spans="1:22" hidden="1" x14ac:dyDescent="0.2"/>
    <row r="428" spans="1:22" ht="15" hidden="1" x14ac:dyDescent="0.25">
      <c r="A428" s="634" t="str">
        <f>CONCATENATE("Итого по подразделу: ",IF([86]Source!G1591&lt;&gt;"Новый подраздел", [86]Source!G1591, ""))</f>
        <v>Итого по подразделу: В2-27, В2-27р</v>
      </c>
      <c r="B428" s="634"/>
      <c r="C428" s="634"/>
      <c r="D428" s="634"/>
      <c r="E428" s="634"/>
      <c r="F428" s="634"/>
      <c r="G428" s="634"/>
      <c r="H428" s="634"/>
      <c r="I428" s="640">
        <f>SUM(O406:O427)</f>
        <v>0</v>
      </c>
      <c r="J428" s="641"/>
      <c r="K428" s="640">
        <f>SUM(P406:P427)</f>
        <v>0</v>
      </c>
      <c r="L428" s="641"/>
    </row>
    <row r="429" spans="1:22" hidden="1" x14ac:dyDescent="0.2">
      <c r="A429" s="178" t="s">
        <v>54</v>
      </c>
      <c r="J429" s="178">
        <f>SUM(W406:W428)</f>
        <v>0</v>
      </c>
      <c r="K429" s="178">
        <f>SUM(X406:X428)</f>
        <v>0</v>
      </c>
    </row>
    <row r="430" spans="1:22" hidden="1" x14ac:dyDescent="0.2">
      <c r="A430" s="178" t="s">
        <v>55</v>
      </c>
      <c r="J430" s="178">
        <f>SUM(Y406:Y429)</f>
        <v>0</v>
      </c>
      <c r="K430" s="178">
        <f>SUM(Z406:Z429)</f>
        <v>0</v>
      </c>
    </row>
    <row r="431" spans="1:22" hidden="1" x14ac:dyDescent="0.2"/>
    <row r="432" spans="1:22" hidden="1" x14ac:dyDescent="0.2">
      <c r="A432" s="178" t="s">
        <v>54</v>
      </c>
      <c r="J432" s="178" t="e">
        <f>SUM(#REF!)</f>
        <v>#REF!</v>
      </c>
      <c r="K432" s="178" t="e">
        <f>SUM(#REF!)</f>
        <v>#REF!</v>
      </c>
    </row>
    <row r="433" spans="1:22" hidden="1" x14ac:dyDescent="0.2">
      <c r="A433" s="178" t="s">
        <v>55</v>
      </c>
      <c r="J433" s="178">
        <f>SUM(Y432:Y432)</f>
        <v>0</v>
      </c>
      <c r="K433" s="178">
        <f>SUM(Z432:Z432)</f>
        <v>0</v>
      </c>
    </row>
    <row r="434" spans="1:22" hidden="1" x14ac:dyDescent="0.2"/>
    <row r="435" spans="1:22" ht="16.5" hidden="1" x14ac:dyDescent="0.25">
      <c r="A435" s="642" t="str">
        <f>CONCATENATE("Подраздел: ",IF([86]Source!G1833&lt;&gt;"Новый подраздел", [86]Source!G1833, ""))</f>
        <v>Подраздел: В2-34, В2-34р</v>
      </c>
      <c r="B435" s="642"/>
      <c r="C435" s="642"/>
      <c r="D435" s="642"/>
      <c r="E435" s="642"/>
      <c r="F435" s="642"/>
      <c r="G435" s="642"/>
      <c r="H435" s="642"/>
      <c r="I435" s="642"/>
      <c r="J435" s="642"/>
      <c r="K435" s="642"/>
      <c r="L435" s="642"/>
    </row>
    <row r="436" spans="1:22" ht="52.5" hidden="1" x14ac:dyDescent="0.2">
      <c r="A436" s="478">
        <v>43</v>
      </c>
      <c r="B436" s="763" t="s">
        <v>397</v>
      </c>
      <c r="C436" s="439" t="s">
        <v>108</v>
      </c>
      <c r="D436" s="439" t="s">
        <v>100</v>
      </c>
      <c r="E436" s="440" t="str">
        <f>[86]Source!H1837</f>
        <v>1  ШТ.</v>
      </c>
      <c r="F436" s="270">
        <f>[86]Source!I1837</f>
        <v>0</v>
      </c>
      <c r="G436" s="441"/>
      <c r="H436" s="442"/>
      <c r="I436" s="270"/>
      <c r="J436" s="480"/>
      <c r="K436" s="270"/>
      <c r="L436" s="480"/>
      <c r="Q436" s="178">
        <f>[86]Source!X1837</f>
        <v>0</v>
      </c>
      <c r="R436" s="178">
        <f>[86]Source!X1838</f>
        <v>0</v>
      </c>
      <c r="S436" s="178">
        <f>[86]Source!Y1837</f>
        <v>0</v>
      </c>
      <c r="T436" s="178">
        <f>[86]Source!Y1838</f>
        <v>0</v>
      </c>
      <c r="U436" s="178">
        <f>ROUND((175/100)*ROUND([86]Source!R1837, 2), 2)</f>
        <v>0</v>
      </c>
      <c r="V436" s="178">
        <f>ROUND((157/100)*ROUND([86]Source!R1838, 2), 2)</f>
        <v>0</v>
      </c>
    </row>
    <row r="437" spans="1:22" ht="14.25" hidden="1" x14ac:dyDescent="0.2">
      <c r="A437" s="478"/>
      <c r="B437" s="763"/>
      <c r="C437" s="439"/>
      <c r="D437" s="439" t="s">
        <v>43</v>
      </c>
      <c r="E437" s="440"/>
      <c r="F437" s="270"/>
      <c r="G437" s="441">
        <f>[86]Source!AO1837</f>
        <v>615.5</v>
      </c>
      <c r="H437" s="442" t="str">
        <f>[86]Source!DG1837</f>
        <v>)*1,67</v>
      </c>
      <c r="I437" s="270">
        <f>[86]Source!AV1838</f>
        <v>1.0669999999999999</v>
      </c>
      <c r="J437" s="480">
        <f>[86]Source!S1837</f>
        <v>0</v>
      </c>
      <c r="K437" s="270">
        <f>IF([86]Source!BA1838&lt;&gt; 0, [86]Source!BA1838, 1)</f>
        <v>24.53</v>
      </c>
      <c r="L437" s="480">
        <f>[86]Source!S1838</f>
        <v>0</v>
      </c>
    </row>
    <row r="438" spans="1:22" ht="14.25" hidden="1" x14ac:dyDescent="0.2">
      <c r="A438" s="478"/>
      <c r="B438" s="763"/>
      <c r="C438" s="439"/>
      <c r="D438" s="439" t="s">
        <v>44</v>
      </c>
      <c r="E438" s="440"/>
      <c r="F438" s="270"/>
      <c r="G438" s="441">
        <f>[86]Source!AM1837</f>
        <v>15.8</v>
      </c>
      <c r="H438" s="442">
        <f>[86]Source!DE1837</f>
        <v>0</v>
      </c>
      <c r="I438" s="270">
        <f>[86]Source!AV1838</f>
        <v>1.0669999999999999</v>
      </c>
      <c r="J438" s="480">
        <f>[86]Source!Q1837-J448</f>
        <v>0</v>
      </c>
      <c r="K438" s="270">
        <f>IF([86]Source!BB1838&lt;&gt; 0, [86]Source!BB1838, 1)</f>
        <v>7.59</v>
      </c>
      <c r="L438" s="480">
        <f>[86]Source!Q1838-L448</f>
        <v>0</v>
      </c>
    </row>
    <row r="439" spans="1:22" ht="14.25" hidden="1" x14ac:dyDescent="0.2">
      <c r="A439" s="478"/>
      <c r="B439" s="763"/>
      <c r="C439" s="439"/>
      <c r="D439" s="439" t="s">
        <v>45</v>
      </c>
      <c r="E439" s="440"/>
      <c r="F439" s="270"/>
      <c r="G439" s="441">
        <f>[86]Source!AN1837</f>
        <v>1.31</v>
      </c>
      <c r="H439" s="442">
        <f>[86]Source!DE1837</f>
        <v>0</v>
      </c>
      <c r="I439" s="270">
        <f>[86]Source!AV1838</f>
        <v>1.0669999999999999</v>
      </c>
      <c r="J439" s="443">
        <f>[86]Source!R1837-J449</f>
        <v>0</v>
      </c>
      <c r="K439" s="270">
        <f>IF([86]Source!BS1838&lt;&gt; 0, [86]Source!BS1838, 1)</f>
        <v>24.53</v>
      </c>
      <c r="L439" s="443">
        <f>[86]Source!R1838-L449</f>
        <v>0</v>
      </c>
    </row>
    <row r="440" spans="1:22" ht="14.25" hidden="1" x14ac:dyDescent="0.2">
      <c r="A440" s="478"/>
      <c r="B440" s="763"/>
      <c r="C440" s="439"/>
      <c r="D440" s="439" t="s">
        <v>46</v>
      </c>
      <c r="E440" s="440"/>
      <c r="F440" s="270"/>
      <c r="G440" s="441">
        <f>[86]Source!AL1837</f>
        <v>4.0599999999999996</v>
      </c>
      <c r="H440" s="442">
        <f>[86]Source!DD1837</f>
        <v>0</v>
      </c>
      <c r="I440" s="270">
        <f>[86]Source!AW1838</f>
        <v>1.028</v>
      </c>
      <c r="J440" s="480">
        <f>[86]Source!P1837</f>
        <v>0</v>
      </c>
      <c r="K440" s="270">
        <f>IF([86]Source!BC1838&lt;&gt; 0, [86]Source!BC1838, 1)</f>
        <v>6.33</v>
      </c>
      <c r="L440" s="480">
        <f>[86]Source!P1838</f>
        <v>0</v>
      </c>
    </row>
    <row r="441" spans="1:22" ht="14.25" hidden="1" x14ac:dyDescent="0.2">
      <c r="A441" s="478"/>
      <c r="B441" s="763"/>
      <c r="C441" s="439"/>
      <c r="D441" s="439" t="s">
        <v>47</v>
      </c>
      <c r="E441" s="440" t="s">
        <v>48</v>
      </c>
      <c r="F441" s="270">
        <f>[86]Source!DN1838</f>
        <v>68</v>
      </c>
      <c r="G441" s="441"/>
      <c r="H441" s="442"/>
      <c r="I441" s="270"/>
      <c r="J441" s="480">
        <f>SUM(Q436:Q440)</f>
        <v>0</v>
      </c>
      <c r="K441" s="270">
        <f>[86]Source!BZ1838</f>
        <v>68</v>
      </c>
      <c r="L441" s="480">
        <f>SUM(R436:R440)</f>
        <v>0</v>
      </c>
    </row>
    <row r="442" spans="1:22" ht="14.25" hidden="1" x14ac:dyDescent="0.2">
      <c r="A442" s="478"/>
      <c r="B442" s="763"/>
      <c r="C442" s="439"/>
      <c r="D442" s="439" t="s">
        <v>49</v>
      </c>
      <c r="E442" s="440" t="s">
        <v>48</v>
      </c>
      <c r="F442" s="270">
        <f>[86]Source!DO1838</f>
        <v>43</v>
      </c>
      <c r="G442" s="441"/>
      <c r="H442" s="442"/>
      <c r="I442" s="270"/>
      <c r="J442" s="480">
        <f>SUM(S436:S441)</f>
        <v>0</v>
      </c>
      <c r="K442" s="270">
        <f>[86]Source!CA1838</f>
        <v>43</v>
      </c>
      <c r="L442" s="480">
        <f>SUM(T436:T441)</f>
        <v>0</v>
      </c>
    </row>
    <row r="443" spans="1:22" ht="14.25" hidden="1" x14ac:dyDescent="0.2">
      <c r="A443" s="478"/>
      <c r="B443" s="763"/>
      <c r="C443" s="439"/>
      <c r="D443" s="439" t="s">
        <v>50</v>
      </c>
      <c r="E443" s="440" t="s">
        <v>48</v>
      </c>
      <c r="F443" s="270">
        <f>175</f>
        <v>175</v>
      </c>
      <c r="G443" s="441"/>
      <c r="H443" s="442"/>
      <c r="I443" s="270"/>
      <c r="J443" s="480">
        <f>SUM(U436:U442)-J450</f>
        <v>0</v>
      </c>
      <c r="K443" s="270">
        <f>157</f>
        <v>157</v>
      </c>
      <c r="L443" s="480">
        <f>SUM(V436:V442)-L450</f>
        <v>0</v>
      </c>
    </row>
    <row r="444" spans="1:22" ht="14.25" hidden="1" x14ac:dyDescent="0.2">
      <c r="A444" s="479"/>
      <c r="B444" s="309"/>
      <c r="C444" s="308"/>
      <c r="D444" s="308" t="s">
        <v>51</v>
      </c>
      <c r="E444" s="307" t="s">
        <v>52</v>
      </c>
      <c r="F444" s="306">
        <f>[86]Source!AQ1837</f>
        <v>51.58</v>
      </c>
      <c r="G444" s="305"/>
      <c r="H444" s="315">
        <f>[86]Source!DI1837</f>
        <v>0</v>
      </c>
      <c r="I444" s="306">
        <f>[86]Source!AV1838</f>
        <v>1.0669999999999999</v>
      </c>
      <c r="J444" s="314">
        <f>[86]Source!U1837</f>
        <v>0</v>
      </c>
      <c r="K444" s="306"/>
      <c r="L444" s="314"/>
    </row>
    <row r="445" spans="1:22" ht="15" hidden="1" x14ac:dyDescent="0.25">
      <c r="D445" s="764" t="s">
        <v>81</v>
      </c>
      <c r="I445" s="640">
        <f>J437+J438+J440+J441+J442+J443</f>
        <v>0</v>
      </c>
      <c r="J445" s="640"/>
      <c r="K445" s="640">
        <f>L437+L438+L440+L441+L442+L443</f>
        <v>0</v>
      </c>
      <c r="L445" s="640"/>
      <c r="O445" s="765">
        <f>J437+J438+J440+J441+J442+J443</f>
        <v>0</v>
      </c>
      <c r="P445" s="765">
        <f>L437+L438+L440+L441+L442+L443</f>
        <v>0</v>
      </c>
    </row>
    <row r="446" spans="1:22" hidden="1" x14ac:dyDescent="0.2"/>
    <row r="447" spans="1:22" ht="28.5" hidden="1" x14ac:dyDescent="0.2">
      <c r="A447" s="478">
        <v>44</v>
      </c>
      <c r="B447" s="763" t="s">
        <v>396</v>
      </c>
      <c r="C447" s="439"/>
      <c r="D447" s="439" t="s">
        <v>82</v>
      </c>
      <c r="E447" s="440" t="str">
        <f>[86]Source!H1837</f>
        <v>1  ШТ.</v>
      </c>
      <c r="F447" s="270">
        <f>[86]Source!I1837</f>
        <v>0</v>
      </c>
      <c r="G447" s="441"/>
      <c r="H447" s="442"/>
      <c r="I447" s="270"/>
      <c r="J447" s="480"/>
      <c r="K447" s="270"/>
      <c r="L447" s="480"/>
    </row>
    <row r="448" spans="1:22" ht="14.25" hidden="1" x14ac:dyDescent="0.2">
      <c r="A448" s="478"/>
      <c r="B448" s="763"/>
      <c r="C448" s="439"/>
      <c r="D448" s="439" t="s">
        <v>44</v>
      </c>
      <c r="E448" s="440"/>
      <c r="F448" s="270"/>
      <c r="G448" s="441">
        <f t="shared" ref="G448:L448" si="14">G449</f>
        <v>1.31</v>
      </c>
      <c r="H448" s="766" t="str">
        <f t="shared" si="14"/>
        <v>)*(1.67-1)</v>
      </c>
      <c r="I448" s="270">
        <f t="shared" si="14"/>
        <v>1.0669999999999999</v>
      </c>
      <c r="J448" s="480">
        <f t="shared" si="14"/>
        <v>0</v>
      </c>
      <c r="K448" s="270">
        <f t="shared" si="14"/>
        <v>24.53</v>
      </c>
      <c r="L448" s="480">
        <f t="shared" si="14"/>
        <v>0</v>
      </c>
    </row>
    <row r="449" spans="1:22" ht="14.25" hidden="1" x14ac:dyDescent="0.2">
      <c r="A449" s="478"/>
      <c r="B449" s="763"/>
      <c r="C449" s="439"/>
      <c r="D449" s="439" t="s">
        <v>45</v>
      </c>
      <c r="E449" s="440"/>
      <c r="F449" s="270"/>
      <c r="G449" s="441">
        <f>[86]Source!AN1837</f>
        <v>1.31</v>
      </c>
      <c r="H449" s="766" t="s">
        <v>53</v>
      </c>
      <c r="I449" s="270">
        <f>[86]Source!AV1838</f>
        <v>1.0669999999999999</v>
      </c>
      <c r="J449" s="443">
        <f>ROUND(F436*G449*I449*(1.67-1), 2)</f>
        <v>0</v>
      </c>
      <c r="K449" s="270">
        <f>IF([86]Source!BS1838&lt;&gt; 0, [86]Source!BS1838, 1)</f>
        <v>24.53</v>
      </c>
      <c r="L449" s="443">
        <f>ROUND(ROUND(F436*G449*I449*(1.67-1), 2)*K449, 2)</f>
        <v>0</v>
      </c>
    </row>
    <row r="450" spans="1:22" ht="14.25" hidden="1" x14ac:dyDescent="0.2">
      <c r="A450" s="478"/>
      <c r="B450" s="763"/>
      <c r="C450" s="439"/>
      <c r="D450" s="439" t="s">
        <v>50</v>
      </c>
      <c r="E450" s="440" t="s">
        <v>48</v>
      </c>
      <c r="F450" s="270">
        <f>175</f>
        <v>175</v>
      </c>
      <c r="G450" s="441"/>
      <c r="H450" s="442"/>
      <c r="I450" s="270"/>
      <c r="J450" s="480">
        <f>ROUND(J449*(F450/100), 2)</f>
        <v>0</v>
      </c>
      <c r="K450" s="270">
        <f>157</f>
        <v>157</v>
      </c>
      <c r="L450" s="480">
        <f>ROUND(L449*(K450/100), 2)</f>
        <v>0</v>
      </c>
    </row>
    <row r="451" spans="1:22" ht="15" hidden="1" x14ac:dyDescent="0.25">
      <c r="A451" s="311"/>
      <c r="B451" s="313"/>
      <c r="C451" s="311"/>
      <c r="D451" s="312" t="s">
        <v>81</v>
      </c>
      <c r="E451" s="311"/>
      <c r="F451" s="311"/>
      <c r="G451" s="311"/>
      <c r="H451" s="311"/>
      <c r="I451" s="639">
        <f>J450+J449</f>
        <v>0</v>
      </c>
      <c r="J451" s="639"/>
      <c r="K451" s="639">
        <f>L450+L449</f>
        <v>0</v>
      </c>
      <c r="L451" s="639"/>
      <c r="O451" s="765">
        <f>I451</f>
        <v>0</v>
      </c>
      <c r="P451" s="765">
        <f>K451</f>
        <v>0</v>
      </c>
    </row>
    <row r="452" spans="1:22" hidden="1" x14ac:dyDescent="0.2"/>
    <row r="453" spans="1:22" s="775" customFormat="1" ht="66.75" hidden="1" x14ac:dyDescent="0.2">
      <c r="A453" s="767">
        <v>45</v>
      </c>
      <c r="B453" s="768" t="s">
        <v>395</v>
      </c>
      <c r="C453" s="769" t="str">
        <f>[86]Source!F1839</f>
        <v>Прайс-лист</v>
      </c>
      <c r="D453" s="769" t="s">
        <v>394</v>
      </c>
      <c r="E453" s="770" t="str">
        <f>[86]Source!H1839</f>
        <v>шт.</v>
      </c>
      <c r="F453" s="771">
        <f>[86]Source!I1839</f>
        <v>0</v>
      </c>
      <c r="G453" s="772">
        <f>[86]Source!AL1839</f>
        <v>183069.85</v>
      </c>
      <c r="H453" s="773">
        <f>[86]Source!DD1839</f>
        <v>0</v>
      </c>
      <c r="I453" s="771">
        <f>[86]Source!AW1840</f>
        <v>1</v>
      </c>
      <c r="J453" s="774">
        <f>[86]Source!P1839</f>
        <v>0</v>
      </c>
      <c r="K453" s="771">
        <f>IF([86]Source!BC1840&lt;&gt; 0, [86]Source!BC1840, 1)</f>
        <v>4.5999999999999996</v>
      </c>
      <c r="L453" s="774">
        <v>0</v>
      </c>
      <c r="Q453" s="775">
        <f>[86]Source!X1839</f>
        <v>0</v>
      </c>
      <c r="R453" s="775">
        <f>[86]Source!X1840</f>
        <v>0</v>
      </c>
      <c r="S453" s="775">
        <f>[86]Source!Y1839</f>
        <v>0</v>
      </c>
      <c r="T453" s="775">
        <f>[86]Source!Y1840</f>
        <v>0</v>
      </c>
      <c r="U453" s="775">
        <f>ROUND((175/100)*ROUND([86]Source!R1839, 2), 2)</f>
        <v>0</v>
      </c>
      <c r="V453" s="775">
        <f>ROUND((157/100)*ROUND([86]Source!R1840, 2), 2)</f>
        <v>0</v>
      </c>
    </row>
    <row r="454" spans="1:22" s="775" customFormat="1" ht="15" hidden="1" x14ac:dyDescent="0.25">
      <c r="A454" s="776"/>
      <c r="B454" s="777"/>
      <c r="C454" s="776"/>
      <c r="D454" s="778" t="s">
        <v>81</v>
      </c>
      <c r="E454" s="776"/>
      <c r="F454" s="776"/>
      <c r="G454" s="776"/>
      <c r="H454" s="776"/>
      <c r="I454" s="779">
        <f>J453</f>
        <v>0</v>
      </c>
      <c r="J454" s="779"/>
      <c r="K454" s="779">
        <f>L453</f>
        <v>0</v>
      </c>
      <c r="L454" s="779"/>
      <c r="O454" s="780">
        <f>J453</f>
        <v>0</v>
      </c>
      <c r="P454" s="780">
        <f>L453</f>
        <v>0</v>
      </c>
    </row>
    <row r="455" spans="1:22" hidden="1" x14ac:dyDescent="0.2"/>
    <row r="456" spans="1:22" hidden="1" x14ac:dyDescent="0.2"/>
    <row r="457" spans="1:22" ht="15" hidden="1" x14ac:dyDescent="0.25">
      <c r="A457" s="634" t="str">
        <f>CONCATENATE("Итого по подразделу: ",IF([86]Source!G1842&lt;&gt;"Новый подраздел", [86]Source!G1842, ""))</f>
        <v>Итого по подразделу: В2-34, В2-34р</v>
      </c>
      <c r="B457" s="634"/>
      <c r="C457" s="634"/>
      <c r="D457" s="634"/>
      <c r="E457" s="634"/>
      <c r="F457" s="634"/>
      <c r="G457" s="634"/>
      <c r="H457" s="634"/>
      <c r="I457" s="640">
        <f>SUM(O435:O456)</f>
        <v>0</v>
      </c>
      <c r="J457" s="641"/>
      <c r="K457" s="640">
        <f>SUM(P435:P456)</f>
        <v>0</v>
      </c>
      <c r="L457" s="641"/>
    </row>
    <row r="458" spans="1:22" hidden="1" x14ac:dyDescent="0.2">
      <c r="A458" s="178" t="s">
        <v>54</v>
      </c>
      <c r="J458" s="178">
        <f>SUM(W435:W457)</f>
        <v>0</v>
      </c>
      <c r="K458" s="178">
        <f>SUM(X435:X457)</f>
        <v>0</v>
      </c>
    </row>
    <row r="459" spans="1:22" hidden="1" x14ac:dyDescent="0.2">
      <c r="A459" s="178" t="s">
        <v>55</v>
      </c>
      <c r="J459" s="178">
        <f>SUM(Y435:Y458)</f>
        <v>0</v>
      </c>
      <c r="K459" s="178">
        <f>SUM(Z435:Z458)</f>
        <v>0</v>
      </c>
    </row>
    <row r="460" spans="1:22" hidden="1" x14ac:dyDescent="0.2"/>
    <row r="461" spans="1:22" hidden="1" x14ac:dyDescent="0.2">
      <c r="A461" s="178" t="s">
        <v>54</v>
      </c>
      <c r="J461" s="178" t="e">
        <f>SUM(#REF!)</f>
        <v>#REF!</v>
      </c>
      <c r="K461" s="178" t="e">
        <f>SUM(#REF!)</f>
        <v>#REF!</v>
      </c>
    </row>
    <row r="462" spans="1:22" hidden="1" x14ac:dyDescent="0.2">
      <c r="A462" s="178" t="s">
        <v>55</v>
      </c>
      <c r="J462" s="178">
        <f>SUM(Y461:Y461)</f>
        <v>0</v>
      </c>
      <c r="K462" s="178">
        <f>SUM(Z461:Z461)</f>
        <v>0</v>
      </c>
    </row>
    <row r="463" spans="1:22" hidden="1" x14ac:dyDescent="0.2"/>
    <row r="464" spans="1:22" ht="16.5" x14ac:dyDescent="0.25">
      <c r="A464" s="642" t="str">
        <f>CONCATENATE("Подраздел: ",IF([86]Source!G2454&lt;&gt;"Новый подраздел", [86]Source!G2454, ""))</f>
        <v>Подраздел: Дополнительные материалы и оборудование</v>
      </c>
      <c r="B464" s="642"/>
      <c r="C464" s="642"/>
      <c r="D464" s="642"/>
      <c r="E464" s="642"/>
      <c r="F464" s="642"/>
      <c r="G464" s="642"/>
      <c r="H464" s="642"/>
      <c r="I464" s="642"/>
      <c r="J464" s="642"/>
      <c r="K464" s="642"/>
      <c r="L464" s="642"/>
    </row>
    <row r="465" spans="1:22" ht="52.5" x14ac:dyDescent="0.2">
      <c r="A465" s="478">
        <v>46</v>
      </c>
      <c r="B465" s="763" t="s">
        <v>393</v>
      </c>
      <c r="C465" s="439" t="s">
        <v>392</v>
      </c>
      <c r="D465" s="439" t="s">
        <v>391</v>
      </c>
      <c r="E465" s="440" t="str">
        <f>[86]Source!H2498</f>
        <v>1 клапан</v>
      </c>
      <c r="F465" s="270">
        <f>[86]Source!I2498</f>
        <v>2</v>
      </c>
      <c r="G465" s="441"/>
      <c r="H465" s="442"/>
      <c r="I465" s="270"/>
      <c r="J465" s="480"/>
      <c r="K465" s="270"/>
      <c r="L465" s="480"/>
      <c r="Q465" s="178">
        <f>[86]Source!X2498</f>
        <v>110.31</v>
      </c>
      <c r="R465" s="178">
        <f>[86]Source!X2499</f>
        <v>2329.08</v>
      </c>
      <c r="S465" s="178">
        <f>[86]Source!Y2498</f>
        <v>97.74</v>
      </c>
      <c r="T465" s="178">
        <f>[86]Source!Y2499</f>
        <v>1472.8</v>
      </c>
      <c r="U465" s="178">
        <f>ROUND((175/100)*ROUND([86]Source!R2498, 2), 2)</f>
        <v>0.19</v>
      </c>
      <c r="V465" s="178">
        <f>ROUND((157/100)*ROUND([86]Source!R2499, 2), 2)</f>
        <v>4.24</v>
      </c>
    </row>
    <row r="466" spans="1:22" ht="14.25" x14ac:dyDescent="0.2">
      <c r="A466" s="478"/>
      <c r="B466" s="763"/>
      <c r="C466" s="439"/>
      <c r="D466" s="439" t="s">
        <v>43</v>
      </c>
      <c r="E466" s="440"/>
      <c r="F466" s="270"/>
      <c r="G466" s="441">
        <f>[86]Source!AO2498</f>
        <v>39.18</v>
      </c>
      <c r="H466" s="442" t="str">
        <f>[86]Source!DG2498</f>
        <v>)*1,67</v>
      </c>
      <c r="I466" s="270">
        <f>[86]Source!AV2499</f>
        <v>1.0669999999999999</v>
      </c>
      <c r="J466" s="480">
        <f>[86]Source!S2498</f>
        <v>139.63</v>
      </c>
      <c r="K466" s="270">
        <f>IF([86]Source!BA2499&lt;&gt; 0, [86]Source!BA2499, 1)</f>
        <v>24.53</v>
      </c>
      <c r="L466" s="480">
        <f>[86]Source!S2499</f>
        <v>3425.12</v>
      </c>
    </row>
    <row r="467" spans="1:22" ht="14.25" x14ac:dyDescent="0.2">
      <c r="A467" s="478"/>
      <c r="B467" s="763"/>
      <c r="C467" s="439"/>
      <c r="D467" s="439" t="s">
        <v>44</v>
      </c>
      <c r="E467" s="440"/>
      <c r="F467" s="270"/>
      <c r="G467" s="441">
        <f>[86]Source!AM2498</f>
        <v>0.73</v>
      </c>
      <c r="H467" s="442">
        <f>[86]Source!DE2498</f>
        <v>0</v>
      </c>
      <c r="I467" s="270">
        <f>[86]Source!AV2499</f>
        <v>1.0669999999999999</v>
      </c>
      <c r="J467" s="480">
        <f>[86]Source!Q2498-J477</f>
        <v>1.56</v>
      </c>
      <c r="K467" s="270">
        <f>IF([86]Source!BB2499&lt;&gt; 0, [86]Source!BB2499, 1)</f>
        <v>6.45</v>
      </c>
      <c r="L467" s="480">
        <f>[86]Source!Q2499-L477</f>
        <v>10.06</v>
      </c>
    </row>
    <row r="468" spans="1:22" ht="14.25" x14ac:dyDescent="0.2">
      <c r="A468" s="478"/>
      <c r="B468" s="763"/>
      <c r="C468" s="439"/>
      <c r="D468" s="439" t="s">
        <v>45</v>
      </c>
      <c r="E468" s="440"/>
      <c r="F468" s="270"/>
      <c r="G468" s="441">
        <f>[86]Source!AN2498</f>
        <v>0.03</v>
      </c>
      <c r="H468" s="442">
        <f>[86]Source!DE2498</f>
        <v>0</v>
      </c>
      <c r="I468" s="270">
        <f>[86]Source!AV2499</f>
        <v>1.0669999999999999</v>
      </c>
      <c r="J468" s="443">
        <f>[86]Source!R2498-J478</f>
        <v>7.0000000000000007E-2</v>
      </c>
      <c r="K468" s="270">
        <f>IF([86]Source!BS2499&lt;&gt; 0, [86]Source!BS2499, 1)</f>
        <v>24.53</v>
      </c>
      <c r="L468" s="443">
        <f>[86]Source!R2499-L478</f>
        <v>1.72</v>
      </c>
    </row>
    <row r="469" spans="1:22" ht="14.25" x14ac:dyDescent="0.2">
      <c r="A469" s="478"/>
      <c r="B469" s="763"/>
      <c r="C469" s="439"/>
      <c r="D469" s="439" t="s">
        <v>46</v>
      </c>
      <c r="E469" s="440"/>
      <c r="F469" s="270"/>
      <c r="G469" s="441">
        <f>[86]Source!AL2498</f>
        <v>5.44</v>
      </c>
      <c r="H469" s="442">
        <f>[86]Source!DD2498</f>
        <v>0</v>
      </c>
      <c r="I469" s="270">
        <f>[86]Source!AW2499</f>
        <v>1.028</v>
      </c>
      <c r="J469" s="480">
        <f>[86]Source!P2498</f>
        <v>11.18</v>
      </c>
      <c r="K469" s="270">
        <f>IF([86]Source!BC2499&lt;&gt; 0, [86]Source!BC2499, 1)</f>
        <v>5.69</v>
      </c>
      <c r="L469" s="480">
        <f>[86]Source!P2499</f>
        <v>63.61</v>
      </c>
    </row>
    <row r="470" spans="1:22" ht="14.25" x14ac:dyDescent="0.2">
      <c r="A470" s="478"/>
      <c r="B470" s="763"/>
      <c r="C470" s="439"/>
      <c r="D470" s="439" t="s">
        <v>47</v>
      </c>
      <c r="E470" s="440" t="s">
        <v>48</v>
      </c>
      <c r="F470" s="270">
        <f>[86]Source!DN2499</f>
        <v>68</v>
      </c>
      <c r="G470" s="441"/>
      <c r="H470" s="442"/>
      <c r="I470" s="270"/>
      <c r="J470" s="480">
        <f>SUM(Q465:Q469)</f>
        <v>110.31</v>
      </c>
      <c r="K470" s="270">
        <f>[86]Source!BZ2499</f>
        <v>68</v>
      </c>
      <c r="L470" s="480">
        <f>SUM(R465:R469)</f>
        <v>2329.08</v>
      </c>
    </row>
    <row r="471" spans="1:22" ht="14.25" x14ac:dyDescent="0.2">
      <c r="A471" s="478"/>
      <c r="B471" s="763"/>
      <c r="C471" s="439"/>
      <c r="D471" s="439" t="s">
        <v>49</v>
      </c>
      <c r="E471" s="440" t="s">
        <v>48</v>
      </c>
      <c r="F471" s="270">
        <f>[86]Source!DO2499</f>
        <v>43</v>
      </c>
      <c r="G471" s="441"/>
      <c r="H471" s="442"/>
      <c r="I471" s="270"/>
      <c r="J471" s="480">
        <f>SUM(S465:S470)</f>
        <v>97.74</v>
      </c>
      <c r="K471" s="270">
        <f>[86]Source!CA2499</f>
        <v>43</v>
      </c>
      <c r="L471" s="480">
        <f>SUM(T465:T470)</f>
        <v>1472.8</v>
      </c>
    </row>
    <row r="472" spans="1:22" ht="14.25" x14ac:dyDescent="0.2">
      <c r="A472" s="478"/>
      <c r="B472" s="763"/>
      <c r="C472" s="439"/>
      <c r="D472" s="439" t="s">
        <v>50</v>
      </c>
      <c r="E472" s="440" t="s">
        <v>48</v>
      </c>
      <c r="F472" s="270">
        <f>175</f>
        <v>175</v>
      </c>
      <c r="G472" s="441"/>
      <c r="H472" s="442"/>
      <c r="I472" s="270"/>
      <c r="J472" s="480">
        <f>SUM(U465:U471)-J479</f>
        <v>0.12</v>
      </c>
      <c r="K472" s="270">
        <f>157</f>
        <v>157</v>
      </c>
      <c r="L472" s="480">
        <f>SUM(V465:V471)-L479</f>
        <v>2.7</v>
      </c>
    </row>
    <row r="473" spans="1:22" ht="14.25" x14ac:dyDescent="0.2">
      <c r="A473" s="479"/>
      <c r="B473" s="309"/>
      <c r="C473" s="308"/>
      <c r="D473" s="308" t="s">
        <v>51</v>
      </c>
      <c r="E473" s="307" t="s">
        <v>52</v>
      </c>
      <c r="F473" s="306">
        <f>[86]Source!AQ2498</f>
        <v>3.37</v>
      </c>
      <c r="G473" s="305"/>
      <c r="H473" s="315">
        <f>[86]Source!DI2498</f>
        <v>0</v>
      </c>
      <c r="I473" s="306">
        <f>[86]Source!AV2499</f>
        <v>1.0669999999999999</v>
      </c>
      <c r="J473" s="314">
        <f>[86]Source!U2498</f>
        <v>7.19</v>
      </c>
      <c r="K473" s="306"/>
      <c r="L473" s="314"/>
    </row>
    <row r="474" spans="1:22" ht="15" x14ac:dyDescent="0.25">
      <c r="D474" s="764" t="s">
        <v>81</v>
      </c>
      <c r="I474" s="640">
        <f>J466+J467+J469+J470+J471+J472</f>
        <v>360.54</v>
      </c>
      <c r="J474" s="640"/>
      <c r="K474" s="640">
        <f>L466+L467+L469+L470+L471+L472</f>
        <v>7303.37</v>
      </c>
      <c r="L474" s="640"/>
      <c r="O474" s="765">
        <f>J466+J467+J469+J470+J471+J472</f>
        <v>360.54</v>
      </c>
      <c r="P474" s="765">
        <f>L466+L467+L469+L470+L471+L472</f>
        <v>7303.37</v>
      </c>
    </row>
    <row r="476" spans="1:22" ht="28.5" x14ac:dyDescent="0.2">
      <c r="A476" s="478">
        <v>47</v>
      </c>
      <c r="B476" s="763" t="s">
        <v>390</v>
      </c>
      <c r="C476" s="439"/>
      <c r="D476" s="439" t="s">
        <v>82</v>
      </c>
      <c r="E476" s="440" t="str">
        <f>[86]Source!H2498</f>
        <v>1 клапан</v>
      </c>
      <c r="F476" s="270">
        <f>[86]Source!I2498</f>
        <v>2</v>
      </c>
      <c r="G476" s="441"/>
      <c r="H476" s="442"/>
      <c r="I476" s="270"/>
      <c r="J476" s="480"/>
      <c r="K476" s="270"/>
      <c r="L476" s="480"/>
    </row>
    <row r="477" spans="1:22" ht="14.25" x14ac:dyDescent="0.2">
      <c r="A477" s="478"/>
      <c r="B477" s="763"/>
      <c r="C477" s="439"/>
      <c r="D477" s="439" t="s">
        <v>44</v>
      </c>
      <c r="E477" s="440"/>
      <c r="F477" s="270"/>
      <c r="G477" s="441">
        <f t="shared" ref="G477:L477" si="15">G478</f>
        <v>0.03</v>
      </c>
      <c r="H477" s="766" t="str">
        <f t="shared" si="15"/>
        <v>)*(1.67-1)</v>
      </c>
      <c r="I477" s="270">
        <f t="shared" si="15"/>
        <v>1.0669999999999999</v>
      </c>
      <c r="J477" s="480">
        <f t="shared" si="15"/>
        <v>0.04</v>
      </c>
      <c r="K477" s="270">
        <f t="shared" si="15"/>
        <v>24.53</v>
      </c>
      <c r="L477" s="480">
        <f t="shared" si="15"/>
        <v>0.98</v>
      </c>
    </row>
    <row r="478" spans="1:22" ht="14.25" x14ac:dyDescent="0.2">
      <c r="A478" s="478"/>
      <c r="B478" s="763"/>
      <c r="C478" s="439"/>
      <c r="D478" s="439" t="s">
        <v>45</v>
      </c>
      <c r="E478" s="440"/>
      <c r="F478" s="270"/>
      <c r="G478" s="441">
        <f>[86]Source!AN2498</f>
        <v>0.03</v>
      </c>
      <c r="H478" s="766" t="s">
        <v>53</v>
      </c>
      <c r="I478" s="270">
        <f>[86]Source!AV2499</f>
        <v>1.0669999999999999</v>
      </c>
      <c r="J478" s="443">
        <f>ROUND(F465*G478*I478*(1.67-1), 2)</f>
        <v>0.04</v>
      </c>
      <c r="K478" s="270">
        <f>IF([86]Source!BS2499&lt;&gt; 0, [86]Source!BS2499, 1)</f>
        <v>24.53</v>
      </c>
      <c r="L478" s="443">
        <f>ROUND(ROUND(F465*G478*I478*(1.67-1), 2)*K478, 2)</f>
        <v>0.98</v>
      </c>
    </row>
    <row r="479" spans="1:22" ht="14.25" x14ac:dyDescent="0.2">
      <c r="A479" s="478"/>
      <c r="B479" s="763"/>
      <c r="C479" s="439"/>
      <c r="D479" s="439" t="s">
        <v>50</v>
      </c>
      <c r="E479" s="440" t="s">
        <v>48</v>
      </c>
      <c r="F479" s="270">
        <f>175</f>
        <v>175</v>
      </c>
      <c r="G479" s="441"/>
      <c r="H479" s="442"/>
      <c r="I479" s="270"/>
      <c r="J479" s="480">
        <f>ROUND(J478*(F479/100), 2)</f>
        <v>7.0000000000000007E-2</v>
      </c>
      <c r="K479" s="270">
        <f>157</f>
        <v>157</v>
      </c>
      <c r="L479" s="480">
        <f>ROUND(L478*(K479/100), 2)</f>
        <v>1.54</v>
      </c>
    </row>
    <row r="480" spans="1:22" ht="15" x14ac:dyDescent="0.25">
      <c r="A480" s="311"/>
      <c r="B480" s="313"/>
      <c r="C480" s="311"/>
      <c r="D480" s="312" t="s">
        <v>81</v>
      </c>
      <c r="E480" s="311"/>
      <c r="F480" s="311"/>
      <c r="G480" s="311"/>
      <c r="H480" s="311"/>
      <c r="I480" s="639">
        <f>J479+J478</f>
        <v>0.11</v>
      </c>
      <c r="J480" s="639"/>
      <c r="K480" s="639">
        <f>L479+L478</f>
        <v>2.52</v>
      </c>
      <c r="L480" s="639"/>
      <c r="O480" s="765">
        <f>I480</f>
        <v>0.11</v>
      </c>
      <c r="P480" s="765">
        <f>K480</f>
        <v>2.52</v>
      </c>
    </row>
    <row r="482" spans="1:22" ht="182.25" x14ac:dyDescent="0.2">
      <c r="A482" s="479">
        <v>48</v>
      </c>
      <c r="B482" s="309" t="s">
        <v>389</v>
      </c>
      <c r="C482" s="308" t="str">
        <f>[86]Source!F2500</f>
        <v>МКЭ-33-1005/8-1 от 26.07.2018г.</v>
      </c>
      <c r="D482" s="308" t="s">
        <v>388</v>
      </c>
      <c r="E482" s="307" t="str">
        <f>[86]Source!H2500</f>
        <v>шт.</v>
      </c>
      <c r="F482" s="306">
        <f>[86]Source!I2500</f>
        <v>2</v>
      </c>
      <c r="G482" s="305">
        <f>[86]Source!AL2500</f>
        <v>1668.84</v>
      </c>
      <c r="H482" s="315">
        <f>[86]Source!DD2500</f>
        <v>0</v>
      </c>
      <c r="I482" s="306">
        <f>[86]Source!AW2501</f>
        <v>1</v>
      </c>
      <c r="J482" s="314">
        <f>L482/K482</f>
        <v>3337.68</v>
      </c>
      <c r="K482" s="306">
        <f>IF([86]Source!BC2501&lt;&gt; 0, [86]Source!BC2501, 1)</f>
        <v>5.65</v>
      </c>
      <c r="L482" s="314">
        <f>9244.07*1.02*F482</f>
        <v>18857.900000000001</v>
      </c>
      <c r="Q482" s="178">
        <f>[86]Source!X2500</f>
        <v>0</v>
      </c>
      <c r="R482" s="178">
        <f>[86]Source!X2501</f>
        <v>0</v>
      </c>
      <c r="S482" s="178">
        <f>[86]Source!Y2500</f>
        <v>0</v>
      </c>
      <c r="T482" s="178">
        <f>[86]Source!Y2501</f>
        <v>0</v>
      </c>
      <c r="U482" s="178">
        <f>ROUND((175/100)*ROUND([86]Source!R2500, 2), 2)</f>
        <v>0</v>
      </c>
      <c r="V482" s="178">
        <f>ROUND((157/100)*ROUND([86]Source!R2501, 2), 2)</f>
        <v>0</v>
      </c>
    </row>
    <row r="483" spans="1:22" ht="15" x14ac:dyDescent="0.25">
      <c r="A483" s="311"/>
      <c r="B483" s="313"/>
      <c r="C483" s="311"/>
      <c r="D483" s="312" t="s">
        <v>81</v>
      </c>
      <c r="E483" s="311"/>
      <c r="F483" s="311"/>
      <c r="G483" s="311"/>
      <c r="H483" s="311"/>
      <c r="I483" s="639">
        <f>J482</f>
        <v>3337.68</v>
      </c>
      <c r="J483" s="639"/>
      <c r="K483" s="639">
        <f>L482</f>
        <v>18857.900000000001</v>
      </c>
      <c r="L483" s="639"/>
      <c r="O483" s="765">
        <f>J482</f>
        <v>3337.68</v>
      </c>
      <c r="P483" s="765">
        <f>L482</f>
        <v>18857.900000000001</v>
      </c>
    </row>
    <row r="485" spans="1:22" ht="131.25" customHeight="1" x14ac:dyDescent="0.2">
      <c r="A485" s="478">
        <v>49</v>
      </c>
      <c r="B485" s="763" t="s">
        <v>387</v>
      </c>
      <c r="C485" s="439" t="s">
        <v>386</v>
      </c>
      <c r="D485" s="439" t="s">
        <v>385</v>
      </c>
      <c r="E485" s="440" t="str">
        <f>[86]Source!H2508</f>
        <v>1 клапан</v>
      </c>
      <c r="F485" s="270">
        <f>[86]Source!I2508</f>
        <v>2</v>
      </c>
      <c r="G485" s="441"/>
      <c r="H485" s="442"/>
      <c r="I485" s="270"/>
      <c r="J485" s="480"/>
      <c r="K485" s="270"/>
      <c r="L485" s="480"/>
      <c r="Q485" s="178">
        <f>[86]Source!X2508</f>
        <v>221.15</v>
      </c>
      <c r="R485" s="178">
        <f>[86]Source!X2509</f>
        <v>4339.8500000000004</v>
      </c>
      <c r="S485" s="178">
        <f>[86]Source!Y2508</f>
        <v>166.3</v>
      </c>
      <c r="T485" s="178">
        <f>[86]Source!Y2509</f>
        <v>1952.93</v>
      </c>
      <c r="U485" s="178">
        <f>ROUND((175/100)*ROUND([86]Source!R2508, 2), 2)</f>
        <v>2.29</v>
      </c>
      <c r="V485" s="178">
        <f>ROUND((157/100)*ROUND([86]Source!R2509, 2), 2)</f>
        <v>50.44</v>
      </c>
    </row>
    <row r="486" spans="1:22" ht="14.25" x14ac:dyDescent="0.2">
      <c r="A486" s="478"/>
      <c r="B486" s="763"/>
      <c r="C486" s="439"/>
      <c r="D486" s="439" t="s">
        <v>43</v>
      </c>
      <c r="E486" s="440"/>
      <c r="F486" s="270"/>
      <c r="G486" s="441">
        <f>[86]Source!AO2508</f>
        <v>47.28</v>
      </c>
      <c r="H486" s="442" t="str">
        <f>[86]Source!DG2508</f>
        <v>)*1,05)*1,67</v>
      </c>
      <c r="I486" s="270">
        <f>[86]Source!AV2509</f>
        <v>1.0669999999999999</v>
      </c>
      <c r="J486" s="480">
        <f>[86]Source!S2508</f>
        <v>176.92</v>
      </c>
      <c r="K486" s="270">
        <f>IF([86]Source!BA2509&lt;&gt; 0, [86]Source!BA2509, 1)</f>
        <v>24.53</v>
      </c>
      <c r="L486" s="480">
        <f>[86]Source!S2509</f>
        <v>4339.8500000000004</v>
      </c>
    </row>
    <row r="487" spans="1:22" ht="14.25" x14ac:dyDescent="0.2">
      <c r="A487" s="478"/>
      <c r="B487" s="763"/>
      <c r="C487" s="439"/>
      <c r="D487" s="439" t="s">
        <v>44</v>
      </c>
      <c r="E487" s="440"/>
      <c r="F487" s="270"/>
      <c r="G487" s="441">
        <f>[86]Source!AM2508</f>
        <v>1.49</v>
      </c>
      <c r="H487" s="442" t="str">
        <f>[86]Source!DE2508</f>
        <v>)*1,05</v>
      </c>
      <c r="I487" s="270">
        <f>[86]Source!AV2509</f>
        <v>1.0669999999999999</v>
      </c>
      <c r="J487" s="480">
        <f>[86]Source!Q2508-J497</f>
        <v>3.34</v>
      </c>
      <c r="K487" s="270">
        <f>IF([86]Source!BB2509&lt;&gt; 0, [86]Source!BB2509, 1)</f>
        <v>10.11</v>
      </c>
      <c r="L487" s="480">
        <f>[86]Source!Q2509-L497</f>
        <v>33.770000000000003</v>
      </c>
    </row>
    <row r="488" spans="1:22" ht="14.25" x14ac:dyDescent="0.2">
      <c r="A488" s="478"/>
      <c r="B488" s="763"/>
      <c r="C488" s="439"/>
      <c r="D488" s="439" t="s">
        <v>45</v>
      </c>
      <c r="E488" s="440"/>
      <c r="F488" s="270"/>
      <c r="G488" s="441">
        <f>[86]Source!AN2508</f>
        <v>0.35</v>
      </c>
      <c r="H488" s="442" t="str">
        <f>[86]Source!DE2508</f>
        <v>)*1,05</v>
      </c>
      <c r="I488" s="270">
        <f>[86]Source!AV2509</f>
        <v>1.0669999999999999</v>
      </c>
      <c r="J488" s="443">
        <f>[86]Source!R2508-J498</f>
        <v>0.78</v>
      </c>
      <c r="K488" s="270">
        <f>IF([86]Source!BS2509&lt;&gt; 0, [86]Source!BS2509, 1)</f>
        <v>24.53</v>
      </c>
      <c r="L488" s="443">
        <f>[86]Source!R2509-L498</f>
        <v>19.13</v>
      </c>
    </row>
    <row r="489" spans="1:22" ht="14.25" x14ac:dyDescent="0.2">
      <c r="A489" s="478"/>
      <c r="B489" s="763"/>
      <c r="C489" s="439"/>
      <c r="D489" s="439" t="s">
        <v>46</v>
      </c>
      <c r="E489" s="440"/>
      <c r="F489" s="270"/>
      <c r="G489" s="441">
        <f>[86]Source!AL2508</f>
        <v>15.67</v>
      </c>
      <c r="H489" s="442">
        <f>[86]Source!DD2508</f>
        <v>0</v>
      </c>
      <c r="I489" s="270">
        <f>[86]Source!AW2509</f>
        <v>1</v>
      </c>
      <c r="J489" s="480">
        <f>[86]Source!P2508</f>
        <v>31.34</v>
      </c>
      <c r="K489" s="270">
        <f>IF([86]Source!BC2509&lt;&gt; 0, [86]Source!BC2509, 1)</f>
        <v>8.3000000000000007</v>
      </c>
      <c r="L489" s="480">
        <f>[86]Source!P2509</f>
        <v>260.12</v>
      </c>
    </row>
    <row r="490" spans="1:22" ht="14.25" x14ac:dyDescent="0.2">
      <c r="A490" s="478"/>
      <c r="B490" s="763"/>
      <c r="C490" s="439"/>
      <c r="D490" s="439" t="s">
        <v>47</v>
      </c>
      <c r="E490" s="440" t="s">
        <v>48</v>
      </c>
      <c r="F490" s="270">
        <f>[86]Source!DN2509</f>
        <v>100</v>
      </c>
      <c r="G490" s="441"/>
      <c r="H490" s="442"/>
      <c r="I490" s="270"/>
      <c r="J490" s="480">
        <f>SUM(Q485:Q489)</f>
        <v>221.15</v>
      </c>
      <c r="K490" s="270">
        <f>[86]Source!BZ2509</f>
        <v>100</v>
      </c>
      <c r="L490" s="480">
        <f>SUM(R485:R489)</f>
        <v>4339.8500000000004</v>
      </c>
    </row>
    <row r="491" spans="1:22" ht="14.25" x14ac:dyDescent="0.2">
      <c r="A491" s="478"/>
      <c r="B491" s="763"/>
      <c r="C491" s="439"/>
      <c r="D491" s="439" t="s">
        <v>49</v>
      </c>
      <c r="E491" s="440" t="s">
        <v>48</v>
      </c>
      <c r="F491" s="270">
        <f>[86]Source!DO2509</f>
        <v>45</v>
      </c>
      <c r="G491" s="441"/>
      <c r="H491" s="442"/>
      <c r="I491" s="270"/>
      <c r="J491" s="480">
        <f>SUM(S485:S490)</f>
        <v>166.3</v>
      </c>
      <c r="K491" s="270">
        <f>[86]Source!CA2509</f>
        <v>45</v>
      </c>
      <c r="L491" s="480">
        <f>SUM(T485:T490)</f>
        <v>1952.93</v>
      </c>
    </row>
    <row r="492" spans="1:22" ht="14.25" x14ac:dyDescent="0.2">
      <c r="A492" s="478"/>
      <c r="B492" s="763"/>
      <c r="C492" s="439"/>
      <c r="D492" s="439" t="s">
        <v>50</v>
      </c>
      <c r="E492" s="440" t="s">
        <v>48</v>
      </c>
      <c r="F492" s="270">
        <f>175</f>
        <v>175</v>
      </c>
      <c r="G492" s="441"/>
      <c r="H492" s="442"/>
      <c r="I492" s="270"/>
      <c r="J492" s="480">
        <f>SUM(U485:U491)-J499</f>
        <v>1.36</v>
      </c>
      <c r="K492" s="270">
        <f>157</f>
        <v>157</v>
      </c>
      <c r="L492" s="480">
        <f>SUM(V485:V491)-L499</f>
        <v>30.03</v>
      </c>
    </row>
    <row r="493" spans="1:22" ht="14.25" x14ac:dyDescent="0.2">
      <c r="A493" s="479"/>
      <c r="B493" s="309"/>
      <c r="C493" s="308"/>
      <c r="D493" s="308" t="s">
        <v>51</v>
      </c>
      <c r="E493" s="307" t="s">
        <v>52</v>
      </c>
      <c r="F493" s="306">
        <f>[86]Source!AQ2508</f>
        <v>4.0199999999999996</v>
      </c>
      <c r="G493" s="305"/>
      <c r="H493" s="315" t="str">
        <f>[86]Source!DI2508</f>
        <v>)*1,05</v>
      </c>
      <c r="I493" s="306">
        <f>[86]Source!AV2509</f>
        <v>1.0669999999999999</v>
      </c>
      <c r="J493" s="314">
        <f>[86]Source!U2508</f>
        <v>9.01</v>
      </c>
      <c r="K493" s="306"/>
      <c r="L493" s="314"/>
    </row>
    <row r="494" spans="1:22" ht="15" x14ac:dyDescent="0.25">
      <c r="D494" s="764" t="s">
        <v>81</v>
      </c>
      <c r="I494" s="640">
        <f>J486+J487+J489+J490+J491+J492</f>
        <v>600.41</v>
      </c>
      <c r="J494" s="640"/>
      <c r="K494" s="640">
        <f>L486+L487+L489+L490+L491+L492</f>
        <v>10956.55</v>
      </c>
      <c r="L494" s="640"/>
      <c r="O494" s="765">
        <f>J486+J487+J489+J490+J491+J492</f>
        <v>600.41</v>
      </c>
      <c r="P494" s="765">
        <f>L486+L487+L489+L490+L491+L492</f>
        <v>10956.55</v>
      </c>
    </row>
    <row r="496" spans="1:22" ht="28.5" x14ac:dyDescent="0.2">
      <c r="A496" s="478">
        <v>50</v>
      </c>
      <c r="B496" s="763" t="s">
        <v>384</v>
      </c>
      <c r="C496" s="439"/>
      <c r="D496" s="439" t="s">
        <v>82</v>
      </c>
      <c r="E496" s="440" t="str">
        <f>[86]Source!H2508</f>
        <v>1 клапан</v>
      </c>
      <c r="F496" s="270">
        <f>[86]Source!I2508</f>
        <v>2</v>
      </c>
      <c r="G496" s="441"/>
      <c r="H496" s="442"/>
      <c r="I496" s="270"/>
      <c r="J496" s="480"/>
      <c r="K496" s="270"/>
      <c r="L496" s="480"/>
    </row>
    <row r="497" spans="1:22" ht="14.25" x14ac:dyDescent="0.2">
      <c r="A497" s="478"/>
      <c r="B497" s="763"/>
      <c r="C497" s="439"/>
      <c r="D497" s="439" t="s">
        <v>44</v>
      </c>
      <c r="E497" s="440"/>
      <c r="F497" s="270"/>
      <c r="G497" s="441">
        <f t="shared" ref="G497:L497" si="16">G498</f>
        <v>0.35</v>
      </c>
      <c r="H497" s="766" t="str">
        <f t="shared" si="16"/>
        <v>)*(1.67-1)*1.05</v>
      </c>
      <c r="I497" s="270">
        <f t="shared" si="16"/>
        <v>1.0669999999999999</v>
      </c>
      <c r="J497" s="480">
        <f t="shared" si="16"/>
        <v>0.53</v>
      </c>
      <c r="K497" s="270">
        <f t="shared" si="16"/>
        <v>24.53</v>
      </c>
      <c r="L497" s="480">
        <f t="shared" si="16"/>
        <v>13</v>
      </c>
    </row>
    <row r="498" spans="1:22" ht="14.25" x14ac:dyDescent="0.2">
      <c r="A498" s="478"/>
      <c r="B498" s="763"/>
      <c r="C498" s="439"/>
      <c r="D498" s="439" t="s">
        <v>45</v>
      </c>
      <c r="E498" s="440"/>
      <c r="F498" s="270"/>
      <c r="G498" s="441">
        <f>[86]Source!AN2508</f>
        <v>0.35</v>
      </c>
      <c r="H498" s="766" t="s">
        <v>383</v>
      </c>
      <c r="I498" s="270">
        <f>[86]Source!AV2509</f>
        <v>1.0669999999999999</v>
      </c>
      <c r="J498" s="443">
        <f>ROUND(F485*G498*I498*(1.67-1)*1.05, 2)</f>
        <v>0.53</v>
      </c>
      <c r="K498" s="270">
        <f>IF([86]Source!BS2509&lt;&gt; 0, [86]Source!BS2509, 1)</f>
        <v>24.53</v>
      </c>
      <c r="L498" s="443">
        <f>ROUND(ROUND(F485*G498*I498*(1.67-1)*1.05, 2)*K498, 2)</f>
        <v>13</v>
      </c>
    </row>
    <row r="499" spans="1:22" ht="14.25" x14ac:dyDescent="0.2">
      <c r="A499" s="478"/>
      <c r="B499" s="763"/>
      <c r="C499" s="439"/>
      <c r="D499" s="439" t="s">
        <v>50</v>
      </c>
      <c r="E499" s="440" t="s">
        <v>48</v>
      </c>
      <c r="F499" s="270">
        <f>175</f>
        <v>175</v>
      </c>
      <c r="G499" s="441"/>
      <c r="H499" s="442"/>
      <c r="I499" s="270"/>
      <c r="J499" s="480">
        <f>ROUND(J498*(F499/100), 2)</f>
        <v>0.93</v>
      </c>
      <c r="K499" s="270">
        <f>157</f>
        <v>157</v>
      </c>
      <c r="L499" s="480">
        <f>ROUND(L498*(K499/100), 2)</f>
        <v>20.41</v>
      </c>
    </row>
    <row r="500" spans="1:22" ht="15" x14ac:dyDescent="0.25">
      <c r="A500" s="311"/>
      <c r="B500" s="313"/>
      <c r="C500" s="311"/>
      <c r="D500" s="312" t="s">
        <v>81</v>
      </c>
      <c r="E500" s="311"/>
      <c r="F500" s="311"/>
      <c r="G500" s="311"/>
      <c r="H500" s="311"/>
      <c r="I500" s="639">
        <f>J499+J498</f>
        <v>1.46</v>
      </c>
      <c r="J500" s="639"/>
      <c r="K500" s="639">
        <f>L499+L498</f>
        <v>33.409999999999997</v>
      </c>
      <c r="L500" s="639"/>
      <c r="O500" s="765">
        <f>I500</f>
        <v>1.46</v>
      </c>
      <c r="P500" s="765">
        <f>K500</f>
        <v>33.409999999999997</v>
      </c>
    </row>
    <row r="502" spans="1:22" ht="182.25" x14ac:dyDescent="0.2">
      <c r="A502" s="479">
        <v>51</v>
      </c>
      <c r="B502" s="309" t="s">
        <v>382</v>
      </c>
      <c r="C502" s="308" t="str">
        <f>[86]Source!F2544</f>
        <v>МКЭ-33-1005/8-1 от 26.07.2018г.</v>
      </c>
      <c r="D502" s="308" t="s">
        <v>381</v>
      </c>
      <c r="E502" s="307" t="str">
        <f>[86]Source!H2544</f>
        <v>шт.</v>
      </c>
      <c r="F502" s="306">
        <f>[86]Source!I2544</f>
        <v>1</v>
      </c>
      <c r="G502" s="305">
        <f>[86]Source!AL2544</f>
        <v>2798.42</v>
      </c>
      <c r="H502" s="315">
        <f>[86]Source!DD2544</f>
        <v>0</v>
      </c>
      <c r="I502" s="306">
        <f>[86]Source!AW2545</f>
        <v>1</v>
      </c>
      <c r="J502" s="314">
        <f>L502/K502</f>
        <v>2798.42</v>
      </c>
      <c r="K502" s="306">
        <f>IF([86]Source!BC2545&lt;&gt; 0, [86]Source!BC2545, 1)</f>
        <v>5.65</v>
      </c>
      <c r="L502" s="314">
        <f>15501.06*1.02</f>
        <v>15811.08</v>
      </c>
      <c r="Q502" s="178">
        <f>[86]Source!X2544</f>
        <v>0</v>
      </c>
      <c r="R502" s="178">
        <f>[86]Source!X2545</f>
        <v>0</v>
      </c>
      <c r="S502" s="178">
        <f>[86]Source!Y2544</f>
        <v>0</v>
      </c>
      <c r="T502" s="178">
        <f>[86]Source!Y2545</f>
        <v>0</v>
      </c>
      <c r="U502" s="178">
        <f>ROUND((175/100)*ROUND([86]Source!R2544, 2), 2)</f>
        <v>0</v>
      </c>
      <c r="V502" s="178">
        <f>ROUND((157/100)*ROUND([86]Source!R2545, 2), 2)</f>
        <v>0</v>
      </c>
    </row>
    <row r="503" spans="1:22" ht="15" x14ac:dyDescent="0.25">
      <c r="A503" s="311"/>
      <c r="B503" s="313"/>
      <c r="C503" s="311"/>
      <c r="D503" s="312" t="s">
        <v>81</v>
      </c>
      <c r="E503" s="311"/>
      <c r="F503" s="311"/>
      <c r="G503" s="311"/>
      <c r="H503" s="311"/>
      <c r="I503" s="639">
        <f>J502</f>
        <v>2798.42</v>
      </c>
      <c r="J503" s="639"/>
      <c r="K503" s="639">
        <f>L502</f>
        <v>15811.08</v>
      </c>
      <c r="L503" s="639"/>
      <c r="O503" s="765">
        <f>J502</f>
        <v>2798.42</v>
      </c>
      <c r="P503" s="765">
        <f>L502</f>
        <v>15811.08</v>
      </c>
    </row>
    <row r="505" spans="1:22" ht="168" x14ac:dyDescent="0.2">
      <c r="A505" s="479">
        <v>52</v>
      </c>
      <c r="B505" s="309" t="s">
        <v>380</v>
      </c>
      <c r="C505" s="308" t="str">
        <f>[86]Source!F2550</f>
        <v>МКЭ-33-1714/7-1 от 14.09.2017г.</v>
      </c>
      <c r="D505" s="308" t="s">
        <v>379</v>
      </c>
      <c r="E505" s="307" t="str">
        <f>[86]Source!H2550</f>
        <v>шт.</v>
      </c>
      <c r="F505" s="306">
        <f>[86]Source!I2550</f>
        <v>1</v>
      </c>
      <c r="G505" s="305">
        <f>[86]Source!AL2550</f>
        <v>2726.93</v>
      </c>
      <c r="H505" s="315">
        <f>[86]Source!DD2550</f>
        <v>0</v>
      </c>
      <c r="I505" s="306">
        <f>[86]Source!AW2551</f>
        <v>1</v>
      </c>
      <c r="J505" s="314">
        <f>L505/K505</f>
        <v>2726.93</v>
      </c>
      <c r="K505" s="306">
        <f>IF([86]Source!BC2551&lt;&gt; 0, [86]Source!BC2551, 1)</f>
        <v>5.65</v>
      </c>
      <c r="L505" s="314">
        <f>15105.05*1.02</f>
        <v>15407.15</v>
      </c>
      <c r="Q505" s="178">
        <f>[86]Source!X2550</f>
        <v>0</v>
      </c>
      <c r="R505" s="178">
        <f>[86]Source!X2551</f>
        <v>0</v>
      </c>
      <c r="S505" s="178">
        <f>[86]Source!Y2550</f>
        <v>0</v>
      </c>
      <c r="T505" s="178">
        <f>[86]Source!Y2551</f>
        <v>0</v>
      </c>
      <c r="U505" s="178">
        <f>ROUND((175/100)*ROUND([86]Source!R2550, 2), 2)</f>
        <v>0</v>
      </c>
      <c r="V505" s="178">
        <f>ROUND((157/100)*ROUND([86]Source!R2551, 2), 2)</f>
        <v>0</v>
      </c>
    </row>
    <row r="506" spans="1:22" ht="15" x14ac:dyDescent="0.25">
      <c r="A506" s="311"/>
      <c r="B506" s="313"/>
      <c r="C506" s="311"/>
      <c r="D506" s="312" t="s">
        <v>81</v>
      </c>
      <c r="E506" s="311"/>
      <c r="F506" s="311"/>
      <c r="G506" s="311"/>
      <c r="H506" s="311"/>
      <c r="I506" s="639">
        <f>J505</f>
        <v>2726.93</v>
      </c>
      <c r="J506" s="639"/>
      <c r="K506" s="639">
        <f>L505</f>
        <v>15407.15</v>
      </c>
      <c r="L506" s="639"/>
      <c r="O506" s="765">
        <f>J505</f>
        <v>2726.93</v>
      </c>
      <c r="P506" s="765">
        <f>L505</f>
        <v>15407.15</v>
      </c>
    </row>
    <row r="508" spans="1:22" ht="129" x14ac:dyDescent="0.2">
      <c r="A508" s="479">
        <v>53</v>
      </c>
      <c r="B508" s="309" t="s">
        <v>378</v>
      </c>
      <c r="C508" s="308" t="s">
        <v>377</v>
      </c>
      <c r="D508" s="308" t="s">
        <v>376</v>
      </c>
      <c r="E508" s="307" t="str">
        <f>[86]Source!H2700</f>
        <v>шт.</v>
      </c>
      <c r="F508" s="306">
        <f>[86]Source!I2700</f>
        <v>1</v>
      </c>
      <c r="G508" s="305">
        <f>[86]Source!AL2700</f>
        <v>1051.44</v>
      </c>
      <c r="H508" s="315">
        <f>[86]Source!DD2700</f>
        <v>0</v>
      </c>
      <c r="I508" s="306">
        <f>[86]Source!AW2701</f>
        <v>1</v>
      </c>
      <c r="J508" s="314">
        <f>[86]Source!P2700</f>
        <v>1051.44</v>
      </c>
      <c r="K508" s="306">
        <f>IF([86]Source!BC2701&lt;&gt; 0, [86]Source!BC2701, 1)</f>
        <v>2.94</v>
      </c>
      <c r="L508" s="314">
        <f>[86]Source!P2701</f>
        <v>3091.23</v>
      </c>
      <c r="Q508" s="178">
        <f>[86]Source!X2700</f>
        <v>0</v>
      </c>
      <c r="R508" s="178">
        <f>[86]Source!X2701</f>
        <v>0</v>
      </c>
      <c r="S508" s="178">
        <f>[86]Source!Y2700</f>
        <v>0</v>
      </c>
      <c r="T508" s="178">
        <f>[86]Source!Y2701</f>
        <v>0</v>
      </c>
      <c r="U508" s="178">
        <f>ROUND((175/100)*ROUND([86]Source!R2700, 2), 2)</f>
        <v>0</v>
      </c>
      <c r="V508" s="178">
        <f>ROUND((157/100)*ROUND([86]Source!R2701, 2), 2)</f>
        <v>0</v>
      </c>
    </row>
    <row r="509" spans="1:22" ht="15" x14ac:dyDescent="0.25">
      <c r="A509" s="311"/>
      <c r="B509" s="313"/>
      <c r="C509" s="311"/>
      <c r="D509" s="312" t="s">
        <v>81</v>
      </c>
      <c r="E509" s="311"/>
      <c r="F509" s="311"/>
      <c r="G509" s="311"/>
      <c r="H509" s="311"/>
      <c r="I509" s="639">
        <f>J508</f>
        <v>1051.44</v>
      </c>
      <c r="J509" s="639"/>
      <c r="K509" s="639">
        <f>L508</f>
        <v>3091.23</v>
      </c>
      <c r="L509" s="639"/>
      <c r="O509" s="765">
        <f>J508</f>
        <v>1051.44</v>
      </c>
      <c r="P509" s="765">
        <f>L508</f>
        <v>3091.23</v>
      </c>
    </row>
    <row r="511" spans="1:22" ht="71.25" x14ac:dyDescent="0.2">
      <c r="A511" s="478">
        <v>54</v>
      </c>
      <c r="B511" s="763" t="s">
        <v>375</v>
      </c>
      <c r="C511" s="439" t="s">
        <v>374</v>
      </c>
      <c r="D511" s="439" t="s">
        <v>373</v>
      </c>
      <c r="E511" s="440" t="str">
        <f>[86]Source!H2706</f>
        <v>100 м2 поверхности воздуховодов</v>
      </c>
      <c r="F511" s="270">
        <f>[86]Source!I2706</f>
        <v>0.04</v>
      </c>
      <c r="G511" s="441"/>
      <c r="H511" s="442"/>
      <c r="I511" s="270"/>
      <c r="J511" s="480"/>
      <c r="K511" s="270"/>
      <c r="L511" s="480"/>
      <c r="Q511" s="178">
        <f>[86]Source!X2706</f>
        <v>155.31</v>
      </c>
      <c r="R511" s="178">
        <f>[86]Source!X2707</f>
        <v>3047.85</v>
      </c>
      <c r="S511" s="178">
        <f>[86]Source!Y2706</f>
        <v>116.8</v>
      </c>
      <c r="T511" s="178">
        <f>[86]Source!Y2707</f>
        <v>1371.53</v>
      </c>
      <c r="U511" s="178">
        <f>ROUND((175/100)*ROUND([86]Source!R2706, 2), 2)</f>
        <v>2.4700000000000002</v>
      </c>
      <c r="V511" s="178">
        <f>ROUND((157/100)*ROUND([86]Source!R2707, 2), 2)</f>
        <v>54.31</v>
      </c>
    </row>
    <row r="512" spans="1:22" ht="14.25" x14ac:dyDescent="0.2">
      <c r="A512" s="478"/>
      <c r="B512" s="763"/>
      <c r="C512" s="439"/>
      <c r="D512" s="439" t="s">
        <v>43</v>
      </c>
      <c r="E512" s="440"/>
      <c r="F512" s="270"/>
      <c r="G512" s="441">
        <f>[86]Source!AO2706</f>
        <v>1743.28</v>
      </c>
      <c r="H512" s="442" t="str">
        <f>[86]Source!DG2706</f>
        <v>)*1,67</v>
      </c>
      <c r="I512" s="270">
        <f>[86]Source!AV2707</f>
        <v>1.0669999999999999</v>
      </c>
      <c r="J512" s="480">
        <f>[86]Source!S2706</f>
        <v>124.25</v>
      </c>
      <c r="K512" s="270">
        <f>IF([86]Source!BA2707&lt;&gt; 0, [86]Source!BA2707, 1)</f>
        <v>24.53</v>
      </c>
      <c r="L512" s="480">
        <f>[86]Source!S2707</f>
        <v>3047.85</v>
      </c>
    </row>
    <row r="513" spans="1:22" ht="14.25" x14ac:dyDescent="0.2">
      <c r="A513" s="478"/>
      <c r="B513" s="763"/>
      <c r="C513" s="439"/>
      <c r="D513" s="439" t="s">
        <v>44</v>
      </c>
      <c r="E513" s="440"/>
      <c r="F513" s="270"/>
      <c r="G513" s="441">
        <f>[86]Source!AM2706</f>
        <v>158.94999999999999</v>
      </c>
      <c r="H513" s="442">
        <f>[86]Source!DE2706</f>
        <v>0</v>
      </c>
      <c r="I513" s="270">
        <f>[86]Source!AV2707</f>
        <v>1.0669999999999999</v>
      </c>
      <c r="J513" s="480">
        <f>[86]Source!Q2706-J524</f>
        <v>6.78</v>
      </c>
      <c r="K513" s="270">
        <f>IF([86]Source!BB2707&lt;&gt; 0, [86]Source!BB2707, 1)</f>
        <v>8.7200000000000006</v>
      </c>
      <c r="L513" s="480">
        <f>[86]Source!Q2707-L524</f>
        <v>59.12</v>
      </c>
    </row>
    <row r="514" spans="1:22" ht="14.25" x14ac:dyDescent="0.2">
      <c r="A514" s="478"/>
      <c r="B514" s="763"/>
      <c r="C514" s="439"/>
      <c r="D514" s="439" t="s">
        <v>45</v>
      </c>
      <c r="E514" s="440"/>
      <c r="F514" s="270"/>
      <c r="G514" s="441">
        <f>[86]Source!AN2706</f>
        <v>19.73</v>
      </c>
      <c r="H514" s="442">
        <f>[86]Source!DE2706</f>
        <v>0</v>
      </c>
      <c r="I514" s="270">
        <f>[86]Source!AV2707</f>
        <v>1.0669999999999999</v>
      </c>
      <c r="J514" s="443">
        <f>[86]Source!R2706-J525</f>
        <v>0.85</v>
      </c>
      <c r="K514" s="270">
        <f>IF([86]Source!BS2707&lt;&gt; 0, [86]Source!BS2707, 1)</f>
        <v>24.53</v>
      </c>
      <c r="L514" s="443">
        <f>[86]Source!R2707-L525</f>
        <v>20.85</v>
      </c>
    </row>
    <row r="515" spans="1:22" ht="14.25" x14ac:dyDescent="0.2">
      <c r="A515" s="478"/>
      <c r="B515" s="763"/>
      <c r="C515" s="439"/>
      <c r="D515" s="439" t="s">
        <v>46</v>
      </c>
      <c r="E515" s="440"/>
      <c r="F515" s="270"/>
      <c r="G515" s="441">
        <f>[86]Source!AL2706</f>
        <v>499.52</v>
      </c>
      <c r="H515" s="442">
        <f>[86]Source!DD2706</f>
        <v>0</v>
      </c>
      <c r="I515" s="270">
        <f>[86]Source!AW2707</f>
        <v>1</v>
      </c>
      <c r="J515" s="480">
        <f>[86]Source!P2706</f>
        <v>19.98</v>
      </c>
      <c r="K515" s="270">
        <f>IF([86]Source!BC2707&lt;&gt; 0, [86]Source!BC2707, 1)</f>
        <v>3.66</v>
      </c>
      <c r="L515" s="480">
        <f>[86]Source!P2707</f>
        <v>73.13</v>
      </c>
    </row>
    <row r="516" spans="1:22" ht="42.75" x14ac:dyDescent="0.2">
      <c r="A516" s="478">
        <v>55</v>
      </c>
      <c r="B516" s="763" t="s">
        <v>372</v>
      </c>
      <c r="C516" s="439" t="str">
        <f>[86]Source!F2708</f>
        <v>1.19-3-6</v>
      </c>
      <c r="D516" s="439" t="s">
        <v>361</v>
      </c>
      <c r="E516" s="440" t="str">
        <f>[86]Source!H2708</f>
        <v>м2</v>
      </c>
      <c r="F516" s="270">
        <f>[86]Source!I2708</f>
        <v>4</v>
      </c>
      <c r="G516" s="441">
        <f>[86]Source!AK2708</f>
        <v>156.05000000000001</v>
      </c>
      <c r="H516" s="781" t="s">
        <v>20</v>
      </c>
      <c r="I516" s="270">
        <f>[86]Source!AW2709</f>
        <v>1</v>
      </c>
      <c r="J516" s="480">
        <f>[86]Source!O2708</f>
        <v>624.20000000000005</v>
      </c>
      <c r="K516" s="270">
        <f>IF([86]Source!BC2709&lt;&gt; 0, [86]Source!BC2709, 1)</f>
        <v>2.4900000000000002</v>
      </c>
      <c r="L516" s="480">
        <f>[86]Source!O2709</f>
        <v>1554.26</v>
      </c>
      <c r="Q516" s="178">
        <f>[86]Source!X2708</f>
        <v>0</v>
      </c>
      <c r="R516" s="178">
        <f>[86]Source!X2709</f>
        <v>0</v>
      </c>
      <c r="S516" s="178">
        <f>[86]Source!Y2708</f>
        <v>0</v>
      </c>
      <c r="T516" s="178">
        <f>[86]Source!Y2709</f>
        <v>0</v>
      </c>
      <c r="U516" s="178">
        <f>ROUND((175/100)*ROUND([86]Source!R2708, 2), 2)</f>
        <v>0</v>
      </c>
      <c r="V516" s="178">
        <f>ROUND((157/100)*ROUND([86]Source!R2709, 2), 2)</f>
        <v>0</v>
      </c>
    </row>
    <row r="517" spans="1:22" ht="14.25" x14ac:dyDescent="0.2">
      <c r="A517" s="478"/>
      <c r="B517" s="763"/>
      <c r="C517" s="439"/>
      <c r="D517" s="439" t="s">
        <v>47</v>
      </c>
      <c r="E517" s="440" t="s">
        <v>48</v>
      </c>
      <c r="F517" s="270">
        <f>[86]Source!DN2707</f>
        <v>100</v>
      </c>
      <c r="G517" s="441"/>
      <c r="H517" s="442"/>
      <c r="I517" s="270"/>
      <c r="J517" s="480">
        <f>SUM(Q511:Q516)</f>
        <v>155.31</v>
      </c>
      <c r="K517" s="270">
        <f>[86]Source!BZ2707</f>
        <v>100</v>
      </c>
      <c r="L517" s="480">
        <f>SUM(R511:R516)</f>
        <v>3047.85</v>
      </c>
    </row>
    <row r="518" spans="1:22" ht="14.25" x14ac:dyDescent="0.2">
      <c r="A518" s="478"/>
      <c r="B518" s="763"/>
      <c r="C518" s="439"/>
      <c r="D518" s="439" t="s">
        <v>49</v>
      </c>
      <c r="E518" s="440" t="s">
        <v>48</v>
      </c>
      <c r="F518" s="270">
        <f>[86]Source!DO2707</f>
        <v>45</v>
      </c>
      <c r="G518" s="441"/>
      <c r="H518" s="442"/>
      <c r="I518" s="270"/>
      <c r="J518" s="480">
        <f>SUM(S511:S517)</f>
        <v>116.8</v>
      </c>
      <c r="K518" s="270">
        <f>[86]Source!CA2707</f>
        <v>45</v>
      </c>
      <c r="L518" s="480">
        <f>SUM(T511:T517)</f>
        <v>1371.53</v>
      </c>
    </row>
    <row r="519" spans="1:22" ht="14.25" x14ac:dyDescent="0.2">
      <c r="A519" s="478"/>
      <c r="B519" s="763"/>
      <c r="C519" s="439"/>
      <c r="D519" s="439" t="s">
        <v>50</v>
      </c>
      <c r="E519" s="440" t="s">
        <v>48</v>
      </c>
      <c r="F519" s="270">
        <f>175</f>
        <v>175</v>
      </c>
      <c r="G519" s="441"/>
      <c r="H519" s="442"/>
      <c r="I519" s="270"/>
      <c r="J519" s="480">
        <f>SUM(U511:U518)-J526</f>
        <v>1.49</v>
      </c>
      <c r="K519" s="270">
        <f>157</f>
        <v>157</v>
      </c>
      <c r="L519" s="480">
        <f>SUM(V511:V518)-L526</f>
        <v>32.74</v>
      </c>
    </row>
    <row r="520" spans="1:22" ht="14.25" x14ac:dyDescent="0.2">
      <c r="A520" s="479"/>
      <c r="B520" s="309"/>
      <c r="C520" s="308"/>
      <c r="D520" s="308" t="s">
        <v>51</v>
      </c>
      <c r="E520" s="307" t="s">
        <v>52</v>
      </c>
      <c r="F520" s="306">
        <f>[86]Source!AQ2706</f>
        <v>154</v>
      </c>
      <c r="G520" s="305"/>
      <c r="H520" s="315">
        <f>[86]Source!DI2706</f>
        <v>0</v>
      </c>
      <c r="I520" s="306">
        <f>[86]Source!AV2707</f>
        <v>1.0669999999999999</v>
      </c>
      <c r="J520" s="314">
        <f>[86]Source!U2706</f>
        <v>6.57</v>
      </c>
      <c r="K520" s="306"/>
      <c r="L520" s="314"/>
    </row>
    <row r="521" spans="1:22" ht="15" x14ac:dyDescent="0.25">
      <c r="D521" s="764" t="s">
        <v>81</v>
      </c>
      <c r="I521" s="640">
        <f>J512+J513+J515+J517+J518+J519+SUM(J516:J516)</f>
        <v>1048.81</v>
      </c>
      <c r="J521" s="640"/>
      <c r="K521" s="640">
        <f>L512+L513+L515+L517+L518+L519+SUM(L516:L516)</f>
        <v>9186.48</v>
      </c>
      <c r="L521" s="640"/>
      <c r="O521" s="765">
        <f>J512+J513+J515+J517+J518+J519+SUM(J516:J516)</f>
        <v>1048.81</v>
      </c>
      <c r="P521" s="765">
        <f>L512+L513+L515+L517+L518+L519+SUM(L516:L516)</f>
        <v>9186.48</v>
      </c>
    </row>
    <row r="523" spans="1:22" ht="71.25" x14ac:dyDescent="0.2">
      <c r="A523" s="478">
        <v>56</v>
      </c>
      <c r="B523" s="763" t="s">
        <v>371</v>
      </c>
      <c r="C523" s="439"/>
      <c r="D523" s="439" t="s">
        <v>82</v>
      </c>
      <c r="E523" s="440" t="str">
        <f>[86]Source!H2706</f>
        <v>100 м2 поверхности воздуховодов</v>
      </c>
      <c r="F523" s="270">
        <f>[86]Source!I2706</f>
        <v>0.04</v>
      </c>
      <c r="G523" s="441"/>
      <c r="H523" s="442"/>
      <c r="I523" s="270"/>
      <c r="J523" s="480"/>
      <c r="K523" s="270"/>
      <c r="L523" s="480"/>
    </row>
    <row r="524" spans="1:22" ht="14.25" x14ac:dyDescent="0.2">
      <c r="A524" s="478"/>
      <c r="B524" s="763"/>
      <c r="C524" s="439"/>
      <c r="D524" s="439" t="s">
        <v>44</v>
      </c>
      <c r="E524" s="440"/>
      <c r="F524" s="270"/>
      <c r="G524" s="441">
        <f t="shared" ref="G524:L524" si="17">G525</f>
        <v>19.73</v>
      </c>
      <c r="H524" s="766" t="str">
        <f t="shared" si="17"/>
        <v>)*(1.67-1)</v>
      </c>
      <c r="I524" s="270">
        <f t="shared" si="17"/>
        <v>1.0669999999999999</v>
      </c>
      <c r="J524" s="480">
        <f t="shared" si="17"/>
        <v>0.56000000000000005</v>
      </c>
      <c r="K524" s="270">
        <f t="shared" si="17"/>
        <v>24.53</v>
      </c>
      <c r="L524" s="480">
        <f t="shared" si="17"/>
        <v>13.74</v>
      </c>
    </row>
    <row r="525" spans="1:22" ht="14.25" x14ac:dyDescent="0.2">
      <c r="A525" s="478"/>
      <c r="B525" s="763"/>
      <c r="C525" s="439"/>
      <c r="D525" s="439" t="s">
        <v>45</v>
      </c>
      <c r="E525" s="440"/>
      <c r="F525" s="270"/>
      <c r="G525" s="441">
        <f>[86]Source!AN2706</f>
        <v>19.73</v>
      </c>
      <c r="H525" s="766" t="s">
        <v>53</v>
      </c>
      <c r="I525" s="270">
        <f>[86]Source!AV2707</f>
        <v>1.0669999999999999</v>
      </c>
      <c r="J525" s="443">
        <f>ROUND(F511*G525*I525*(1.67-1), 2)</f>
        <v>0.56000000000000005</v>
      </c>
      <c r="K525" s="270">
        <f>IF([86]Source!BS2707&lt;&gt; 0, [86]Source!BS2707, 1)</f>
        <v>24.53</v>
      </c>
      <c r="L525" s="443">
        <f>ROUND(ROUND(F511*G525*I525*(1.67-1), 2)*K525, 2)</f>
        <v>13.74</v>
      </c>
    </row>
    <row r="526" spans="1:22" ht="14.25" x14ac:dyDescent="0.2">
      <c r="A526" s="478"/>
      <c r="B526" s="763"/>
      <c r="C526" s="439"/>
      <c r="D526" s="439" t="s">
        <v>50</v>
      </c>
      <c r="E526" s="440" t="s">
        <v>48</v>
      </c>
      <c r="F526" s="270">
        <f>175</f>
        <v>175</v>
      </c>
      <c r="G526" s="441"/>
      <c r="H526" s="442"/>
      <c r="I526" s="270"/>
      <c r="J526" s="480">
        <f>ROUND(J525*(F526/100), 2)</f>
        <v>0.98</v>
      </c>
      <c r="K526" s="270">
        <f>157</f>
        <v>157</v>
      </c>
      <c r="L526" s="480">
        <f>ROUND(L525*(K526/100), 2)</f>
        <v>21.57</v>
      </c>
    </row>
    <row r="527" spans="1:22" ht="15" x14ac:dyDescent="0.25">
      <c r="A527" s="311"/>
      <c r="B527" s="313"/>
      <c r="C527" s="311"/>
      <c r="D527" s="312" t="s">
        <v>81</v>
      </c>
      <c r="E527" s="311"/>
      <c r="F527" s="311"/>
      <c r="G527" s="311"/>
      <c r="H527" s="311"/>
      <c r="I527" s="639">
        <f>J526+J525</f>
        <v>1.54</v>
      </c>
      <c r="J527" s="639"/>
      <c r="K527" s="639">
        <f>L526+L525</f>
        <v>35.31</v>
      </c>
      <c r="L527" s="639"/>
      <c r="O527" s="765">
        <f>I527</f>
        <v>1.54</v>
      </c>
      <c r="P527" s="765">
        <f>K527</f>
        <v>35.31</v>
      </c>
    </row>
    <row r="529" spans="1:22" ht="71.25" x14ac:dyDescent="0.2">
      <c r="A529" s="478">
        <v>57</v>
      </c>
      <c r="B529" s="763" t="s">
        <v>370</v>
      </c>
      <c r="C529" s="439" t="s">
        <v>369</v>
      </c>
      <c r="D529" s="439" t="s">
        <v>368</v>
      </c>
      <c r="E529" s="440" t="str">
        <f>[86]Source!H2714</f>
        <v>100 м2 поверхности воздуховодов</v>
      </c>
      <c r="F529" s="270">
        <f>[86]Source!I2714</f>
        <v>0.03</v>
      </c>
      <c r="G529" s="441"/>
      <c r="H529" s="442"/>
      <c r="I529" s="270"/>
      <c r="J529" s="480"/>
      <c r="K529" s="270"/>
      <c r="L529" s="480"/>
      <c r="Q529" s="178">
        <f>[86]Source!X2714</f>
        <v>106.65</v>
      </c>
      <c r="R529" s="178">
        <f>[86]Source!X2715</f>
        <v>2092.9</v>
      </c>
      <c r="S529" s="178">
        <f>[86]Source!Y2714</f>
        <v>80.2</v>
      </c>
      <c r="T529" s="178">
        <f>[86]Source!Y2715</f>
        <v>941.81</v>
      </c>
      <c r="U529" s="178">
        <f>ROUND((175/100)*ROUND([86]Source!R2714, 2), 2)</f>
        <v>1.44</v>
      </c>
      <c r="V529" s="178">
        <f>ROUND((157/100)*ROUND([86]Source!R2715, 2), 2)</f>
        <v>31.57</v>
      </c>
    </row>
    <row r="530" spans="1:22" ht="14.25" x14ac:dyDescent="0.2">
      <c r="A530" s="478"/>
      <c r="B530" s="763"/>
      <c r="C530" s="439"/>
      <c r="D530" s="439" t="s">
        <v>43</v>
      </c>
      <c r="E530" s="440"/>
      <c r="F530" s="270"/>
      <c r="G530" s="441">
        <f>[86]Source!AO2714</f>
        <v>1596.12</v>
      </c>
      <c r="H530" s="442" t="str">
        <f>[86]Source!DG2714</f>
        <v>)*1,67</v>
      </c>
      <c r="I530" s="270">
        <f>[86]Source!AV2715</f>
        <v>1.0669999999999999</v>
      </c>
      <c r="J530" s="480">
        <f>[86]Source!S2714</f>
        <v>85.32</v>
      </c>
      <c r="K530" s="270">
        <f>IF([86]Source!BA2715&lt;&gt; 0, [86]Source!BA2715, 1)</f>
        <v>24.53</v>
      </c>
      <c r="L530" s="480">
        <f>[86]Source!S2715</f>
        <v>2092.9</v>
      </c>
    </row>
    <row r="531" spans="1:22" ht="14.25" x14ac:dyDescent="0.2">
      <c r="A531" s="478"/>
      <c r="B531" s="763"/>
      <c r="C531" s="439"/>
      <c r="D531" s="439" t="s">
        <v>44</v>
      </c>
      <c r="E531" s="440"/>
      <c r="F531" s="270"/>
      <c r="G531" s="441">
        <f>[86]Source!AM2714</f>
        <v>125.93</v>
      </c>
      <c r="H531" s="442">
        <f>[86]Source!DE2714</f>
        <v>0</v>
      </c>
      <c r="I531" s="270">
        <f>[86]Source!AV2715</f>
        <v>1.0669999999999999</v>
      </c>
      <c r="J531" s="480">
        <f>[86]Source!Q2714-J542</f>
        <v>4.03</v>
      </c>
      <c r="K531" s="270">
        <f>IF([86]Source!BB2715&lt;&gt; 0, [86]Source!BB2715, 1)</f>
        <v>8.7100000000000009</v>
      </c>
      <c r="L531" s="480">
        <f>[86]Source!Q2715-L542</f>
        <v>35.1</v>
      </c>
    </row>
    <row r="532" spans="1:22" ht="14.25" x14ac:dyDescent="0.2">
      <c r="A532" s="478"/>
      <c r="B532" s="763"/>
      <c r="C532" s="439"/>
      <c r="D532" s="439" t="s">
        <v>45</v>
      </c>
      <c r="E532" s="440"/>
      <c r="F532" s="270"/>
      <c r="G532" s="441">
        <f>[86]Source!AN2714</f>
        <v>15.43</v>
      </c>
      <c r="H532" s="442">
        <f>[86]Source!DE2714</f>
        <v>0</v>
      </c>
      <c r="I532" s="270">
        <f>[86]Source!AV2715</f>
        <v>1.0669999999999999</v>
      </c>
      <c r="J532" s="443">
        <f>[86]Source!R2714-J543</f>
        <v>0.49</v>
      </c>
      <c r="K532" s="270">
        <f>IF([86]Source!BS2715&lt;&gt; 0, [86]Source!BS2715, 1)</f>
        <v>24.53</v>
      </c>
      <c r="L532" s="443">
        <f>[86]Source!R2715-L543</f>
        <v>12.02</v>
      </c>
    </row>
    <row r="533" spans="1:22" ht="14.25" x14ac:dyDescent="0.2">
      <c r="A533" s="478"/>
      <c r="B533" s="763"/>
      <c r="C533" s="439"/>
      <c r="D533" s="439" t="s">
        <v>46</v>
      </c>
      <c r="E533" s="440"/>
      <c r="F533" s="270"/>
      <c r="G533" s="441">
        <f>[86]Source!AL2714</f>
        <v>499.17</v>
      </c>
      <c r="H533" s="442">
        <f>[86]Source!DD2714</f>
        <v>0</v>
      </c>
      <c r="I533" s="270">
        <f>[86]Source!AW2715</f>
        <v>1</v>
      </c>
      <c r="J533" s="480">
        <f>[86]Source!P2714</f>
        <v>14.98</v>
      </c>
      <c r="K533" s="270">
        <f>IF([86]Source!BC2715&lt;&gt; 0, [86]Source!BC2715, 1)</f>
        <v>3.65</v>
      </c>
      <c r="L533" s="480">
        <f>[86]Source!P2715</f>
        <v>54.68</v>
      </c>
    </row>
    <row r="534" spans="1:22" ht="42.75" x14ac:dyDescent="0.2">
      <c r="A534" s="478">
        <v>58</v>
      </c>
      <c r="B534" s="763" t="s">
        <v>367</v>
      </c>
      <c r="C534" s="439" t="str">
        <f>[86]Source!F2716</f>
        <v>1.19-3-12</v>
      </c>
      <c r="D534" s="439" t="s">
        <v>348</v>
      </c>
      <c r="E534" s="440" t="str">
        <f>[86]Source!H2716</f>
        <v>м2</v>
      </c>
      <c r="F534" s="270">
        <f>[86]Source!I2716</f>
        <v>3</v>
      </c>
      <c r="G534" s="441">
        <f>[86]Source!AK2716</f>
        <v>125.64</v>
      </c>
      <c r="H534" s="781" t="s">
        <v>20</v>
      </c>
      <c r="I534" s="270">
        <f>[86]Source!AW2717</f>
        <v>1</v>
      </c>
      <c r="J534" s="480">
        <f>[86]Source!O2716</f>
        <v>376.92</v>
      </c>
      <c r="K534" s="270">
        <f>IF([86]Source!BC2717&lt;&gt; 0, [86]Source!BC2717, 1)</f>
        <v>3.84</v>
      </c>
      <c r="L534" s="480">
        <f>[86]Source!O2717</f>
        <v>1447.37</v>
      </c>
      <c r="Q534" s="178">
        <f>[86]Source!X2716</f>
        <v>0</v>
      </c>
      <c r="R534" s="178">
        <f>[86]Source!X2717</f>
        <v>0</v>
      </c>
      <c r="S534" s="178">
        <f>[86]Source!Y2716</f>
        <v>0</v>
      </c>
      <c r="T534" s="178">
        <f>[86]Source!Y2717</f>
        <v>0</v>
      </c>
      <c r="U534" s="178">
        <f>ROUND((175/100)*ROUND([86]Source!R2716, 2), 2)</f>
        <v>0</v>
      </c>
      <c r="V534" s="178">
        <f>ROUND((157/100)*ROUND([86]Source!R2717, 2), 2)</f>
        <v>0</v>
      </c>
    </row>
    <row r="535" spans="1:22" ht="14.25" x14ac:dyDescent="0.2">
      <c r="A535" s="478"/>
      <c r="B535" s="763"/>
      <c r="C535" s="439"/>
      <c r="D535" s="439" t="s">
        <v>47</v>
      </c>
      <c r="E535" s="440" t="s">
        <v>48</v>
      </c>
      <c r="F535" s="270">
        <f>[86]Source!DN2715</f>
        <v>100</v>
      </c>
      <c r="G535" s="441"/>
      <c r="H535" s="442"/>
      <c r="I535" s="270"/>
      <c r="J535" s="480">
        <f>SUM(Q529:Q534)</f>
        <v>106.65</v>
      </c>
      <c r="K535" s="270">
        <f>[86]Source!BZ2715</f>
        <v>100</v>
      </c>
      <c r="L535" s="480">
        <f>SUM(R529:R534)</f>
        <v>2092.9</v>
      </c>
    </row>
    <row r="536" spans="1:22" ht="14.25" x14ac:dyDescent="0.2">
      <c r="A536" s="478"/>
      <c r="B536" s="763"/>
      <c r="C536" s="439"/>
      <c r="D536" s="439" t="s">
        <v>49</v>
      </c>
      <c r="E536" s="440" t="s">
        <v>48</v>
      </c>
      <c r="F536" s="270">
        <f>[86]Source!DO2715</f>
        <v>45</v>
      </c>
      <c r="G536" s="441"/>
      <c r="H536" s="442"/>
      <c r="I536" s="270"/>
      <c r="J536" s="480">
        <f>SUM(S529:S535)</f>
        <v>80.2</v>
      </c>
      <c r="K536" s="270">
        <f>[86]Source!CA2715</f>
        <v>45</v>
      </c>
      <c r="L536" s="480">
        <f>SUM(T529:T535)</f>
        <v>941.81</v>
      </c>
    </row>
    <row r="537" spans="1:22" ht="14.25" x14ac:dyDescent="0.2">
      <c r="A537" s="478"/>
      <c r="B537" s="763"/>
      <c r="C537" s="439"/>
      <c r="D537" s="439" t="s">
        <v>50</v>
      </c>
      <c r="E537" s="440" t="s">
        <v>48</v>
      </c>
      <c r="F537" s="270">
        <f>175</f>
        <v>175</v>
      </c>
      <c r="G537" s="441"/>
      <c r="H537" s="442"/>
      <c r="I537" s="270"/>
      <c r="J537" s="480">
        <f>SUM(U529:U536)-J544</f>
        <v>0.86</v>
      </c>
      <c r="K537" s="270">
        <f>157</f>
        <v>157</v>
      </c>
      <c r="L537" s="480">
        <f>SUM(V529:V536)-L544</f>
        <v>18.87</v>
      </c>
    </row>
    <row r="538" spans="1:22" ht="14.25" x14ac:dyDescent="0.2">
      <c r="A538" s="479"/>
      <c r="B538" s="309"/>
      <c r="C538" s="308"/>
      <c r="D538" s="308" t="s">
        <v>51</v>
      </c>
      <c r="E538" s="307" t="s">
        <v>52</v>
      </c>
      <c r="F538" s="306">
        <f>[86]Source!AQ2714</f>
        <v>141</v>
      </c>
      <c r="G538" s="305"/>
      <c r="H538" s="315">
        <f>[86]Source!DI2714</f>
        <v>0</v>
      </c>
      <c r="I538" s="306">
        <f>[86]Source!AV2715</f>
        <v>1.0669999999999999</v>
      </c>
      <c r="J538" s="314">
        <f>[86]Source!U2714</f>
        <v>4.51</v>
      </c>
      <c r="K538" s="306"/>
      <c r="L538" s="314"/>
    </row>
    <row r="539" spans="1:22" ht="15" x14ac:dyDescent="0.25">
      <c r="D539" s="764" t="s">
        <v>81</v>
      </c>
      <c r="I539" s="640">
        <f>J530+J531+J533+J535+J536+J537+SUM(J534:J534)</f>
        <v>668.96</v>
      </c>
      <c r="J539" s="640"/>
      <c r="K539" s="640">
        <f>L530+L531+L533+L535+L536+L537+SUM(L534:L534)</f>
        <v>6683.63</v>
      </c>
      <c r="L539" s="640"/>
      <c r="O539" s="765">
        <f>J530+J531+J533+J535+J536+J537+SUM(J534:J534)</f>
        <v>668.96</v>
      </c>
      <c r="P539" s="765">
        <f>L530+L531+L533+L535+L536+L537+SUM(L534:L534)</f>
        <v>6683.63</v>
      </c>
    </row>
    <row r="541" spans="1:22" ht="71.25" x14ac:dyDescent="0.2">
      <c r="A541" s="478">
        <v>59</v>
      </c>
      <c r="B541" s="763" t="s">
        <v>366</v>
      </c>
      <c r="C541" s="439"/>
      <c r="D541" s="439" t="s">
        <v>82</v>
      </c>
      <c r="E541" s="440" t="str">
        <f>[86]Source!H2714</f>
        <v>100 м2 поверхности воздуховодов</v>
      </c>
      <c r="F541" s="270">
        <f>[86]Source!I2714</f>
        <v>0.03</v>
      </c>
      <c r="G541" s="441"/>
      <c r="H541" s="442"/>
      <c r="I541" s="270"/>
      <c r="J541" s="480"/>
      <c r="K541" s="270"/>
      <c r="L541" s="480"/>
    </row>
    <row r="542" spans="1:22" ht="14.25" x14ac:dyDescent="0.2">
      <c r="A542" s="478"/>
      <c r="B542" s="763"/>
      <c r="C542" s="439"/>
      <c r="D542" s="439" t="s">
        <v>44</v>
      </c>
      <c r="E542" s="440"/>
      <c r="F542" s="270"/>
      <c r="G542" s="441">
        <f t="shared" ref="G542:L542" si="18">G543</f>
        <v>15.43</v>
      </c>
      <c r="H542" s="766" t="str">
        <f t="shared" si="18"/>
        <v>)*(1.67-1)</v>
      </c>
      <c r="I542" s="270">
        <f t="shared" si="18"/>
        <v>1.0669999999999999</v>
      </c>
      <c r="J542" s="480">
        <f t="shared" si="18"/>
        <v>0.33</v>
      </c>
      <c r="K542" s="270">
        <f t="shared" si="18"/>
        <v>24.53</v>
      </c>
      <c r="L542" s="480">
        <f t="shared" si="18"/>
        <v>8.09</v>
      </c>
    </row>
    <row r="543" spans="1:22" ht="14.25" x14ac:dyDescent="0.2">
      <c r="A543" s="478"/>
      <c r="B543" s="763"/>
      <c r="C543" s="439"/>
      <c r="D543" s="439" t="s">
        <v>45</v>
      </c>
      <c r="E543" s="440"/>
      <c r="F543" s="270"/>
      <c r="G543" s="441">
        <f>[86]Source!AN2714</f>
        <v>15.43</v>
      </c>
      <c r="H543" s="766" t="s">
        <v>53</v>
      </c>
      <c r="I543" s="270">
        <f>[86]Source!AV2715</f>
        <v>1.0669999999999999</v>
      </c>
      <c r="J543" s="443">
        <f>ROUND(F529*G543*I543*(1.67-1), 2)</f>
        <v>0.33</v>
      </c>
      <c r="K543" s="270">
        <f>IF([86]Source!BS2715&lt;&gt; 0, [86]Source!BS2715, 1)</f>
        <v>24.53</v>
      </c>
      <c r="L543" s="443">
        <f>ROUND(ROUND(F529*G543*I543*(1.67-1), 2)*K543, 2)</f>
        <v>8.09</v>
      </c>
    </row>
    <row r="544" spans="1:22" ht="14.25" x14ac:dyDescent="0.2">
      <c r="A544" s="478"/>
      <c r="B544" s="763"/>
      <c r="C544" s="439"/>
      <c r="D544" s="439" t="s">
        <v>50</v>
      </c>
      <c r="E544" s="440" t="s">
        <v>48</v>
      </c>
      <c r="F544" s="270">
        <f>175</f>
        <v>175</v>
      </c>
      <c r="G544" s="441"/>
      <c r="H544" s="442"/>
      <c r="I544" s="270"/>
      <c r="J544" s="480">
        <f>ROUND(J543*(F544/100), 2)</f>
        <v>0.57999999999999996</v>
      </c>
      <c r="K544" s="270">
        <f>157</f>
        <v>157</v>
      </c>
      <c r="L544" s="480">
        <f>ROUND(L543*(K544/100), 2)</f>
        <v>12.7</v>
      </c>
    </row>
    <row r="545" spans="1:22" ht="15" x14ac:dyDescent="0.25">
      <c r="A545" s="311"/>
      <c r="B545" s="313"/>
      <c r="C545" s="311"/>
      <c r="D545" s="312" t="s">
        <v>81</v>
      </c>
      <c r="E545" s="311"/>
      <c r="F545" s="311"/>
      <c r="G545" s="311"/>
      <c r="H545" s="311"/>
      <c r="I545" s="639">
        <f>J544+J543</f>
        <v>0.91</v>
      </c>
      <c r="J545" s="639"/>
      <c r="K545" s="639">
        <f>L544+L543</f>
        <v>20.79</v>
      </c>
      <c r="L545" s="639"/>
      <c r="O545" s="765">
        <f>I545</f>
        <v>0.91</v>
      </c>
      <c r="P545" s="765">
        <f>K545</f>
        <v>20.79</v>
      </c>
    </row>
    <row r="547" spans="1:22" ht="71.25" x14ac:dyDescent="0.2">
      <c r="A547" s="478">
        <v>60</v>
      </c>
      <c r="B547" s="763" t="s">
        <v>365</v>
      </c>
      <c r="C547" s="439" t="s">
        <v>364</v>
      </c>
      <c r="D547" s="439" t="s">
        <v>363</v>
      </c>
      <c r="E547" s="440" t="str">
        <f>[86]Source!H2718</f>
        <v>100 м2 поверхности воздуховодов</v>
      </c>
      <c r="F547" s="270">
        <f>[86]Source!I2718</f>
        <v>0.04</v>
      </c>
      <c r="G547" s="441"/>
      <c r="H547" s="442"/>
      <c r="I547" s="270"/>
      <c r="J547" s="480"/>
      <c r="K547" s="270"/>
      <c r="L547" s="480"/>
      <c r="Q547" s="178">
        <f>[86]Source!X2718</f>
        <v>142.19999999999999</v>
      </c>
      <c r="R547" s="178">
        <f>[86]Source!X2719</f>
        <v>2790.53</v>
      </c>
      <c r="S547" s="178">
        <f>[86]Source!Y2718</f>
        <v>106.93</v>
      </c>
      <c r="T547" s="178">
        <f>[86]Source!Y2719</f>
        <v>1255.74</v>
      </c>
      <c r="U547" s="178">
        <f>ROUND((175/100)*ROUND([86]Source!R2718, 2), 2)</f>
        <v>1.96</v>
      </c>
      <c r="V547" s="178">
        <f>ROUND((157/100)*ROUND([86]Source!R2719, 2), 2)</f>
        <v>43.13</v>
      </c>
    </row>
    <row r="548" spans="1:22" ht="14.25" x14ac:dyDescent="0.2">
      <c r="A548" s="478"/>
      <c r="B548" s="763"/>
      <c r="C548" s="439"/>
      <c r="D548" s="439" t="s">
        <v>43</v>
      </c>
      <c r="E548" s="440"/>
      <c r="F548" s="270"/>
      <c r="G548" s="441">
        <f>[86]Source!AO2718</f>
        <v>1596.12</v>
      </c>
      <c r="H548" s="442" t="str">
        <f>[86]Source!DG2718</f>
        <v>)*1,67</v>
      </c>
      <c r="I548" s="270">
        <f>[86]Source!AV2719</f>
        <v>1.0669999999999999</v>
      </c>
      <c r="J548" s="480">
        <f>[86]Source!S2718</f>
        <v>113.76</v>
      </c>
      <c r="K548" s="270">
        <f>IF([86]Source!BA2719&lt;&gt; 0, [86]Source!BA2719, 1)</f>
        <v>24.53</v>
      </c>
      <c r="L548" s="480">
        <f>[86]Source!S2719</f>
        <v>2790.53</v>
      </c>
    </row>
    <row r="549" spans="1:22" ht="14.25" x14ac:dyDescent="0.2">
      <c r="A549" s="478"/>
      <c r="B549" s="763"/>
      <c r="C549" s="439"/>
      <c r="D549" s="439" t="s">
        <v>44</v>
      </c>
      <c r="E549" s="440"/>
      <c r="F549" s="270"/>
      <c r="G549" s="441">
        <f>[86]Source!AM2718</f>
        <v>128.62</v>
      </c>
      <c r="H549" s="442">
        <f>[86]Source!DE2718</f>
        <v>0</v>
      </c>
      <c r="I549" s="270">
        <f>[86]Source!AV2719</f>
        <v>1.0669999999999999</v>
      </c>
      <c r="J549" s="480">
        <f>[86]Source!Q2718-J560</f>
        <v>5.49</v>
      </c>
      <c r="K549" s="270">
        <f>IF([86]Source!BB2719&lt;&gt; 0, [86]Source!BB2719, 1)</f>
        <v>8.7100000000000009</v>
      </c>
      <c r="L549" s="480">
        <f>[86]Source!Q2719-L560</f>
        <v>47.82</v>
      </c>
    </row>
    <row r="550" spans="1:22" ht="14.25" x14ac:dyDescent="0.2">
      <c r="A550" s="478"/>
      <c r="B550" s="763"/>
      <c r="C550" s="439"/>
      <c r="D550" s="439" t="s">
        <v>45</v>
      </c>
      <c r="E550" s="440"/>
      <c r="F550" s="270"/>
      <c r="G550" s="441">
        <f>[86]Source!AN2718</f>
        <v>15.75</v>
      </c>
      <c r="H550" s="442">
        <f>[86]Source!DE2718</f>
        <v>0</v>
      </c>
      <c r="I550" s="270">
        <f>[86]Source!AV2719</f>
        <v>1.0669999999999999</v>
      </c>
      <c r="J550" s="443">
        <f>[86]Source!R2718-J561</f>
        <v>0.67</v>
      </c>
      <c r="K550" s="270">
        <f>IF([86]Source!BS2719&lt;&gt; 0, [86]Source!BS2719, 1)</f>
        <v>24.53</v>
      </c>
      <c r="L550" s="443">
        <f>[86]Source!R2719-L561</f>
        <v>16.43</v>
      </c>
    </row>
    <row r="551" spans="1:22" ht="14.25" x14ac:dyDescent="0.2">
      <c r="A551" s="478"/>
      <c r="B551" s="763"/>
      <c r="C551" s="439"/>
      <c r="D551" s="439" t="s">
        <v>46</v>
      </c>
      <c r="E551" s="440"/>
      <c r="F551" s="270"/>
      <c r="G551" s="441">
        <f>[86]Source!AL2718</f>
        <v>427.67</v>
      </c>
      <c r="H551" s="442">
        <f>[86]Source!DD2718</f>
        <v>0</v>
      </c>
      <c r="I551" s="270">
        <f>[86]Source!AW2719</f>
        <v>1</v>
      </c>
      <c r="J551" s="480">
        <f>[86]Source!P2718</f>
        <v>17.11</v>
      </c>
      <c r="K551" s="270">
        <f>IF([86]Source!BC2719&lt;&gt; 0, [86]Source!BC2719, 1)</f>
        <v>3.55</v>
      </c>
      <c r="L551" s="480">
        <f>[86]Source!P2719</f>
        <v>60.74</v>
      </c>
    </row>
    <row r="552" spans="1:22" ht="42.75" x14ac:dyDescent="0.2">
      <c r="A552" s="478">
        <v>61</v>
      </c>
      <c r="B552" s="763" t="s">
        <v>362</v>
      </c>
      <c r="C552" s="439" t="str">
        <f>[86]Source!F2720</f>
        <v>1.19-3-6</v>
      </c>
      <c r="D552" s="439" t="s">
        <v>361</v>
      </c>
      <c r="E552" s="440" t="str">
        <f>[86]Source!H2720</f>
        <v>м2</v>
      </c>
      <c r="F552" s="270">
        <f>[86]Source!I2720</f>
        <v>4</v>
      </c>
      <c r="G552" s="441">
        <f>[86]Source!AK2720</f>
        <v>156.05000000000001</v>
      </c>
      <c r="H552" s="781" t="s">
        <v>20</v>
      </c>
      <c r="I552" s="270">
        <f>[86]Source!AW2721</f>
        <v>1</v>
      </c>
      <c r="J552" s="480">
        <f>[86]Source!O2720</f>
        <v>624.20000000000005</v>
      </c>
      <c r="K552" s="270">
        <f>IF([86]Source!BC2721&lt;&gt; 0, [86]Source!BC2721, 1)</f>
        <v>2.4900000000000002</v>
      </c>
      <c r="L552" s="480">
        <f>[86]Source!O2721</f>
        <v>1554.26</v>
      </c>
      <c r="Q552" s="178">
        <f>[86]Source!X2720</f>
        <v>0</v>
      </c>
      <c r="R552" s="178">
        <f>[86]Source!X2721</f>
        <v>0</v>
      </c>
      <c r="S552" s="178">
        <f>[86]Source!Y2720</f>
        <v>0</v>
      </c>
      <c r="T552" s="178">
        <f>[86]Source!Y2721</f>
        <v>0</v>
      </c>
      <c r="U552" s="178">
        <f>ROUND((175/100)*ROUND([86]Source!R2720, 2), 2)</f>
        <v>0</v>
      </c>
      <c r="V552" s="178">
        <f>ROUND((157/100)*ROUND([86]Source!R2721, 2), 2)</f>
        <v>0</v>
      </c>
    </row>
    <row r="553" spans="1:22" ht="14.25" x14ac:dyDescent="0.2">
      <c r="A553" s="478"/>
      <c r="B553" s="763"/>
      <c r="C553" s="439"/>
      <c r="D553" s="439" t="s">
        <v>47</v>
      </c>
      <c r="E553" s="440" t="s">
        <v>48</v>
      </c>
      <c r="F553" s="270">
        <f>[86]Source!DN2719</f>
        <v>100</v>
      </c>
      <c r="G553" s="441"/>
      <c r="H553" s="442"/>
      <c r="I553" s="270"/>
      <c r="J553" s="480">
        <f>SUM(Q547:Q552)</f>
        <v>142.19999999999999</v>
      </c>
      <c r="K553" s="270">
        <f>[86]Source!BZ2719</f>
        <v>100</v>
      </c>
      <c r="L553" s="480">
        <f>SUM(R547:R552)</f>
        <v>2790.53</v>
      </c>
    </row>
    <row r="554" spans="1:22" ht="14.25" x14ac:dyDescent="0.2">
      <c r="A554" s="478"/>
      <c r="B554" s="763"/>
      <c r="C554" s="439"/>
      <c r="D554" s="439" t="s">
        <v>49</v>
      </c>
      <c r="E554" s="440" t="s">
        <v>48</v>
      </c>
      <c r="F554" s="270">
        <f>[86]Source!DO2719</f>
        <v>45</v>
      </c>
      <c r="G554" s="441"/>
      <c r="H554" s="442"/>
      <c r="I554" s="270"/>
      <c r="J554" s="480">
        <f>SUM(S547:S553)</f>
        <v>106.93</v>
      </c>
      <c r="K554" s="270">
        <f>[86]Source!CA2719</f>
        <v>45</v>
      </c>
      <c r="L554" s="480">
        <f>SUM(T547:T553)</f>
        <v>1255.74</v>
      </c>
    </row>
    <row r="555" spans="1:22" ht="14.25" x14ac:dyDescent="0.2">
      <c r="A555" s="478"/>
      <c r="B555" s="763"/>
      <c r="C555" s="439"/>
      <c r="D555" s="439" t="s">
        <v>50</v>
      </c>
      <c r="E555" s="440" t="s">
        <v>48</v>
      </c>
      <c r="F555" s="270">
        <f>175</f>
        <v>175</v>
      </c>
      <c r="G555" s="441"/>
      <c r="H555" s="442"/>
      <c r="I555" s="270"/>
      <c r="J555" s="480">
        <f>SUM(U547:U554)-J562</f>
        <v>1.17</v>
      </c>
      <c r="K555" s="270">
        <f>157</f>
        <v>157</v>
      </c>
      <c r="L555" s="480">
        <f>SUM(V547:V554)-L562</f>
        <v>25.8</v>
      </c>
    </row>
    <row r="556" spans="1:22" ht="14.25" x14ac:dyDescent="0.2">
      <c r="A556" s="479"/>
      <c r="B556" s="309"/>
      <c r="C556" s="308"/>
      <c r="D556" s="308" t="s">
        <v>51</v>
      </c>
      <c r="E556" s="307" t="s">
        <v>52</v>
      </c>
      <c r="F556" s="306">
        <f>[86]Source!AQ2718</f>
        <v>141</v>
      </c>
      <c r="G556" s="305"/>
      <c r="H556" s="315">
        <f>[86]Source!DI2718</f>
        <v>0</v>
      </c>
      <c r="I556" s="306">
        <f>[86]Source!AV2719</f>
        <v>1.0669999999999999</v>
      </c>
      <c r="J556" s="314">
        <f>[86]Source!U2718</f>
        <v>6.02</v>
      </c>
      <c r="K556" s="306"/>
      <c r="L556" s="314"/>
    </row>
    <row r="557" spans="1:22" ht="15" x14ac:dyDescent="0.25">
      <c r="D557" s="764" t="s">
        <v>81</v>
      </c>
      <c r="I557" s="640">
        <f>J548+J549+J551+J553+J554+J555+SUM(J552:J552)</f>
        <v>1010.86</v>
      </c>
      <c r="J557" s="640"/>
      <c r="K557" s="640">
        <f>L548+L549+L551+L553+L554+L555+SUM(L552:L552)</f>
        <v>8525.42</v>
      </c>
      <c r="L557" s="640"/>
      <c r="O557" s="765">
        <f>J548+J549+J551+J553+J554+J555+SUM(J552:J552)</f>
        <v>1010.86</v>
      </c>
      <c r="P557" s="765">
        <f>L548+L549+L551+L553+L554+L555+SUM(L552:L552)</f>
        <v>8525.42</v>
      </c>
    </row>
    <row r="559" spans="1:22" ht="71.25" x14ac:dyDescent="0.2">
      <c r="A559" s="478">
        <v>62</v>
      </c>
      <c r="B559" s="763" t="s">
        <v>360</v>
      </c>
      <c r="C559" s="439"/>
      <c r="D559" s="439" t="s">
        <v>82</v>
      </c>
      <c r="E559" s="440" t="str">
        <f>[86]Source!H2718</f>
        <v>100 м2 поверхности воздуховодов</v>
      </c>
      <c r="F559" s="270">
        <f>[86]Source!I2718</f>
        <v>0.04</v>
      </c>
      <c r="G559" s="441"/>
      <c r="H559" s="442"/>
      <c r="I559" s="270"/>
      <c r="J559" s="480"/>
      <c r="K559" s="270"/>
      <c r="L559" s="480"/>
    </row>
    <row r="560" spans="1:22" ht="14.25" x14ac:dyDescent="0.2">
      <c r="A560" s="478"/>
      <c r="B560" s="763"/>
      <c r="C560" s="439"/>
      <c r="D560" s="439" t="s">
        <v>44</v>
      </c>
      <c r="E560" s="440"/>
      <c r="F560" s="270"/>
      <c r="G560" s="441">
        <f t="shared" ref="G560:L560" si="19">G561</f>
        <v>15.75</v>
      </c>
      <c r="H560" s="766" t="str">
        <f t="shared" si="19"/>
        <v>)*(1.67-1)</v>
      </c>
      <c r="I560" s="270">
        <f t="shared" si="19"/>
        <v>1.0669999999999999</v>
      </c>
      <c r="J560" s="480">
        <f t="shared" si="19"/>
        <v>0.45</v>
      </c>
      <c r="K560" s="270">
        <f t="shared" si="19"/>
        <v>24.53</v>
      </c>
      <c r="L560" s="480">
        <f t="shared" si="19"/>
        <v>11.04</v>
      </c>
    </row>
    <row r="561" spans="1:22" ht="14.25" x14ac:dyDescent="0.2">
      <c r="A561" s="478"/>
      <c r="B561" s="763"/>
      <c r="C561" s="439"/>
      <c r="D561" s="439" t="s">
        <v>45</v>
      </c>
      <c r="E561" s="440"/>
      <c r="F561" s="270"/>
      <c r="G561" s="441">
        <f>[86]Source!AN2718</f>
        <v>15.75</v>
      </c>
      <c r="H561" s="766" t="s">
        <v>53</v>
      </c>
      <c r="I561" s="270">
        <f>[86]Source!AV2719</f>
        <v>1.0669999999999999</v>
      </c>
      <c r="J561" s="443">
        <f>ROUND(F547*G561*I561*(1.67-1), 2)</f>
        <v>0.45</v>
      </c>
      <c r="K561" s="270">
        <f>IF([86]Source!BS2719&lt;&gt; 0, [86]Source!BS2719, 1)</f>
        <v>24.53</v>
      </c>
      <c r="L561" s="443">
        <f>ROUND(ROUND(F547*G561*I561*(1.67-1), 2)*K561, 2)</f>
        <v>11.04</v>
      </c>
    </row>
    <row r="562" spans="1:22" ht="14.25" x14ac:dyDescent="0.2">
      <c r="A562" s="478"/>
      <c r="B562" s="763"/>
      <c r="C562" s="439"/>
      <c r="D562" s="439" t="s">
        <v>50</v>
      </c>
      <c r="E562" s="440" t="s">
        <v>48</v>
      </c>
      <c r="F562" s="270">
        <f>175</f>
        <v>175</v>
      </c>
      <c r="G562" s="441"/>
      <c r="H562" s="442"/>
      <c r="I562" s="270"/>
      <c r="J562" s="480">
        <f>ROUND(J561*(F562/100), 2)</f>
        <v>0.79</v>
      </c>
      <c r="K562" s="270">
        <f>157</f>
        <v>157</v>
      </c>
      <c r="L562" s="480">
        <f>ROUND(L561*(K562/100), 2)</f>
        <v>17.329999999999998</v>
      </c>
    </row>
    <row r="563" spans="1:22" ht="15" x14ac:dyDescent="0.25">
      <c r="A563" s="311"/>
      <c r="B563" s="313"/>
      <c r="C563" s="311"/>
      <c r="D563" s="312" t="s">
        <v>81</v>
      </c>
      <c r="E563" s="311"/>
      <c r="F563" s="311"/>
      <c r="G563" s="311"/>
      <c r="H563" s="311"/>
      <c r="I563" s="639">
        <f>J562+J561</f>
        <v>1.24</v>
      </c>
      <c r="J563" s="639"/>
      <c r="K563" s="639">
        <f>L562+L561</f>
        <v>28.37</v>
      </c>
      <c r="L563" s="639"/>
      <c r="O563" s="765">
        <f>I563</f>
        <v>1.24</v>
      </c>
      <c r="P563" s="765">
        <f>K563</f>
        <v>28.37</v>
      </c>
    </row>
    <row r="565" spans="1:22" ht="71.25" x14ac:dyDescent="0.2">
      <c r="A565" s="478">
        <v>63</v>
      </c>
      <c r="B565" s="763" t="s">
        <v>359</v>
      </c>
      <c r="C565" s="439" t="s">
        <v>358</v>
      </c>
      <c r="D565" s="439" t="s">
        <v>357</v>
      </c>
      <c r="E565" s="440" t="str">
        <f>[86]Source!H2726</f>
        <v>100 м2 поверхности воздуховодов</v>
      </c>
      <c r="F565" s="270">
        <f>[86]Source!I2726</f>
        <v>7.4999999999999997E-2</v>
      </c>
      <c r="G565" s="441"/>
      <c r="H565" s="442"/>
      <c r="I565" s="270"/>
      <c r="J565" s="480"/>
      <c r="K565" s="270"/>
      <c r="L565" s="480"/>
      <c r="Q565" s="178">
        <f>[86]Source!X2726</f>
        <v>230.7</v>
      </c>
      <c r="R565" s="178">
        <f>[86]Source!X2727</f>
        <v>4527.26</v>
      </c>
      <c r="S565" s="178">
        <f>[86]Source!Y2726</f>
        <v>173.49</v>
      </c>
      <c r="T565" s="178">
        <f>[86]Source!Y2727</f>
        <v>2037.27</v>
      </c>
      <c r="U565" s="178">
        <f>ROUND((175/100)*ROUND([86]Source!R2726, 2), 2)</f>
        <v>2.4700000000000002</v>
      </c>
      <c r="V565" s="178">
        <f>ROUND((157/100)*ROUND([86]Source!R2727, 2), 2)</f>
        <v>54.31</v>
      </c>
    </row>
    <row r="566" spans="1:22" ht="14.25" x14ac:dyDescent="0.2">
      <c r="A566" s="478"/>
      <c r="B566" s="763"/>
      <c r="C566" s="439"/>
      <c r="D566" s="439" t="s">
        <v>43</v>
      </c>
      <c r="E566" s="440"/>
      <c r="F566" s="270"/>
      <c r="G566" s="441">
        <f>[86]Source!AO2726</f>
        <v>1381.04</v>
      </c>
      <c r="H566" s="442" t="str">
        <f>[86]Source!DG2726</f>
        <v>)*1,67</v>
      </c>
      <c r="I566" s="270">
        <f>[86]Source!AV2727</f>
        <v>1.0669999999999999</v>
      </c>
      <c r="J566" s="480">
        <f>[86]Source!S2726</f>
        <v>184.56</v>
      </c>
      <c r="K566" s="270">
        <f>IF([86]Source!BA2727&lt;&gt; 0, [86]Source!BA2727, 1)</f>
        <v>24.53</v>
      </c>
      <c r="L566" s="480">
        <f>[86]Source!S2727</f>
        <v>4527.26</v>
      </c>
    </row>
    <row r="567" spans="1:22" ht="14.25" x14ac:dyDescent="0.2">
      <c r="A567" s="478"/>
      <c r="B567" s="763"/>
      <c r="C567" s="439"/>
      <c r="D567" s="439" t="s">
        <v>44</v>
      </c>
      <c r="E567" s="440"/>
      <c r="F567" s="270"/>
      <c r="G567" s="441">
        <f>[86]Source!AM2726</f>
        <v>87.08</v>
      </c>
      <c r="H567" s="442">
        <f>[86]Source!DE2726</f>
        <v>0</v>
      </c>
      <c r="I567" s="270">
        <f>[86]Source!AV2727</f>
        <v>1.0669999999999999</v>
      </c>
      <c r="J567" s="480">
        <f>[86]Source!Q2726-J578</f>
        <v>6.97</v>
      </c>
      <c r="K567" s="270">
        <f>IF([86]Source!BB2727&lt;&gt; 0, [86]Source!BB2727, 1)</f>
        <v>8.74</v>
      </c>
      <c r="L567" s="480">
        <f>[86]Source!Q2727-L578</f>
        <v>60.92</v>
      </c>
    </row>
    <row r="568" spans="1:22" ht="14.25" x14ac:dyDescent="0.2">
      <c r="A568" s="478"/>
      <c r="B568" s="763"/>
      <c r="C568" s="439"/>
      <c r="D568" s="439" t="s">
        <v>45</v>
      </c>
      <c r="E568" s="440"/>
      <c r="F568" s="270"/>
      <c r="G568" s="441">
        <f>[86]Source!AN2726</f>
        <v>10.58</v>
      </c>
      <c r="H568" s="442">
        <f>[86]Source!DE2726</f>
        <v>0</v>
      </c>
      <c r="I568" s="270">
        <f>[86]Source!AV2727</f>
        <v>1.0669999999999999</v>
      </c>
      <c r="J568" s="443">
        <f>[86]Source!R2726-J579</f>
        <v>0.84</v>
      </c>
      <c r="K568" s="270">
        <f>IF([86]Source!BS2727&lt;&gt; 0, [86]Source!BS2727, 1)</f>
        <v>24.53</v>
      </c>
      <c r="L568" s="443">
        <f>[86]Source!R2727-L579</f>
        <v>20.61</v>
      </c>
    </row>
    <row r="569" spans="1:22" ht="14.25" x14ac:dyDescent="0.2">
      <c r="A569" s="478"/>
      <c r="B569" s="763"/>
      <c r="C569" s="439"/>
      <c r="D569" s="439" t="s">
        <v>46</v>
      </c>
      <c r="E569" s="440"/>
      <c r="F569" s="270"/>
      <c r="G569" s="441">
        <f>[86]Source!AL2726</f>
        <v>417.44</v>
      </c>
      <c r="H569" s="442">
        <f>[86]Source!DD2726</f>
        <v>0</v>
      </c>
      <c r="I569" s="270">
        <f>[86]Source!AW2727</f>
        <v>1</v>
      </c>
      <c r="J569" s="480">
        <f>[86]Source!P2726</f>
        <v>31.31</v>
      </c>
      <c r="K569" s="270">
        <f>IF([86]Source!BC2727&lt;&gt; 0, [86]Source!BC2727, 1)</f>
        <v>3.57</v>
      </c>
      <c r="L569" s="480">
        <f>[86]Source!P2727</f>
        <v>111.78</v>
      </c>
    </row>
    <row r="570" spans="1:22" ht="42.75" x14ac:dyDescent="0.2">
      <c r="A570" s="478">
        <v>64</v>
      </c>
      <c r="B570" s="763" t="s">
        <v>356</v>
      </c>
      <c r="C570" s="439" t="str">
        <f>[86]Source!F2728</f>
        <v>1.19-3-7</v>
      </c>
      <c r="D570" s="439" t="s">
        <v>355</v>
      </c>
      <c r="E570" s="440" t="str">
        <f>[86]Source!H2728</f>
        <v>м2</v>
      </c>
      <c r="F570" s="270">
        <f>[86]Source!I2728</f>
        <v>7.5</v>
      </c>
      <c r="G570" s="441">
        <f>[86]Source!AK2728</f>
        <v>153.88999999999999</v>
      </c>
      <c r="H570" s="781" t="s">
        <v>20</v>
      </c>
      <c r="I570" s="270">
        <f>[86]Source!AW2729</f>
        <v>1</v>
      </c>
      <c r="J570" s="480">
        <f>[86]Source!O2728</f>
        <v>1154.18</v>
      </c>
      <c r="K570" s="270">
        <f>IF([86]Source!BC2729&lt;&gt; 0, [86]Source!BC2729, 1)</f>
        <v>2.63</v>
      </c>
      <c r="L570" s="480">
        <f>[86]Source!O2729</f>
        <v>3035.49</v>
      </c>
      <c r="Q570" s="178">
        <f>[86]Source!X2728</f>
        <v>0</v>
      </c>
      <c r="R570" s="178">
        <f>[86]Source!X2729</f>
        <v>0</v>
      </c>
      <c r="S570" s="178">
        <f>[86]Source!Y2728</f>
        <v>0</v>
      </c>
      <c r="T570" s="178">
        <f>[86]Source!Y2729</f>
        <v>0</v>
      </c>
      <c r="U570" s="178">
        <f>ROUND((175/100)*ROUND([86]Source!R2728, 2), 2)</f>
        <v>0</v>
      </c>
      <c r="V570" s="178">
        <f>ROUND((157/100)*ROUND([86]Source!R2729, 2), 2)</f>
        <v>0</v>
      </c>
    </row>
    <row r="571" spans="1:22" ht="14.25" x14ac:dyDescent="0.2">
      <c r="A571" s="478"/>
      <c r="B571" s="763"/>
      <c r="C571" s="439"/>
      <c r="D571" s="439" t="s">
        <v>47</v>
      </c>
      <c r="E571" s="440" t="s">
        <v>48</v>
      </c>
      <c r="F571" s="270">
        <f>[86]Source!DN2727</f>
        <v>100</v>
      </c>
      <c r="G571" s="441"/>
      <c r="H571" s="442"/>
      <c r="I571" s="270"/>
      <c r="J571" s="480">
        <f>SUM(Q565:Q570)</f>
        <v>230.7</v>
      </c>
      <c r="K571" s="270">
        <f>[86]Source!BZ2727</f>
        <v>100</v>
      </c>
      <c r="L571" s="480">
        <f>SUM(R565:R570)</f>
        <v>4527.26</v>
      </c>
    </row>
    <row r="572" spans="1:22" ht="14.25" x14ac:dyDescent="0.2">
      <c r="A572" s="478"/>
      <c r="B572" s="763"/>
      <c r="C572" s="439"/>
      <c r="D572" s="439" t="s">
        <v>49</v>
      </c>
      <c r="E572" s="440" t="s">
        <v>48</v>
      </c>
      <c r="F572" s="270">
        <f>[86]Source!DO2727</f>
        <v>45</v>
      </c>
      <c r="G572" s="441"/>
      <c r="H572" s="442"/>
      <c r="I572" s="270"/>
      <c r="J572" s="480">
        <f>SUM(S565:S571)</f>
        <v>173.49</v>
      </c>
      <c r="K572" s="270">
        <f>[86]Source!CA2727</f>
        <v>45</v>
      </c>
      <c r="L572" s="480">
        <f>SUM(T565:T571)</f>
        <v>2037.27</v>
      </c>
    </row>
    <row r="573" spans="1:22" ht="14.25" x14ac:dyDescent="0.2">
      <c r="A573" s="478"/>
      <c r="B573" s="763"/>
      <c r="C573" s="439"/>
      <c r="D573" s="439" t="s">
        <v>50</v>
      </c>
      <c r="E573" s="440" t="s">
        <v>48</v>
      </c>
      <c r="F573" s="270">
        <f>175</f>
        <v>175</v>
      </c>
      <c r="G573" s="441"/>
      <c r="H573" s="442"/>
      <c r="I573" s="270"/>
      <c r="J573" s="480">
        <f>SUM(U565:U572)-J580</f>
        <v>1.47</v>
      </c>
      <c r="K573" s="270">
        <f>157</f>
        <v>157</v>
      </c>
      <c r="L573" s="480">
        <f>SUM(V565:V572)-L580</f>
        <v>32.36</v>
      </c>
    </row>
    <row r="574" spans="1:22" ht="14.25" x14ac:dyDescent="0.2">
      <c r="A574" s="479"/>
      <c r="B574" s="309"/>
      <c r="C574" s="308"/>
      <c r="D574" s="308" t="s">
        <v>51</v>
      </c>
      <c r="E574" s="307" t="s">
        <v>52</v>
      </c>
      <c r="F574" s="306">
        <f>[86]Source!AQ2726</f>
        <v>122</v>
      </c>
      <c r="G574" s="305"/>
      <c r="H574" s="315">
        <f>[86]Source!DI2726</f>
        <v>0</v>
      </c>
      <c r="I574" s="306">
        <f>[86]Source!AV2727</f>
        <v>1.0669999999999999</v>
      </c>
      <c r="J574" s="314">
        <f>[86]Source!U2726</f>
        <v>9.76</v>
      </c>
      <c r="K574" s="306"/>
      <c r="L574" s="314"/>
    </row>
    <row r="575" spans="1:22" ht="15" x14ac:dyDescent="0.25">
      <c r="D575" s="764" t="s">
        <v>81</v>
      </c>
      <c r="I575" s="640">
        <f>J566+J567+J569+J571+J572+J573+SUM(J570:J570)</f>
        <v>1782.68</v>
      </c>
      <c r="J575" s="640"/>
      <c r="K575" s="640">
        <f>L566+L567+L569+L571+L572+L573+SUM(L570:L570)</f>
        <v>14332.34</v>
      </c>
      <c r="L575" s="640"/>
      <c r="O575" s="765">
        <f>J566+J567+J569+J571+J572+J573+SUM(J570:J570)</f>
        <v>1782.68</v>
      </c>
      <c r="P575" s="765">
        <f>L566+L567+L569+L571+L572+L573+SUM(L570:L570)</f>
        <v>14332.34</v>
      </c>
    </row>
    <row r="577" spans="1:22" ht="71.25" x14ac:dyDescent="0.2">
      <c r="A577" s="478">
        <v>65</v>
      </c>
      <c r="B577" s="763" t="s">
        <v>354</v>
      </c>
      <c r="C577" s="439"/>
      <c r="D577" s="439" t="s">
        <v>82</v>
      </c>
      <c r="E577" s="440" t="str">
        <f>[86]Source!H2726</f>
        <v>100 м2 поверхности воздуховодов</v>
      </c>
      <c r="F577" s="270">
        <f>[86]Source!I2726</f>
        <v>7.4999999999999997E-2</v>
      </c>
      <c r="G577" s="441"/>
      <c r="H577" s="442"/>
      <c r="I577" s="270"/>
      <c r="J577" s="480"/>
      <c r="K577" s="270"/>
      <c r="L577" s="480"/>
    </row>
    <row r="578" spans="1:22" ht="14.25" x14ac:dyDescent="0.2">
      <c r="A578" s="478"/>
      <c r="B578" s="763"/>
      <c r="C578" s="439"/>
      <c r="D578" s="439" t="s">
        <v>44</v>
      </c>
      <c r="E578" s="440"/>
      <c r="F578" s="270"/>
      <c r="G578" s="441">
        <f t="shared" ref="G578:L578" si="20">G579</f>
        <v>10.58</v>
      </c>
      <c r="H578" s="766" t="str">
        <f t="shared" si="20"/>
        <v>)*(1.67-1)</v>
      </c>
      <c r="I578" s="270">
        <f t="shared" si="20"/>
        <v>1.0669999999999999</v>
      </c>
      <c r="J578" s="480">
        <f t="shared" si="20"/>
        <v>0.56999999999999995</v>
      </c>
      <c r="K578" s="270">
        <f t="shared" si="20"/>
        <v>24.53</v>
      </c>
      <c r="L578" s="480">
        <f t="shared" si="20"/>
        <v>13.98</v>
      </c>
    </row>
    <row r="579" spans="1:22" ht="14.25" x14ac:dyDescent="0.2">
      <c r="A579" s="478"/>
      <c r="B579" s="763"/>
      <c r="C579" s="439"/>
      <c r="D579" s="439" t="s">
        <v>45</v>
      </c>
      <c r="E579" s="440"/>
      <c r="F579" s="270"/>
      <c r="G579" s="441">
        <f>[86]Source!AN2726</f>
        <v>10.58</v>
      </c>
      <c r="H579" s="766" t="s">
        <v>53</v>
      </c>
      <c r="I579" s="270">
        <f>[86]Source!AV2727</f>
        <v>1.0669999999999999</v>
      </c>
      <c r="J579" s="443">
        <f>ROUND(F565*G579*I579*(1.67-1), 2)</f>
        <v>0.56999999999999995</v>
      </c>
      <c r="K579" s="270">
        <f>IF([86]Source!BS2727&lt;&gt; 0, [86]Source!BS2727, 1)</f>
        <v>24.53</v>
      </c>
      <c r="L579" s="443">
        <f>ROUND(ROUND(F565*G579*I579*(1.67-1), 2)*K579, 2)</f>
        <v>13.98</v>
      </c>
    </row>
    <row r="580" spans="1:22" ht="14.25" x14ac:dyDescent="0.2">
      <c r="A580" s="478"/>
      <c r="B580" s="763"/>
      <c r="C580" s="439"/>
      <c r="D580" s="439" t="s">
        <v>50</v>
      </c>
      <c r="E580" s="440" t="s">
        <v>48</v>
      </c>
      <c r="F580" s="270">
        <f>175</f>
        <v>175</v>
      </c>
      <c r="G580" s="441"/>
      <c r="H580" s="442"/>
      <c r="I580" s="270"/>
      <c r="J580" s="480">
        <f>ROUND(J579*(F580/100), 2)</f>
        <v>1</v>
      </c>
      <c r="K580" s="270">
        <f>157</f>
        <v>157</v>
      </c>
      <c r="L580" s="480">
        <f>ROUND(L579*(K580/100), 2)</f>
        <v>21.95</v>
      </c>
    </row>
    <row r="581" spans="1:22" ht="15" x14ac:dyDescent="0.25">
      <c r="A581" s="311"/>
      <c r="B581" s="313"/>
      <c r="C581" s="311"/>
      <c r="D581" s="312" t="s">
        <v>81</v>
      </c>
      <c r="E581" s="311"/>
      <c r="F581" s="311"/>
      <c r="G581" s="311"/>
      <c r="H581" s="311"/>
      <c r="I581" s="639">
        <f>J580+J579</f>
        <v>1.57</v>
      </c>
      <c r="J581" s="639"/>
      <c r="K581" s="639">
        <f>L580+L579</f>
        <v>35.93</v>
      </c>
      <c r="L581" s="639"/>
      <c r="O581" s="765">
        <f>I581</f>
        <v>1.57</v>
      </c>
      <c r="P581" s="765">
        <f>K581</f>
        <v>35.93</v>
      </c>
    </row>
    <row r="583" spans="1:22" ht="71.25" x14ac:dyDescent="0.2">
      <c r="A583" s="478">
        <v>66</v>
      </c>
      <c r="B583" s="763" t="s">
        <v>353</v>
      </c>
      <c r="C583" s="439" t="s">
        <v>352</v>
      </c>
      <c r="D583" s="439" t="s">
        <v>323</v>
      </c>
      <c r="E583" s="440" t="str">
        <f>[86]Source!H2734</f>
        <v>100 м2 поверхности воздуховодов</v>
      </c>
      <c r="F583" s="270">
        <f>[86]Source!I2734</f>
        <v>0.29499999999999998</v>
      </c>
      <c r="G583" s="441"/>
      <c r="H583" s="442"/>
      <c r="I583" s="270"/>
      <c r="J583" s="480"/>
      <c r="K583" s="270"/>
      <c r="L583" s="480"/>
      <c r="Q583" s="178">
        <f>[86]Source!X2734</f>
        <v>907.44</v>
      </c>
      <c r="R583" s="178">
        <f>[86]Source!X2735</f>
        <v>17807.55</v>
      </c>
      <c r="S583" s="178">
        <f>[86]Source!Y2734</f>
        <v>682.39</v>
      </c>
      <c r="T583" s="178">
        <f>[86]Source!Y2735</f>
        <v>8013.4</v>
      </c>
      <c r="U583" s="178">
        <f>ROUND((175/100)*ROUND([86]Source!R2734, 2), 2)</f>
        <v>13.14</v>
      </c>
      <c r="V583" s="178">
        <f>ROUND((157/100)*ROUND([86]Source!R2735, 2), 2)</f>
        <v>289.23</v>
      </c>
    </row>
    <row r="584" spans="1:22" ht="14.25" x14ac:dyDescent="0.2">
      <c r="A584" s="478"/>
      <c r="B584" s="763"/>
      <c r="C584" s="439"/>
      <c r="D584" s="439" t="s">
        <v>43</v>
      </c>
      <c r="E584" s="440"/>
      <c r="F584" s="270"/>
      <c r="G584" s="441">
        <f>[86]Source!AO2734</f>
        <v>1381.04</v>
      </c>
      <c r="H584" s="442" t="str">
        <f>[86]Source!DG2734</f>
        <v>)*1,67</v>
      </c>
      <c r="I584" s="270">
        <f>[86]Source!AV2735</f>
        <v>1.0669999999999999</v>
      </c>
      <c r="J584" s="480">
        <f>[86]Source!S2734</f>
        <v>725.95</v>
      </c>
      <c r="K584" s="270">
        <f>IF([86]Source!BA2735&lt;&gt; 0, [86]Source!BA2735, 1)</f>
        <v>24.53</v>
      </c>
      <c r="L584" s="480">
        <f>[86]Source!S2735</f>
        <v>17807.55</v>
      </c>
    </row>
    <row r="585" spans="1:22" ht="14.25" x14ac:dyDescent="0.2">
      <c r="A585" s="478"/>
      <c r="B585" s="763"/>
      <c r="C585" s="439"/>
      <c r="D585" s="439" t="s">
        <v>44</v>
      </c>
      <c r="E585" s="440"/>
      <c r="F585" s="270"/>
      <c r="G585" s="441">
        <f>[86]Source!AM2734</f>
        <v>116.7</v>
      </c>
      <c r="H585" s="442">
        <f>[86]Source!DE2734</f>
        <v>0</v>
      </c>
      <c r="I585" s="270">
        <f>[86]Source!AV2735</f>
        <v>1.0669999999999999</v>
      </c>
      <c r="J585" s="480">
        <f>[86]Source!Q2734-J595</f>
        <v>36.729999999999997</v>
      </c>
      <c r="K585" s="270">
        <f>IF([86]Source!BB2735&lt;&gt; 0, [86]Source!BB2735, 1)</f>
        <v>8.7100000000000009</v>
      </c>
      <c r="L585" s="480">
        <f>[86]Source!Q2735-L595</f>
        <v>319.92</v>
      </c>
    </row>
    <row r="586" spans="1:22" ht="14.25" x14ac:dyDescent="0.2">
      <c r="A586" s="478"/>
      <c r="B586" s="763"/>
      <c r="C586" s="439"/>
      <c r="D586" s="439" t="s">
        <v>45</v>
      </c>
      <c r="E586" s="440"/>
      <c r="F586" s="270"/>
      <c r="G586" s="441">
        <f>[86]Source!AN2734</f>
        <v>14.29</v>
      </c>
      <c r="H586" s="442">
        <f>[86]Source!DE2734</f>
        <v>0</v>
      </c>
      <c r="I586" s="270">
        <f>[86]Source!AV2735</f>
        <v>1.0669999999999999</v>
      </c>
      <c r="J586" s="443">
        <f>[86]Source!R2734-J596</f>
        <v>4.5</v>
      </c>
      <c r="K586" s="270">
        <f>IF([86]Source!BS2735&lt;&gt; 0, [86]Source!BS2735, 1)</f>
        <v>24.53</v>
      </c>
      <c r="L586" s="443">
        <f>[86]Source!R2735-L596</f>
        <v>110.38</v>
      </c>
    </row>
    <row r="587" spans="1:22" ht="14.25" x14ac:dyDescent="0.2">
      <c r="A587" s="478"/>
      <c r="B587" s="763"/>
      <c r="C587" s="439"/>
      <c r="D587" s="439" t="s">
        <v>46</v>
      </c>
      <c r="E587" s="440"/>
      <c r="F587" s="270"/>
      <c r="G587" s="441">
        <f>[86]Source!AL2734</f>
        <v>599.72</v>
      </c>
      <c r="H587" s="442">
        <f>[86]Source!DD2734</f>
        <v>0</v>
      </c>
      <c r="I587" s="270">
        <f>[86]Source!AW2735</f>
        <v>1</v>
      </c>
      <c r="J587" s="480">
        <f>[86]Source!P2734</f>
        <v>176.92</v>
      </c>
      <c r="K587" s="270">
        <f>IF([86]Source!BC2735&lt;&gt; 0, [86]Source!BC2735, 1)</f>
        <v>4.22</v>
      </c>
      <c r="L587" s="480">
        <f>[86]Source!P2735</f>
        <v>746.6</v>
      </c>
    </row>
    <row r="588" spans="1:22" ht="14.25" x14ac:dyDescent="0.2">
      <c r="A588" s="478"/>
      <c r="B588" s="763"/>
      <c r="C588" s="439"/>
      <c r="D588" s="439" t="s">
        <v>47</v>
      </c>
      <c r="E588" s="440" t="s">
        <v>48</v>
      </c>
      <c r="F588" s="270">
        <f>[86]Source!DN2735</f>
        <v>100</v>
      </c>
      <c r="G588" s="441"/>
      <c r="H588" s="442"/>
      <c r="I588" s="270"/>
      <c r="J588" s="480">
        <f>SUM(Q583:Q587)</f>
        <v>907.44</v>
      </c>
      <c r="K588" s="270">
        <f>[86]Source!BZ2735</f>
        <v>100</v>
      </c>
      <c r="L588" s="480">
        <f>SUM(R583:R587)</f>
        <v>17807.55</v>
      </c>
    </row>
    <row r="589" spans="1:22" ht="14.25" x14ac:dyDescent="0.2">
      <c r="A589" s="478"/>
      <c r="B589" s="763"/>
      <c r="C589" s="439"/>
      <c r="D589" s="439" t="s">
        <v>49</v>
      </c>
      <c r="E589" s="440" t="s">
        <v>48</v>
      </c>
      <c r="F589" s="270">
        <f>[86]Source!DO2735</f>
        <v>45</v>
      </c>
      <c r="G589" s="441"/>
      <c r="H589" s="442"/>
      <c r="I589" s="270"/>
      <c r="J589" s="480">
        <f>SUM(S583:S588)</f>
        <v>682.39</v>
      </c>
      <c r="K589" s="270">
        <f>[86]Source!CA2735</f>
        <v>45</v>
      </c>
      <c r="L589" s="480">
        <f>SUM(T583:T588)</f>
        <v>8013.4</v>
      </c>
    </row>
    <row r="590" spans="1:22" ht="14.25" x14ac:dyDescent="0.2">
      <c r="A590" s="478"/>
      <c r="B590" s="763"/>
      <c r="C590" s="439"/>
      <c r="D590" s="439" t="s">
        <v>50</v>
      </c>
      <c r="E590" s="440" t="s">
        <v>48</v>
      </c>
      <c r="F590" s="270">
        <f>175</f>
        <v>175</v>
      </c>
      <c r="G590" s="441"/>
      <c r="H590" s="442"/>
      <c r="I590" s="270"/>
      <c r="J590" s="480">
        <f>SUM(U583:U589)-J597</f>
        <v>7.87</v>
      </c>
      <c r="K590" s="270">
        <f>157</f>
        <v>157</v>
      </c>
      <c r="L590" s="480">
        <f>SUM(V583:V589)-L597</f>
        <v>173.3</v>
      </c>
    </row>
    <row r="591" spans="1:22" ht="14.25" x14ac:dyDescent="0.2">
      <c r="A591" s="479"/>
      <c r="B591" s="309"/>
      <c r="C591" s="308"/>
      <c r="D591" s="308" t="s">
        <v>51</v>
      </c>
      <c r="E591" s="307" t="s">
        <v>52</v>
      </c>
      <c r="F591" s="306">
        <f>[86]Source!AQ2734</f>
        <v>122</v>
      </c>
      <c r="G591" s="305"/>
      <c r="H591" s="315">
        <f>[86]Source!DI2734</f>
        <v>0</v>
      </c>
      <c r="I591" s="306">
        <f>[86]Source!AV2735</f>
        <v>1.0669999999999999</v>
      </c>
      <c r="J591" s="314">
        <f>[86]Source!U2734</f>
        <v>38.4</v>
      </c>
      <c r="K591" s="306"/>
      <c r="L591" s="314"/>
    </row>
    <row r="592" spans="1:22" ht="15" x14ac:dyDescent="0.25">
      <c r="D592" s="764" t="s">
        <v>81</v>
      </c>
      <c r="I592" s="640">
        <f>J584+J585+J587+J588+J589+J590</f>
        <v>2537.3000000000002</v>
      </c>
      <c r="J592" s="640"/>
      <c r="K592" s="640">
        <f>L584+L585+L587+L588+L589+L590</f>
        <v>44868.32</v>
      </c>
      <c r="L592" s="640"/>
      <c r="O592" s="765">
        <f>J584+J585+J587+J588+J589+J590</f>
        <v>2537.3000000000002</v>
      </c>
      <c r="P592" s="765">
        <f>L584+L585+L587+L588+L589+L590</f>
        <v>44868.32</v>
      </c>
    </row>
    <row r="594" spans="1:22" ht="71.25" x14ac:dyDescent="0.2">
      <c r="A594" s="478">
        <v>67</v>
      </c>
      <c r="B594" s="763" t="s">
        <v>351</v>
      </c>
      <c r="C594" s="439"/>
      <c r="D594" s="439" t="s">
        <v>82</v>
      </c>
      <c r="E594" s="440" t="str">
        <f>[86]Source!H2734</f>
        <v>100 м2 поверхности воздуховодов</v>
      </c>
      <c r="F594" s="270">
        <f>[86]Source!I2734</f>
        <v>0.29499999999999998</v>
      </c>
      <c r="G594" s="441"/>
      <c r="H594" s="442"/>
      <c r="I594" s="270"/>
      <c r="J594" s="480"/>
      <c r="K594" s="270"/>
      <c r="L594" s="480"/>
    </row>
    <row r="595" spans="1:22" ht="14.25" x14ac:dyDescent="0.2">
      <c r="A595" s="478"/>
      <c r="B595" s="763"/>
      <c r="C595" s="439"/>
      <c r="D595" s="439" t="s">
        <v>44</v>
      </c>
      <c r="E595" s="440"/>
      <c r="F595" s="270"/>
      <c r="G595" s="441">
        <f t="shared" ref="G595:L595" si="21">G596</f>
        <v>14.29</v>
      </c>
      <c r="H595" s="766" t="str">
        <f t="shared" si="21"/>
        <v>)*(1.67-1)</v>
      </c>
      <c r="I595" s="270">
        <f t="shared" si="21"/>
        <v>1.0669999999999999</v>
      </c>
      <c r="J595" s="480">
        <f t="shared" si="21"/>
        <v>3.01</v>
      </c>
      <c r="K595" s="270">
        <f t="shared" si="21"/>
        <v>24.53</v>
      </c>
      <c r="L595" s="480">
        <f t="shared" si="21"/>
        <v>73.84</v>
      </c>
    </row>
    <row r="596" spans="1:22" ht="14.25" x14ac:dyDescent="0.2">
      <c r="A596" s="478"/>
      <c r="B596" s="763"/>
      <c r="C596" s="439"/>
      <c r="D596" s="439" t="s">
        <v>45</v>
      </c>
      <c r="E596" s="440"/>
      <c r="F596" s="270"/>
      <c r="G596" s="441">
        <f>[86]Source!AN2734</f>
        <v>14.29</v>
      </c>
      <c r="H596" s="766" t="s">
        <v>53</v>
      </c>
      <c r="I596" s="270">
        <f>[86]Source!AV2735</f>
        <v>1.0669999999999999</v>
      </c>
      <c r="J596" s="443">
        <f>ROUND(F583*G596*I596*(1.67-1), 2)</f>
        <v>3.01</v>
      </c>
      <c r="K596" s="270">
        <f>IF([86]Source!BS2735&lt;&gt; 0, [86]Source!BS2735, 1)</f>
        <v>24.53</v>
      </c>
      <c r="L596" s="443">
        <f>ROUND(ROUND(F583*G596*I596*(1.67-1), 2)*K596, 2)</f>
        <v>73.84</v>
      </c>
    </row>
    <row r="597" spans="1:22" ht="14.25" x14ac:dyDescent="0.2">
      <c r="A597" s="478"/>
      <c r="B597" s="763"/>
      <c r="C597" s="439"/>
      <c r="D597" s="439" t="s">
        <v>50</v>
      </c>
      <c r="E597" s="440" t="s">
        <v>48</v>
      </c>
      <c r="F597" s="270">
        <f>175</f>
        <v>175</v>
      </c>
      <c r="G597" s="441"/>
      <c r="H597" s="442"/>
      <c r="I597" s="270"/>
      <c r="J597" s="480">
        <f>ROUND(J596*(F597/100), 2)</f>
        <v>5.27</v>
      </c>
      <c r="K597" s="270">
        <f>157</f>
        <v>157</v>
      </c>
      <c r="L597" s="480">
        <f>ROUND(L596*(K597/100), 2)</f>
        <v>115.93</v>
      </c>
    </row>
    <row r="598" spans="1:22" ht="15" x14ac:dyDescent="0.25">
      <c r="A598" s="311"/>
      <c r="B598" s="313"/>
      <c r="C598" s="311"/>
      <c r="D598" s="312" t="s">
        <v>81</v>
      </c>
      <c r="E598" s="311"/>
      <c r="F598" s="311"/>
      <c r="G598" s="311"/>
      <c r="H598" s="311"/>
      <c r="I598" s="639">
        <f>J597+J596</f>
        <v>8.2799999999999994</v>
      </c>
      <c r="J598" s="639"/>
      <c r="K598" s="639">
        <f>L597+L596</f>
        <v>189.77</v>
      </c>
      <c r="L598" s="639"/>
      <c r="O598" s="765">
        <f>I598</f>
        <v>8.2799999999999994</v>
      </c>
      <c r="P598" s="765">
        <f>K598</f>
        <v>189.77</v>
      </c>
    </row>
    <row r="600" spans="1:22" ht="42.75" x14ac:dyDescent="0.2">
      <c r="A600" s="479">
        <v>68</v>
      </c>
      <c r="B600" s="309" t="s">
        <v>350</v>
      </c>
      <c r="C600" s="308" t="s">
        <v>349</v>
      </c>
      <c r="D600" s="308" t="s">
        <v>348</v>
      </c>
      <c r="E600" s="307" t="str">
        <f>[86]Source!H2736</f>
        <v>м2</v>
      </c>
      <c r="F600" s="306">
        <f>[86]Source!I2736</f>
        <v>4</v>
      </c>
      <c r="G600" s="305">
        <f>[86]Source!AL2736</f>
        <v>125.64</v>
      </c>
      <c r="H600" s="315">
        <f>[86]Source!DD2736</f>
        <v>0</v>
      </c>
      <c r="I600" s="306">
        <f>[86]Source!AW2737</f>
        <v>1</v>
      </c>
      <c r="J600" s="314">
        <f>[86]Source!P2736</f>
        <v>502.56</v>
      </c>
      <c r="K600" s="306">
        <f>IF([86]Source!BC2737&lt;&gt; 0, [86]Source!BC2737, 1)</f>
        <v>3.84</v>
      </c>
      <c r="L600" s="314">
        <f>[86]Source!P2737</f>
        <v>1929.83</v>
      </c>
      <c r="Q600" s="178">
        <f>[86]Source!X2736</f>
        <v>0</v>
      </c>
      <c r="R600" s="178">
        <f>[86]Source!X2737</f>
        <v>0</v>
      </c>
      <c r="S600" s="178">
        <f>[86]Source!Y2736</f>
        <v>0</v>
      </c>
      <c r="T600" s="178">
        <f>[86]Source!Y2737</f>
        <v>0</v>
      </c>
      <c r="U600" s="178">
        <f>ROUND((175/100)*ROUND([86]Source!R2736, 2), 2)</f>
        <v>0</v>
      </c>
      <c r="V600" s="178">
        <f>ROUND((157/100)*ROUND([86]Source!R2737, 2), 2)</f>
        <v>0</v>
      </c>
    </row>
    <row r="601" spans="1:22" ht="15" x14ac:dyDescent="0.25">
      <c r="A601" s="311"/>
      <c r="B601" s="313"/>
      <c r="C601" s="311"/>
      <c r="D601" s="312" t="s">
        <v>81</v>
      </c>
      <c r="E601" s="311"/>
      <c r="F601" s="311"/>
      <c r="G601" s="311"/>
      <c r="H601" s="311"/>
      <c r="I601" s="639">
        <f>J600</f>
        <v>502.56</v>
      </c>
      <c r="J601" s="639"/>
      <c r="K601" s="639">
        <f>L600</f>
        <v>1929.83</v>
      </c>
      <c r="L601" s="639"/>
      <c r="O601" s="765">
        <f>J600</f>
        <v>502.56</v>
      </c>
      <c r="P601" s="765">
        <f>L600</f>
        <v>1929.83</v>
      </c>
    </row>
    <row r="603" spans="1:22" ht="42.75" x14ac:dyDescent="0.2">
      <c r="A603" s="479">
        <v>69</v>
      </c>
      <c r="B603" s="309" t="s">
        <v>347</v>
      </c>
      <c r="C603" s="308" t="s">
        <v>320</v>
      </c>
      <c r="D603" s="308" t="s">
        <v>315</v>
      </c>
      <c r="E603" s="307" t="str">
        <f>[86]Source!H2738</f>
        <v>м2</v>
      </c>
      <c r="F603" s="306">
        <f>[86]Source!I2738</f>
        <v>25.5</v>
      </c>
      <c r="G603" s="305">
        <f>[86]Source!AL2738</f>
        <v>157.54</v>
      </c>
      <c r="H603" s="315">
        <f>[86]Source!DD2738</f>
        <v>0</v>
      </c>
      <c r="I603" s="306">
        <f>[86]Source!AW2739</f>
        <v>1</v>
      </c>
      <c r="J603" s="314">
        <f>[86]Source!P2738</f>
        <v>4017.27</v>
      </c>
      <c r="K603" s="306">
        <f>IF([86]Source!BC2739&lt;&gt; 0, [86]Source!BC2739, 1)</f>
        <v>3.07</v>
      </c>
      <c r="L603" s="314">
        <f>[86]Source!P2739</f>
        <v>12333.02</v>
      </c>
      <c r="Q603" s="178">
        <f>[86]Source!X2738</f>
        <v>0</v>
      </c>
      <c r="R603" s="178">
        <f>[86]Source!X2739</f>
        <v>0</v>
      </c>
      <c r="S603" s="178">
        <f>[86]Source!Y2738</f>
        <v>0</v>
      </c>
      <c r="T603" s="178">
        <f>[86]Source!Y2739</f>
        <v>0</v>
      </c>
      <c r="U603" s="178">
        <f>ROUND((175/100)*ROUND([86]Source!R2738, 2), 2)</f>
        <v>0</v>
      </c>
      <c r="V603" s="178">
        <f>ROUND((157/100)*ROUND([86]Source!R2739, 2), 2)</f>
        <v>0</v>
      </c>
    </row>
    <row r="604" spans="1:22" ht="15" x14ac:dyDescent="0.25">
      <c r="A604" s="311"/>
      <c r="B604" s="313"/>
      <c r="C604" s="311"/>
      <c r="D604" s="312" t="s">
        <v>81</v>
      </c>
      <c r="E604" s="311"/>
      <c r="F604" s="311"/>
      <c r="G604" s="311"/>
      <c r="H604" s="311"/>
      <c r="I604" s="639">
        <f>J603</f>
        <v>4017.27</v>
      </c>
      <c r="J604" s="639"/>
      <c r="K604" s="639">
        <f>L603</f>
        <v>12333.02</v>
      </c>
      <c r="L604" s="639"/>
      <c r="O604" s="765">
        <f>J603</f>
        <v>4017.27</v>
      </c>
      <c r="P604" s="765">
        <f>L603</f>
        <v>12333.02</v>
      </c>
    </row>
    <row r="606" spans="1:22" ht="71.25" x14ac:dyDescent="0.2">
      <c r="A606" s="478">
        <v>70</v>
      </c>
      <c r="B606" s="763" t="s">
        <v>346</v>
      </c>
      <c r="C606" s="439" t="s">
        <v>345</v>
      </c>
      <c r="D606" s="439" t="s">
        <v>344</v>
      </c>
      <c r="E606" s="440" t="str">
        <f>[86]Source!H2740</f>
        <v>100 м2 поверхности воздуховодов</v>
      </c>
      <c r="F606" s="270">
        <f>[86]Source!I2740</f>
        <v>0.53</v>
      </c>
      <c r="G606" s="441"/>
      <c r="H606" s="442"/>
      <c r="I606" s="270"/>
      <c r="J606" s="480"/>
      <c r="K606" s="270"/>
      <c r="L606" s="480"/>
      <c r="Q606" s="178">
        <f>[86]Source!X2740</f>
        <v>1226.75</v>
      </c>
      <c r="R606" s="178">
        <f>[86]Source!X2741</f>
        <v>24073.74</v>
      </c>
      <c r="S606" s="178">
        <f>[86]Source!Y2740</f>
        <v>922.52</v>
      </c>
      <c r="T606" s="178">
        <f>[86]Source!Y2741</f>
        <v>10833.18</v>
      </c>
      <c r="U606" s="178">
        <f>ROUND((175/100)*ROUND([86]Source!R2740, 2), 2)</f>
        <v>17.68</v>
      </c>
      <c r="V606" s="178">
        <f>ROUND((157/100)*ROUND([86]Source!R2741, 2), 2)</f>
        <v>388.97</v>
      </c>
    </row>
    <row r="607" spans="1:22" ht="14.25" x14ac:dyDescent="0.2">
      <c r="A607" s="478"/>
      <c r="B607" s="763"/>
      <c r="C607" s="439"/>
      <c r="D607" s="439" t="s">
        <v>43</v>
      </c>
      <c r="E607" s="440"/>
      <c r="F607" s="270"/>
      <c r="G607" s="441">
        <f>[86]Source!AO2740</f>
        <v>1039.18</v>
      </c>
      <c r="H607" s="442" t="str">
        <f>[86]Source!DG2740</f>
        <v>)*1,67</v>
      </c>
      <c r="I607" s="270">
        <f>[86]Source!AV2741</f>
        <v>1.0669999999999999</v>
      </c>
      <c r="J607" s="480">
        <f>[86]Source!S2740</f>
        <v>981.4</v>
      </c>
      <c r="K607" s="270">
        <f>IF([86]Source!BA2741&lt;&gt; 0, [86]Source!BA2741, 1)</f>
        <v>24.53</v>
      </c>
      <c r="L607" s="480">
        <f>[86]Source!S2741</f>
        <v>24073.74</v>
      </c>
    </row>
    <row r="608" spans="1:22" ht="14.25" x14ac:dyDescent="0.2">
      <c r="A608" s="478"/>
      <c r="B608" s="763"/>
      <c r="C608" s="439"/>
      <c r="D608" s="439" t="s">
        <v>44</v>
      </c>
      <c r="E608" s="440"/>
      <c r="F608" s="270"/>
      <c r="G608" s="441">
        <f>[86]Source!AM2740</f>
        <v>87.46</v>
      </c>
      <c r="H608" s="442">
        <f>[86]Source!DE2740</f>
        <v>0</v>
      </c>
      <c r="I608" s="270">
        <f>[86]Source!AV2741</f>
        <v>1.0669999999999999</v>
      </c>
      <c r="J608" s="480">
        <f>[86]Source!Q2740-J619</f>
        <v>49.46</v>
      </c>
      <c r="K608" s="270">
        <f>IF([86]Source!BB2741&lt;&gt; 0, [86]Source!BB2741, 1)</f>
        <v>8.73</v>
      </c>
      <c r="L608" s="480">
        <f>[86]Source!Q2741-L619</f>
        <v>431.79</v>
      </c>
    </row>
    <row r="609" spans="1:22" ht="14.25" x14ac:dyDescent="0.2">
      <c r="A609" s="478"/>
      <c r="B609" s="763"/>
      <c r="C609" s="439"/>
      <c r="D609" s="439" t="s">
        <v>45</v>
      </c>
      <c r="E609" s="440"/>
      <c r="F609" s="270"/>
      <c r="G609" s="441">
        <f>[86]Source!AN2740</f>
        <v>10.69</v>
      </c>
      <c r="H609" s="442">
        <f>[86]Source!DE2740</f>
        <v>0</v>
      </c>
      <c r="I609" s="270">
        <f>[86]Source!AV2741</f>
        <v>1.0669999999999999</v>
      </c>
      <c r="J609" s="443">
        <f>[86]Source!R2740-J620</f>
        <v>6.05</v>
      </c>
      <c r="K609" s="270">
        <f>IF([86]Source!BS2741&lt;&gt; 0, [86]Source!BS2741, 1)</f>
        <v>24.53</v>
      </c>
      <c r="L609" s="443">
        <f>[86]Source!R2741-L620</f>
        <v>148.4</v>
      </c>
    </row>
    <row r="610" spans="1:22" ht="14.25" x14ac:dyDescent="0.2">
      <c r="A610" s="478"/>
      <c r="B610" s="763"/>
      <c r="C610" s="439"/>
      <c r="D610" s="439" t="s">
        <v>46</v>
      </c>
      <c r="E610" s="440"/>
      <c r="F610" s="270"/>
      <c r="G610" s="441">
        <f>[86]Source!AL2740</f>
        <v>409.71</v>
      </c>
      <c r="H610" s="442">
        <f>[86]Source!DD2740</f>
        <v>0</v>
      </c>
      <c r="I610" s="270">
        <f>[86]Source!AW2741</f>
        <v>1</v>
      </c>
      <c r="J610" s="480">
        <f>[86]Source!P2740</f>
        <v>217.15</v>
      </c>
      <c r="K610" s="270">
        <f>IF([86]Source!BC2741&lt;&gt; 0, [86]Source!BC2741, 1)</f>
        <v>3.31</v>
      </c>
      <c r="L610" s="480">
        <f>[86]Source!P2741</f>
        <v>718.77</v>
      </c>
    </row>
    <row r="611" spans="1:22" ht="42.75" x14ac:dyDescent="0.2">
      <c r="A611" s="478">
        <v>71</v>
      </c>
      <c r="B611" s="763" t="s">
        <v>343</v>
      </c>
      <c r="C611" s="439" t="str">
        <f>[86]Source!F2742</f>
        <v>1.19-3-13</v>
      </c>
      <c r="D611" s="439" t="s">
        <v>315</v>
      </c>
      <c r="E611" s="440" t="str">
        <f>[86]Source!H2742</f>
        <v>м2</v>
      </c>
      <c r="F611" s="270">
        <f>[86]Source!I2742</f>
        <v>53</v>
      </c>
      <c r="G611" s="441">
        <f>[86]Source!AK2742</f>
        <v>157.54</v>
      </c>
      <c r="H611" s="781" t="s">
        <v>20</v>
      </c>
      <c r="I611" s="270">
        <f>[86]Source!AW2743</f>
        <v>1</v>
      </c>
      <c r="J611" s="480">
        <f>[86]Source!O2742</f>
        <v>8349.6200000000008</v>
      </c>
      <c r="K611" s="270">
        <f>IF([86]Source!BC2743&lt;&gt; 0, [86]Source!BC2743, 1)</f>
        <v>3.07</v>
      </c>
      <c r="L611" s="480">
        <f>[86]Source!O2743</f>
        <v>25633.33</v>
      </c>
      <c r="Q611" s="178">
        <f>[86]Source!X2742</f>
        <v>0</v>
      </c>
      <c r="R611" s="178">
        <f>[86]Source!X2743</f>
        <v>0</v>
      </c>
      <c r="S611" s="178">
        <f>[86]Source!Y2742</f>
        <v>0</v>
      </c>
      <c r="T611" s="178">
        <f>[86]Source!Y2743</f>
        <v>0</v>
      </c>
      <c r="U611" s="178">
        <f>ROUND((175/100)*ROUND([86]Source!R2742, 2), 2)</f>
        <v>0</v>
      </c>
      <c r="V611" s="178">
        <f>ROUND((157/100)*ROUND([86]Source!R2743, 2), 2)</f>
        <v>0</v>
      </c>
    </row>
    <row r="612" spans="1:22" ht="14.25" x14ac:dyDescent="0.2">
      <c r="A612" s="478"/>
      <c r="B612" s="763"/>
      <c r="C612" s="439"/>
      <c r="D612" s="439" t="s">
        <v>47</v>
      </c>
      <c r="E612" s="440" t="s">
        <v>48</v>
      </c>
      <c r="F612" s="270">
        <f>[86]Source!DN2741</f>
        <v>100</v>
      </c>
      <c r="G612" s="441"/>
      <c r="H612" s="442"/>
      <c r="I612" s="270"/>
      <c r="J612" s="480">
        <f>SUM(Q606:Q611)</f>
        <v>1226.75</v>
      </c>
      <c r="K612" s="270">
        <f>[86]Source!BZ2741</f>
        <v>100</v>
      </c>
      <c r="L612" s="480">
        <f>SUM(R606:R611)</f>
        <v>24073.74</v>
      </c>
    </row>
    <row r="613" spans="1:22" ht="14.25" x14ac:dyDescent="0.2">
      <c r="A613" s="478"/>
      <c r="B613" s="763"/>
      <c r="C613" s="439"/>
      <c r="D613" s="439" t="s">
        <v>49</v>
      </c>
      <c r="E613" s="440" t="s">
        <v>48</v>
      </c>
      <c r="F613" s="270">
        <f>[86]Source!DO2741</f>
        <v>45</v>
      </c>
      <c r="G613" s="441"/>
      <c r="H613" s="442"/>
      <c r="I613" s="270"/>
      <c r="J613" s="480">
        <f>SUM(S606:S612)</f>
        <v>922.52</v>
      </c>
      <c r="K613" s="270">
        <f>[86]Source!CA2741</f>
        <v>45</v>
      </c>
      <c r="L613" s="480">
        <f>SUM(T606:T612)</f>
        <v>10833.18</v>
      </c>
    </row>
    <row r="614" spans="1:22" ht="14.25" x14ac:dyDescent="0.2">
      <c r="A614" s="478"/>
      <c r="B614" s="763"/>
      <c r="C614" s="439"/>
      <c r="D614" s="439" t="s">
        <v>50</v>
      </c>
      <c r="E614" s="440" t="s">
        <v>48</v>
      </c>
      <c r="F614" s="270">
        <f>175</f>
        <v>175</v>
      </c>
      <c r="G614" s="441"/>
      <c r="H614" s="442"/>
      <c r="I614" s="270"/>
      <c r="J614" s="480">
        <f>SUM(U606:U613)-J621</f>
        <v>10.59</v>
      </c>
      <c r="K614" s="270">
        <f>157</f>
        <v>157</v>
      </c>
      <c r="L614" s="480">
        <f>SUM(V606:V613)-L621</f>
        <v>232.99</v>
      </c>
    </row>
    <row r="615" spans="1:22" ht="14.25" x14ac:dyDescent="0.2">
      <c r="A615" s="479"/>
      <c r="B615" s="309"/>
      <c r="C615" s="308"/>
      <c r="D615" s="308" t="s">
        <v>51</v>
      </c>
      <c r="E615" s="307" t="s">
        <v>52</v>
      </c>
      <c r="F615" s="306">
        <f>[86]Source!AQ2740</f>
        <v>91.8</v>
      </c>
      <c r="G615" s="305"/>
      <c r="H615" s="315">
        <f>[86]Source!DI2740</f>
        <v>0</v>
      </c>
      <c r="I615" s="306">
        <f>[86]Source!AV2741</f>
        <v>1.0669999999999999</v>
      </c>
      <c r="J615" s="314">
        <f>[86]Source!U2740</f>
        <v>51.91</v>
      </c>
      <c r="K615" s="306"/>
      <c r="L615" s="314"/>
    </row>
    <row r="616" spans="1:22" ht="15" x14ac:dyDescent="0.25">
      <c r="D616" s="764" t="s">
        <v>81</v>
      </c>
      <c r="I616" s="640">
        <f>J607+J608+J610+J612+J613+J614+SUM(J611:J611)</f>
        <v>11757.49</v>
      </c>
      <c r="J616" s="640"/>
      <c r="K616" s="640">
        <f>L607+L608+L610+L612+L613+L614+SUM(L611:L611)</f>
        <v>85997.54</v>
      </c>
      <c r="L616" s="640"/>
      <c r="O616" s="765">
        <f>J607+J608+J610+J612+J613+J614+SUM(J611:J611)</f>
        <v>11757.49</v>
      </c>
      <c r="P616" s="765">
        <f>L607+L608+L610+L612+L613+L614+SUM(L611:L611)</f>
        <v>85997.54</v>
      </c>
    </row>
    <row r="618" spans="1:22" ht="71.25" x14ac:dyDescent="0.2">
      <c r="A618" s="478">
        <v>72</v>
      </c>
      <c r="B618" s="763" t="s">
        <v>342</v>
      </c>
      <c r="C618" s="439"/>
      <c r="D618" s="439" t="s">
        <v>82</v>
      </c>
      <c r="E618" s="440" t="str">
        <f>[86]Source!H2740</f>
        <v>100 м2 поверхности воздуховодов</v>
      </c>
      <c r="F618" s="270">
        <f>[86]Source!I2740</f>
        <v>0.53</v>
      </c>
      <c r="G618" s="441"/>
      <c r="H618" s="442"/>
      <c r="I618" s="270"/>
      <c r="J618" s="480"/>
      <c r="K618" s="270"/>
      <c r="L618" s="480"/>
    </row>
    <row r="619" spans="1:22" ht="14.25" x14ac:dyDescent="0.2">
      <c r="A619" s="478"/>
      <c r="B619" s="763"/>
      <c r="C619" s="439"/>
      <c r="D619" s="439" t="s">
        <v>44</v>
      </c>
      <c r="E619" s="440"/>
      <c r="F619" s="270"/>
      <c r="G619" s="441">
        <f t="shared" ref="G619:L619" si="22">G620</f>
        <v>10.69</v>
      </c>
      <c r="H619" s="766" t="str">
        <f t="shared" si="22"/>
        <v>)*(1.67-1)</v>
      </c>
      <c r="I619" s="270">
        <f t="shared" si="22"/>
        <v>1.0669999999999999</v>
      </c>
      <c r="J619" s="480">
        <f t="shared" si="22"/>
        <v>4.05</v>
      </c>
      <c r="K619" s="270">
        <f t="shared" si="22"/>
        <v>24.53</v>
      </c>
      <c r="L619" s="480">
        <f t="shared" si="22"/>
        <v>99.35</v>
      </c>
    </row>
    <row r="620" spans="1:22" ht="14.25" x14ac:dyDescent="0.2">
      <c r="A620" s="478"/>
      <c r="B620" s="763"/>
      <c r="C620" s="439"/>
      <c r="D620" s="439" t="s">
        <v>45</v>
      </c>
      <c r="E620" s="440"/>
      <c r="F620" s="270"/>
      <c r="G620" s="441">
        <f>[86]Source!AN2740</f>
        <v>10.69</v>
      </c>
      <c r="H620" s="766" t="s">
        <v>53</v>
      </c>
      <c r="I620" s="270">
        <f>[86]Source!AV2741</f>
        <v>1.0669999999999999</v>
      </c>
      <c r="J620" s="443">
        <f>ROUND(F606*G620*I620*(1.67-1), 2)</f>
        <v>4.05</v>
      </c>
      <c r="K620" s="270">
        <f>IF([86]Source!BS2741&lt;&gt; 0, [86]Source!BS2741, 1)</f>
        <v>24.53</v>
      </c>
      <c r="L620" s="443">
        <f>ROUND(ROUND(F606*G620*I620*(1.67-1), 2)*K620, 2)</f>
        <v>99.35</v>
      </c>
    </row>
    <row r="621" spans="1:22" ht="14.25" x14ac:dyDescent="0.2">
      <c r="A621" s="478"/>
      <c r="B621" s="763"/>
      <c r="C621" s="439"/>
      <c r="D621" s="439" t="s">
        <v>50</v>
      </c>
      <c r="E621" s="440" t="s">
        <v>48</v>
      </c>
      <c r="F621" s="270">
        <f>175</f>
        <v>175</v>
      </c>
      <c r="G621" s="441"/>
      <c r="H621" s="442"/>
      <c r="I621" s="270"/>
      <c r="J621" s="480">
        <f>ROUND(J620*(F621/100), 2)</f>
        <v>7.09</v>
      </c>
      <c r="K621" s="270">
        <f>157</f>
        <v>157</v>
      </c>
      <c r="L621" s="480">
        <f>ROUND(L620*(K621/100), 2)</f>
        <v>155.97999999999999</v>
      </c>
    </row>
    <row r="622" spans="1:22" ht="15" x14ac:dyDescent="0.25">
      <c r="A622" s="311"/>
      <c r="B622" s="313"/>
      <c r="C622" s="311"/>
      <c r="D622" s="312" t="s">
        <v>81</v>
      </c>
      <c r="E622" s="311"/>
      <c r="F622" s="311"/>
      <c r="G622" s="311"/>
      <c r="H622" s="311"/>
      <c r="I622" s="639">
        <f>J621+J620</f>
        <v>11.14</v>
      </c>
      <c r="J622" s="639"/>
      <c r="K622" s="639">
        <f>L621+L620</f>
        <v>255.33</v>
      </c>
      <c r="L622" s="639"/>
      <c r="O622" s="765">
        <f>I622</f>
        <v>11.14</v>
      </c>
      <c r="P622" s="765">
        <f>K622</f>
        <v>255.33</v>
      </c>
    </row>
    <row r="624" spans="1:22" ht="71.25" x14ac:dyDescent="0.2">
      <c r="A624" s="478">
        <v>73</v>
      </c>
      <c r="B624" s="763" t="s">
        <v>341</v>
      </c>
      <c r="C624" s="439" t="s">
        <v>340</v>
      </c>
      <c r="D624" s="439" t="s">
        <v>339</v>
      </c>
      <c r="E624" s="440" t="str">
        <f>[86]Source!H2744</f>
        <v>100 м2 поверхности воздуховодов</v>
      </c>
      <c r="F624" s="270">
        <f>[86]Source!I2744</f>
        <v>0.14000000000000001</v>
      </c>
      <c r="G624" s="441"/>
      <c r="H624" s="442"/>
      <c r="I624" s="270"/>
      <c r="J624" s="480"/>
      <c r="K624" s="270"/>
      <c r="L624" s="480"/>
      <c r="Q624" s="178">
        <f>[86]Source!X2744</f>
        <v>261.93</v>
      </c>
      <c r="R624" s="178">
        <f>[86]Source!X2745</f>
        <v>5140.0200000000004</v>
      </c>
      <c r="S624" s="178">
        <f>[86]Source!Y2744</f>
        <v>196.97</v>
      </c>
      <c r="T624" s="178">
        <f>[86]Source!Y2745</f>
        <v>2313.0100000000002</v>
      </c>
      <c r="U624" s="178">
        <f>ROUND((175/100)*ROUND([86]Source!R2744, 2), 2)</f>
        <v>4.95</v>
      </c>
      <c r="V624" s="178">
        <f>ROUND((157/100)*ROUND([86]Source!R2745, 2), 2)</f>
        <v>108.99</v>
      </c>
    </row>
    <row r="625" spans="1:22" ht="14.25" x14ac:dyDescent="0.2">
      <c r="A625" s="478"/>
      <c r="B625" s="763"/>
      <c r="C625" s="439"/>
      <c r="D625" s="439" t="s">
        <v>43</v>
      </c>
      <c r="E625" s="440"/>
      <c r="F625" s="270"/>
      <c r="G625" s="441">
        <f>[86]Source!AO2744</f>
        <v>839.94</v>
      </c>
      <c r="H625" s="442" t="str">
        <f>[86]Source!DG2744</f>
        <v>)*1,67</v>
      </c>
      <c r="I625" s="270">
        <f>[86]Source!AV2745</f>
        <v>1.0669999999999999</v>
      </c>
      <c r="J625" s="480">
        <f>[86]Source!S2744</f>
        <v>209.54</v>
      </c>
      <c r="K625" s="270">
        <f>IF([86]Source!BA2745&lt;&gt; 0, [86]Source!BA2745, 1)</f>
        <v>24.53</v>
      </c>
      <c r="L625" s="480">
        <f>[86]Source!S2745</f>
        <v>5140.0200000000004</v>
      </c>
    </row>
    <row r="626" spans="1:22" ht="14.25" x14ac:dyDescent="0.2">
      <c r="A626" s="478"/>
      <c r="B626" s="763"/>
      <c r="C626" s="439"/>
      <c r="D626" s="439" t="s">
        <v>44</v>
      </c>
      <c r="E626" s="440"/>
      <c r="F626" s="270"/>
      <c r="G626" s="441">
        <f>[86]Source!AM2744</f>
        <v>92.82</v>
      </c>
      <c r="H626" s="442">
        <f>[86]Source!DE2744</f>
        <v>0</v>
      </c>
      <c r="I626" s="270">
        <f>[86]Source!AV2745</f>
        <v>1.0669999999999999</v>
      </c>
      <c r="J626" s="480">
        <f>[86]Source!Q2744-J637</f>
        <v>13.87</v>
      </c>
      <c r="K626" s="270">
        <f>IF([86]Source!BB2745&lt;&gt; 0, [86]Source!BB2745, 1)</f>
        <v>8.7200000000000006</v>
      </c>
      <c r="L626" s="480">
        <f>[86]Source!Q2745-L637</f>
        <v>120.95</v>
      </c>
    </row>
    <row r="627" spans="1:22" ht="14.25" x14ac:dyDescent="0.2">
      <c r="A627" s="478"/>
      <c r="B627" s="763"/>
      <c r="C627" s="439"/>
      <c r="D627" s="439" t="s">
        <v>45</v>
      </c>
      <c r="E627" s="440"/>
      <c r="F627" s="270"/>
      <c r="G627" s="441">
        <f>[86]Source!AN2744</f>
        <v>11.34</v>
      </c>
      <c r="H627" s="442">
        <f>[86]Source!DE2744</f>
        <v>0</v>
      </c>
      <c r="I627" s="270">
        <f>[86]Source!AV2745</f>
        <v>1.0669999999999999</v>
      </c>
      <c r="J627" s="443">
        <f>[86]Source!R2744-J638</f>
        <v>1.7</v>
      </c>
      <c r="K627" s="270">
        <f>IF([86]Source!BS2745&lt;&gt; 0, [86]Source!BS2745, 1)</f>
        <v>24.53</v>
      </c>
      <c r="L627" s="443">
        <f>[86]Source!R2745-L638</f>
        <v>41.7</v>
      </c>
    </row>
    <row r="628" spans="1:22" ht="14.25" x14ac:dyDescent="0.2">
      <c r="A628" s="478"/>
      <c r="B628" s="763"/>
      <c r="C628" s="439"/>
      <c r="D628" s="439" t="s">
        <v>46</v>
      </c>
      <c r="E628" s="440"/>
      <c r="F628" s="270"/>
      <c r="G628" s="441">
        <f>[86]Source!AL2744</f>
        <v>490.65</v>
      </c>
      <c r="H628" s="442">
        <f>[86]Source!DD2744</f>
        <v>0</v>
      </c>
      <c r="I628" s="270">
        <f>[86]Source!AW2745</f>
        <v>1</v>
      </c>
      <c r="J628" s="480">
        <f>[86]Source!P2744</f>
        <v>68.69</v>
      </c>
      <c r="K628" s="270">
        <f>IF([86]Source!BC2745&lt;&gt; 0, [86]Source!BC2745, 1)</f>
        <v>3.95</v>
      </c>
      <c r="L628" s="480">
        <f>[86]Source!P2745</f>
        <v>271.33</v>
      </c>
    </row>
    <row r="629" spans="1:22" ht="42.75" x14ac:dyDescent="0.2">
      <c r="A629" s="478">
        <v>74</v>
      </c>
      <c r="B629" s="763" t="s">
        <v>338</v>
      </c>
      <c r="C629" s="439" t="str">
        <f>[86]Source!F2746</f>
        <v>1.19-3-13</v>
      </c>
      <c r="D629" s="439" t="s">
        <v>315</v>
      </c>
      <c r="E629" s="440" t="str">
        <f>[86]Source!H2746</f>
        <v>м2</v>
      </c>
      <c r="F629" s="270">
        <f>[86]Source!I2746</f>
        <v>14</v>
      </c>
      <c r="G629" s="441">
        <f>[86]Source!AK2746</f>
        <v>157.54</v>
      </c>
      <c r="H629" s="781" t="s">
        <v>20</v>
      </c>
      <c r="I629" s="270">
        <f>[86]Source!AW2747</f>
        <v>1</v>
      </c>
      <c r="J629" s="480">
        <f>[86]Source!O2746</f>
        <v>2205.56</v>
      </c>
      <c r="K629" s="270">
        <f>IF([86]Source!BC2747&lt;&gt; 0, [86]Source!BC2747, 1)</f>
        <v>3.07</v>
      </c>
      <c r="L629" s="480">
        <f>[86]Source!O2747</f>
        <v>6771.07</v>
      </c>
      <c r="Q629" s="178">
        <f>[86]Source!X2746</f>
        <v>0</v>
      </c>
      <c r="R629" s="178">
        <f>[86]Source!X2747</f>
        <v>0</v>
      </c>
      <c r="S629" s="178">
        <f>[86]Source!Y2746</f>
        <v>0</v>
      </c>
      <c r="T629" s="178">
        <f>[86]Source!Y2747</f>
        <v>0</v>
      </c>
      <c r="U629" s="178">
        <f>ROUND((175/100)*ROUND([86]Source!R2746, 2), 2)</f>
        <v>0</v>
      </c>
      <c r="V629" s="178">
        <f>ROUND((157/100)*ROUND([86]Source!R2747, 2), 2)</f>
        <v>0</v>
      </c>
    </row>
    <row r="630" spans="1:22" ht="14.25" x14ac:dyDescent="0.2">
      <c r="A630" s="478"/>
      <c r="B630" s="763"/>
      <c r="C630" s="439"/>
      <c r="D630" s="439" t="s">
        <v>47</v>
      </c>
      <c r="E630" s="440" t="s">
        <v>48</v>
      </c>
      <c r="F630" s="270">
        <f>[86]Source!DN2745</f>
        <v>100</v>
      </c>
      <c r="G630" s="441"/>
      <c r="H630" s="442"/>
      <c r="I630" s="270"/>
      <c r="J630" s="480">
        <f>SUM(Q624:Q629)</f>
        <v>261.93</v>
      </c>
      <c r="K630" s="270">
        <f>[86]Source!BZ2745</f>
        <v>100</v>
      </c>
      <c r="L630" s="480">
        <f>SUM(R624:R629)</f>
        <v>5140.0200000000004</v>
      </c>
    </row>
    <row r="631" spans="1:22" ht="14.25" x14ac:dyDescent="0.2">
      <c r="A631" s="478"/>
      <c r="B631" s="763"/>
      <c r="C631" s="439"/>
      <c r="D631" s="439" t="s">
        <v>49</v>
      </c>
      <c r="E631" s="440" t="s">
        <v>48</v>
      </c>
      <c r="F631" s="270">
        <f>[86]Source!DO2745</f>
        <v>45</v>
      </c>
      <c r="G631" s="441"/>
      <c r="H631" s="442"/>
      <c r="I631" s="270"/>
      <c r="J631" s="480">
        <f>SUM(S624:S630)</f>
        <v>196.97</v>
      </c>
      <c r="K631" s="270">
        <f>[86]Source!CA2745</f>
        <v>45</v>
      </c>
      <c r="L631" s="480">
        <f>SUM(T624:T630)</f>
        <v>2313.0100000000002</v>
      </c>
    </row>
    <row r="632" spans="1:22" ht="14.25" x14ac:dyDescent="0.2">
      <c r="A632" s="478"/>
      <c r="B632" s="763"/>
      <c r="C632" s="439"/>
      <c r="D632" s="439" t="s">
        <v>50</v>
      </c>
      <c r="E632" s="440" t="s">
        <v>48</v>
      </c>
      <c r="F632" s="270">
        <f>175</f>
        <v>175</v>
      </c>
      <c r="G632" s="441"/>
      <c r="H632" s="442"/>
      <c r="I632" s="270"/>
      <c r="J632" s="480">
        <f>SUM(U624:U631)-J639</f>
        <v>2.97</v>
      </c>
      <c r="K632" s="270">
        <f>157</f>
        <v>157</v>
      </c>
      <c r="L632" s="480">
        <f>SUM(V624:V631)-L639</f>
        <v>65.47</v>
      </c>
    </row>
    <row r="633" spans="1:22" ht="14.25" x14ac:dyDescent="0.2">
      <c r="A633" s="479"/>
      <c r="B633" s="309"/>
      <c r="C633" s="308"/>
      <c r="D633" s="308" t="s">
        <v>51</v>
      </c>
      <c r="E633" s="307" t="s">
        <v>52</v>
      </c>
      <c r="F633" s="306">
        <f>[86]Source!AQ2744</f>
        <v>74.2</v>
      </c>
      <c r="G633" s="305"/>
      <c r="H633" s="315">
        <f>[86]Source!DI2744</f>
        <v>0</v>
      </c>
      <c r="I633" s="306">
        <f>[86]Source!AV2745</f>
        <v>1.0669999999999999</v>
      </c>
      <c r="J633" s="314">
        <f>[86]Source!U2744</f>
        <v>11.08</v>
      </c>
      <c r="K633" s="306"/>
      <c r="L633" s="314"/>
    </row>
    <row r="634" spans="1:22" ht="15" x14ac:dyDescent="0.25">
      <c r="D634" s="764" t="s">
        <v>81</v>
      </c>
      <c r="I634" s="640">
        <f>J625+J626+J628+J630+J631+J632+SUM(J629:J629)</f>
        <v>2959.53</v>
      </c>
      <c r="J634" s="640"/>
      <c r="K634" s="640">
        <f>L625+L626+L628+L630+L631+L632+SUM(L629:L629)</f>
        <v>19821.87</v>
      </c>
      <c r="L634" s="640"/>
      <c r="O634" s="765">
        <f>J625+J626+J628+J630+J631+J632+SUM(J629:J629)</f>
        <v>2959.53</v>
      </c>
      <c r="P634" s="765">
        <f>L625+L626+L628+L630+L631+L632+SUM(L629:L629)</f>
        <v>19821.87</v>
      </c>
    </row>
    <row r="636" spans="1:22" ht="71.25" x14ac:dyDescent="0.2">
      <c r="A636" s="478">
        <v>75</v>
      </c>
      <c r="B636" s="763" t="s">
        <v>337</v>
      </c>
      <c r="C636" s="439"/>
      <c r="D636" s="439" t="s">
        <v>82</v>
      </c>
      <c r="E636" s="440" t="str">
        <f>[86]Source!H2744</f>
        <v>100 м2 поверхности воздуховодов</v>
      </c>
      <c r="F636" s="270">
        <f>[86]Source!I2744</f>
        <v>0.14000000000000001</v>
      </c>
      <c r="G636" s="441"/>
      <c r="H636" s="442"/>
      <c r="I636" s="270"/>
      <c r="J636" s="480"/>
      <c r="K636" s="270"/>
      <c r="L636" s="480"/>
    </row>
    <row r="637" spans="1:22" ht="14.25" x14ac:dyDescent="0.2">
      <c r="A637" s="478"/>
      <c r="B637" s="763"/>
      <c r="C637" s="439"/>
      <c r="D637" s="439" t="s">
        <v>44</v>
      </c>
      <c r="E637" s="440"/>
      <c r="F637" s="270"/>
      <c r="G637" s="441">
        <f t="shared" ref="G637:L637" si="23">G638</f>
        <v>11.34</v>
      </c>
      <c r="H637" s="766" t="str">
        <f t="shared" si="23"/>
        <v>)*(1.67-1)</v>
      </c>
      <c r="I637" s="270">
        <f t="shared" si="23"/>
        <v>1.0669999999999999</v>
      </c>
      <c r="J637" s="480">
        <f t="shared" si="23"/>
        <v>1.1299999999999999</v>
      </c>
      <c r="K637" s="270">
        <f t="shared" si="23"/>
        <v>24.53</v>
      </c>
      <c r="L637" s="480">
        <f t="shared" si="23"/>
        <v>27.72</v>
      </c>
    </row>
    <row r="638" spans="1:22" ht="14.25" x14ac:dyDescent="0.2">
      <c r="A638" s="478"/>
      <c r="B638" s="763"/>
      <c r="C638" s="439"/>
      <c r="D638" s="439" t="s">
        <v>45</v>
      </c>
      <c r="E638" s="440"/>
      <c r="F638" s="270"/>
      <c r="G638" s="441">
        <f>[86]Source!AN2744</f>
        <v>11.34</v>
      </c>
      <c r="H638" s="766" t="s">
        <v>53</v>
      </c>
      <c r="I638" s="270">
        <f>[86]Source!AV2745</f>
        <v>1.0669999999999999</v>
      </c>
      <c r="J638" s="443">
        <f>ROUND(F624*G638*I638*(1.67-1), 2)</f>
        <v>1.1299999999999999</v>
      </c>
      <c r="K638" s="270">
        <f>IF([86]Source!BS2745&lt;&gt; 0, [86]Source!BS2745, 1)</f>
        <v>24.53</v>
      </c>
      <c r="L638" s="443">
        <f>ROUND(ROUND(F624*G638*I638*(1.67-1), 2)*K638, 2)</f>
        <v>27.72</v>
      </c>
    </row>
    <row r="639" spans="1:22" ht="14.25" x14ac:dyDescent="0.2">
      <c r="A639" s="478"/>
      <c r="B639" s="763"/>
      <c r="C639" s="439"/>
      <c r="D639" s="439" t="s">
        <v>50</v>
      </c>
      <c r="E639" s="440" t="s">
        <v>48</v>
      </c>
      <c r="F639" s="270">
        <f>175</f>
        <v>175</v>
      </c>
      <c r="G639" s="441"/>
      <c r="H639" s="442"/>
      <c r="I639" s="270"/>
      <c r="J639" s="480">
        <f>ROUND(J638*(F639/100), 2)</f>
        <v>1.98</v>
      </c>
      <c r="K639" s="270">
        <f>157</f>
        <v>157</v>
      </c>
      <c r="L639" s="480">
        <f>ROUND(L638*(K639/100), 2)</f>
        <v>43.52</v>
      </c>
    </row>
    <row r="640" spans="1:22" ht="15" x14ac:dyDescent="0.25">
      <c r="A640" s="311"/>
      <c r="B640" s="313"/>
      <c r="C640" s="311"/>
      <c r="D640" s="312" t="s">
        <v>81</v>
      </c>
      <c r="E640" s="311"/>
      <c r="F640" s="311"/>
      <c r="G640" s="311"/>
      <c r="H640" s="311"/>
      <c r="I640" s="639">
        <f>J639+J638</f>
        <v>3.11</v>
      </c>
      <c r="J640" s="639"/>
      <c r="K640" s="639">
        <f>L639+L638</f>
        <v>71.239999999999995</v>
      </c>
      <c r="L640" s="639"/>
      <c r="O640" s="765">
        <f>I640</f>
        <v>3.11</v>
      </c>
      <c r="P640" s="765">
        <f>K640</f>
        <v>71.239999999999995</v>
      </c>
    </row>
    <row r="642" spans="1:22" ht="71.25" x14ac:dyDescent="0.2">
      <c r="A642" s="478">
        <v>76</v>
      </c>
      <c r="B642" s="763" t="s">
        <v>336</v>
      </c>
      <c r="C642" s="439" t="s">
        <v>335</v>
      </c>
      <c r="D642" s="439" t="s">
        <v>334</v>
      </c>
      <c r="E642" s="440" t="str">
        <f>[86]Source!H2752</f>
        <v>100 м2 поверхности воздуховодов</v>
      </c>
      <c r="F642" s="270">
        <f>[86]Source!I2752</f>
        <v>0.72</v>
      </c>
      <c r="G642" s="441"/>
      <c r="H642" s="442"/>
      <c r="I642" s="270"/>
      <c r="J642" s="480"/>
      <c r="K642" s="270"/>
      <c r="L642" s="480"/>
      <c r="Q642" s="178">
        <f>[86]Source!X2752</f>
        <v>1171.73</v>
      </c>
      <c r="R642" s="178">
        <f>[86]Source!X2753</f>
        <v>22993.93</v>
      </c>
      <c r="S642" s="178">
        <f>[86]Source!Y2752</f>
        <v>881.14</v>
      </c>
      <c r="T642" s="178">
        <f>[86]Source!Y2753</f>
        <v>10347.27</v>
      </c>
      <c r="U642" s="178">
        <f>ROUND((175/100)*ROUND([86]Source!R2752, 2), 2)</f>
        <v>24.78</v>
      </c>
      <c r="V642" s="178">
        <f>ROUND((157/100)*ROUND([86]Source!R2753, 2), 2)</f>
        <v>545.32000000000005</v>
      </c>
    </row>
    <row r="643" spans="1:22" ht="14.25" x14ac:dyDescent="0.2">
      <c r="A643" s="478"/>
      <c r="B643" s="763"/>
      <c r="C643" s="439"/>
      <c r="D643" s="439" t="s">
        <v>43</v>
      </c>
      <c r="E643" s="440"/>
      <c r="F643" s="270"/>
      <c r="G643" s="441">
        <f>[86]Source!AO2752</f>
        <v>730.64</v>
      </c>
      <c r="H643" s="442" t="str">
        <f>[86]Source!DG2752</f>
        <v>)*1,67</v>
      </c>
      <c r="I643" s="270">
        <f>[86]Source!AV2753</f>
        <v>1.0669999999999999</v>
      </c>
      <c r="J643" s="480">
        <f>[86]Source!S2752</f>
        <v>937.38</v>
      </c>
      <c r="K643" s="270">
        <f>IF([86]Source!BA2753&lt;&gt; 0, [86]Source!BA2753, 1)</f>
        <v>24.53</v>
      </c>
      <c r="L643" s="480">
        <f>[86]Source!S2753</f>
        <v>22993.93</v>
      </c>
    </row>
    <row r="644" spans="1:22" ht="14.25" x14ac:dyDescent="0.2">
      <c r="A644" s="478"/>
      <c r="B644" s="763"/>
      <c r="C644" s="439"/>
      <c r="D644" s="439" t="s">
        <v>44</v>
      </c>
      <c r="E644" s="440"/>
      <c r="F644" s="270"/>
      <c r="G644" s="441">
        <f>[86]Source!AM2752</f>
        <v>92.5</v>
      </c>
      <c r="H644" s="442">
        <f>[86]Source!DE2752</f>
        <v>0</v>
      </c>
      <c r="I644" s="270">
        <f>[86]Source!AV2753</f>
        <v>1.0669999999999999</v>
      </c>
      <c r="J644" s="480">
        <f>[86]Source!Q2752-J655</f>
        <v>71.06</v>
      </c>
      <c r="K644" s="270">
        <f>IF([86]Source!BB2753&lt;&gt; 0, [86]Source!BB2753, 1)</f>
        <v>8.65</v>
      </c>
      <c r="L644" s="480">
        <f>[86]Source!Q2753-L655</f>
        <v>614.66999999999996</v>
      </c>
    </row>
    <row r="645" spans="1:22" ht="14.25" x14ac:dyDescent="0.2">
      <c r="A645" s="478"/>
      <c r="B645" s="763"/>
      <c r="C645" s="439"/>
      <c r="D645" s="439" t="s">
        <v>45</v>
      </c>
      <c r="E645" s="440"/>
      <c r="F645" s="270"/>
      <c r="G645" s="441">
        <f>[86]Source!AN2752</f>
        <v>11.04</v>
      </c>
      <c r="H645" s="442">
        <f>[86]Source!DE2752</f>
        <v>0</v>
      </c>
      <c r="I645" s="270">
        <f>[86]Source!AV2753</f>
        <v>1.0669999999999999</v>
      </c>
      <c r="J645" s="443">
        <f>[86]Source!R2752-J656</f>
        <v>8.48</v>
      </c>
      <c r="K645" s="270">
        <f>IF([86]Source!BS2753&lt;&gt; 0, [86]Source!BS2753, 1)</f>
        <v>24.53</v>
      </c>
      <c r="L645" s="443">
        <f>[86]Source!R2753-L656</f>
        <v>208.01</v>
      </c>
    </row>
    <row r="646" spans="1:22" ht="14.25" x14ac:dyDescent="0.2">
      <c r="A646" s="478"/>
      <c r="B646" s="763"/>
      <c r="C646" s="439"/>
      <c r="D646" s="439" t="s">
        <v>46</v>
      </c>
      <c r="E646" s="440"/>
      <c r="F646" s="270"/>
      <c r="G646" s="441">
        <f>[86]Source!AL2752</f>
        <v>386.29</v>
      </c>
      <c r="H646" s="442">
        <f>[86]Source!DD2752</f>
        <v>0</v>
      </c>
      <c r="I646" s="270">
        <f>[86]Source!AW2753</f>
        <v>1</v>
      </c>
      <c r="J646" s="480">
        <f>[86]Source!P2752</f>
        <v>278.13</v>
      </c>
      <c r="K646" s="270">
        <f>IF([86]Source!BC2753&lt;&gt; 0, [86]Source!BC2753, 1)</f>
        <v>3.24</v>
      </c>
      <c r="L646" s="480">
        <f>[86]Source!P2753</f>
        <v>901.14</v>
      </c>
    </row>
    <row r="647" spans="1:22" ht="42.75" x14ac:dyDescent="0.2">
      <c r="A647" s="478">
        <v>77</v>
      </c>
      <c r="B647" s="763" t="s">
        <v>333</v>
      </c>
      <c r="C647" s="439" t="str">
        <f>[86]Source!F2754</f>
        <v>1.19-3-13</v>
      </c>
      <c r="D647" s="439" t="s">
        <v>315</v>
      </c>
      <c r="E647" s="440" t="str">
        <f>[86]Source!H2754</f>
        <v>м2</v>
      </c>
      <c r="F647" s="270">
        <f>[86]Source!I2754</f>
        <v>72</v>
      </c>
      <c r="G647" s="441">
        <f>[86]Source!AK2754</f>
        <v>157.54</v>
      </c>
      <c r="H647" s="781" t="s">
        <v>20</v>
      </c>
      <c r="I647" s="270">
        <f>[86]Source!AW2755</f>
        <v>1</v>
      </c>
      <c r="J647" s="480">
        <f>[86]Source!O2754</f>
        <v>11342.88</v>
      </c>
      <c r="K647" s="270">
        <f>IF([86]Source!BC2755&lt;&gt; 0, [86]Source!BC2755, 1)</f>
        <v>3.07</v>
      </c>
      <c r="L647" s="480">
        <f>[86]Source!O2755</f>
        <v>34822.639999999999</v>
      </c>
      <c r="Q647" s="178">
        <f>[86]Source!X2754</f>
        <v>0</v>
      </c>
      <c r="R647" s="178">
        <f>[86]Source!X2755</f>
        <v>0</v>
      </c>
      <c r="S647" s="178">
        <f>[86]Source!Y2754</f>
        <v>0</v>
      </c>
      <c r="T647" s="178">
        <f>[86]Source!Y2755</f>
        <v>0</v>
      </c>
      <c r="U647" s="178">
        <f>ROUND((175/100)*ROUND([86]Source!R2754, 2), 2)</f>
        <v>0</v>
      </c>
      <c r="V647" s="178">
        <f>ROUND((157/100)*ROUND([86]Source!R2755, 2), 2)</f>
        <v>0</v>
      </c>
    </row>
    <row r="648" spans="1:22" ht="14.25" x14ac:dyDescent="0.2">
      <c r="A648" s="478"/>
      <c r="B648" s="763"/>
      <c r="C648" s="439"/>
      <c r="D648" s="439" t="s">
        <v>47</v>
      </c>
      <c r="E648" s="440" t="s">
        <v>48</v>
      </c>
      <c r="F648" s="270">
        <f>[86]Source!DN2753</f>
        <v>100</v>
      </c>
      <c r="G648" s="441"/>
      <c r="H648" s="442"/>
      <c r="I648" s="270"/>
      <c r="J648" s="480">
        <f>SUM(Q642:Q647)</f>
        <v>1171.73</v>
      </c>
      <c r="K648" s="270">
        <f>[86]Source!BZ2753</f>
        <v>100</v>
      </c>
      <c r="L648" s="480">
        <f>SUM(R642:R647)</f>
        <v>22993.93</v>
      </c>
    </row>
    <row r="649" spans="1:22" ht="14.25" x14ac:dyDescent="0.2">
      <c r="A649" s="478"/>
      <c r="B649" s="763"/>
      <c r="C649" s="439"/>
      <c r="D649" s="439" t="s">
        <v>49</v>
      </c>
      <c r="E649" s="440" t="s">
        <v>48</v>
      </c>
      <c r="F649" s="270">
        <f>[86]Source!DO2753</f>
        <v>45</v>
      </c>
      <c r="G649" s="441"/>
      <c r="H649" s="442"/>
      <c r="I649" s="270"/>
      <c r="J649" s="480">
        <f>SUM(S642:S648)</f>
        <v>881.14</v>
      </c>
      <c r="K649" s="270">
        <f>[86]Source!CA2753</f>
        <v>45</v>
      </c>
      <c r="L649" s="480">
        <f>SUM(T642:T648)</f>
        <v>10347.27</v>
      </c>
    </row>
    <row r="650" spans="1:22" ht="14.25" x14ac:dyDescent="0.2">
      <c r="A650" s="478"/>
      <c r="B650" s="763"/>
      <c r="C650" s="439"/>
      <c r="D650" s="439" t="s">
        <v>50</v>
      </c>
      <c r="E650" s="440" t="s">
        <v>48</v>
      </c>
      <c r="F650" s="270">
        <f>175</f>
        <v>175</v>
      </c>
      <c r="G650" s="441"/>
      <c r="H650" s="442"/>
      <c r="I650" s="270"/>
      <c r="J650" s="480">
        <f>SUM(U642:U649)-J657</f>
        <v>14.84</v>
      </c>
      <c r="K650" s="270">
        <f>157</f>
        <v>157</v>
      </c>
      <c r="L650" s="480">
        <f>SUM(V642:V649)-L657</f>
        <v>326.57</v>
      </c>
    </row>
    <row r="651" spans="1:22" ht="14.25" x14ac:dyDescent="0.2">
      <c r="A651" s="479"/>
      <c r="B651" s="309"/>
      <c r="C651" s="308"/>
      <c r="D651" s="308" t="s">
        <v>51</v>
      </c>
      <c r="E651" s="307" t="s">
        <v>52</v>
      </c>
      <c r="F651" s="306">
        <f>[86]Source!AQ2752</f>
        <v>63.7</v>
      </c>
      <c r="G651" s="305"/>
      <c r="H651" s="315">
        <f>[86]Source!DI2752</f>
        <v>0</v>
      </c>
      <c r="I651" s="306">
        <f>[86]Source!AV2753</f>
        <v>1.0669999999999999</v>
      </c>
      <c r="J651" s="314">
        <f>[86]Source!U2752</f>
        <v>48.94</v>
      </c>
      <c r="K651" s="306"/>
      <c r="L651" s="314"/>
    </row>
    <row r="652" spans="1:22" ht="15" x14ac:dyDescent="0.25">
      <c r="D652" s="764" t="s">
        <v>81</v>
      </c>
      <c r="I652" s="640">
        <f>J643+J644+J646+J648+J649+J650+SUM(J647:J647)</f>
        <v>14697.16</v>
      </c>
      <c r="J652" s="640"/>
      <c r="K652" s="640">
        <f>L643+L644+L646+L648+L649+L650+SUM(L647:L647)</f>
        <v>93000.15</v>
      </c>
      <c r="L652" s="640"/>
      <c r="O652" s="765">
        <f>J643+J644+J646+J648+J649+J650+SUM(J647:J647)</f>
        <v>14697.16</v>
      </c>
      <c r="P652" s="765">
        <f>L643+L644+L646+L648+L649+L650+SUM(L647:L647)</f>
        <v>93000.15</v>
      </c>
    </row>
    <row r="654" spans="1:22" ht="71.25" x14ac:dyDescent="0.2">
      <c r="A654" s="478">
        <v>78</v>
      </c>
      <c r="B654" s="763" t="s">
        <v>332</v>
      </c>
      <c r="C654" s="439"/>
      <c r="D654" s="439" t="s">
        <v>82</v>
      </c>
      <c r="E654" s="440" t="str">
        <f>[86]Source!H2752</f>
        <v>100 м2 поверхности воздуховодов</v>
      </c>
      <c r="F654" s="270">
        <f>[86]Source!I2752</f>
        <v>0.72</v>
      </c>
      <c r="G654" s="441"/>
      <c r="H654" s="442"/>
      <c r="I654" s="270"/>
      <c r="J654" s="480"/>
      <c r="K654" s="270"/>
      <c r="L654" s="480"/>
    </row>
    <row r="655" spans="1:22" ht="14.25" x14ac:dyDescent="0.2">
      <c r="A655" s="478"/>
      <c r="B655" s="763"/>
      <c r="C655" s="439"/>
      <c r="D655" s="439" t="s">
        <v>44</v>
      </c>
      <c r="E655" s="440"/>
      <c r="F655" s="270"/>
      <c r="G655" s="441">
        <f t="shared" ref="G655:L655" si="24">G656</f>
        <v>11.04</v>
      </c>
      <c r="H655" s="766" t="str">
        <f t="shared" si="24"/>
        <v>)*(1.67-1)</v>
      </c>
      <c r="I655" s="270">
        <f t="shared" si="24"/>
        <v>1.0669999999999999</v>
      </c>
      <c r="J655" s="480">
        <f t="shared" si="24"/>
        <v>5.68</v>
      </c>
      <c r="K655" s="270">
        <f t="shared" si="24"/>
        <v>24.53</v>
      </c>
      <c r="L655" s="480">
        <f t="shared" si="24"/>
        <v>139.33000000000001</v>
      </c>
    </row>
    <row r="656" spans="1:22" ht="14.25" x14ac:dyDescent="0.2">
      <c r="A656" s="478"/>
      <c r="B656" s="763"/>
      <c r="C656" s="439"/>
      <c r="D656" s="439" t="s">
        <v>45</v>
      </c>
      <c r="E656" s="440"/>
      <c r="F656" s="270"/>
      <c r="G656" s="441">
        <f>[86]Source!AN2752</f>
        <v>11.04</v>
      </c>
      <c r="H656" s="766" t="s">
        <v>53</v>
      </c>
      <c r="I656" s="270">
        <f>[86]Source!AV2753</f>
        <v>1.0669999999999999</v>
      </c>
      <c r="J656" s="443">
        <f>ROUND(F642*G656*I656*(1.67-1), 2)</f>
        <v>5.68</v>
      </c>
      <c r="K656" s="270">
        <f>IF([86]Source!BS2753&lt;&gt; 0, [86]Source!BS2753, 1)</f>
        <v>24.53</v>
      </c>
      <c r="L656" s="443">
        <f>ROUND(ROUND(F642*G656*I656*(1.67-1), 2)*K656, 2)</f>
        <v>139.33000000000001</v>
      </c>
    </row>
    <row r="657" spans="1:22" ht="14.25" x14ac:dyDescent="0.2">
      <c r="A657" s="478"/>
      <c r="B657" s="763"/>
      <c r="C657" s="439"/>
      <c r="D657" s="439" t="s">
        <v>50</v>
      </c>
      <c r="E657" s="440" t="s">
        <v>48</v>
      </c>
      <c r="F657" s="270">
        <f>175</f>
        <v>175</v>
      </c>
      <c r="G657" s="441"/>
      <c r="H657" s="442"/>
      <c r="I657" s="270"/>
      <c r="J657" s="480">
        <f>ROUND(J656*(F657/100), 2)</f>
        <v>9.94</v>
      </c>
      <c r="K657" s="270">
        <f>157</f>
        <v>157</v>
      </c>
      <c r="L657" s="480">
        <f>ROUND(L656*(K657/100), 2)</f>
        <v>218.75</v>
      </c>
    </row>
    <row r="658" spans="1:22" ht="15" x14ac:dyDescent="0.25">
      <c r="A658" s="311"/>
      <c r="B658" s="313"/>
      <c r="C658" s="311"/>
      <c r="D658" s="312" t="s">
        <v>81</v>
      </c>
      <c r="E658" s="311"/>
      <c r="F658" s="311"/>
      <c r="G658" s="311"/>
      <c r="H658" s="311"/>
      <c r="I658" s="639">
        <f>J657+J656</f>
        <v>15.62</v>
      </c>
      <c r="J658" s="639"/>
      <c r="K658" s="639">
        <f>L657+L656</f>
        <v>358.08</v>
      </c>
      <c r="L658" s="639"/>
      <c r="O658" s="765">
        <f>I658</f>
        <v>15.62</v>
      </c>
      <c r="P658" s="765">
        <f>K658</f>
        <v>358.08</v>
      </c>
    </row>
    <row r="660" spans="1:22" ht="71.25" x14ac:dyDescent="0.2">
      <c r="A660" s="478">
        <v>79</v>
      </c>
      <c r="B660" s="763" t="s">
        <v>331</v>
      </c>
      <c r="C660" s="439" t="s">
        <v>330</v>
      </c>
      <c r="D660" s="439" t="s">
        <v>329</v>
      </c>
      <c r="E660" s="440" t="str">
        <f>[86]Source!H2756</f>
        <v>100 м2 поверхности воздуховодов</v>
      </c>
      <c r="F660" s="270">
        <f>[86]Source!I2756</f>
        <v>0.14399999999999999</v>
      </c>
      <c r="G660" s="441"/>
      <c r="H660" s="442"/>
      <c r="I660" s="270"/>
      <c r="J660" s="480"/>
      <c r="K660" s="270"/>
      <c r="L660" s="480"/>
      <c r="Q660" s="178">
        <f>[86]Source!X2756</f>
        <v>217.05</v>
      </c>
      <c r="R660" s="178">
        <f>[86]Source!X2757</f>
        <v>4259.3900000000003</v>
      </c>
      <c r="S660" s="178">
        <f>[86]Source!Y2756</f>
        <v>163.22</v>
      </c>
      <c r="T660" s="178">
        <f>[86]Source!Y2757</f>
        <v>1916.73</v>
      </c>
      <c r="U660" s="178">
        <f>ROUND((175/100)*ROUND([86]Source!R2756, 2), 2)</f>
        <v>5.34</v>
      </c>
      <c r="V660" s="178">
        <f>ROUND((157/100)*ROUND([86]Source!R2757, 2), 2)</f>
        <v>117.47</v>
      </c>
    </row>
    <row r="661" spans="1:22" ht="14.25" x14ac:dyDescent="0.2">
      <c r="A661" s="478"/>
      <c r="B661" s="763"/>
      <c r="C661" s="439"/>
      <c r="D661" s="439" t="s">
        <v>43</v>
      </c>
      <c r="E661" s="440"/>
      <c r="F661" s="270"/>
      <c r="G661" s="441">
        <f>[86]Source!AO2756</f>
        <v>676.73</v>
      </c>
      <c r="H661" s="442" t="str">
        <f>[86]Source!DG2756</f>
        <v>)*1,67</v>
      </c>
      <c r="I661" s="270">
        <f>[86]Source!AV2757</f>
        <v>1.0669999999999999</v>
      </c>
      <c r="J661" s="480">
        <f>[86]Source!S2756</f>
        <v>173.64</v>
      </c>
      <c r="K661" s="270">
        <f>IF([86]Source!BA2757&lt;&gt; 0, [86]Source!BA2757, 1)</f>
        <v>24.53</v>
      </c>
      <c r="L661" s="480">
        <f>[86]Source!S2757</f>
        <v>4259.3900000000003</v>
      </c>
    </row>
    <row r="662" spans="1:22" ht="14.25" x14ac:dyDescent="0.2">
      <c r="A662" s="478"/>
      <c r="B662" s="763"/>
      <c r="C662" s="439"/>
      <c r="D662" s="439" t="s">
        <v>44</v>
      </c>
      <c r="E662" s="440"/>
      <c r="F662" s="270"/>
      <c r="G662" s="441">
        <f>[86]Source!AM2756</f>
        <v>95.33</v>
      </c>
      <c r="H662" s="442">
        <f>[86]Source!DE2756</f>
        <v>0</v>
      </c>
      <c r="I662" s="270">
        <f>[86]Source!AV2757</f>
        <v>1.0669999999999999</v>
      </c>
      <c r="J662" s="480">
        <f>[86]Source!Q2756-J673</f>
        <v>14.65</v>
      </c>
      <c r="K662" s="270">
        <f>IF([86]Source!BB2757&lt;&gt; 0, [86]Source!BB2757, 1)</f>
        <v>8.73</v>
      </c>
      <c r="L662" s="480">
        <f>[86]Source!Q2757-L673</f>
        <v>127.89</v>
      </c>
    </row>
    <row r="663" spans="1:22" ht="14.25" x14ac:dyDescent="0.2">
      <c r="A663" s="478"/>
      <c r="B663" s="763"/>
      <c r="C663" s="439"/>
      <c r="D663" s="439" t="s">
        <v>45</v>
      </c>
      <c r="E663" s="440"/>
      <c r="F663" s="270"/>
      <c r="G663" s="441">
        <f>[86]Source!AN2756</f>
        <v>11.87</v>
      </c>
      <c r="H663" s="442">
        <f>[86]Source!DE2756</f>
        <v>0</v>
      </c>
      <c r="I663" s="270">
        <f>[86]Source!AV2757</f>
        <v>1.0669999999999999</v>
      </c>
      <c r="J663" s="443">
        <f>[86]Source!R2756-J674</f>
        <v>1.83</v>
      </c>
      <c r="K663" s="270">
        <f>IF([86]Source!BS2757&lt;&gt; 0, [86]Source!BS2757, 1)</f>
        <v>24.53</v>
      </c>
      <c r="L663" s="443">
        <f>[86]Source!R2757-L674</f>
        <v>44.89</v>
      </c>
    </row>
    <row r="664" spans="1:22" ht="14.25" x14ac:dyDescent="0.2">
      <c r="A664" s="478"/>
      <c r="B664" s="763"/>
      <c r="C664" s="439"/>
      <c r="D664" s="439" t="s">
        <v>46</v>
      </c>
      <c r="E664" s="440"/>
      <c r="F664" s="270"/>
      <c r="G664" s="441">
        <f>[86]Source!AL2756</f>
        <v>576.66999999999996</v>
      </c>
      <c r="H664" s="442">
        <f>[86]Source!DD2756</f>
        <v>0</v>
      </c>
      <c r="I664" s="270">
        <f>[86]Source!AW2757</f>
        <v>1</v>
      </c>
      <c r="J664" s="480">
        <f>[86]Source!P2756</f>
        <v>83.04</v>
      </c>
      <c r="K664" s="270">
        <f>IF([86]Source!BC2757&lt;&gt; 0, [86]Source!BC2757, 1)</f>
        <v>3.36</v>
      </c>
      <c r="L664" s="480">
        <f>[86]Source!P2757</f>
        <v>279.01</v>
      </c>
    </row>
    <row r="665" spans="1:22" ht="42.75" x14ac:dyDescent="0.2">
      <c r="A665" s="478">
        <v>80</v>
      </c>
      <c r="B665" s="763" t="s">
        <v>328</v>
      </c>
      <c r="C665" s="439" t="str">
        <f>[86]Source!F2758</f>
        <v>1.19-3-14</v>
      </c>
      <c r="D665" s="439" t="s">
        <v>327</v>
      </c>
      <c r="E665" s="440" t="str">
        <f>[86]Source!H2758</f>
        <v>м2</v>
      </c>
      <c r="F665" s="270">
        <f>[86]Source!I2758</f>
        <v>14.4</v>
      </c>
      <c r="G665" s="441">
        <f>[86]Source!AK2758</f>
        <v>159.4</v>
      </c>
      <c r="H665" s="781" t="s">
        <v>20</v>
      </c>
      <c r="I665" s="270">
        <f>[86]Source!AW2759</f>
        <v>1</v>
      </c>
      <c r="J665" s="480">
        <f>[86]Source!O2758</f>
        <v>2295.36</v>
      </c>
      <c r="K665" s="270">
        <f>IF([86]Source!BC2759&lt;&gt; 0, [86]Source!BC2759, 1)</f>
        <v>3.03</v>
      </c>
      <c r="L665" s="480">
        <f>[86]Source!O2759</f>
        <v>6954.94</v>
      </c>
      <c r="Q665" s="178">
        <f>[86]Source!X2758</f>
        <v>0</v>
      </c>
      <c r="R665" s="178">
        <f>[86]Source!X2759</f>
        <v>0</v>
      </c>
      <c r="S665" s="178">
        <f>[86]Source!Y2758</f>
        <v>0</v>
      </c>
      <c r="T665" s="178">
        <f>[86]Source!Y2759</f>
        <v>0</v>
      </c>
      <c r="U665" s="178">
        <f>ROUND((175/100)*ROUND([86]Source!R2758, 2), 2)</f>
        <v>0</v>
      </c>
      <c r="V665" s="178">
        <f>ROUND((157/100)*ROUND([86]Source!R2759, 2), 2)</f>
        <v>0</v>
      </c>
    </row>
    <row r="666" spans="1:22" ht="14.25" x14ac:dyDescent="0.2">
      <c r="A666" s="478"/>
      <c r="B666" s="763"/>
      <c r="C666" s="439"/>
      <c r="D666" s="439" t="s">
        <v>47</v>
      </c>
      <c r="E666" s="440" t="s">
        <v>48</v>
      </c>
      <c r="F666" s="270">
        <f>[86]Source!DN2757</f>
        <v>100</v>
      </c>
      <c r="G666" s="441"/>
      <c r="H666" s="442"/>
      <c r="I666" s="270"/>
      <c r="J666" s="480">
        <f>SUM(Q660:Q665)</f>
        <v>217.05</v>
      </c>
      <c r="K666" s="270">
        <f>[86]Source!BZ2757</f>
        <v>100</v>
      </c>
      <c r="L666" s="480">
        <f>SUM(R660:R665)</f>
        <v>4259.3900000000003</v>
      </c>
    </row>
    <row r="667" spans="1:22" ht="14.25" x14ac:dyDescent="0.2">
      <c r="A667" s="478"/>
      <c r="B667" s="763"/>
      <c r="C667" s="439"/>
      <c r="D667" s="439" t="s">
        <v>49</v>
      </c>
      <c r="E667" s="440" t="s">
        <v>48</v>
      </c>
      <c r="F667" s="270">
        <f>[86]Source!DO2757</f>
        <v>45</v>
      </c>
      <c r="G667" s="441"/>
      <c r="H667" s="442"/>
      <c r="I667" s="270"/>
      <c r="J667" s="480">
        <f>SUM(S660:S666)</f>
        <v>163.22</v>
      </c>
      <c r="K667" s="270">
        <f>[86]Source!CA2757</f>
        <v>45</v>
      </c>
      <c r="L667" s="480">
        <f>SUM(T660:T666)</f>
        <v>1916.73</v>
      </c>
    </row>
    <row r="668" spans="1:22" ht="14.25" x14ac:dyDescent="0.2">
      <c r="A668" s="478"/>
      <c r="B668" s="763"/>
      <c r="C668" s="439"/>
      <c r="D668" s="439" t="s">
        <v>50</v>
      </c>
      <c r="E668" s="440" t="s">
        <v>48</v>
      </c>
      <c r="F668" s="270">
        <f>175</f>
        <v>175</v>
      </c>
      <c r="G668" s="441"/>
      <c r="H668" s="442"/>
      <c r="I668" s="270"/>
      <c r="J668" s="480">
        <f>SUM(U660:U667)-J675</f>
        <v>3.2</v>
      </c>
      <c r="K668" s="270">
        <f>157</f>
        <v>157</v>
      </c>
      <c r="L668" s="480">
        <f>SUM(V660:V667)-L675</f>
        <v>70.48</v>
      </c>
    </row>
    <row r="669" spans="1:22" ht="14.25" x14ac:dyDescent="0.2">
      <c r="A669" s="479"/>
      <c r="B669" s="309"/>
      <c r="C669" s="308"/>
      <c r="D669" s="308" t="s">
        <v>51</v>
      </c>
      <c r="E669" s="307" t="s">
        <v>52</v>
      </c>
      <c r="F669" s="306">
        <f>[86]Source!AQ2756</f>
        <v>59</v>
      </c>
      <c r="G669" s="305"/>
      <c r="H669" s="315">
        <f>[86]Source!DI2756</f>
        <v>0</v>
      </c>
      <c r="I669" s="306">
        <f>[86]Source!AV2757</f>
        <v>1.0669999999999999</v>
      </c>
      <c r="J669" s="314">
        <f>[86]Source!U2756</f>
        <v>9.07</v>
      </c>
      <c r="K669" s="306"/>
      <c r="L669" s="314"/>
    </row>
    <row r="670" spans="1:22" ht="15" x14ac:dyDescent="0.25">
      <c r="D670" s="764" t="s">
        <v>81</v>
      </c>
      <c r="I670" s="640">
        <f>J661+J662+J664+J666+J667+J668+SUM(J665:J665)</f>
        <v>2950.16</v>
      </c>
      <c r="J670" s="640"/>
      <c r="K670" s="640">
        <f>L661+L662+L664+L666+L667+L668+SUM(L665:L665)</f>
        <v>17867.830000000002</v>
      </c>
      <c r="L670" s="640"/>
      <c r="O670" s="765">
        <f>J661+J662+J664+J666+J667+J668+SUM(J665:J665)</f>
        <v>2950.16</v>
      </c>
      <c r="P670" s="765">
        <f>L661+L662+L664+L666+L667+L668+SUM(L665:L665)</f>
        <v>17867.830000000002</v>
      </c>
    </row>
    <row r="672" spans="1:22" ht="71.25" x14ac:dyDescent="0.2">
      <c r="A672" s="478">
        <v>81</v>
      </c>
      <c r="B672" s="763" t="s">
        <v>326</v>
      </c>
      <c r="C672" s="439"/>
      <c r="D672" s="439" t="s">
        <v>82</v>
      </c>
      <c r="E672" s="440" t="str">
        <f>[86]Source!H2756</f>
        <v>100 м2 поверхности воздуховодов</v>
      </c>
      <c r="F672" s="270">
        <f>[86]Source!I2756</f>
        <v>0.14399999999999999</v>
      </c>
      <c r="G672" s="441"/>
      <c r="H672" s="442"/>
      <c r="I672" s="270"/>
      <c r="J672" s="480"/>
      <c r="K672" s="270"/>
      <c r="L672" s="480"/>
    </row>
    <row r="673" spans="1:22" ht="14.25" x14ac:dyDescent="0.2">
      <c r="A673" s="478"/>
      <c r="B673" s="763"/>
      <c r="C673" s="439"/>
      <c r="D673" s="439" t="s">
        <v>44</v>
      </c>
      <c r="E673" s="440"/>
      <c r="F673" s="270"/>
      <c r="G673" s="441">
        <f t="shared" ref="G673:L673" si="25">G674</f>
        <v>11.87</v>
      </c>
      <c r="H673" s="766" t="str">
        <f t="shared" si="25"/>
        <v>)*(1.67-1)</v>
      </c>
      <c r="I673" s="270">
        <f t="shared" si="25"/>
        <v>1.0669999999999999</v>
      </c>
      <c r="J673" s="480">
        <f t="shared" si="25"/>
        <v>1.22</v>
      </c>
      <c r="K673" s="270">
        <f t="shared" si="25"/>
        <v>24.53</v>
      </c>
      <c r="L673" s="480">
        <f t="shared" si="25"/>
        <v>29.93</v>
      </c>
    </row>
    <row r="674" spans="1:22" ht="14.25" x14ac:dyDescent="0.2">
      <c r="A674" s="478"/>
      <c r="B674" s="763"/>
      <c r="C674" s="439"/>
      <c r="D674" s="439" t="s">
        <v>45</v>
      </c>
      <c r="E674" s="440"/>
      <c r="F674" s="270"/>
      <c r="G674" s="441">
        <f>[86]Source!AN2756</f>
        <v>11.87</v>
      </c>
      <c r="H674" s="766" t="s">
        <v>53</v>
      </c>
      <c r="I674" s="270">
        <f>[86]Source!AV2757</f>
        <v>1.0669999999999999</v>
      </c>
      <c r="J674" s="443">
        <f>ROUND(F660*G674*I674*(1.67-1), 2)</f>
        <v>1.22</v>
      </c>
      <c r="K674" s="270">
        <f>IF([86]Source!BS2757&lt;&gt; 0, [86]Source!BS2757, 1)</f>
        <v>24.53</v>
      </c>
      <c r="L674" s="443">
        <f>ROUND(ROUND(F660*G674*I674*(1.67-1), 2)*K674, 2)</f>
        <v>29.93</v>
      </c>
    </row>
    <row r="675" spans="1:22" ht="14.25" x14ac:dyDescent="0.2">
      <c r="A675" s="478"/>
      <c r="B675" s="763"/>
      <c r="C675" s="439"/>
      <c r="D675" s="439" t="s">
        <v>50</v>
      </c>
      <c r="E675" s="440" t="s">
        <v>48</v>
      </c>
      <c r="F675" s="270">
        <f>175</f>
        <v>175</v>
      </c>
      <c r="G675" s="441"/>
      <c r="H675" s="442"/>
      <c r="I675" s="270"/>
      <c r="J675" s="480">
        <f>ROUND(J674*(F675/100), 2)</f>
        <v>2.14</v>
      </c>
      <c r="K675" s="270">
        <f>157</f>
        <v>157</v>
      </c>
      <c r="L675" s="480">
        <f>ROUND(L674*(K675/100), 2)</f>
        <v>46.99</v>
      </c>
    </row>
    <row r="676" spans="1:22" ht="15" x14ac:dyDescent="0.25">
      <c r="A676" s="311"/>
      <c r="B676" s="313"/>
      <c r="C676" s="311"/>
      <c r="D676" s="312" t="s">
        <v>81</v>
      </c>
      <c r="E676" s="311"/>
      <c r="F676" s="311"/>
      <c r="G676" s="311"/>
      <c r="H676" s="311"/>
      <c r="I676" s="639">
        <f>J675+J674</f>
        <v>3.36</v>
      </c>
      <c r="J676" s="639"/>
      <c r="K676" s="639">
        <f>L675+L674</f>
        <v>76.92</v>
      </c>
      <c r="L676" s="639"/>
      <c r="O676" s="765">
        <f>I676</f>
        <v>3.36</v>
      </c>
      <c r="P676" s="765">
        <f>K676</f>
        <v>76.92</v>
      </c>
    </row>
    <row r="678" spans="1:22" ht="71.25" x14ac:dyDescent="0.2">
      <c r="A678" s="478">
        <v>82</v>
      </c>
      <c r="B678" s="763" t="s">
        <v>325</v>
      </c>
      <c r="C678" s="439" t="s">
        <v>324</v>
      </c>
      <c r="D678" s="439" t="s">
        <v>323</v>
      </c>
      <c r="E678" s="440" t="str">
        <f>[86]Source!H2764</f>
        <v>100 м2 поверхности воздуховодов</v>
      </c>
      <c r="F678" s="270">
        <f>[86]Source!I2764</f>
        <v>0.04</v>
      </c>
      <c r="G678" s="441"/>
      <c r="H678" s="442"/>
      <c r="I678" s="270"/>
      <c r="J678" s="480"/>
      <c r="K678" s="270"/>
      <c r="L678" s="480"/>
      <c r="Q678" s="178">
        <f>[86]Source!X2764</f>
        <v>123.04</v>
      </c>
      <c r="R678" s="178">
        <f>[86]Source!X2765</f>
        <v>2414.4899999999998</v>
      </c>
      <c r="S678" s="178">
        <f>[86]Source!Y2764</f>
        <v>92.52</v>
      </c>
      <c r="T678" s="178">
        <f>[86]Source!Y2765</f>
        <v>1086.52</v>
      </c>
      <c r="U678" s="178">
        <f>ROUND((175/100)*ROUND([86]Source!R2764, 2), 2)</f>
        <v>1.79</v>
      </c>
      <c r="V678" s="178">
        <f>ROUND((157/100)*ROUND([86]Source!R2765, 2), 2)</f>
        <v>39.28</v>
      </c>
    </row>
    <row r="679" spans="1:22" ht="14.25" x14ac:dyDescent="0.2">
      <c r="A679" s="478"/>
      <c r="B679" s="763"/>
      <c r="C679" s="439"/>
      <c r="D679" s="439" t="s">
        <v>43</v>
      </c>
      <c r="E679" s="440"/>
      <c r="F679" s="270"/>
      <c r="G679" s="441">
        <f>[86]Source!AO2764</f>
        <v>1381.04</v>
      </c>
      <c r="H679" s="442" t="str">
        <f>[86]Source!DG2764</f>
        <v>)*1,67</v>
      </c>
      <c r="I679" s="270">
        <f>[86]Source!AV2765</f>
        <v>1.0669999999999999</v>
      </c>
      <c r="J679" s="480">
        <f>[86]Source!S2764</f>
        <v>98.43</v>
      </c>
      <c r="K679" s="270">
        <f>IF([86]Source!BA2765&lt;&gt; 0, [86]Source!BA2765, 1)</f>
        <v>24.53</v>
      </c>
      <c r="L679" s="480">
        <f>[86]Source!S2765</f>
        <v>2414.4899999999998</v>
      </c>
    </row>
    <row r="680" spans="1:22" ht="14.25" x14ac:dyDescent="0.2">
      <c r="A680" s="478"/>
      <c r="B680" s="763"/>
      <c r="C680" s="439"/>
      <c r="D680" s="439" t="s">
        <v>44</v>
      </c>
      <c r="E680" s="440"/>
      <c r="F680" s="270"/>
      <c r="G680" s="441">
        <f>[86]Source!AM2764</f>
        <v>116.7</v>
      </c>
      <c r="H680" s="442">
        <f>[86]Source!DE2764</f>
        <v>0</v>
      </c>
      <c r="I680" s="270">
        <f>[86]Source!AV2765</f>
        <v>1.0669999999999999</v>
      </c>
      <c r="J680" s="480">
        <f>[86]Source!Q2764-J690</f>
        <v>4.9800000000000004</v>
      </c>
      <c r="K680" s="270">
        <f>IF([86]Source!BB2765&lt;&gt; 0, [86]Source!BB2765, 1)</f>
        <v>8.7100000000000009</v>
      </c>
      <c r="L680" s="480">
        <f>[86]Source!Q2765-L690</f>
        <v>43.38</v>
      </c>
    </row>
    <row r="681" spans="1:22" ht="14.25" x14ac:dyDescent="0.2">
      <c r="A681" s="478"/>
      <c r="B681" s="763"/>
      <c r="C681" s="439"/>
      <c r="D681" s="439" t="s">
        <v>45</v>
      </c>
      <c r="E681" s="440"/>
      <c r="F681" s="270"/>
      <c r="G681" s="441">
        <f>[86]Source!AN2764</f>
        <v>14.29</v>
      </c>
      <c r="H681" s="442">
        <f>[86]Source!DE2764</f>
        <v>0</v>
      </c>
      <c r="I681" s="270">
        <f>[86]Source!AV2765</f>
        <v>1.0669999999999999</v>
      </c>
      <c r="J681" s="443">
        <f>[86]Source!R2764-J691</f>
        <v>0.61</v>
      </c>
      <c r="K681" s="270">
        <f>IF([86]Source!BS2765&lt;&gt; 0, [86]Source!BS2765, 1)</f>
        <v>24.53</v>
      </c>
      <c r="L681" s="443">
        <f>[86]Source!R2765-L691</f>
        <v>14.96</v>
      </c>
    </row>
    <row r="682" spans="1:22" ht="14.25" x14ac:dyDescent="0.2">
      <c r="A682" s="478"/>
      <c r="B682" s="763"/>
      <c r="C682" s="439"/>
      <c r="D682" s="439" t="s">
        <v>46</v>
      </c>
      <c r="E682" s="440"/>
      <c r="F682" s="270"/>
      <c r="G682" s="441">
        <f>[86]Source!AL2764</f>
        <v>599.72</v>
      </c>
      <c r="H682" s="442">
        <f>[86]Source!DD2764</f>
        <v>0</v>
      </c>
      <c r="I682" s="270">
        <f>[86]Source!AW2765</f>
        <v>1</v>
      </c>
      <c r="J682" s="480">
        <f>[86]Source!P2764</f>
        <v>23.99</v>
      </c>
      <c r="K682" s="270">
        <f>IF([86]Source!BC2765&lt;&gt; 0, [86]Source!BC2765, 1)</f>
        <v>4.22</v>
      </c>
      <c r="L682" s="480">
        <f>[86]Source!P2765</f>
        <v>101.24</v>
      </c>
    </row>
    <row r="683" spans="1:22" ht="14.25" x14ac:dyDescent="0.2">
      <c r="A683" s="478"/>
      <c r="B683" s="763"/>
      <c r="C683" s="439"/>
      <c r="D683" s="439" t="s">
        <v>47</v>
      </c>
      <c r="E683" s="440" t="s">
        <v>48</v>
      </c>
      <c r="F683" s="270">
        <f>[86]Source!DN2765</f>
        <v>100</v>
      </c>
      <c r="G683" s="441"/>
      <c r="H683" s="442"/>
      <c r="I683" s="270"/>
      <c r="J683" s="480">
        <f>SUM(Q678:Q682)</f>
        <v>123.04</v>
      </c>
      <c r="K683" s="270">
        <f>[86]Source!BZ2765</f>
        <v>100</v>
      </c>
      <c r="L683" s="480">
        <f>SUM(R678:R682)</f>
        <v>2414.4899999999998</v>
      </c>
    </row>
    <row r="684" spans="1:22" ht="14.25" x14ac:dyDescent="0.2">
      <c r="A684" s="478"/>
      <c r="B684" s="763"/>
      <c r="C684" s="439"/>
      <c r="D684" s="439" t="s">
        <v>49</v>
      </c>
      <c r="E684" s="440" t="s">
        <v>48</v>
      </c>
      <c r="F684" s="270">
        <f>[86]Source!DO2765</f>
        <v>45</v>
      </c>
      <c r="G684" s="441"/>
      <c r="H684" s="442"/>
      <c r="I684" s="270"/>
      <c r="J684" s="480">
        <f>SUM(S678:S683)</f>
        <v>92.52</v>
      </c>
      <c r="K684" s="270">
        <f>[86]Source!CA2765</f>
        <v>45</v>
      </c>
      <c r="L684" s="480">
        <f>SUM(T678:T683)</f>
        <v>1086.52</v>
      </c>
    </row>
    <row r="685" spans="1:22" ht="14.25" x14ac:dyDescent="0.2">
      <c r="A685" s="478"/>
      <c r="B685" s="763"/>
      <c r="C685" s="439"/>
      <c r="D685" s="439" t="s">
        <v>50</v>
      </c>
      <c r="E685" s="440" t="s">
        <v>48</v>
      </c>
      <c r="F685" s="270">
        <f>175</f>
        <v>175</v>
      </c>
      <c r="G685" s="441"/>
      <c r="H685" s="442"/>
      <c r="I685" s="270"/>
      <c r="J685" s="480">
        <f>SUM(U678:U684)-J692</f>
        <v>1.07</v>
      </c>
      <c r="K685" s="270">
        <f>157</f>
        <v>157</v>
      </c>
      <c r="L685" s="480">
        <f>SUM(V678:V684)-L692</f>
        <v>23.49</v>
      </c>
    </row>
    <row r="686" spans="1:22" ht="14.25" x14ac:dyDescent="0.2">
      <c r="A686" s="479"/>
      <c r="B686" s="309"/>
      <c r="C686" s="308"/>
      <c r="D686" s="308" t="s">
        <v>51</v>
      </c>
      <c r="E686" s="307" t="s">
        <v>52</v>
      </c>
      <c r="F686" s="306">
        <f>[86]Source!AQ2764</f>
        <v>122</v>
      </c>
      <c r="G686" s="305"/>
      <c r="H686" s="315">
        <f>[86]Source!DI2764</f>
        <v>0</v>
      </c>
      <c r="I686" s="306">
        <f>[86]Source!AV2765</f>
        <v>1.0669999999999999</v>
      </c>
      <c r="J686" s="314">
        <f>[86]Source!U2764</f>
        <v>5.21</v>
      </c>
      <c r="K686" s="306"/>
      <c r="L686" s="314"/>
    </row>
    <row r="687" spans="1:22" ht="15" x14ac:dyDescent="0.25">
      <c r="D687" s="764" t="s">
        <v>81</v>
      </c>
      <c r="I687" s="640">
        <f>J679+J680+J682+J683+J684+J685</f>
        <v>344.03</v>
      </c>
      <c r="J687" s="640"/>
      <c r="K687" s="640">
        <f>L679+L680+L682+L683+L684+L685</f>
        <v>6083.61</v>
      </c>
      <c r="L687" s="640"/>
      <c r="O687" s="765">
        <f>J679+J680+J682+J683+J684+J685</f>
        <v>344.03</v>
      </c>
      <c r="P687" s="765">
        <f>L679+L680+L682+L683+L684+L685</f>
        <v>6083.61</v>
      </c>
    </row>
    <row r="689" spans="1:22" ht="71.25" x14ac:dyDescent="0.2">
      <c r="A689" s="478">
        <v>83</v>
      </c>
      <c r="B689" s="763" t="s">
        <v>322</v>
      </c>
      <c r="C689" s="439"/>
      <c r="D689" s="439" t="s">
        <v>82</v>
      </c>
      <c r="E689" s="440" t="str">
        <f>[86]Source!H2764</f>
        <v>100 м2 поверхности воздуховодов</v>
      </c>
      <c r="F689" s="270">
        <f>[86]Source!I2764</f>
        <v>0.04</v>
      </c>
      <c r="G689" s="441"/>
      <c r="H689" s="442"/>
      <c r="I689" s="270"/>
      <c r="J689" s="480"/>
      <c r="K689" s="270"/>
      <c r="L689" s="480"/>
    </row>
    <row r="690" spans="1:22" ht="14.25" x14ac:dyDescent="0.2">
      <c r="A690" s="478"/>
      <c r="B690" s="763"/>
      <c r="C690" s="439"/>
      <c r="D690" s="439" t="s">
        <v>44</v>
      </c>
      <c r="E690" s="440"/>
      <c r="F690" s="270"/>
      <c r="G690" s="441">
        <f t="shared" ref="G690:L690" si="26">G691</f>
        <v>14.29</v>
      </c>
      <c r="H690" s="766" t="str">
        <f t="shared" si="26"/>
        <v>)*(1.67-1)</v>
      </c>
      <c r="I690" s="270">
        <f t="shared" si="26"/>
        <v>1.0669999999999999</v>
      </c>
      <c r="J690" s="480">
        <f t="shared" si="26"/>
        <v>0.41</v>
      </c>
      <c r="K690" s="270">
        <f t="shared" si="26"/>
        <v>24.53</v>
      </c>
      <c r="L690" s="480">
        <f t="shared" si="26"/>
        <v>10.06</v>
      </c>
    </row>
    <row r="691" spans="1:22" ht="14.25" x14ac:dyDescent="0.2">
      <c r="A691" s="478"/>
      <c r="B691" s="763"/>
      <c r="C691" s="439"/>
      <c r="D691" s="439" t="s">
        <v>45</v>
      </c>
      <c r="E691" s="440"/>
      <c r="F691" s="270"/>
      <c r="G691" s="441">
        <f>[86]Source!AN2764</f>
        <v>14.29</v>
      </c>
      <c r="H691" s="766" t="s">
        <v>53</v>
      </c>
      <c r="I691" s="270">
        <f>[86]Source!AV2765</f>
        <v>1.0669999999999999</v>
      </c>
      <c r="J691" s="443">
        <f>ROUND(F678*G691*I691*(1.67-1), 2)</f>
        <v>0.41</v>
      </c>
      <c r="K691" s="270">
        <f>IF([86]Source!BS2765&lt;&gt; 0, [86]Source!BS2765, 1)</f>
        <v>24.53</v>
      </c>
      <c r="L691" s="443">
        <f>ROUND(ROUND(F678*G691*I691*(1.67-1), 2)*K691, 2)</f>
        <v>10.06</v>
      </c>
    </row>
    <row r="692" spans="1:22" ht="14.25" x14ac:dyDescent="0.2">
      <c r="A692" s="478"/>
      <c r="B692" s="763"/>
      <c r="C692" s="439"/>
      <c r="D692" s="439" t="s">
        <v>50</v>
      </c>
      <c r="E692" s="440" t="s">
        <v>48</v>
      </c>
      <c r="F692" s="270">
        <f>175</f>
        <v>175</v>
      </c>
      <c r="G692" s="441"/>
      <c r="H692" s="442"/>
      <c r="I692" s="270"/>
      <c r="J692" s="480">
        <f>ROUND(J691*(F692/100), 2)</f>
        <v>0.72</v>
      </c>
      <c r="K692" s="270">
        <f>157</f>
        <v>157</v>
      </c>
      <c r="L692" s="480">
        <f>ROUND(L691*(K692/100), 2)</f>
        <v>15.79</v>
      </c>
    </row>
    <row r="693" spans="1:22" ht="15" x14ac:dyDescent="0.25">
      <c r="A693" s="311"/>
      <c r="B693" s="313"/>
      <c r="C693" s="311"/>
      <c r="D693" s="312" t="s">
        <v>81</v>
      </c>
      <c r="E693" s="311"/>
      <c r="F693" s="311"/>
      <c r="G693" s="311"/>
      <c r="H693" s="311"/>
      <c r="I693" s="639">
        <f>J692+J691</f>
        <v>1.1299999999999999</v>
      </c>
      <c r="J693" s="639"/>
      <c r="K693" s="639">
        <f>L692+L691</f>
        <v>25.85</v>
      </c>
      <c r="L693" s="639"/>
      <c r="O693" s="765">
        <f>I693</f>
        <v>1.1299999999999999</v>
      </c>
      <c r="P693" s="765">
        <f>K693</f>
        <v>25.85</v>
      </c>
    </row>
    <row r="695" spans="1:22" ht="42.75" x14ac:dyDescent="0.2">
      <c r="A695" s="479">
        <v>84</v>
      </c>
      <c r="B695" s="309" t="s">
        <v>321</v>
      </c>
      <c r="C695" s="308" t="s">
        <v>320</v>
      </c>
      <c r="D695" s="308" t="s">
        <v>315</v>
      </c>
      <c r="E695" s="307" t="str">
        <f>[86]Source!H2768</f>
        <v>м2</v>
      </c>
      <c r="F695" s="306">
        <f>[86]Source!I2768</f>
        <v>4</v>
      </c>
      <c r="G695" s="305">
        <f>[86]Source!AL2768</f>
        <v>157.54</v>
      </c>
      <c r="H695" s="315">
        <f>[86]Source!DD2768</f>
        <v>0</v>
      </c>
      <c r="I695" s="306">
        <f>[86]Source!AW2769</f>
        <v>1</v>
      </c>
      <c r="J695" s="314">
        <f>[86]Source!P2768</f>
        <v>630.16</v>
      </c>
      <c r="K695" s="306">
        <f>IF([86]Source!BC2769&lt;&gt; 0, [86]Source!BC2769, 1)</f>
        <v>3.07</v>
      </c>
      <c r="L695" s="314">
        <f>[86]Source!P2769</f>
        <v>1934.59</v>
      </c>
      <c r="Q695" s="178">
        <f>[86]Source!X2768</f>
        <v>0</v>
      </c>
      <c r="R695" s="178">
        <f>[86]Source!X2769</f>
        <v>0</v>
      </c>
      <c r="S695" s="178">
        <f>[86]Source!Y2768</f>
        <v>0</v>
      </c>
      <c r="T695" s="178">
        <f>[86]Source!Y2769</f>
        <v>0</v>
      </c>
      <c r="U695" s="178">
        <f>ROUND((175/100)*ROUND([86]Source!R2768, 2), 2)</f>
        <v>0</v>
      </c>
      <c r="V695" s="178">
        <f>ROUND((157/100)*ROUND([86]Source!R2769, 2), 2)</f>
        <v>0</v>
      </c>
    </row>
    <row r="696" spans="1:22" ht="15" x14ac:dyDescent="0.25">
      <c r="A696" s="311"/>
      <c r="B696" s="313"/>
      <c r="C696" s="311"/>
      <c r="D696" s="312" t="s">
        <v>81</v>
      </c>
      <c r="E696" s="311"/>
      <c r="F696" s="311"/>
      <c r="G696" s="311"/>
      <c r="H696" s="311"/>
      <c r="I696" s="639">
        <f>J695</f>
        <v>630.16</v>
      </c>
      <c r="J696" s="639"/>
      <c r="K696" s="639">
        <f>L695</f>
        <v>1934.59</v>
      </c>
      <c r="L696" s="639"/>
      <c r="O696" s="765">
        <f>J695</f>
        <v>630.16</v>
      </c>
      <c r="P696" s="765">
        <f>L695</f>
        <v>1934.59</v>
      </c>
    </row>
    <row r="698" spans="1:22" ht="71.25" x14ac:dyDescent="0.2">
      <c r="A698" s="478">
        <v>85</v>
      </c>
      <c r="B698" s="763" t="s">
        <v>319</v>
      </c>
      <c r="C698" s="439" t="s">
        <v>318</v>
      </c>
      <c r="D698" s="439" t="s">
        <v>317</v>
      </c>
      <c r="E698" s="440" t="str">
        <f>[86]Source!H2782</f>
        <v>100 м2 поверхности воздуховодов</v>
      </c>
      <c r="F698" s="270">
        <f>[86]Source!I2782</f>
        <v>0.6</v>
      </c>
      <c r="G698" s="441"/>
      <c r="H698" s="442"/>
      <c r="I698" s="270"/>
      <c r="J698" s="480"/>
      <c r="K698" s="270"/>
      <c r="L698" s="480"/>
      <c r="Q698" s="178">
        <f>[86]Source!X2782</f>
        <v>956.51</v>
      </c>
      <c r="R698" s="178">
        <f>[86]Source!X2783</f>
        <v>18770.599999999999</v>
      </c>
      <c r="S698" s="178">
        <f>[86]Source!Y2782</f>
        <v>719.3</v>
      </c>
      <c r="T698" s="178">
        <f>[86]Source!Y2783</f>
        <v>8446.77</v>
      </c>
      <c r="U698" s="178">
        <f>ROUND((175/100)*ROUND([86]Source!R2782, 2), 2)</f>
        <v>20.25</v>
      </c>
      <c r="V698" s="178">
        <f>ROUND((157/100)*ROUND([86]Source!R2783, 2), 2)</f>
        <v>445.58</v>
      </c>
    </row>
    <row r="699" spans="1:22" ht="14.25" x14ac:dyDescent="0.2">
      <c r="A699" s="478"/>
      <c r="B699" s="763"/>
      <c r="C699" s="439"/>
      <c r="D699" s="439" t="s">
        <v>43</v>
      </c>
      <c r="E699" s="440"/>
      <c r="F699" s="270"/>
      <c r="G699" s="441">
        <f>[86]Source!AO2782</f>
        <v>715.73</v>
      </c>
      <c r="H699" s="442" t="str">
        <f>[86]Source!DG2782</f>
        <v>)*1,67</v>
      </c>
      <c r="I699" s="270">
        <f>[86]Source!AV2783</f>
        <v>1.0669999999999999</v>
      </c>
      <c r="J699" s="480">
        <f>[86]Source!S2782</f>
        <v>765.21</v>
      </c>
      <c r="K699" s="270">
        <f>IF([86]Source!BA2783&lt;&gt; 0, [86]Source!BA2783, 1)</f>
        <v>24.53</v>
      </c>
      <c r="L699" s="480">
        <f>[86]Source!S2783</f>
        <v>18770.599999999999</v>
      </c>
    </row>
    <row r="700" spans="1:22" ht="14.25" x14ac:dyDescent="0.2">
      <c r="A700" s="478"/>
      <c r="B700" s="763"/>
      <c r="C700" s="439"/>
      <c r="D700" s="439" t="s">
        <v>44</v>
      </c>
      <c r="E700" s="440"/>
      <c r="F700" s="270"/>
      <c r="G700" s="441">
        <f>[86]Source!AM2782</f>
        <v>88.31</v>
      </c>
      <c r="H700" s="442">
        <f>[86]Source!DE2782</f>
        <v>0</v>
      </c>
      <c r="I700" s="270">
        <f>[86]Source!AV2783</f>
        <v>1.0669999999999999</v>
      </c>
      <c r="J700" s="480">
        <f>[86]Source!Q2782-J711</f>
        <v>56.54</v>
      </c>
      <c r="K700" s="270">
        <f>IF([86]Source!BB2783&lt;&gt; 0, [86]Source!BB2783, 1)</f>
        <v>8.7200000000000006</v>
      </c>
      <c r="L700" s="480">
        <f>[86]Source!Q2783-L711</f>
        <v>493.03</v>
      </c>
    </row>
    <row r="701" spans="1:22" ht="14.25" x14ac:dyDescent="0.2">
      <c r="A701" s="478"/>
      <c r="B701" s="763"/>
      <c r="C701" s="439"/>
      <c r="D701" s="439" t="s">
        <v>45</v>
      </c>
      <c r="E701" s="440"/>
      <c r="F701" s="270"/>
      <c r="G701" s="441">
        <f>[86]Source!AN2782</f>
        <v>10.82</v>
      </c>
      <c r="H701" s="442">
        <f>[86]Source!DE2782</f>
        <v>0</v>
      </c>
      <c r="I701" s="270">
        <f>[86]Source!AV2783</f>
        <v>1.0669999999999999</v>
      </c>
      <c r="J701" s="443">
        <f>[86]Source!R2782-J712</f>
        <v>6.93</v>
      </c>
      <c r="K701" s="270">
        <f>IF([86]Source!BS2783&lt;&gt; 0, [86]Source!BS2783, 1)</f>
        <v>24.53</v>
      </c>
      <c r="L701" s="443">
        <f>[86]Source!R2783-L712</f>
        <v>169.99</v>
      </c>
    </row>
    <row r="702" spans="1:22" ht="14.25" x14ac:dyDescent="0.2">
      <c r="A702" s="478"/>
      <c r="B702" s="763"/>
      <c r="C702" s="439"/>
      <c r="D702" s="439" t="s">
        <v>46</v>
      </c>
      <c r="E702" s="440"/>
      <c r="F702" s="270"/>
      <c r="G702" s="441">
        <f>[86]Source!AL2782</f>
        <v>516.49</v>
      </c>
      <c r="H702" s="442">
        <f>[86]Source!DD2782</f>
        <v>0</v>
      </c>
      <c r="I702" s="270">
        <f>[86]Source!AW2783</f>
        <v>1</v>
      </c>
      <c r="J702" s="480">
        <f>[86]Source!P2782</f>
        <v>309.89</v>
      </c>
      <c r="K702" s="270">
        <f>IF([86]Source!BC2783&lt;&gt; 0, [86]Source!BC2783, 1)</f>
        <v>3.86</v>
      </c>
      <c r="L702" s="480">
        <f>[86]Source!P2783</f>
        <v>1196.18</v>
      </c>
    </row>
    <row r="703" spans="1:22" ht="42.75" x14ac:dyDescent="0.2">
      <c r="A703" s="478">
        <v>86</v>
      </c>
      <c r="B703" s="763" t="s">
        <v>316</v>
      </c>
      <c r="C703" s="439" t="str">
        <f>[86]Source!F2784</f>
        <v>1.19-3-13</v>
      </c>
      <c r="D703" s="439" t="s">
        <v>315</v>
      </c>
      <c r="E703" s="440" t="str">
        <f>[86]Source!H2784</f>
        <v>м2</v>
      </c>
      <c r="F703" s="270">
        <f>[86]Source!I2784</f>
        <v>60</v>
      </c>
      <c r="G703" s="441">
        <f>[86]Source!AK2784</f>
        <v>157.54</v>
      </c>
      <c r="H703" s="781" t="s">
        <v>20</v>
      </c>
      <c r="I703" s="270">
        <f>[86]Source!AW2785</f>
        <v>1</v>
      </c>
      <c r="J703" s="480">
        <f>[86]Source!O2784</f>
        <v>9452.4</v>
      </c>
      <c r="K703" s="270">
        <f>IF([86]Source!BC2785&lt;&gt; 0, [86]Source!BC2785, 1)</f>
        <v>3.07</v>
      </c>
      <c r="L703" s="480">
        <f>[86]Source!O2785</f>
        <v>29018.87</v>
      </c>
      <c r="Q703" s="178">
        <f>[86]Source!X2784</f>
        <v>0</v>
      </c>
      <c r="R703" s="178">
        <f>[86]Source!X2785</f>
        <v>0</v>
      </c>
      <c r="S703" s="178">
        <f>[86]Source!Y2784</f>
        <v>0</v>
      </c>
      <c r="T703" s="178">
        <f>[86]Source!Y2785</f>
        <v>0</v>
      </c>
      <c r="U703" s="178">
        <f>ROUND((175/100)*ROUND([86]Source!R2784, 2), 2)</f>
        <v>0</v>
      </c>
      <c r="V703" s="178">
        <f>ROUND((157/100)*ROUND([86]Source!R2785, 2), 2)</f>
        <v>0</v>
      </c>
    </row>
    <row r="704" spans="1:22" ht="14.25" x14ac:dyDescent="0.2">
      <c r="A704" s="478"/>
      <c r="B704" s="763"/>
      <c r="C704" s="439"/>
      <c r="D704" s="439" t="s">
        <v>47</v>
      </c>
      <c r="E704" s="440" t="s">
        <v>48</v>
      </c>
      <c r="F704" s="270">
        <f>[86]Source!DN2783</f>
        <v>100</v>
      </c>
      <c r="G704" s="441"/>
      <c r="H704" s="442"/>
      <c r="I704" s="270"/>
      <c r="J704" s="480">
        <f>SUM(Q698:Q703)</f>
        <v>956.51</v>
      </c>
      <c r="K704" s="270">
        <f>[86]Source!BZ2783</f>
        <v>100</v>
      </c>
      <c r="L704" s="480">
        <f>SUM(R698:R703)</f>
        <v>18770.599999999999</v>
      </c>
    </row>
    <row r="705" spans="1:16" ht="14.25" x14ac:dyDescent="0.2">
      <c r="A705" s="478"/>
      <c r="B705" s="763"/>
      <c r="C705" s="439"/>
      <c r="D705" s="439" t="s">
        <v>49</v>
      </c>
      <c r="E705" s="440" t="s">
        <v>48</v>
      </c>
      <c r="F705" s="270">
        <f>[86]Source!DO2783</f>
        <v>45</v>
      </c>
      <c r="G705" s="441"/>
      <c r="H705" s="442"/>
      <c r="I705" s="270"/>
      <c r="J705" s="480">
        <f>SUM(S698:S704)</f>
        <v>719.3</v>
      </c>
      <c r="K705" s="270">
        <f>[86]Source!CA2783</f>
        <v>45</v>
      </c>
      <c r="L705" s="480">
        <f>SUM(T698:T704)</f>
        <v>8446.77</v>
      </c>
    </row>
    <row r="706" spans="1:16" ht="14.25" x14ac:dyDescent="0.2">
      <c r="A706" s="478"/>
      <c r="B706" s="763"/>
      <c r="C706" s="439"/>
      <c r="D706" s="439" t="s">
        <v>50</v>
      </c>
      <c r="E706" s="440" t="s">
        <v>48</v>
      </c>
      <c r="F706" s="270">
        <f>175</f>
        <v>175</v>
      </c>
      <c r="G706" s="441"/>
      <c r="H706" s="442"/>
      <c r="I706" s="270"/>
      <c r="J706" s="480">
        <f>SUM(U698:U705)-J713</f>
        <v>12.13</v>
      </c>
      <c r="K706" s="270">
        <f>157</f>
        <v>157</v>
      </c>
      <c r="L706" s="480">
        <f>SUM(V698:V705)-L713</f>
        <v>266.88</v>
      </c>
    </row>
    <row r="707" spans="1:16" ht="14.25" x14ac:dyDescent="0.2">
      <c r="A707" s="479"/>
      <c r="B707" s="309"/>
      <c r="C707" s="308"/>
      <c r="D707" s="308" t="s">
        <v>51</v>
      </c>
      <c r="E707" s="307" t="s">
        <v>52</v>
      </c>
      <c r="F707" s="306">
        <f>[86]Source!AQ2782</f>
        <v>62.4</v>
      </c>
      <c r="G707" s="305"/>
      <c r="H707" s="315">
        <f>[86]Source!DI2782</f>
        <v>0</v>
      </c>
      <c r="I707" s="306">
        <f>[86]Source!AV2783</f>
        <v>1.0669999999999999</v>
      </c>
      <c r="J707" s="314">
        <f>[86]Source!U2782</f>
        <v>39.950000000000003</v>
      </c>
      <c r="K707" s="306"/>
      <c r="L707" s="314"/>
    </row>
    <row r="708" spans="1:16" ht="15" x14ac:dyDescent="0.25">
      <c r="D708" s="764" t="s">
        <v>81</v>
      </c>
      <c r="I708" s="640">
        <f>J699+J700+J702+J704+J705+J706+SUM(J703:J703)</f>
        <v>12271.98</v>
      </c>
      <c r="J708" s="640"/>
      <c r="K708" s="640">
        <f>L699+L700+L702+L704+L705+L706+SUM(L703:L703)</f>
        <v>76962.929999999993</v>
      </c>
      <c r="L708" s="640"/>
      <c r="O708" s="765">
        <f>J699+J700+J702+J704+J705+J706+SUM(J703:J703)</f>
        <v>12271.98</v>
      </c>
      <c r="P708" s="765">
        <f>L699+L700+L702+L704+L705+L706+SUM(L703:L703)</f>
        <v>76962.929999999993</v>
      </c>
    </row>
    <row r="710" spans="1:16" ht="71.25" x14ac:dyDescent="0.2">
      <c r="A710" s="478">
        <v>87</v>
      </c>
      <c r="B710" s="763" t="s">
        <v>314</v>
      </c>
      <c r="C710" s="439"/>
      <c r="D710" s="439" t="s">
        <v>82</v>
      </c>
      <c r="E710" s="440" t="str">
        <f>[86]Source!H2782</f>
        <v>100 м2 поверхности воздуховодов</v>
      </c>
      <c r="F710" s="270">
        <f>[86]Source!I2782</f>
        <v>0.6</v>
      </c>
      <c r="G710" s="441"/>
      <c r="H710" s="442"/>
      <c r="I710" s="270"/>
      <c r="J710" s="480"/>
      <c r="K710" s="270"/>
      <c r="L710" s="480"/>
    </row>
    <row r="711" spans="1:16" ht="14.25" x14ac:dyDescent="0.2">
      <c r="A711" s="478"/>
      <c r="B711" s="763"/>
      <c r="C711" s="439"/>
      <c r="D711" s="439" t="s">
        <v>44</v>
      </c>
      <c r="E711" s="440"/>
      <c r="F711" s="270"/>
      <c r="G711" s="441">
        <f t="shared" ref="G711:L711" si="27">G712</f>
        <v>10.82</v>
      </c>
      <c r="H711" s="766" t="str">
        <f t="shared" si="27"/>
        <v>)*(1.67-1)</v>
      </c>
      <c r="I711" s="270">
        <f t="shared" si="27"/>
        <v>1.0669999999999999</v>
      </c>
      <c r="J711" s="480">
        <f t="shared" si="27"/>
        <v>4.6399999999999997</v>
      </c>
      <c r="K711" s="270">
        <f t="shared" si="27"/>
        <v>24.53</v>
      </c>
      <c r="L711" s="480">
        <f t="shared" si="27"/>
        <v>113.82</v>
      </c>
    </row>
    <row r="712" spans="1:16" ht="14.25" x14ac:dyDescent="0.2">
      <c r="A712" s="478"/>
      <c r="B712" s="763"/>
      <c r="C712" s="439"/>
      <c r="D712" s="439" t="s">
        <v>45</v>
      </c>
      <c r="E712" s="440"/>
      <c r="F712" s="270"/>
      <c r="G712" s="441">
        <f>[86]Source!AN2782</f>
        <v>10.82</v>
      </c>
      <c r="H712" s="766" t="s">
        <v>53</v>
      </c>
      <c r="I712" s="270">
        <f>[86]Source!AV2783</f>
        <v>1.0669999999999999</v>
      </c>
      <c r="J712" s="443">
        <f>ROUND(F698*G712*I712*(1.67-1), 2)</f>
        <v>4.6399999999999997</v>
      </c>
      <c r="K712" s="270">
        <f>IF([86]Source!BS2783&lt;&gt; 0, [86]Source!BS2783, 1)</f>
        <v>24.53</v>
      </c>
      <c r="L712" s="443">
        <f>ROUND(ROUND(F698*G712*I712*(1.67-1), 2)*K712, 2)</f>
        <v>113.82</v>
      </c>
    </row>
    <row r="713" spans="1:16" ht="14.25" x14ac:dyDescent="0.2">
      <c r="A713" s="478"/>
      <c r="B713" s="763"/>
      <c r="C713" s="439"/>
      <c r="D713" s="439" t="s">
        <v>50</v>
      </c>
      <c r="E713" s="440" t="s">
        <v>48</v>
      </c>
      <c r="F713" s="270">
        <f>175</f>
        <v>175</v>
      </c>
      <c r="G713" s="441"/>
      <c r="H713" s="442"/>
      <c r="I713" s="270"/>
      <c r="J713" s="480">
        <f>ROUND(J712*(F713/100), 2)</f>
        <v>8.1199999999999992</v>
      </c>
      <c r="K713" s="270">
        <f>157</f>
        <v>157</v>
      </c>
      <c r="L713" s="480">
        <f>ROUND(L712*(K713/100), 2)</f>
        <v>178.7</v>
      </c>
    </row>
    <row r="714" spans="1:16" ht="15" x14ac:dyDescent="0.25">
      <c r="A714" s="311"/>
      <c r="B714" s="313"/>
      <c r="C714" s="311"/>
      <c r="D714" s="312" t="s">
        <v>81</v>
      </c>
      <c r="E714" s="311"/>
      <c r="F714" s="311"/>
      <c r="G714" s="311"/>
      <c r="H714" s="311"/>
      <c r="I714" s="639">
        <f>J713+J712</f>
        <v>12.76</v>
      </c>
      <c r="J714" s="639"/>
      <c r="K714" s="639">
        <f>L713+L712</f>
        <v>292.52</v>
      </c>
      <c r="L714" s="639"/>
      <c r="O714" s="765">
        <f>I714</f>
        <v>12.76</v>
      </c>
      <c r="P714" s="765">
        <f>K714</f>
        <v>292.52</v>
      </c>
    </row>
    <row r="717" spans="1:16" ht="15" x14ac:dyDescent="0.25">
      <c r="A717" s="634" t="str">
        <f>CONCATENATE("Итого по подразделу: ",IF([86]Source!G2891&lt;&gt;"Новый подраздел", [86]Source!G2891, ""))</f>
        <v>Итого по подразделу: Дополнительные материалы и оборудование</v>
      </c>
      <c r="B717" s="634"/>
      <c r="C717" s="634"/>
      <c r="D717" s="634"/>
      <c r="E717" s="634"/>
      <c r="F717" s="634"/>
      <c r="G717" s="634"/>
      <c r="H717" s="634"/>
      <c r="I717" s="640">
        <f>SUM(O464:O716)</f>
        <v>68116.600000000006</v>
      </c>
      <c r="J717" s="641"/>
      <c r="K717" s="640">
        <f>SUM(P464:P716)</f>
        <v>472380.88</v>
      </c>
      <c r="L717" s="641"/>
    </row>
    <row r="718" spans="1:16" hidden="1" x14ac:dyDescent="0.2">
      <c r="A718" s="178" t="s">
        <v>54</v>
      </c>
      <c r="J718" s="178">
        <f>SUM(W464:W717)</f>
        <v>0</v>
      </c>
      <c r="K718" s="178">
        <f>SUM(X464:X717)</f>
        <v>0</v>
      </c>
    </row>
    <row r="719" spans="1:16" hidden="1" x14ac:dyDescent="0.2">
      <c r="A719" s="178" t="s">
        <v>55</v>
      </c>
      <c r="J719" s="178">
        <f>SUM(Y464:Y718)</f>
        <v>0</v>
      </c>
      <c r="K719" s="178">
        <f>SUM(Z464:Z718)</f>
        <v>0</v>
      </c>
    </row>
    <row r="721" spans="1:32" ht="15" x14ac:dyDescent="0.25">
      <c r="A721" s="634" t="str">
        <f>CONCATENATE("Итого по разделу: ",IF([86]Source!G2921&lt;&gt;"Новый раздел", [86]Source!G2921, ""))</f>
        <v>Итого по разделу: Вентиляция</v>
      </c>
      <c r="B721" s="634"/>
      <c r="C721" s="634"/>
      <c r="D721" s="634"/>
      <c r="E721" s="634"/>
      <c r="F721" s="634"/>
      <c r="G721" s="634"/>
      <c r="H721" s="634"/>
      <c r="I721" s="640">
        <f>SUM(O45:O720)</f>
        <v>68116.600000000006</v>
      </c>
      <c r="J721" s="641"/>
      <c r="K721" s="640">
        <f>SUM(P45:P720)</f>
        <v>472380.88</v>
      </c>
      <c r="L721" s="641"/>
    </row>
    <row r="722" spans="1:32" hidden="1" x14ac:dyDescent="0.2">
      <c r="A722" s="178" t="s">
        <v>54</v>
      </c>
      <c r="J722" s="178">
        <f>SUM(W45:W721)</f>
        <v>0</v>
      </c>
      <c r="K722" s="178">
        <f>SUM(X45:X721)</f>
        <v>0</v>
      </c>
    </row>
    <row r="723" spans="1:32" hidden="1" x14ac:dyDescent="0.2">
      <c r="A723" s="178" t="s">
        <v>55</v>
      </c>
      <c r="J723" s="178">
        <f>SUM(Y45:Y722)</f>
        <v>0</v>
      </c>
      <c r="K723" s="178">
        <f>SUM(Z45:Z722)</f>
        <v>0</v>
      </c>
    </row>
    <row r="724" spans="1:32" hidden="1" x14ac:dyDescent="0.2"/>
    <row r="726" spans="1:32" ht="15" x14ac:dyDescent="0.25">
      <c r="A726" s="634" t="s">
        <v>74</v>
      </c>
      <c r="B726" s="634"/>
      <c r="C726" s="634"/>
      <c r="D726" s="634"/>
      <c r="E726" s="634"/>
      <c r="F726" s="634"/>
      <c r="G726" s="634"/>
      <c r="H726" s="634"/>
      <c r="I726" s="640">
        <f>SUM(O26:O725)</f>
        <v>68116.600000000006</v>
      </c>
      <c r="J726" s="641"/>
      <c r="K726" s="640">
        <f>SUM(P26:P725)</f>
        <v>472380.88</v>
      </c>
      <c r="L726" s="641"/>
      <c r="M726" s="178">
        <v>8110647.5800000001</v>
      </c>
      <c r="N726" s="782">
        <f>K726-M726</f>
        <v>-7638266.7000000002</v>
      </c>
      <c r="AF726" s="471" t="str">
        <f>CONCATENATE("Итого по акту: ",IF([86]Source!G2981&lt;&gt;"Новый объект", [86]Source!G2981, ""))</f>
        <v>Итого по акту: 48837-ТПК_5-0699-Р-ССР2  12-4017-Л-Р-11.4.3.1-ОВ1.1-СМ1К</v>
      </c>
    </row>
    <row r="727" spans="1:32" ht="12.75" hidden="1" customHeight="1" x14ac:dyDescent="0.2">
      <c r="A727" s="178" t="s">
        <v>54</v>
      </c>
      <c r="J727" s="178">
        <f>SUM(W26:W726)</f>
        <v>0</v>
      </c>
      <c r="K727" s="178">
        <f>SUM(X26:X726)</f>
        <v>0</v>
      </c>
      <c r="M727" s="178">
        <v>0</v>
      </c>
    </row>
    <row r="728" spans="1:32" ht="12.75" hidden="1" customHeight="1" x14ac:dyDescent="0.2">
      <c r="A728" s="178" t="s">
        <v>55</v>
      </c>
      <c r="J728" s="178">
        <f>SUM(Y26:Y727)</f>
        <v>0</v>
      </c>
      <c r="K728" s="178">
        <f>SUM(Z26:Z727)</f>
        <v>0</v>
      </c>
      <c r="M728" s="178">
        <v>0</v>
      </c>
    </row>
    <row r="729" spans="1:32" ht="14.25" x14ac:dyDescent="0.2">
      <c r="D729" s="635" t="str">
        <f>[86]Source!H2987</f>
        <v>Стоимость материалов (всего)</v>
      </c>
      <c r="E729" s="635"/>
      <c r="F729" s="635"/>
      <c r="G729" s="635"/>
      <c r="H729" s="635"/>
      <c r="I729" s="783">
        <f>[86]Source!F2987</f>
        <v>52773.49</v>
      </c>
      <c r="J729" s="783"/>
      <c r="K729" s="783">
        <f>[86]Source!P2987</f>
        <v>184995.37</v>
      </c>
      <c r="L729" s="783"/>
      <c r="M729" s="178">
        <v>185391.34</v>
      </c>
    </row>
    <row r="730" spans="1:32" ht="14.25" x14ac:dyDescent="0.2">
      <c r="D730" s="635" t="str">
        <f>[86]Source!H2995</f>
        <v>ЗП машинистов</v>
      </c>
      <c r="E730" s="635"/>
      <c r="F730" s="635"/>
      <c r="G730" s="635"/>
      <c r="H730" s="635"/>
      <c r="I730" s="638">
        <f>[86]Source!F2995</f>
        <v>56.42</v>
      </c>
      <c r="J730" s="638"/>
      <c r="K730" s="638">
        <f>[86]Source!P2995</f>
        <v>1383.97</v>
      </c>
      <c r="L730" s="638"/>
      <c r="M730" s="178">
        <v>2241.2199999999998</v>
      </c>
    </row>
    <row r="731" spans="1:32" ht="14.25" x14ac:dyDescent="0.2">
      <c r="D731" s="635" t="str">
        <f>[86]Source!H2996</f>
        <v>Основная ЗП рабочих</v>
      </c>
      <c r="E731" s="635"/>
      <c r="F731" s="635"/>
      <c r="G731" s="635"/>
      <c r="H731" s="635"/>
      <c r="I731" s="638">
        <f>[86]Source!F2996</f>
        <v>4715.99</v>
      </c>
      <c r="J731" s="638"/>
      <c r="K731" s="638">
        <f>[86]Source!P2996</f>
        <v>115683.23</v>
      </c>
      <c r="L731" s="638"/>
      <c r="M731" s="178">
        <v>519232.43</v>
      </c>
    </row>
    <row r="732" spans="1:32" ht="14.25" x14ac:dyDescent="0.2">
      <c r="D732" s="784" t="str">
        <f>[86]Source!H2990</f>
        <v>Стоимость оборудования (всего)</v>
      </c>
      <c r="E732" s="784"/>
      <c r="F732" s="784"/>
      <c r="G732" s="784"/>
      <c r="H732" s="784"/>
      <c r="I732" s="785">
        <f>J65+J94+J123+J149+J178+J204+J230+J256+J285+J311+J337+J366+J395+J424+J453</f>
        <v>0</v>
      </c>
      <c r="J732" s="785"/>
      <c r="K732" s="785">
        <f>L65+L94+L123+L149+L178+L204+L230+L256+L285+L311+L337+L366+L395+L424+L453</f>
        <v>0</v>
      </c>
      <c r="L732" s="785"/>
      <c r="M732" s="178">
        <v>6782770.5199999996</v>
      </c>
    </row>
    <row r="733" spans="1:32" ht="14.25" x14ac:dyDescent="0.2">
      <c r="B733" s="178"/>
      <c r="D733" s="472"/>
      <c r="E733" s="472"/>
      <c r="F733" s="472"/>
      <c r="G733" s="472"/>
      <c r="H733" s="472"/>
      <c r="I733" s="457"/>
      <c r="J733" s="457"/>
      <c r="K733" s="457"/>
      <c r="L733" s="457"/>
    </row>
    <row r="734" spans="1:32" s="290" customFormat="1" ht="15" x14ac:dyDescent="0.25">
      <c r="D734" s="470" t="s">
        <v>57</v>
      </c>
      <c r="J734" s="304">
        <f>I726</f>
        <v>68116.600000000006</v>
      </c>
      <c r="K734" s="304"/>
      <c r="L734" s="304">
        <f>K726</f>
        <v>472380.88</v>
      </c>
    </row>
    <row r="735" spans="1:32" s="290" customFormat="1" ht="15" x14ac:dyDescent="0.25">
      <c r="D735" s="470" t="s">
        <v>3</v>
      </c>
      <c r="J735" s="304">
        <f>J734</f>
        <v>68116.600000000006</v>
      </c>
      <c r="K735" s="304"/>
      <c r="L735" s="304">
        <f>L734</f>
        <v>472380.88</v>
      </c>
    </row>
    <row r="736" spans="1:32" s="290" customFormat="1" ht="15" x14ac:dyDescent="0.25">
      <c r="D736" s="470" t="s">
        <v>58</v>
      </c>
      <c r="J736" s="304">
        <f>I730+I731</f>
        <v>4772.41</v>
      </c>
      <c r="K736" s="304"/>
      <c r="L736" s="304">
        <f>K730+K731</f>
        <v>117067.2</v>
      </c>
    </row>
    <row r="737" spans="1:13" s="290" customFormat="1" ht="15" x14ac:dyDescent="0.25">
      <c r="D737" s="470" t="s">
        <v>59</v>
      </c>
      <c r="J737" s="304">
        <f>I729</f>
        <v>52773.49</v>
      </c>
      <c r="K737" s="304"/>
      <c r="L737" s="304">
        <f>K729</f>
        <v>184995.37</v>
      </c>
    </row>
    <row r="738" spans="1:13" s="290" customFormat="1" ht="15" x14ac:dyDescent="0.25">
      <c r="A738" s="303"/>
      <c r="B738" s="303"/>
      <c r="C738" s="303"/>
      <c r="D738" s="578" t="s">
        <v>62</v>
      </c>
      <c r="E738" s="578"/>
      <c r="F738" s="578"/>
      <c r="G738" s="578"/>
      <c r="H738" s="578"/>
      <c r="J738" s="302">
        <f>I732</f>
        <v>0</v>
      </c>
      <c r="L738" s="302">
        <f>K732</f>
        <v>0</v>
      </c>
    </row>
    <row r="739" spans="1:13" s="290" customFormat="1" ht="14.25" customHeight="1" x14ac:dyDescent="0.25">
      <c r="A739" s="297"/>
      <c r="B739" s="297"/>
      <c r="C739" s="297"/>
      <c r="D739" s="577" t="s">
        <v>71</v>
      </c>
      <c r="E739" s="577"/>
      <c r="F739" s="577"/>
      <c r="G739" s="577"/>
      <c r="H739" s="577"/>
      <c r="J739" s="302">
        <f>J736*0.15</f>
        <v>715.86</v>
      </c>
      <c r="L739" s="302">
        <f>L736*0.15</f>
        <v>17560.080000000002</v>
      </c>
    </row>
    <row r="740" spans="1:13" s="290" customFormat="1" ht="14.25" x14ac:dyDescent="0.2">
      <c r="A740" s="294"/>
      <c r="B740" s="294"/>
      <c r="C740" s="294"/>
      <c r="D740" s="579" t="s">
        <v>265</v>
      </c>
      <c r="E740" s="579"/>
      <c r="F740" s="579"/>
      <c r="G740" s="579"/>
      <c r="H740" s="579"/>
      <c r="J740" s="301">
        <f>J735+J739</f>
        <v>68832.460000000006</v>
      </c>
      <c r="L740" s="301">
        <f>L735+L739</f>
        <v>489940.96</v>
      </c>
    </row>
    <row r="741" spans="1:13" s="290" customFormat="1" ht="15" x14ac:dyDescent="0.25">
      <c r="A741" s="297"/>
      <c r="B741" s="297"/>
      <c r="C741" s="297"/>
      <c r="D741" s="578"/>
      <c r="E741" s="578"/>
      <c r="F741" s="578"/>
      <c r="G741" s="578"/>
      <c r="H741" s="578"/>
      <c r="I741" s="576"/>
      <c r="J741" s="576"/>
      <c r="K741" s="576"/>
      <c r="L741" s="576"/>
    </row>
    <row r="742" spans="1:13" s="290" customFormat="1" ht="15" x14ac:dyDescent="0.25">
      <c r="A742" s="294"/>
      <c r="B742" s="294"/>
      <c r="C742" s="294"/>
      <c r="D742" s="293" t="s">
        <v>313</v>
      </c>
      <c r="E742" s="296"/>
      <c r="F742" s="296"/>
      <c r="G742" s="296"/>
      <c r="H742" s="296"/>
      <c r="I742" s="296"/>
      <c r="J742" s="291"/>
      <c r="K742" s="291"/>
      <c r="L742" s="291">
        <f>L734*0.925</f>
        <v>436952.31</v>
      </c>
    </row>
    <row r="743" spans="1:13" s="290" customFormat="1" ht="15" x14ac:dyDescent="0.25">
      <c r="A743" s="297"/>
      <c r="B743" s="297"/>
      <c r="C743" s="297"/>
      <c r="D743" s="578" t="s">
        <v>3</v>
      </c>
      <c r="E743" s="578"/>
      <c r="F743" s="578"/>
      <c r="G743" s="578"/>
      <c r="H743" s="578"/>
      <c r="I743" s="297"/>
      <c r="J743" s="300"/>
      <c r="L743" s="295">
        <f>L742</f>
        <v>436952.31</v>
      </c>
    </row>
    <row r="744" spans="1:13" s="290" customFormat="1" ht="15" x14ac:dyDescent="0.25">
      <c r="A744" s="297"/>
      <c r="B744" s="297"/>
      <c r="C744" s="297"/>
      <c r="D744" s="578" t="s">
        <v>312</v>
      </c>
      <c r="E744" s="578"/>
      <c r="F744" s="578"/>
      <c r="G744" s="578"/>
      <c r="H744" s="578"/>
      <c r="I744" s="297"/>
      <c r="J744" s="300"/>
      <c r="L744" s="295">
        <f>L736*0.925</f>
        <v>108287.16</v>
      </c>
    </row>
    <row r="745" spans="1:13" s="290" customFormat="1" ht="15" x14ac:dyDescent="0.25">
      <c r="A745" s="297"/>
      <c r="B745" s="297"/>
      <c r="C745" s="297"/>
      <c r="D745" s="578" t="s">
        <v>58</v>
      </c>
      <c r="E745" s="578"/>
      <c r="F745" s="578"/>
      <c r="G745" s="578"/>
      <c r="H745" s="578"/>
      <c r="I745" s="297"/>
      <c r="J745" s="300"/>
      <c r="L745" s="295">
        <f>L737*0.925</f>
        <v>171120.72</v>
      </c>
    </row>
    <row r="746" spans="1:13" s="290" customFormat="1" ht="15" x14ac:dyDescent="0.25">
      <c r="A746" s="297"/>
      <c r="B746" s="297"/>
      <c r="C746" s="297"/>
      <c r="D746" s="299" t="s">
        <v>62</v>
      </c>
      <c r="E746" s="296"/>
      <c r="F746" s="296"/>
      <c r="G746" s="296"/>
      <c r="H746" s="296"/>
      <c r="I746" s="296"/>
      <c r="J746" s="298"/>
      <c r="K746" s="295"/>
      <c r="L746" s="298">
        <v>0</v>
      </c>
    </row>
    <row r="747" spans="1:13" s="290" customFormat="1" ht="14.25" customHeight="1" x14ac:dyDescent="0.25">
      <c r="A747" s="297"/>
      <c r="B747" s="297"/>
      <c r="C747" s="297"/>
      <c r="D747" s="296" t="s">
        <v>311</v>
      </c>
      <c r="E747" s="296"/>
      <c r="F747" s="296"/>
      <c r="G747" s="296"/>
      <c r="H747" s="296"/>
      <c r="I747" s="296"/>
      <c r="J747" s="295"/>
      <c r="K747" s="295"/>
      <c r="L747" s="295">
        <f>L744*0.15</f>
        <v>16243.07</v>
      </c>
    </row>
    <row r="748" spans="1:13" s="290" customFormat="1" ht="14.25" customHeight="1" x14ac:dyDescent="0.2">
      <c r="A748" s="294"/>
      <c r="B748" s="294"/>
      <c r="C748" s="294"/>
      <c r="D748" s="293" t="s">
        <v>310</v>
      </c>
      <c r="E748" s="292"/>
      <c r="F748" s="292"/>
      <c r="G748" s="292"/>
      <c r="H748" s="292"/>
      <c r="I748" s="292"/>
      <c r="J748" s="291"/>
      <c r="K748" s="292"/>
      <c r="L748" s="291">
        <f>L747+L742</f>
        <v>453195.38</v>
      </c>
    </row>
    <row r="749" spans="1:13" s="290" customFormat="1" ht="12.75" x14ac:dyDescent="0.2">
      <c r="A749" s="282"/>
      <c r="B749" s="282"/>
      <c r="C749" s="282"/>
      <c r="D749" s="282"/>
      <c r="E749" s="282"/>
      <c r="F749" s="282"/>
      <c r="G749" s="282"/>
      <c r="H749" s="282"/>
      <c r="I749" s="282"/>
      <c r="J749" s="282"/>
      <c r="K749" s="282"/>
      <c r="L749" s="282"/>
    </row>
    <row r="750" spans="1:13" s="290" customFormat="1" ht="14.25" customHeight="1" x14ac:dyDescent="0.2">
      <c r="A750" s="282"/>
      <c r="B750" s="282"/>
      <c r="C750" s="282"/>
      <c r="D750" s="282"/>
      <c r="E750" s="282"/>
      <c r="F750" s="282"/>
      <c r="G750" s="282"/>
      <c r="H750" s="282"/>
      <c r="I750" s="282"/>
      <c r="J750" s="282"/>
      <c r="K750" s="282"/>
      <c r="L750" s="282"/>
    </row>
    <row r="751" spans="1:13" s="275" customFormat="1" ht="14.25" x14ac:dyDescent="0.2">
      <c r="A751" s="282"/>
      <c r="B751" s="282"/>
      <c r="C751" s="282"/>
      <c r="D751" s="289" t="s">
        <v>309</v>
      </c>
      <c r="E751" s="288"/>
      <c r="F751" s="288"/>
      <c r="G751" s="288"/>
      <c r="H751" s="288"/>
      <c r="I751" s="287"/>
      <c r="J751" s="285"/>
      <c r="K751" s="286"/>
      <c r="L751" s="285">
        <f>L748</f>
        <v>453195.38</v>
      </c>
      <c r="M751" s="276"/>
    </row>
    <row r="752" spans="1:13" s="275" customFormat="1" ht="15" x14ac:dyDescent="0.25">
      <c r="A752" s="282"/>
      <c r="B752" s="282"/>
      <c r="C752" s="282"/>
      <c r="D752" s="281" t="s">
        <v>308</v>
      </c>
      <c r="E752" s="280"/>
      <c r="F752" s="280"/>
      <c r="G752" s="280"/>
      <c r="H752" s="280"/>
      <c r="I752" s="279"/>
      <c r="J752" s="277"/>
      <c r="K752" s="284"/>
      <c r="L752" s="277">
        <f>L743</f>
        <v>436952.31</v>
      </c>
      <c r="M752" s="276"/>
    </row>
    <row r="753" spans="1:13" s="275" customFormat="1" ht="15" x14ac:dyDescent="0.25">
      <c r="A753" s="282"/>
      <c r="B753" s="282"/>
      <c r="C753" s="282"/>
      <c r="D753" s="281" t="s">
        <v>307</v>
      </c>
      <c r="E753" s="280"/>
      <c r="F753" s="280"/>
      <c r="G753" s="280"/>
      <c r="H753" s="280"/>
      <c r="I753" s="279"/>
      <c r="J753" s="277"/>
      <c r="K753" s="283"/>
      <c r="L753" s="277">
        <f>L747</f>
        <v>16243.07</v>
      </c>
      <c r="M753" s="276"/>
    </row>
    <row r="754" spans="1:13" s="275" customFormat="1" ht="15" x14ac:dyDescent="0.25">
      <c r="A754" s="282"/>
      <c r="B754" s="282"/>
      <c r="C754" s="282"/>
      <c r="D754" s="281" t="s">
        <v>306</v>
      </c>
      <c r="E754" s="280"/>
      <c r="F754" s="280"/>
      <c r="G754" s="280"/>
      <c r="H754" s="280"/>
      <c r="I754" s="279"/>
      <c r="J754" s="277"/>
      <c r="K754" s="277"/>
      <c r="L754" s="277">
        <v>0</v>
      </c>
      <c r="M754" s="276"/>
    </row>
    <row r="755" spans="1:13" s="275" customFormat="1" ht="15" x14ac:dyDescent="0.25">
      <c r="A755" s="282"/>
      <c r="B755" s="282"/>
      <c r="C755" s="282"/>
      <c r="D755" s="281" t="s">
        <v>305</v>
      </c>
      <c r="E755" s="280"/>
      <c r="F755" s="280"/>
      <c r="G755" s="280"/>
      <c r="H755" s="280"/>
      <c r="I755" s="279"/>
      <c r="J755" s="278"/>
      <c r="K755" s="278"/>
      <c r="L755" s="277">
        <f>L746</f>
        <v>0</v>
      </c>
      <c r="M755" s="276"/>
    </row>
  </sheetData>
  <mergeCells count="301">
    <mergeCell ref="J21:L21"/>
    <mergeCell ref="J22:L22"/>
    <mergeCell ref="C16:H16"/>
    <mergeCell ref="A160:L160"/>
    <mergeCell ref="I170:J170"/>
    <mergeCell ref="K170:L170"/>
    <mergeCell ref="A131:L131"/>
    <mergeCell ref="A29:L29"/>
    <mergeCell ref="C32:C39"/>
    <mergeCell ref="D32:D39"/>
    <mergeCell ref="E32:E39"/>
    <mergeCell ref="F32:F39"/>
    <mergeCell ref="G32:G39"/>
    <mergeCell ref="B34:B39"/>
    <mergeCell ref="I95:J95"/>
    <mergeCell ref="K95:L95"/>
    <mergeCell ref="I63:J63"/>
    <mergeCell ref="K63:L63"/>
    <mergeCell ref="I66:J66"/>
    <mergeCell ref="K66:L66"/>
    <mergeCell ref="I69:J69"/>
    <mergeCell ref="A98:H98"/>
    <mergeCell ref="I98:J98"/>
    <mergeCell ref="K98:L98"/>
    <mergeCell ref="K86:L86"/>
    <mergeCell ref="I92:J92"/>
    <mergeCell ref="K92:L92"/>
    <mergeCell ref="A47:L47"/>
    <mergeCell ref="I57:J57"/>
    <mergeCell ref="K57:L57"/>
    <mergeCell ref="I153:J153"/>
    <mergeCell ref="K153:L153"/>
    <mergeCell ref="K150:L150"/>
    <mergeCell ref="A105:L105"/>
    <mergeCell ref="I115:J115"/>
    <mergeCell ref="I121:J121"/>
    <mergeCell ref="K121:L121"/>
    <mergeCell ref="I124:J124"/>
    <mergeCell ref="K124:L124"/>
    <mergeCell ref="I127:J127"/>
    <mergeCell ref="K127:L127"/>
    <mergeCell ref="A127:H127"/>
    <mergeCell ref="I141:J141"/>
    <mergeCell ref="K141:L141"/>
    <mergeCell ref="I147:J147"/>
    <mergeCell ref="K147:L147"/>
    <mergeCell ref="I150:J150"/>
    <mergeCell ref="L32:L39"/>
    <mergeCell ref="A34:A39"/>
    <mergeCell ref="A32:B33"/>
    <mergeCell ref="I86:J86"/>
    <mergeCell ref="I1:L1"/>
    <mergeCell ref="I2:L2"/>
    <mergeCell ref="J4:L4"/>
    <mergeCell ref="C7:H7"/>
    <mergeCell ref="C8:H8"/>
    <mergeCell ref="I3:L3"/>
    <mergeCell ref="J5:L5"/>
    <mergeCell ref="J6:L7"/>
    <mergeCell ref="A7:B7"/>
    <mergeCell ref="J8:L9"/>
    <mergeCell ref="A9:B9"/>
    <mergeCell ref="C9:H9"/>
    <mergeCell ref="C12:H12"/>
    <mergeCell ref="C13:H13"/>
    <mergeCell ref="A76:L76"/>
    <mergeCell ref="A69:H69"/>
    <mergeCell ref="K69:L69"/>
    <mergeCell ref="C18:H18"/>
    <mergeCell ref="G19:I19"/>
    <mergeCell ref="G20:H20"/>
    <mergeCell ref="A42:L42"/>
    <mergeCell ref="A43:L43"/>
    <mergeCell ref="A45:L45"/>
    <mergeCell ref="C11:H11"/>
    <mergeCell ref="J10:L11"/>
    <mergeCell ref="J12:L13"/>
    <mergeCell ref="C14:H14"/>
    <mergeCell ref="J14:L15"/>
    <mergeCell ref="C15:H15"/>
    <mergeCell ref="C10:H10"/>
    <mergeCell ref="A27:L27"/>
    <mergeCell ref="A28:L28"/>
    <mergeCell ref="J19:L19"/>
    <mergeCell ref="J20:L20"/>
    <mergeCell ref="A31:L31"/>
    <mergeCell ref="I24:I25"/>
    <mergeCell ref="J24:J25"/>
    <mergeCell ref="K24:L24"/>
    <mergeCell ref="J16:L17"/>
    <mergeCell ref="C17:H17"/>
    <mergeCell ref="H32:H39"/>
    <mergeCell ref="I32:I39"/>
    <mergeCell ref="J32:J39"/>
    <mergeCell ref="K32:K39"/>
    <mergeCell ref="K115:L115"/>
    <mergeCell ref="I176:J176"/>
    <mergeCell ref="K176:L176"/>
    <mergeCell ref="I179:J179"/>
    <mergeCell ref="K179:L179"/>
    <mergeCell ref="A182:H182"/>
    <mergeCell ref="I182:J182"/>
    <mergeCell ref="K182:L182"/>
    <mergeCell ref="A186:L186"/>
    <mergeCell ref="A153:H153"/>
    <mergeCell ref="I196:J196"/>
    <mergeCell ref="K196:L196"/>
    <mergeCell ref="I202:J202"/>
    <mergeCell ref="K202:L202"/>
    <mergeCell ref="I205:J205"/>
    <mergeCell ref="K205:L205"/>
    <mergeCell ref="A208:H208"/>
    <mergeCell ref="I208:J208"/>
    <mergeCell ref="K208:L208"/>
    <mergeCell ref="A212:L212"/>
    <mergeCell ref="I222:J222"/>
    <mergeCell ref="K222:L222"/>
    <mergeCell ref="I228:J228"/>
    <mergeCell ref="K228:L228"/>
    <mergeCell ref="I231:J231"/>
    <mergeCell ref="K231:L231"/>
    <mergeCell ref="A234:H234"/>
    <mergeCell ref="I234:J234"/>
    <mergeCell ref="K234:L234"/>
    <mergeCell ref="A238:L238"/>
    <mergeCell ref="I248:J248"/>
    <mergeCell ref="K248:L248"/>
    <mergeCell ref="I254:J254"/>
    <mergeCell ref="K254:L254"/>
    <mergeCell ref="I257:J257"/>
    <mergeCell ref="K257:L257"/>
    <mergeCell ref="A260:H260"/>
    <mergeCell ref="I260:J260"/>
    <mergeCell ref="K260:L260"/>
    <mergeCell ref="A267:L267"/>
    <mergeCell ref="I277:J277"/>
    <mergeCell ref="K277:L277"/>
    <mergeCell ref="I283:J283"/>
    <mergeCell ref="K283:L283"/>
    <mergeCell ref="I286:J286"/>
    <mergeCell ref="K286:L286"/>
    <mergeCell ref="A289:H289"/>
    <mergeCell ref="I289:J289"/>
    <mergeCell ref="K289:L289"/>
    <mergeCell ref="A293:L293"/>
    <mergeCell ref="I303:J303"/>
    <mergeCell ref="K303:L303"/>
    <mergeCell ref="I309:J309"/>
    <mergeCell ref="K309:L309"/>
    <mergeCell ref="I312:J312"/>
    <mergeCell ref="K312:L312"/>
    <mergeCell ref="A315:H315"/>
    <mergeCell ref="I315:J315"/>
    <mergeCell ref="K315:L315"/>
    <mergeCell ref="A319:L319"/>
    <mergeCell ref="I329:J329"/>
    <mergeCell ref="K329:L329"/>
    <mergeCell ref="I335:J335"/>
    <mergeCell ref="K335:L335"/>
    <mergeCell ref="I338:J338"/>
    <mergeCell ref="K338:L338"/>
    <mergeCell ref="A341:H341"/>
    <mergeCell ref="I341:J341"/>
    <mergeCell ref="K341:L341"/>
    <mergeCell ref="A348:L348"/>
    <mergeCell ref="I358:J358"/>
    <mergeCell ref="K358:L358"/>
    <mergeCell ref="I364:J364"/>
    <mergeCell ref="K364:L364"/>
    <mergeCell ref="I367:J367"/>
    <mergeCell ref="K367:L367"/>
    <mergeCell ref="A370:H370"/>
    <mergeCell ref="I370:J370"/>
    <mergeCell ref="K370:L370"/>
    <mergeCell ref="A377:L377"/>
    <mergeCell ref="I387:J387"/>
    <mergeCell ref="K387:L387"/>
    <mergeCell ref="I393:J393"/>
    <mergeCell ref="K393:L393"/>
    <mergeCell ref="I396:J396"/>
    <mergeCell ref="K396:L396"/>
    <mergeCell ref="A399:H399"/>
    <mergeCell ref="I399:J399"/>
    <mergeCell ref="K399:L399"/>
    <mergeCell ref="A406:L406"/>
    <mergeCell ref="I416:J416"/>
    <mergeCell ref="K416:L416"/>
    <mergeCell ref="I422:J422"/>
    <mergeCell ref="K422:L422"/>
    <mergeCell ref="I425:J425"/>
    <mergeCell ref="K425:L425"/>
    <mergeCell ref="A428:H428"/>
    <mergeCell ref="I428:J428"/>
    <mergeCell ref="K428:L428"/>
    <mergeCell ref="A435:L435"/>
    <mergeCell ref="I445:J445"/>
    <mergeCell ref="K445:L445"/>
    <mergeCell ref="I451:J451"/>
    <mergeCell ref="K451:L451"/>
    <mergeCell ref="I454:J454"/>
    <mergeCell ref="K454:L454"/>
    <mergeCell ref="A457:H457"/>
    <mergeCell ref="I457:J457"/>
    <mergeCell ref="K457:L457"/>
    <mergeCell ref="A464:L464"/>
    <mergeCell ref="I474:J474"/>
    <mergeCell ref="K474:L474"/>
    <mergeCell ref="I480:J480"/>
    <mergeCell ref="K480:L480"/>
    <mergeCell ref="I483:J483"/>
    <mergeCell ref="K483:L483"/>
    <mergeCell ref="I494:J494"/>
    <mergeCell ref="K494:L494"/>
    <mergeCell ref="I500:J500"/>
    <mergeCell ref="K500:L500"/>
    <mergeCell ref="I503:J503"/>
    <mergeCell ref="K503:L503"/>
    <mergeCell ref="I506:J506"/>
    <mergeCell ref="K506:L506"/>
    <mergeCell ref="I509:J509"/>
    <mergeCell ref="K509:L509"/>
    <mergeCell ref="I521:J521"/>
    <mergeCell ref="K521:L521"/>
    <mergeCell ref="I527:J527"/>
    <mergeCell ref="K527:L527"/>
    <mergeCell ref="I539:J539"/>
    <mergeCell ref="K539:L539"/>
    <mergeCell ref="I545:J545"/>
    <mergeCell ref="K545:L545"/>
    <mergeCell ref="I557:J557"/>
    <mergeCell ref="K557:L557"/>
    <mergeCell ref="I563:J563"/>
    <mergeCell ref="K563:L563"/>
    <mergeCell ref="I575:J575"/>
    <mergeCell ref="K575:L575"/>
    <mergeCell ref="I581:J581"/>
    <mergeCell ref="K581:L581"/>
    <mergeCell ref="I592:J592"/>
    <mergeCell ref="K592:L592"/>
    <mergeCell ref="I598:J598"/>
    <mergeCell ref="K598:L598"/>
    <mergeCell ref="I601:J601"/>
    <mergeCell ref="K601:L601"/>
    <mergeCell ref="I604:J604"/>
    <mergeCell ref="K604:L604"/>
    <mergeCell ref="I616:J616"/>
    <mergeCell ref="K616:L616"/>
    <mergeCell ref="I622:J622"/>
    <mergeCell ref="K622:L622"/>
    <mergeCell ref="I634:J634"/>
    <mergeCell ref="K634:L634"/>
    <mergeCell ref="I640:J640"/>
    <mergeCell ref="K640:L640"/>
    <mergeCell ref="I652:J652"/>
    <mergeCell ref="K652:L652"/>
    <mergeCell ref="I658:J658"/>
    <mergeCell ref="K658:L658"/>
    <mergeCell ref="I670:J670"/>
    <mergeCell ref="K670:L670"/>
    <mergeCell ref="I676:J676"/>
    <mergeCell ref="K676:L676"/>
    <mergeCell ref="I687:J687"/>
    <mergeCell ref="K687:L687"/>
    <mergeCell ref="I693:J693"/>
    <mergeCell ref="K693:L693"/>
    <mergeCell ref="I696:J696"/>
    <mergeCell ref="K696:L696"/>
    <mergeCell ref="I708:J708"/>
    <mergeCell ref="K708:L708"/>
    <mergeCell ref="I714:J714"/>
    <mergeCell ref="K714:L714"/>
    <mergeCell ref="A717:H717"/>
    <mergeCell ref="I717:J717"/>
    <mergeCell ref="K717:L717"/>
    <mergeCell ref="A721:H721"/>
    <mergeCell ref="I721:J721"/>
    <mergeCell ref="K721:L721"/>
    <mergeCell ref="A726:H726"/>
    <mergeCell ref="I726:J726"/>
    <mergeCell ref="K726:L726"/>
    <mergeCell ref="D729:H729"/>
    <mergeCell ref="I729:J729"/>
    <mergeCell ref="K729:L729"/>
    <mergeCell ref="K741:L741"/>
    <mergeCell ref="D730:H730"/>
    <mergeCell ref="I730:J730"/>
    <mergeCell ref="K730:L730"/>
    <mergeCell ref="D731:H731"/>
    <mergeCell ref="I731:J731"/>
    <mergeCell ref="K731:L731"/>
    <mergeCell ref="D739:H739"/>
    <mergeCell ref="D745:H745"/>
    <mergeCell ref="D732:H732"/>
    <mergeCell ref="I732:J732"/>
    <mergeCell ref="K732:L732"/>
    <mergeCell ref="D743:H743"/>
    <mergeCell ref="D744:H744"/>
    <mergeCell ref="D740:H740"/>
    <mergeCell ref="D738:H738"/>
    <mergeCell ref="D741:H741"/>
    <mergeCell ref="I741:J741"/>
  </mergeCells>
  <pageMargins left="0.39370078740157483" right="0.19685039370078741" top="0.19685039370078741" bottom="0.39370078740157483" header="0.31496062992125984" footer="0.31496062992125984"/>
  <pageSetup paperSize="9" scale="59" fitToHeight="0" orientation="portrait" blackAndWhite="1" useFirstPageNumber="1" r:id="rId1"/>
  <headerFooter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98"/>
  <sheetViews>
    <sheetView view="pageBreakPreview" topLeftCell="A25" zoomScale="60" zoomScaleNormal="100" workbookViewId="0">
      <selection activeCell="A25" sqref="A1:XFD1048576"/>
    </sheetView>
  </sheetViews>
  <sheetFormatPr defaultColWidth="9.33203125" defaultRowHeight="12" x14ac:dyDescent="0.2"/>
  <cols>
    <col min="1" max="2" width="10.1640625" style="788" customWidth="1"/>
    <col min="3" max="3" width="17.6640625" style="788" customWidth="1"/>
    <col min="4" max="4" width="47.5" style="788" customWidth="1"/>
    <col min="5" max="5" width="18" style="788" customWidth="1"/>
    <col min="6" max="6" width="9.5" style="788" bestFit="1" customWidth="1"/>
    <col min="7" max="8" width="16" style="788" customWidth="1"/>
    <col min="9" max="9" width="15.83203125" style="788" customWidth="1"/>
    <col min="10" max="10" width="16.5" style="788" customWidth="1"/>
    <col min="11" max="11" width="12" style="788" bestFit="1" customWidth="1"/>
    <col min="12" max="12" width="16.83203125" style="788" customWidth="1"/>
    <col min="13" max="14" width="9.33203125" style="788"/>
    <col min="15" max="30" width="0" style="788" hidden="1" customWidth="1"/>
    <col min="31" max="31" width="157.1640625" style="788" hidden="1" customWidth="1"/>
    <col min="32" max="32" width="117.83203125" style="788" hidden="1" customWidth="1"/>
    <col min="33" max="33" width="0" style="788" hidden="1" customWidth="1"/>
    <col min="34" max="34" width="93.33203125" style="788" hidden="1" customWidth="1"/>
    <col min="35" max="36" width="0" style="788" hidden="1" customWidth="1"/>
    <col min="37" max="16384" width="9.33203125" style="788"/>
  </cols>
  <sheetData>
    <row r="1" hidden="1" x14ac:dyDescent="0.2"/>
    <row r="2" hidden="1" x14ac:dyDescent="0.2"/>
    <row r="3" hidden="1" x14ac:dyDescent="0.2"/>
    <row r="4" hidden="1" x14ac:dyDescent="0.2"/>
    <row r="5" hidden="1" x14ac:dyDescent="0.2"/>
    <row r="6" ht="30.75" hidden="1" customHeight="1" x14ac:dyDescent="0.2"/>
    <row r="7" hidden="1" x14ac:dyDescent="0.2"/>
    <row r="8" ht="27.75" hidden="1" customHeight="1" x14ac:dyDescent="0.2"/>
    <row r="9" hidden="1" x14ac:dyDescent="0.2"/>
    <row r="10" ht="14.25" hidden="1" customHeight="1" x14ac:dyDescent="0.2"/>
    <row r="11" hidden="1" x14ac:dyDescent="0.2"/>
    <row r="12" ht="14.25" hidden="1" customHeight="1" x14ac:dyDescent="0.2"/>
    <row r="13" hidden="1" x14ac:dyDescent="0.2"/>
    <row r="14" hidden="1" x14ac:dyDescent="0.2"/>
    <row r="15" ht="14.25" hidden="1" customHeight="1" x14ac:dyDescent="0.2"/>
    <row r="16" hidden="1" x14ac:dyDescent="0.2"/>
    <row r="17" spans="1:31" ht="14.25" hidden="1" customHeight="1" x14ac:dyDescent="0.2"/>
    <row r="18" spans="1:31" hidden="1" x14ac:dyDescent="0.2"/>
    <row r="19" spans="1:31" hidden="1" x14ac:dyDescent="0.2"/>
    <row r="20" spans="1:31" ht="14.25" hidden="1" customHeight="1" x14ac:dyDescent="0.2"/>
    <row r="21" spans="1:31" hidden="1" x14ac:dyDescent="0.2"/>
    <row r="22" spans="1:31" hidden="1" x14ac:dyDescent="0.2">
      <c r="M22" s="789" t="s">
        <v>466</v>
      </c>
    </row>
    <row r="23" spans="1:31" hidden="1" x14ac:dyDescent="0.2">
      <c r="M23" s="789" t="s">
        <v>465</v>
      </c>
    </row>
    <row r="24" spans="1:31" ht="14.25" hidden="1" customHeight="1" x14ac:dyDescent="0.2"/>
    <row r="26" spans="1:31" x14ac:dyDescent="0.2">
      <c r="A26" s="790" t="s">
        <v>464</v>
      </c>
      <c r="B26" s="790"/>
      <c r="C26" s="790"/>
      <c r="D26" s="790"/>
      <c r="E26" s="790"/>
      <c r="F26" s="790"/>
      <c r="G26" s="790"/>
      <c r="H26" s="790"/>
      <c r="I26" s="790"/>
      <c r="J26" s="790"/>
      <c r="K26" s="790"/>
      <c r="L26" s="790"/>
    </row>
    <row r="27" spans="1:31" x14ac:dyDescent="0.2">
      <c r="A27" s="791"/>
      <c r="B27" s="791"/>
      <c r="C27" s="791"/>
      <c r="D27" s="791"/>
      <c r="E27" s="791"/>
      <c r="F27" s="791"/>
      <c r="G27" s="791"/>
      <c r="H27" s="791"/>
      <c r="I27" s="791"/>
      <c r="J27" s="791"/>
      <c r="K27" s="791"/>
      <c r="L27" s="791"/>
    </row>
    <row r="28" spans="1:31" hidden="1" x14ac:dyDescent="0.2">
      <c r="A28" s="791" t="s">
        <v>66</v>
      </c>
      <c r="B28" s="791"/>
      <c r="C28" s="791"/>
      <c r="D28" s="791"/>
      <c r="E28" s="791"/>
      <c r="F28" s="791"/>
      <c r="G28" s="791"/>
      <c r="H28" s="792">
        <f>([87]Source!P2454/1000)</f>
        <v>42.73</v>
      </c>
      <c r="I28" s="792"/>
      <c r="J28" s="791" t="s">
        <v>67</v>
      </c>
      <c r="K28" s="791"/>
      <c r="L28" s="791"/>
    </row>
    <row r="29" spans="1:31" hidden="1" x14ac:dyDescent="0.2">
      <c r="A29" s="791" t="s">
        <v>95</v>
      </c>
      <c r="B29" s="791"/>
      <c r="C29" s="791"/>
      <c r="D29" s="791"/>
      <c r="E29" s="791"/>
      <c r="F29" s="791"/>
      <c r="G29" s="791"/>
      <c r="H29" s="793"/>
      <c r="I29" s="793"/>
      <c r="J29" s="791"/>
      <c r="K29" s="791"/>
      <c r="L29" s="791"/>
    </row>
    <row r="30" spans="1:31" x14ac:dyDescent="0.2">
      <c r="A30" s="794" t="s">
        <v>96</v>
      </c>
      <c r="B30" s="794"/>
      <c r="C30" s="794"/>
      <c r="D30" s="794"/>
      <c r="E30" s="794"/>
      <c r="F30" s="794"/>
      <c r="G30" s="794"/>
      <c r="H30" s="794"/>
      <c r="I30" s="794"/>
      <c r="J30" s="794"/>
      <c r="K30" s="794"/>
      <c r="L30" s="794"/>
      <c r="AE30" s="795" t="s">
        <v>96</v>
      </c>
    </row>
    <row r="31" spans="1:31" x14ac:dyDescent="0.2">
      <c r="A31" s="796" t="s">
        <v>38</v>
      </c>
      <c r="B31" s="797"/>
      <c r="C31" s="798" t="s">
        <v>39</v>
      </c>
      <c r="D31" s="798" t="s">
        <v>40</v>
      </c>
      <c r="E31" s="798" t="s">
        <v>75</v>
      </c>
      <c r="F31" s="798" t="s">
        <v>68</v>
      </c>
      <c r="G31" s="798" t="s">
        <v>69</v>
      </c>
      <c r="H31" s="798" t="s">
        <v>76</v>
      </c>
      <c r="I31" s="798" t="s">
        <v>77</v>
      </c>
      <c r="J31" s="798" t="s">
        <v>78</v>
      </c>
      <c r="K31" s="798" t="s">
        <v>79</v>
      </c>
      <c r="L31" s="798" t="s">
        <v>80</v>
      </c>
    </row>
    <row r="32" spans="1:31" x14ac:dyDescent="0.2">
      <c r="A32" s="799"/>
      <c r="B32" s="800"/>
      <c r="C32" s="801"/>
      <c r="D32" s="801"/>
      <c r="E32" s="801"/>
      <c r="F32" s="801"/>
      <c r="G32" s="801"/>
      <c r="H32" s="801"/>
      <c r="I32" s="801"/>
      <c r="J32" s="801"/>
      <c r="K32" s="801"/>
      <c r="L32" s="801"/>
    </row>
    <row r="33" spans="1:31" x14ac:dyDescent="0.2">
      <c r="A33" s="802" t="s">
        <v>41</v>
      </c>
      <c r="B33" s="802" t="s">
        <v>42</v>
      </c>
      <c r="C33" s="801"/>
      <c r="D33" s="801"/>
      <c r="E33" s="801"/>
      <c r="F33" s="801"/>
      <c r="G33" s="801"/>
      <c r="H33" s="801"/>
      <c r="I33" s="801"/>
      <c r="J33" s="801"/>
      <c r="K33" s="801"/>
      <c r="L33" s="801"/>
    </row>
    <row r="34" spans="1:31" x14ac:dyDescent="0.2">
      <c r="A34" s="802"/>
      <c r="B34" s="802"/>
      <c r="C34" s="801"/>
      <c r="D34" s="801"/>
      <c r="E34" s="801"/>
      <c r="F34" s="801"/>
      <c r="G34" s="801"/>
      <c r="H34" s="801"/>
      <c r="I34" s="801"/>
      <c r="J34" s="801"/>
      <c r="K34" s="801"/>
      <c r="L34" s="801"/>
    </row>
    <row r="35" spans="1:31" x14ac:dyDescent="0.2">
      <c r="A35" s="802"/>
      <c r="B35" s="802"/>
      <c r="C35" s="801"/>
      <c r="D35" s="801"/>
      <c r="E35" s="801"/>
      <c r="F35" s="801"/>
      <c r="G35" s="801"/>
      <c r="H35" s="801"/>
      <c r="I35" s="801"/>
      <c r="J35" s="801"/>
      <c r="K35" s="801"/>
      <c r="L35" s="801"/>
    </row>
    <row r="36" spans="1:31" x14ac:dyDescent="0.2">
      <c r="A36" s="802"/>
      <c r="B36" s="802"/>
      <c r="C36" s="801"/>
      <c r="D36" s="801"/>
      <c r="E36" s="801"/>
      <c r="F36" s="801"/>
      <c r="G36" s="801"/>
      <c r="H36" s="801"/>
      <c r="I36" s="801"/>
      <c r="J36" s="801"/>
      <c r="K36" s="801"/>
      <c r="L36" s="801"/>
    </row>
    <row r="37" spans="1:31" x14ac:dyDescent="0.2">
      <c r="A37" s="802"/>
      <c r="B37" s="802"/>
      <c r="C37" s="801"/>
      <c r="D37" s="801"/>
      <c r="E37" s="801"/>
      <c r="F37" s="801"/>
      <c r="G37" s="801"/>
      <c r="H37" s="801"/>
      <c r="I37" s="801"/>
      <c r="J37" s="801"/>
      <c r="K37" s="801"/>
      <c r="L37" s="801"/>
    </row>
    <row r="38" spans="1:31" x14ac:dyDescent="0.2">
      <c r="A38" s="802"/>
      <c r="B38" s="802"/>
      <c r="C38" s="803"/>
      <c r="D38" s="803"/>
      <c r="E38" s="803"/>
      <c r="F38" s="803"/>
      <c r="G38" s="803"/>
      <c r="H38" s="803"/>
      <c r="I38" s="803"/>
      <c r="J38" s="803"/>
      <c r="K38" s="803"/>
      <c r="L38" s="803"/>
    </row>
    <row r="39" spans="1:31" x14ac:dyDescent="0.2">
      <c r="A39" s="804">
        <v>1</v>
      </c>
      <c r="B39" s="804">
        <v>2</v>
      </c>
      <c r="C39" s="804">
        <v>3</v>
      </c>
      <c r="D39" s="804">
        <v>4</v>
      </c>
      <c r="E39" s="804">
        <v>5</v>
      </c>
      <c r="F39" s="804">
        <v>6</v>
      </c>
      <c r="G39" s="804">
        <v>7</v>
      </c>
      <c r="H39" s="804">
        <v>8</v>
      </c>
      <c r="I39" s="804">
        <v>9</v>
      </c>
      <c r="J39" s="804">
        <v>10</v>
      </c>
      <c r="K39" s="804">
        <v>11</v>
      </c>
      <c r="L39" s="804">
        <v>12</v>
      </c>
    </row>
    <row r="41" spans="1:31" x14ac:dyDescent="0.2">
      <c r="A41" s="790" t="s">
        <v>463</v>
      </c>
      <c r="B41" s="790"/>
      <c r="C41" s="790"/>
      <c r="D41" s="790"/>
      <c r="E41" s="790"/>
      <c r="F41" s="790"/>
      <c r="G41" s="790"/>
      <c r="H41" s="790"/>
      <c r="I41" s="790"/>
      <c r="J41" s="790"/>
      <c r="K41" s="790"/>
      <c r="L41" s="790"/>
    </row>
    <row r="42" spans="1:31" ht="43.9" customHeight="1" x14ac:dyDescent="0.2">
      <c r="A42" s="805" t="s">
        <v>139</v>
      </c>
      <c r="B42" s="805"/>
      <c r="C42" s="805"/>
      <c r="D42" s="805"/>
      <c r="E42" s="805"/>
      <c r="F42" s="805"/>
      <c r="G42" s="805"/>
      <c r="H42" s="805"/>
      <c r="I42" s="805"/>
      <c r="J42" s="805"/>
      <c r="K42" s="805"/>
      <c r="L42" s="805"/>
      <c r="AE42" s="806" t="str">
        <f>CONCATENATE("Локальная смета: ",IF([87]Source!G20&lt;&gt;"Новая локальная смета", [87]Source!G20, ""))</f>
        <v>Локальная смета: Станционный комплекс "Аминьевское шоссе". Инженерные системы ТПП. Отопление, вентиляция, кондиционирование, дымоудаление.</v>
      </c>
    </row>
    <row r="43" spans="1:31" hidden="1" x14ac:dyDescent="0.2"/>
    <row r="44" spans="1:31" hidden="1" x14ac:dyDescent="0.2">
      <c r="A44" s="805" t="str">
        <f>CONCATENATE("Раздел: ",IF([87]Source!G24&lt;&gt;"Новый раздел", [87]Source!G24, ""))</f>
        <v>Раздел: Отопление</v>
      </c>
      <c r="B44" s="805"/>
      <c r="C44" s="805"/>
      <c r="D44" s="805"/>
      <c r="E44" s="805"/>
      <c r="F44" s="805"/>
      <c r="G44" s="805"/>
      <c r="H44" s="805"/>
      <c r="I44" s="805"/>
      <c r="J44" s="805"/>
      <c r="K44" s="805"/>
      <c r="L44" s="805"/>
    </row>
    <row r="45" spans="1:31" hidden="1" x14ac:dyDescent="0.2"/>
    <row r="46" spans="1:31" hidden="1" x14ac:dyDescent="0.2">
      <c r="A46" s="807" t="str">
        <f>CONCATENATE("Итого по разделу: ",IF([87]Source!G44&lt;&gt;"Новый раздел", [87]Source!G44, ""))</f>
        <v>Итого по разделу: Отопление</v>
      </c>
      <c r="B46" s="807"/>
      <c r="C46" s="807"/>
      <c r="D46" s="807"/>
      <c r="E46" s="807"/>
      <c r="F46" s="807"/>
      <c r="G46" s="807"/>
      <c r="H46" s="807"/>
      <c r="I46" s="808">
        <f>SUM(O44:O45)</f>
        <v>0</v>
      </c>
      <c r="J46" s="809"/>
      <c r="K46" s="808">
        <f>SUM(P44:P45)</f>
        <v>0</v>
      </c>
      <c r="L46" s="809"/>
    </row>
    <row r="47" spans="1:31" hidden="1" x14ac:dyDescent="0.2">
      <c r="A47" s="788" t="s">
        <v>54</v>
      </c>
      <c r="J47" s="788">
        <f>SUM(W44:W46)</f>
        <v>0</v>
      </c>
      <c r="K47" s="788">
        <f>SUM(X44:X46)</f>
        <v>0</v>
      </c>
    </row>
    <row r="48" spans="1:31" hidden="1" x14ac:dyDescent="0.2">
      <c r="A48" s="788" t="s">
        <v>55</v>
      </c>
      <c r="J48" s="788">
        <f>SUM(Y44:Y47)</f>
        <v>0</v>
      </c>
      <c r="K48" s="788">
        <f>SUM(Z44:Z47)</f>
        <v>0</v>
      </c>
    </row>
    <row r="49" spans="1:12" hidden="1" x14ac:dyDescent="0.2"/>
    <row r="50" spans="1:12" hidden="1" x14ac:dyDescent="0.2">
      <c r="A50" s="805" t="str">
        <f>CONCATENATE("Раздел: ",IF([87]Source!G74&lt;&gt;"Новый раздел", [87]Source!G74, ""))</f>
        <v>Раздел: Вентиляция</v>
      </c>
      <c r="B50" s="805"/>
      <c r="C50" s="805"/>
      <c r="D50" s="805"/>
      <c r="E50" s="805"/>
      <c r="F50" s="805"/>
      <c r="G50" s="805"/>
      <c r="H50" s="805"/>
      <c r="I50" s="805"/>
      <c r="J50" s="805"/>
      <c r="K50" s="805"/>
      <c r="L50" s="805"/>
    </row>
    <row r="51" spans="1:12" hidden="1" x14ac:dyDescent="0.2"/>
    <row r="52" spans="1:12" hidden="1" x14ac:dyDescent="0.2">
      <c r="A52" s="805" t="str">
        <f>CONCATENATE("Подраздел: ",IF([87]Source!G78&lt;&gt;"Новый подраздел", [87]Source!G78, ""))</f>
        <v>Подраздел: П2-1</v>
      </c>
      <c r="B52" s="805"/>
      <c r="C52" s="805"/>
      <c r="D52" s="805"/>
      <c r="E52" s="805"/>
      <c r="F52" s="805"/>
      <c r="G52" s="805"/>
      <c r="H52" s="805"/>
      <c r="I52" s="805"/>
      <c r="J52" s="805"/>
      <c r="K52" s="805"/>
      <c r="L52" s="805"/>
    </row>
    <row r="53" spans="1:12" hidden="1" x14ac:dyDescent="0.2"/>
    <row r="54" spans="1:12" hidden="1" x14ac:dyDescent="0.2">
      <c r="A54" s="807" t="str">
        <f>CONCATENATE("Итого по подразделу: ",IF([87]Source!G87&lt;&gt;"Новый подраздел", [87]Source!G87, ""))</f>
        <v>Итого по подразделу: П2-1</v>
      </c>
      <c r="B54" s="807"/>
      <c r="C54" s="807"/>
      <c r="D54" s="807"/>
      <c r="E54" s="807"/>
      <c r="F54" s="807"/>
      <c r="G54" s="807"/>
      <c r="H54" s="807"/>
      <c r="I54" s="808">
        <f>SUM(O52:O53)</f>
        <v>0</v>
      </c>
      <c r="J54" s="809"/>
      <c r="K54" s="808">
        <f>SUM(P52:P53)</f>
        <v>0</v>
      </c>
      <c r="L54" s="809"/>
    </row>
    <row r="55" spans="1:12" hidden="1" x14ac:dyDescent="0.2">
      <c r="A55" s="788" t="s">
        <v>54</v>
      </c>
      <c r="J55" s="788">
        <f>SUM(W52:W54)</f>
        <v>0</v>
      </c>
      <c r="K55" s="788">
        <f>SUM(X52:X54)</f>
        <v>0</v>
      </c>
    </row>
    <row r="56" spans="1:12" hidden="1" x14ac:dyDescent="0.2">
      <c r="A56" s="788" t="s">
        <v>55</v>
      </c>
      <c r="J56" s="788">
        <f>SUM(Y52:Y55)</f>
        <v>0</v>
      </c>
      <c r="K56" s="788">
        <f>SUM(Z52:Z55)</f>
        <v>0</v>
      </c>
    </row>
    <row r="57" spans="1:12" hidden="1" x14ac:dyDescent="0.2"/>
    <row r="58" spans="1:12" hidden="1" x14ac:dyDescent="0.2">
      <c r="A58" s="805" t="str">
        <f>CONCATENATE("Подраздел: ",IF([87]Source!G117&lt;&gt;"Новый подраздел", [87]Source!G117, ""))</f>
        <v>Подраздел: П2-2</v>
      </c>
      <c r="B58" s="805"/>
      <c r="C58" s="805"/>
      <c r="D58" s="805"/>
      <c r="E58" s="805"/>
      <c r="F58" s="805"/>
      <c r="G58" s="805"/>
      <c r="H58" s="805"/>
      <c r="I58" s="805"/>
      <c r="J58" s="805"/>
      <c r="K58" s="805"/>
      <c r="L58" s="805"/>
    </row>
    <row r="59" spans="1:12" hidden="1" x14ac:dyDescent="0.2"/>
    <row r="60" spans="1:12" hidden="1" x14ac:dyDescent="0.2">
      <c r="A60" s="807" t="str">
        <f>CONCATENATE("Итого по подразделу: ",IF([87]Source!G126&lt;&gt;"Новый подраздел", [87]Source!G126, ""))</f>
        <v>Итого по подразделу: П2-2</v>
      </c>
      <c r="B60" s="807"/>
      <c r="C60" s="807"/>
      <c r="D60" s="807"/>
      <c r="E60" s="807"/>
      <c r="F60" s="807"/>
      <c r="G60" s="807"/>
      <c r="H60" s="807"/>
      <c r="I60" s="808">
        <f>SUM(O58:O59)</f>
        <v>0</v>
      </c>
      <c r="J60" s="809"/>
      <c r="K60" s="808">
        <f>SUM(P58:P59)</f>
        <v>0</v>
      </c>
      <c r="L60" s="809"/>
    </row>
    <row r="61" spans="1:12" hidden="1" x14ac:dyDescent="0.2">
      <c r="A61" s="788" t="s">
        <v>54</v>
      </c>
      <c r="J61" s="788">
        <f>SUM(W58:W60)</f>
        <v>0</v>
      </c>
      <c r="K61" s="788">
        <f>SUM(X58:X60)</f>
        <v>0</v>
      </c>
    </row>
    <row r="62" spans="1:12" hidden="1" x14ac:dyDescent="0.2">
      <c r="A62" s="788" t="s">
        <v>55</v>
      </c>
      <c r="J62" s="788">
        <f>SUM(Y58:Y61)</f>
        <v>0</v>
      </c>
      <c r="K62" s="788">
        <f>SUM(Z58:Z61)</f>
        <v>0</v>
      </c>
    </row>
    <row r="63" spans="1:12" ht="18" customHeight="1" x14ac:dyDescent="0.2"/>
    <row r="65" spans="1:22" hidden="1" x14ac:dyDescent="0.2">
      <c r="A65" s="805" t="str">
        <f>CONCATENATE("Подраздел: ",IF([87]Source!G156&lt;&gt;"Новый подраздел", [87]Source!G156, ""))</f>
        <v>Подраздел: П2-3</v>
      </c>
      <c r="B65" s="805"/>
      <c r="C65" s="805"/>
      <c r="D65" s="805"/>
      <c r="E65" s="805"/>
      <c r="F65" s="805"/>
      <c r="G65" s="805"/>
      <c r="H65" s="805"/>
      <c r="I65" s="805"/>
      <c r="J65" s="805"/>
      <c r="K65" s="805"/>
      <c r="L65" s="805"/>
    </row>
    <row r="66" spans="1:22" ht="48" hidden="1" x14ac:dyDescent="0.2">
      <c r="A66" s="810">
        <v>1</v>
      </c>
      <c r="B66" s="810" t="str">
        <f>[87]Source!E160</f>
        <v>11</v>
      </c>
      <c r="C66" s="811" t="s">
        <v>621</v>
      </c>
      <c r="D66" s="811" t="s">
        <v>100</v>
      </c>
      <c r="E66" s="812" t="str">
        <f>[87]Source!H160</f>
        <v>1  ШТ.</v>
      </c>
      <c r="F66" s="813">
        <f>[87]Source!I160</f>
        <v>0</v>
      </c>
      <c r="G66" s="814"/>
      <c r="H66" s="815"/>
      <c r="I66" s="813"/>
      <c r="J66" s="816"/>
      <c r="K66" s="813"/>
      <c r="L66" s="816"/>
      <c r="Q66" s="788">
        <f>[87]Source!X160</f>
        <v>0</v>
      </c>
      <c r="R66" s="788">
        <f>[87]Source!X161</f>
        <v>0</v>
      </c>
      <c r="S66" s="788">
        <f>[87]Source!Y160</f>
        <v>0</v>
      </c>
      <c r="T66" s="788">
        <f>[87]Source!Y161</f>
        <v>0</v>
      </c>
      <c r="U66" s="788">
        <f>ROUND((175/100)*ROUND([87]Source!R160, 2), 2)</f>
        <v>0</v>
      </c>
      <c r="V66" s="788">
        <f>ROUND((157/100)*ROUND([87]Source!R161, 2), 2)</f>
        <v>0</v>
      </c>
    </row>
    <row r="67" spans="1:22" hidden="1" x14ac:dyDescent="0.2">
      <c r="A67" s="810"/>
      <c r="B67" s="810"/>
      <c r="C67" s="811"/>
      <c r="D67" s="811" t="s">
        <v>43</v>
      </c>
      <c r="E67" s="812"/>
      <c r="F67" s="813"/>
      <c r="G67" s="814">
        <f>[87]Source!AO160</f>
        <v>615.5</v>
      </c>
      <c r="H67" s="815" t="str">
        <f>[87]Source!DG160</f>
        <v>)*1,67</v>
      </c>
      <c r="I67" s="813">
        <f>[87]Source!AV161</f>
        <v>1.0669999999999999</v>
      </c>
      <c r="J67" s="816">
        <f>[87]Source!S160</f>
        <v>0</v>
      </c>
      <c r="K67" s="813">
        <f>IF([87]Source!BA161&lt;&gt; 0, [87]Source!BA161, 1)</f>
        <v>24.53</v>
      </c>
      <c r="L67" s="816">
        <f>[87]Source!S161</f>
        <v>0</v>
      </c>
    </row>
    <row r="68" spans="1:22" hidden="1" x14ac:dyDescent="0.2">
      <c r="A68" s="810"/>
      <c r="B68" s="810"/>
      <c r="C68" s="811"/>
      <c r="D68" s="811" t="s">
        <v>44</v>
      </c>
      <c r="E68" s="812"/>
      <c r="F68" s="813"/>
      <c r="G68" s="814">
        <f>[87]Source!AM160</f>
        <v>15.8</v>
      </c>
      <c r="H68" s="815">
        <f>[87]Source!DE160</f>
        <v>0</v>
      </c>
      <c r="I68" s="813">
        <f>[87]Source!AV161</f>
        <v>1.0669999999999999</v>
      </c>
      <c r="J68" s="816">
        <f>[87]Source!Q160-J78</f>
        <v>0</v>
      </c>
      <c r="K68" s="813">
        <f>IF([87]Source!BB161&lt;&gt; 0, [87]Source!BB161, 1)</f>
        <v>7.59</v>
      </c>
      <c r="L68" s="816">
        <f>[87]Source!Q161-L78</f>
        <v>0</v>
      </c>
    </row>
    <row r="69" spans="1:22" hidden="1" x14ac:dyDescent="0.2">
      <c r="A69" s="810"/>
      <c r="B69" s="810"/>
      <c r="C69" s="811"/>
      <c r="D69" s="811" t="s">
        <v>45</v>
      </c>
      <c r="E69" s="812"/>
      <c r="F69" s="813"/>
      <c r="G69" s="814">
        <f>[87]Source!AN160</f>
        <v>1.31</v>
      </c>
      <c r="H69" s="815">
        <f>[87]Source!DE160</f>
        <v>0</v>
      </c>
      <c r="I69" s="813">
        <f>[87]Source!AV161</f>
        <v>1.0669999999999999</v>
      </c>
      <c r="J69" s="817">
        <f>[87]Source!R160-J79</f>
        <v>0</v>
      </c>
      <c r="K69" s="813">
        <f>IF([87]Source!BS161&lt;&gt; 0, [87]Source!BS161, 1)</f>
        <v>24.53</v>
      </c>
      <c r="L69" s="817">
        <f>[87]Source!R161-L79</f>
        <v>0</v>
      </c>
    </row>
    <row r="70" spans="1:22" hidden="1" x14ac:dyDescent="0.2">
      <c r="A70" s="810"/>
      <c r="B70" s="810"/>
      <c r="C70" s="811"/>
      <c r="D70" s="811" t="s">
        <v>46</v>
      </c>
      <c r="E70" s="812"/>
      <c r="F70" s="813"/>
      <c r="G70" s="814">
        <f>[87]Source!AL160</f>
        <v>4.0599999999999996</v>
      </c>
      <c r="H70" s="815">
        <f>[87]Source!DD160</f>
        <v>0</v>
      </c>
      <c r="I70" s="813">
        <f>[87]Source!AW161</f>
        <v>1.028</v>
      </c>
      <c r="J70" s="816">
        <f>[87]Source!P160</f>
        <v>0</v>
      </c>
      <c r="K70" s="813">
        <f>IF([87]Source!BC161&lt;&gt; 0, [87]Source!BC161, 1)</f>
        <v>6.33</v>
      </c>
      <c r="L70" s="816">
        <f>[87]Source!P161</f>
        <v>0</v>
      </c>
    </row>
    <row r="71" spans="1:22" hidden="1" x14ac:dyDescent="0.2">
      <c r="A71" s="810"/>
      <c r="B71" s="810"/>
      <c r="C71" s="811"/>
      <c r="D71" s="811" t="s">
        <v>47</v>
      </c>
      <c r="E71" s="812" t="s">
        <v>48</v>
      </c>
      <c r="F71" s="813">
        <f>[87]Source!DN161</f>
        <v>79</v>
      </c>
      <c r="G71" s="814"/>
      <c r="H71" s="815"/>
      <c r="I71" s="813"/>
      <c r="J71" s="816">
        <f>SUM(Q66:Q70)</f>
        <v>0</v>
      </c>
      <c r="K71" s="813">
        <f>[87]Source!BZ161</f>
        <v>68</v>
      </c>
      <c r="L71" s="816">
        <f>SUM(R66:R70)</f>
        <v>0</v>
      </c>
    </row>
    <row r="72" spans="1:22" hidden="1" x14ac:dyDescent="0.2">
      <c r="A72" s="810"/>
      <c r="B72" s="810"/>
      <c r="C72" s="811"/>
      <c r="D72" s="811" t="s">
        <v>49</v>
      </c>
      <c r="E72" s="812" t="s">
        <v>48</v>
      </c>
      <c r="F72" s="813">
        <f>[87]Source!DO161</f>
        <v>70</v>
      </c>
      <c r="G72" s="814"/>
      <c r="H72" s="815"/>
      <c r="I72" s="813"/>
      <c r="J72" s="816">
        <f>SUM(S66:S71)</f>
        <v>0</v>
      </c>
      <c r="K72" s="813">
        <f>[87]Source!CA161</f>
        <v>43</v>
      </c>
      <c r="L72" s="816">
        <f>SUM(T66:T71)</f>
        <v>0</v>
      </c>
    </row>
    <row r="73" spans="1:22" hidden="1" x14ac:dyDescent="0.2">
      <c r="A73" s="810"/>
      <c r="B73" s="810"/>
      <c r="C73" s="811"/>
      <c r="D73" s="811" t="s">
        <v>50</v>
      </c>
      <c r="E73" s="812" t="s">
        <v>48</v>
      </c>
      <c r="F73" s="813">
        <f>175</f>
        <v>175</v>
      </c>
      <c r="G73" s="814"/>
      <c r="H73" s="815"/>
      <c r="I73" s="813"/>
      <c r="J73" s="816">
        <f>SUM(U66:U72)-J80</f>
        <v>0</v>
      </c>
      <c r="K73" s="813">
        <f>157</f>
        <v>157</v>
      </c>
      <c r="L73" s="816">
        <f>SUM(V66:V72)-L80</f>
        <v>0</v>
      </c>
    </row>
    <row r="74" spans="1:22" hidden="1" x14ac:dyDescent="0.2">
      <c r="A74" s="818"/>
      <c r="B74" s="818"/>
      <c r="C74" s="819"/>
      <c r="D74" s="819" t="s">
        <v>51</v>
      </c>
      <c r="E74" s="820" t="s">
        <v>52</v>
      </c>
      <c r="F74" s="821">
        <f>[87]Source!AQ160</f>
        <v>51.58</v>
      </c>
      <c r="G74" s="822"/>
      <c r="H74" s="823">
        <f>[87]Source!DI160</f>
        <v>0</v>
      </c>
      <c r="I74" s="821">
        <f>[87]Source!AV161</f>
        <v>1.0669999999999999</v>
      </c>
      <c r="J74" s="824">
        <f>[87]Source!U160</f>
        <v>0</v>
      </c>
      <c r="K74" s="821"/>
      <c r="L74" s="824"/>
    </row>
    <row r="75" spans="1:22" hidden="1" x14ac:dyDescent="0.2">
      <c r="D75" s="825" t="s">
        <v>81</v>
      </c>
      <c r="I75" s="808">
        <f>J67+J68+J70+J71+J72+J73</f>
        <v>0</v>
      </c>
      <c r="J75" s="808"/>
      <c r="K75" s="808">
        <f>L67+L68+L70+L71+L72+L73</f>
        <v>0</v>
      </c>
      <c r="L75" s="808"/>
      <c r="O75" s="826">
        <f>J67+J68+J70+J71+J72+J73</f>
        <v>0</v>
      </c>
      <c r="P75" s="826">
        <f>L67+L68+L70+L71+L72+L73</f>
        <v>0</v>
      </c>
    </row>
    <row r="76" spans="1:22" hidden="1" x14ac:dyDescent="0.2"/>
    <row r="77" spans="1:22" ht="48" hidden="1" x14ac:dyDescent="0.2">
      <c r="A77" s="810">
        <v>2</v>
      </c>
      <c r="B77" s="810" t="str">
        <f>CONCATENATE([87]Source!E160, "/1")</f>
        <v>11/1</v>
      </c>
      <c r="C77" s="811" t="s">
        <v>622</v>
      </c>
      <c r="D77" s="811" t="s">
        <v>82</v>
      </c>
      <c r="E77" s="812" t="str">
        <f>[87]Source!H160</f>
        <v>1  ШТ.</v>
      </c>
      <c r="F77" s="813">
        <f>[87]Source!I160</f>
        <v>0</v>
      </c>
      <c r="G77" s="814"/>
      <c r="H77" s="815"/>
      <c r="I77" s="813"/>
      <c r="J77" s="816"/>
      <c r="K77" s="813"/>
      <c r="L77" s="816"/>
    </row>
    <row r="78" spans="1:22" hidden="1" x14ac:dyDescent="0.2">
      <c r="A78" s="810"/>
      <c r="B78" s="810"/>
      <c r="C78" s="811"/>
      <c r="D78" s="811" t="s">
        <v>44</v>
      </c>
      <c r="E78" s="812"/>
      <c r="F78" s="813"/>
      <c r="G78" s="814">
        <f t="shared" ref="G78:L78" si="0">G79</f>
        <v>1.31</v>
      </c>
      <c r="H78" s="827" t="str">
        <f t="shared" si="0"/>
        <v>)*(1.67-1)</v>
      </c>
      <c r="I78" s="813">
        <f t="shared" si="0"/>
        <v>1.0669999999999999</v>
      </c>
      <c r="J78" s="816">
        <f t="shared" si="0"/>
        <v>0</v>
      </c>
      <c r="K78" s="813">
        <f t="shared" si="0"/>
        <v>24.53</v>
      </c>
      <c r="L78" s="816">
        <f t="shared" si="0"/>
        <v>0</v>
      </c>
    </row>
    <row r="79" spans="1:22" hidden="1" x14ac:dyDescent="0.2">
      <c r="A79" s="810"/>
      <c r="B79" s="810"/>
      <c r="C79" s="811"/>
      <c r="D79" s="811" t="s">
        <v>45</v>
      </c>
      <c r="E79" s="812"/>
      <c r="F79" s="813"/>
      <c r="G79" s="814">
        <f>[87]Source!AN160</f>
        <v>1.31</v>
      </c>
      <c r="H79" s="827" t="s">
        <v>53</v>
      </c>
      <c r="I79" s="813">
        <f>[87]Source!AV161</f>
        <v>1.0669999999999999</v>
      </c>
      <c r="J79" s="817">
        <f>ROUND(F66*G79*I79*(1.67-1), 2)</f>
        <v>0</v>
      </c>
      <c r="K79" s="813">
        <f>IF([87]Source!BS161&lt;&gt; 0, [87]Source!BS161, 1)</f>
        <v>24.53</v>
      </c>
      <c r="L79" s="817">
        <f>ROUND(ROUND(F66*G79*I79*(1.67-1), 2)*K79, 2)</f>
        <v>0</v>
      </c>
    </row>
    <row r="80" spans="1:22" hidden="1" x14ac:dyDescent="0.2">
      <c r="A80" s="810"/>
      <c r="B80" s="810"/>
      <c r="C80" s="811"/>
      <c r="D80" s="811" t="s">
        <v>50</v>
      </c>
      <c r="E80" s="812" t="s">
        <v>48</v>
      </c>
      <c r="F80" s="813">
        <f>175</f>
        <v>175</v>
      </c>
      <c r="G80" s="814"/>
      <c r="H80" s="815"/>
      <c r="I80" s="813"/>
      <c r="J80" s="816">
        <f>ROUND(J79*(F80/100), 2)</f>
        <v>0</v>
      </c>
      <c r="K80" s="813">
        <f>157</f>
        <v>157</v>
      </c>
      <c r="L80" s="816">
        <f>ROUND(L79*(K80/100), 2)</f>
        <v>0</v>
      </c>
    </row>
    <row r="81" spans="1:22" hidden="1" x14ac:dyDescent="0.2">
      <c r="A81" s="828"/>
      <c r="B81" s="828"/>
      <c r="C81" s="828"/>
      <c r="D81" s="829" t="s">
        <v>81</v>
      </c>
      <c r="E81" s="828"/>
      <c r="F81" s="828"/>
      <c r="G81" s="828"/>
      <c r="H81" s="828"/>
      <c r="I81" s="830">
        <f>J80+J79</f>
        <v>0</v>
      </c>
      <c r="J81" s="830"/>
      <c r="K81" s="830">
        <f>L80+L79</f>
        <v>0</v>
      </c>
      <c r="L81" s="830"/>
      <c r="O81" s="826">
        <f>I81</f>
        <v>0</v>
      </c>
      <c r="P81" s="826">
        <f>K81</f>
        <v>0</v>
      </c>
    </row>
    <row r="82" spans="1:22" hidden="1" x14ac:dyDescent="0.2"/>
    <row r="83" spans="1:22" s="838" customFormat="1" ht="48" hidden="1" x14ac:dyDescent="0.2">
      <c r="A83" s="831">
        <v>3</v>
      </c>
      <c r="B83" s="831" t="str">
        <f>[87]Source!E162</f>
        <v>12</v>
      </c>
      <c r="C83" s="832" t="str">
        <f>[87]Source!F162</f>
        <v>Согласовать стоимость</v>
      </c>
      <c r="D83" s="832" t="s">
        <v>623</v>
      </c>
      <c r="E83" s="833" t="str">
        <f>[87]Source!H162</f>
        <v>шт.</v>
      </c>
      <c r="F83" s="834">
        <f>[87]Source!I162</f>
        <v>0</v>
      </c>
      <c r="G83" s="835">
        <f>[87]Source!AL162</f>
        <v>87832.77</v>
      </c>
      <c r="H83" s="836" t="str">
        <f>[87]Source!DD162</f>
        <v>=384571,44/4,6*1,03*1,012</v>
      </c>
      <c r="I83" s="834">
        <f>[87]Source!AW163</f>
        <v>1</v>
      </c>
      <c r="J83" s="837">
        <f>[87]Source!P162</f>
        <v>0</v>
      </c>
      <c r="K83" s="834">
        <f>IF([87]Source!BC163&lt;&gt; 0, [87]Source!BC163, 1)</f>
        <v>4.5999999999999996</v>
      </c>
      <c r="L83" s="837">
        <f>[87]Source!P163</f>
        <v>0</v>
      </c>
      <c r="Q83" s="838">
        <f>[87]Source!X162</f>
        <v>0</v>
      </c>
      <c r="R83" s="838">
        <f>[87]Source!X163</f>
        <v>0</v>
      </c>
      <c r="S83" s="838">
        <f>[87]Source!Y162</f>
        <v>0</v>
      </c>
      <c r="T83" s="838">
        <f>[87]Source!Y163</f>
        <v>0</v>
      </c>
      <c r="U83" s="838">
        <f>ROUND((175/100)*ROUND([87]Source!R162, 2), 2)</f>
        <v>0</v>
      </c>
      <c r="V83" s="838">
        <f>ROUND((157/100)*ROUND([87]Source!R163, 2), 2)</f>
        <v>0</v>
      </c>
    </row>
    <row r="84" spans="1:22" s="838" customFormat="1" hidden="1" x14ac:dyDescent="0.2">
      <c r="A84" s="839"/>
      <c r="B84" s="839"/>
      <c r="C84" s="839"/>
      <c r="D84" s="840" t="s">
        <v>81</v>
      </c>
      <c r="E84" s="839"/>
      <c r="F84" s="839"/>
      <c r="G84" s="839"/>
      <c r="H84" s="839"/>
      <c r="I84" s="841">
        <f>J83</f>
        <v>0</v>
      </c>
      <c r="J84" s="841"/>
      <c r="K84" s="841">
        <f>L83</f>
        <v>0</v>
      </c>
      <c r="L84" s="841"/>
      <c r="O84" s="842">
        <f>J83</f>
        <v>0</v>
      </c>
      <c r="P84" s="842">
        <f>L83</f>
        <v>0</v>
      </c>
    </row>
    <row r="85" spans="1:22" hidden="1" x14ac:dyDescent="0.2"/>
    <row r="86" spans="1:22" hidden="1" x14ac:dyDescent="0.2"/>
    <row r="87" spans="1:22" hidden="1" x14ac:dyDescent="0.2">
      <c r="A87" s="807" t="str">
        <f>CONCATENATE("Итого по подразделу: ",IF([87]Source!G165&lt;&gt;"Новый подраздел", [87]Source!G165, ""))</f>
        <v>Итого по подразделу: П2-3</v>
      </c>
      <c r="B87" s="807"/>
      <c r="C87" s="807"/>
      <c r="D87" s="807"/>
      <c r="E87" s="807"/>
      <c r="F87" s="807"/>
      <c r="G87" s="807"/>
      <c r="H87" s="807"/>
      <c r="I87" s="808">
        <f>SUM(O65:O86)</f>
        <v>0</v>
      </c>
      <c r="J87" s="809"/>
      <c r="K87" s="808">
        <f>SUM(P65:P86)</f>
        <v>0</v>
      </c>
      <c r="L87" s="809"/>
    </row>
    <row r="88" spans="1:22" hidden="1" x14ac:dyDescent="0.2">
      <c r="A88" s="788" t="s">
        <v>54</v>
      </c>
      <c r="J88" s="788">
        <f>SUM(W65:W87)</f>
        <v>0</v>
      </c>
      <c r="K88" s="788">
        <f>SUM(X65:X87)</f>
        <v>0</v>
      </c>
    </row>
    <row r="89" spans="1:22" hidden="1" x14ac:dyDescent="0.2">
      <c r="A89" s="788" t="s">
        <v>55</v>
      </c>
      <c r="J89" s="788">
        <f>SUM(Y65:Y88)</f>
        <v>0</v>
      </c>
      <c r="K89" s="788">
        <f>SUM(Z65:Z88)</f>
        <v>0</v>
      </c>
    </row>
    <row r="90" spans="1:22" hidden="1" x14ac:dyDescent="0.2"/>
    <row r="91" spans="1:22" hidden="1" x14ac:dyDescent="0.2">
      <c r="A91" s="805" t="str">
        <f>CONCATENATE("Подраздел: ",IF([87]Source!G195&lt;&gt;"Новый подраздел", [87]Source!G195, ""))</f>
        <v>Подраздел: П2-4</v>
      </c>
      <c r="B91" s="805"/>
      <c r="C91" s="805"/>
      <c r="D91" s="805"/>
      <c r="E91" s="805"/>
      <c r="F91" s="805"/>
      <c r="G91" s="805"/>
      <c r="H91" s="805"/>
      <c r="I91" s="805"/>
      <c r="J91" s="805"/>
      <c r="K91" s="805"/>
      <c r="L91" s="805"/>
    </row>
    <row r="92" spans="1:22" ht="48" hidden="1" x14ac:dyDescent="0.2">
      <c r="A92" s="810">
        <v>4</v>
      </c>
      <c r="B92" s="810" t="str">
        <f>[87]Source!E199</f>
        <v>13</v>
      </c>
      <c r="C92" s="811" t="s">
        <v>621</v>
      </c>
      <c r="D92" s="811" t="s">
        <v>100</v>
      </c>
      <c r="E92" s="812" t="str">
        <f>[87]Source!H199</f>
        <v>1  ШТ.</v>
      </c>
      <c r="F92" s="813">
        <f>[87]Source!I199</f>
        <v>0</v>
      </c>
      <c r="G92" s="814"/>
      <c r="H92" s="815"/>
      <c r="I92" s="813"/>
      <c r="J92" s="816"/>
      <c r="K92" s="813"/>
      <c r="L92" s="816"/>
      <c r="Q92" s="788">
        <f>[87]Source!X199</f>
        <v>0</v>
      </c>
      <c r="R92" s="788">
        <f>[87]Source!X200</f>
        <v>0</v>
      </c>
      <c r="S92" s="788">
        <f>[87]Source!Y199</f>
        <v>0</v>
      </c>
      <c r="T92" s="788">
        <f>[87]Source!Y200</f>
        <v>0</v>
      </c>
      <c r="U92" s="788">
        <f>ROUND((175/100)*ROUND([87]Source!R199, 2), 2)</f>
        <v>0</v>
      </c>
      <c r="V92" s="788">
        <f>ROUND((157/100)*ROUND([87]Source!R200, 2), 2)</f>
        <v>0</v>
      </c>
    </row>
    <row r="93" spans="1:22" hidden="1" x14ac:dyDescent="0.2">
      <c r="A93" s="810"/>
      <c r="B93" s="810"/>
      <c r="C93" s="811"/>
      <c r="D93" s="811" t="s">
        <v>43</v>
      </c>
      <c r="E93" s="812"/>
      <c r="F93" s="813"/>
      <c r="G93" s="814">
        <f>[87]Source!AO199</f>
        <v>615.5</v>
      </c>
      <c r="H93" s="815" t="str">
        <f>[87]Source!DG199</f>
        <v>)*1,67</v>
      </c>
      <c r="I93" s="813">
        <f>[87]Source!AV200</f>
        <v>1.0669999999999999</v>
      </c>
      <c r="J93" s="816">
        <f>[87]Source!S199</f>
        <v>0</v>
      </c>
      <c r="K93" s="813">
        <f>IF([87]Source!BA200&lt;&gt; 0, [87]Source!BA200, 1)</f>
        <v>24.53</v>
      </c>
      <c r="L93" s="816">
        <f>[87]Source!S200</f>
        <v>0</v>
      </c>
    </row>
    <row r="94" spans="1:22" hidden="1" x14ac:dyDescent="0.2">
      <c r="A94" s="810"/>
      <c r="B94" s="810"/>
      <c r="C94" s="811"/>
      <c r="D94" s="811" t="s">
        <v>44</v>
      </c>
      <c r="E94" s="812"/>
      <c r="F94" s="813"/>
      <c r="G94" s="814">
        <f>[87]Source!AM199</f>
        <v>15.8</v>
      </c>
      <c r="H94" s="815">
        <f>[87]Source!DE199</f>
        <v>0</v>
      </c>
      <c r="I94" s="813">
        <f>[87]Source!AV200</f>
        <v>1.0669999999999999</v>
      </c>
      <c r="J94" s="816">
        <f>[87]Source!Q199-J104</f>
        <v>0</v>
      </c>
      <c r="K94" s="813">
        <f>IF([87]Source!BB200&lt;&gt; 0, [87]Source!BB200, 1)</f>
        <v>7.59</v>
      </c>
      <c r="L94" s="816">
        <f>[87]Source!Q200-L104</f>
        <v>0</v>
      </c>
    </row>
    <row r="95" spans="1:22" hidden="1" x14ac:dyDescent="0.2">
      <c r="A95" s="810"/>
      <c r="B95" s="810"/>
      <c r="C95" s="811"/>
      <c r="D95" s="811" t="s">
        <v>45</v>
      </c>
      <c r="E95" s="812"/>
      <c r="F95" s="813"/>
      <c r="G95" s="814">
        <f>[87]Source!AN199</f>
        <v>1.31</v>
      </c>
      <c r="H95" s="815">
        <f>[87]Source!DE199</f>
        <v>0</v>
      </c>
      <c r="I95" s="813">
        <f>[87]Source!AV200</f>
        <v>1.0669999999999999</v>
      </c>
      <c r="J95" s="817">
        <f>[87]Source!R199-J105</f>
        <v>0</v>
      </c>
      <c r="K95" s="813">
        <f>IF([87]Source!BS200&lt;&gt; 0, [87]Source!BS200, 1)</f>
        <v>24.53</v>
      </c>
      <c r="L95" s="817">
        <f>[87]Source!R200-L105</f>
        <v>0</v>
      </c>
    </row>
    <row r="96" spans="1:22" hidden="1" x14ac:dyDescent="0.2">
      <c r="A96" s="810"/>
      <c r="B96" s="810"/>
      <c r="C96" s="811"/>
      <c r="D96" s="811" t="s">
        <v>46</v>
      </c>
      <c r="E96" s="812"/>
      <c r="F96" s="813"/>
      <c r="G96" s="814">
        <f>[87]Source!AL199</f>
        <v>4.0599999999999996</v>
      </c>
      <c r="H96" s="815">
        <f>[87]Source!DD199</f>
        <v>0</v>
      </c>
      <c r="I96" s="813">
        <f>[87]Source!AW200</f>
        <v>1.028</v>
      </c>
      <c r="J96" s="816">
        <f>[87]Source!P199</f>
        <v>0</v>
      </c>
      <c r="K96" s="813">
        <f>IF([87]Source!BC200&lt;&gt; 0, [87]Source!BC200, 1)</f>
        <v>6.33</v>
      </c>
      <c r="L96" s="816">
        <f>[87]Source!P200</f>
        <v>0</v>
      </c>
    </row>
    <row r="97" spans="1:22" hidden="1" x14ac:dyDescent="0.2">
      <c r="A97" s="810"/>
      <c r="B97" s="810"/>
      <c r="C97" s="811"/>
      <c r="D97" s="811" t="s">
        <v>47</v>
      </c>
      <c r="E97" s="812" t="s">
        <v>48</v>
      </c>
      <c r="F97" s="813">
        <f>[87]Source!DN200</f>
        <v>79</v>
      </c>
      <c r="G97" s="814"/>
      <c r="H97" s="815"/>
      <c r="I97" s="813"/>
      <c r="J97" s="816">
        <f>SUM(Q92:Q96)</f>
        <v>0</v>
      </c>
      <c r="K97" s="813">
        <f>[87]Source!BZ200</f>
        <v>68</v>
      </c>
      <c r="L97" s="816">
        <f>SUM(R92:R96)</f>
        <v>0</v>
      </c>
    </row>
    <row r="98" spans="1:22" hidden="1" x14ac:dyDescent="0.2">
      <c r="A98" s="810"/>
      <c r="B98" s="810"/>
      <c r="C98" s="811"/>
      <c r="D98" s="811" t="s">
        <v>49</v>
      </c>
      <c r="E98" s="812" t="s">
        <v>48</v>
      </c>
      <c r="F98" s="813">
        <f>[87]Source!DO200</f>
        <v>70</v>
      </c>
      <c r="G98" s="814"/>
      <c r="H98" s="815"/>
      <c r="I98" s="813"/>
      <c r="J98" s="816">
        <f>SUM(S92:S97)</f>
        <v>0</v>
      </c>
      <c r="K98" s="813">
        <f>[87]Source!CA200</f>
        <v>43</v>
      </c>
      <c r="L98" s="816">
        <f>SUM(T92:T97)</f>
        <v>0</v>
      </c>
    </row>
    <row r="99" spans="1:22" hidden="1" x14ac:dyDescent="0.2">
      <c r="A99" s="810"/>
      <c r="B99" s="810"/>
      <c r="C99" s="811"/>
      <c r="D99" s="811" t="s">
        <v>50</v>
      </c>
      <c r="E99" s="812" t="s">
        <v>48</v>
      </c>
      <c r="F99" s="813">
        <f>175</f>
        <v>175</v>
      </c>
      <c r="G99" s="814"/>
      <c r="H99" s="815"/>
      <c r="I99" s="813"/>
      <c r="J99" s="816">
        <f>SUM(U92:U98)-J106</f>
        <v>0</v>
      </c>
      <c r="K99" s="813">
        <f>157</f>
        <v>157</v>
      </c>
      <c r="L99" s="816">
        <f>SUM(V92:V98)-L106</f>
        <v>0</v>
      </c>
    </row>
    <row r="100" spans="1:22" hidden="1" x14ac:dyDescent="0.2">
      <c r="A100" s="818"/>
      <c r="B100" s="818"/>
      <c r="C100" s="819"/>
      <c r="D100" s="819" t="s">
        <v>51</v>
      </c>
      <c r="E100" s="820" t="s">
        <v>52</v>
      </c>
      <c r="F100" s="821">
        <f>[87]Source!AQ199</f>
        <v>51.58</v>
      </c>
      <c r="G100" s="822"/>
      <c r="H100" s="823">
        <f>[87]Source!DI199</f>
        <v>0</v>
      </c>
      <c r="I100" s="821">
        <f>[87]Source!AV200</f>
        <v>1.0669999999999999</v>
      </c>
      <c r="J100" s="824">
        <f>[87]Source!U199</f>
        <v>0</v>
      </c>
      <c r="K100" s="821"/>
      <c r="L100" s="824"/>
    </row>
    <row r="101" spans="1:22" hidden="1" x14ac:dyDescent="0.2">
      <c r="D101" s="825" t="s">
        <v>81</v>
      </c>
      <c r="I101" s="808">
        <f>J93+J94+J96+J97+J98+J99</f>
        <v>0</v>
      </c>
      <c r="J101" s="808"/>
      <c r="K101" s="808">
        <f>L93+L94+L96+L97+L98+L99</f>
        <v>0</v>
      </c>
      <c r="L101" s="808"/>
      <c r="O101" s="826">
        <f>J93+J94+J96+J97+J98+J99</f>
        <v>0</v>
      </c>
      <c r="P101" s="826">
        <f>L93+L94+L96+L97+L98+L99</f>
        <v>0</v>
      </c>
    </row>
    <row r="102" spans="1:22" hidden="1" x14ac:dyDescent="0.2"/>
    <row r="103" spans="1:22" ht="48" hidden="1" x14ac:dyDescent="0.2">
      <c r="A103" s="810">
        <v>5</v>
      </c>
      <c r="B103" s="810" t="str">
        <f>CONCATENATE([87]Source!E199, "/1")</f>
        <v>13/1</v>
      </c>
      <c r="C103" s="811" t="s">
        <v>622</v>
      </c>
      <c r="D103" s="811" t="s">
        <v>82</v>
      </c>
      <c r="E103" s="812" t="str">
        <f>[87]Source!H199</f>
        <v>1  ШТ.</v>
      </c>
      <c r="F103" s="813">
        <f>[87]Source!I199</f>
        <v>0</v>
      </c>
      <c r="G103" s="814"/>
      <c r="H103" s="815"/>
      <c r="I103" s="813"/>
      <c r="J103" s="816"/>
      <c r="K103" s="813"/>
      <c r="L103" s="816"/>
    </row>
    <row r="104" spans="1:22" hidden="1" x14ac:dyDescent="0.2">
      <c r="A104" s="810"/>
      <c r="B104" s="810"/>
      <c r="C104" s="811"/>
      <c r="D104" s="811" t="s">
        <v>44</v>
      </c>
      <c r="E104" s="812"/>
      <c r="F104" s="813"/>
      <c r="G104" s="814">
        <f t="shared" ref="G104:L104" si="1">G105</f>
        <v>1.31</v>
      </c>
      <c r="H104" s="827" t="str">
        <f t="shared" si="1"/>
        <v>)*(1.67-1)</v>
      </c>
      <c r="I104" s="813">
        <f t="shared" si="1"/>
        <v>1.0669999999999999</v>
      </c>
      <c r="J104" s="816">
        <f t="shared" si="1"/>
        <v>0</v>
      </c>
      <c r="K104" s="813">
        <f t="shared" si="1"/>
        <v>24.53</v>
      </c>
      <c r="L104" s="816">
        <f t="shared" si="1"/>
        <v>0</v>
      </c>
    </row>
    <row r="105" spans="1:22" hidden="1" x14ac:dyDescent="0.2">
      <c r="A105" s="810"/>
      <c r="B105" s="810"/>
      <c r="C105" s="811"/>
      <c r="D105" s="811" t="s">
        <v>45</v>
      </c>
      <c r="E105" s="812"/>
      <c r="F105" s="813"/>
      <c r="G105" s="814">
        <f>[87]Source!AN199</f>
        <v>1.31</v>
      </c>
      <c r="H105" s="827" t="s">
        <v>53</v>
      </c>
      <c r="I105" s="813">
        <f>[87]Source!AV200</f>
        <v>1.0669999999999999</v>
      </c>
      <c r="J105" s="817">
        <f>ROUND(F92*G105*I105*(1.67-1), 2)</f>
        <v>0</v>
      </c>
      <c r="K105" s="813">
        <f>IF([87]Source!BS200&lt;&gt; 0, [87]Source!BS200, 1)</f>
        <v>24.53</v>
      </c>
      <c r="L105" s="817">
        <f>ROUND(ROUND(F92*G105*I105*(1.67-1), 2)*K105, 2)</f>
        <v>0</v>
      </c>
    </row>
    <row r="106" spans="1:22" hidden="1" x14ac:dyDescent="0.2">
      <c r="A106" s="810"/>
      <c r="B106" s="810"/>
      <c r="C106" s="811"/>
      <c r="D106" s="811" t="s">
        <v>50</v>
      </c>
      <c r="E106" s="812" t="s">
        <v>48</v>
      </c>
      <c r="F106" s="813">
        <f>175</f>
        <v>175</v>
      </c>
      <c r="G106" s="814"/>
      <c r="H106" s="815"/>
      <c r="I106" s="813"/>
      <c r="J106" s="816">
        <f>ROUND(J105*(F106/100), 2)</f>
        <v>0</v>
      </c>
      <c r="K106" s="813">
        <f>157</f>
        <v>157</v>
      </c>
      <c r="L106" s="816">
        <f>ROUND(L105*(K106/100), 2)</f>
        <v>0</v>
      </c>
    </row>
    <row r="107" spans="1:22" hidden="1" x14ac:dyDescent="0.2">
      <c r="A107" s="828"/>
      <c r="B107" s="828"/>
      <c r="C107" s="828"/>
      <c r="D107" s="829" t="s">
        <v>81</v>
      </c>
      <c r="E107" s="828"/>
      <c r="F107" s="828"/>
      <c r="G107" s="828"/>
      <c r="H107" s="828"/>
      <c r="I107" s="830">
        <f>J106+J105</f>
        <v>0</v>
      </c>
      <c r="J107" s="830"/>
      <c r="K107" s="830">
        <f>L106+L105</f>
        <v>0</v>
      </c>
      <c r="L107" s="830"/>
      <c r="O107" s="826">
        <f>I107</f>
        <v>0</v>
      </c>
      <c r="P107" s="826">
        <f>K107</f>
        <v>0</v>
      </c>
    </row>
    <row r="108" spans="1:22" hidden="1" x14ac:dyDescent="0.2"/>
    <row r="109" spans="1:22" s="838" customFormat="1" ht="48" hidden="1" x14ac:dyDescent="0.2">
      <c r="A109" s="831">
        <v>6</v>
      </c>
      <c r="B109" s="831" t="str">
        <f>[87]Source!E201</f>
        <v>14</v>
      </c>
      <c r="C109" s="832" t="str">
        <f>[87]Source!F201</f>
        <v>Согласовать стоимость</v>
      </c>
      <c r="D109" s="832" t="s">
        <v>624</v>
      </c>
      <c r="E109" s="833" t="str">
        <f>[87]Source!H201</f>
        <v>шт.</v>
      </c>
      <c r="F109" s="834">
        <f>[87]Source!I201</f>
        <v>0</v>
      </c>
      <c r="G109" s="835">
        <f>[87]Source!AL201</f>
        <v>101745.46</v>
      </c>
      <c r="H109" s="836" t="str">
        <f>[87]Source!DD201</f>
        <v>=445487,47/4,6*1,03*1,012</v>
      </c>
      <c r="I109" s="834">
        <f>[87]Source!AW202</f>
        <v>1</v>
      </c>
      <c r="J109" s="837">
        <f>[87]Source!P201</f>
        <v>0</v>
      </c>
      <c r="K109" s="834">
        <f>IF([87]Source!BC202&lt;&gt; 0, [87]Source!BC202, 1)</f>
        <v>4.5999999999999996</v>
      </c>
      <c r="L109" s="837">
        <f>[87]Source!P202</f>
        <v>0</v>
      </c>
      <c r="Q109" s="838">
        <f>[87]Source!X201</f>
        <v>0</v>
      </c>
      <c r="R109" s="838">
        <f>[87]Source!X202</f>
        <v>0</v>
      </c>
      <c r="S109" s="838">
        <f>[87]Source!Y201</f>
        <v>0</v>
      </c>
      <c r="T109" s="838">
        <f>[87]Source!Y202</f>
        <v>0</v>
      </c>
      <c r="U109" s="838">
        <f>ROUND((175/100)*ROUND([87]Source!R201, 2), 2)</f>
        <v>0</v>
      </c>
      <c r="V109" s="838">
        <f>ROUND((157/100)*ROUND([87]Source!R202, 2), 2)</f>
        <v>0</v>
      </c>
    </row>
    <row r="110" spans="1:22" s="838" customFormat="1" hidden="1" x14ac:dyDescent="0.2">
      <c r="A110" s="839"/>
      <c r="B110" s="839"/>
      <c r="C110" s="839"/>
      <c r="D110" s="840" t="s">
        <v>81</v>
      </c>
      <c r="E110" s="839"/>
      <c r="F110" s="839"/>
      <c r="G110" s="839"/>
      <c r="H110" s="839"/>
      <c r="I110" s="841">
        <f>J109</f>
        <v>0</v>
      </c>
      <c r="J110" s="841"/>
      <c r="K110" s="841">
        <f>L109</f>
        <v>0</v>
      </c>
      <c r="L110" s="841"/>
      <c r="O110" s="842">
        <f>J109</f>
        <v>0</v>
      </c>
      <c r="P110" s="842">
        <f>L109</f>
        <v>0</v>
      </c>
    </row>
    <row r="111" spans="1:22" hidden="1" x14ac:dyDescent="0.2"/>
    <row r="112" spans="1:22" hidden="1" x14ac:dyDescent="0.2"/>
    <row r="113" spans="1:12" hidden="1" x14ac:dyDescent="0.2">
      <c r="A113" s="807" t="str">
        <f>CONCATENATE("Итого по подразделу: ",IF([87]Source!G204&lt;&gt;"Новый подраздел", [87]Source!G204, ""))</f>
        <v>Итого по подразделу: П2-4</v>
      </c>
      <c r="B113" s="807"/>
      <c r="C113" s="807"/>
      <c r="D113" s="807"/>
      <c r="E113" s="807"/>
      <c r="F113" s="807"/>
      <c r="G113" s="807"/>
      <c r="H113" s="807"/>
      <c r="I113" s="808">
        <f>SUM(O91:O112)</f>
        <v>0</v>
      </c>
      <c r="J113" s="809"/>
      <c r="K113" s="808">
        <f>SUM(P91:P112)</f>
        <v>0</v>
      </c>
      <c r="L113" s="809"/>
    </row>
    <row r="114" spans="1:12" hidden="1" x14ac:dyDescent="0.2">
      <c r="A114" s="788" t="s">
        <v>54</v>
      </c>
      <c r="J114" s="788">
        <f>SUM(W91:W113)</f>
        <v>0</v>
      </c>
      <c r="K114" s="788">
        <f>SUM(X91:X113)</f>
        <v>0</v>
      </c>
    </row>
    <row r="115" spans="1:12" hidden="1" x14ac:dyDescent="0.2">
      <c r="A115" s="788" t="s">
        <v>55</v>
      </c>
      <c r="J115" s="788">
        <f>SUM(Y91:Y114)</f>
        <v>0</v>
      </c>
      <c r="K115" s="788">
        <f>SUM(Z91:Z114)</f>
        <v>0</v>
      </c>
    </row>
    <row r="116" spans="1:12" hidden="1" x14ac:dyDescent="0.2"/>
    <row r="117" spans="1:12" hidden="1" x14ac:dyDescent="0.2">
      <c r="A117" s="805" t="str">
        <f>CONCATENATE("Подраздел: ",IF([87]Source!G234&lt;&gt;"Новый подраздел", [87]Source!G234, ""))</f>
        <v>Подраздел: П2-5</v>
      </c>
      <c r="B117" s="805"/>
      <c r="C117" s="805"/>
      <c r="D117" s="805"/>
      <c r="E117" s="805"/>
      <c r="F117" s="805"/>
      <c r="G117" s="805"/>
      <c r="H117" s="805"/>
      <c r="I117" s="805"/>
      <c r="J117" s="805"/>
      <c r="K117" s="805"/>
      <c r="L117" s="805"/>
    </row>
    <row r="118" spans="1:12" hidden="1" x14ac:dyDescent="0.2"/>
    <row r="119" spans="1:12" hidden="1" x14ac:dyDescent="0.2">
      <c r="A119" s="807" t="str">
        <f>CONCATENATE("Итого по подразделу: ",IF([87]Source!G243&lt;&gt;"Новый подраздел", [87]Source!G243, ""))</f>
        <v>Итого по подразделу: П2-5</v>
      </c>
      <c r="B119" s="807"/>
      <c r="C119" s="807"/>
      <c r="D119" s="807"/>
      <c r="E119" s="807"/>
      <c r="F119" s="807"/>
      <c r="G119" s="807"/>
      <c r="H119" s="807"/>
      <c r="I119" s="808">
        <f>SUM(O117:O118)</f>
        <v>0</v>
      </c>
      <c r="J119" s="809"/>
      <c r="K119" s="808">
        <f>SUM(P117:P118)</f>
        <v>0</v>
      </c>
      <c r="L119" s="809"/>
    </row>
    <row r="120" spans="1:12" hidden="1" x14ac:dyDescent="0.2">
      <c r="A120" s="788" t="s">
        <v>54</v>
      </c>
      <c r="J120" s="788">
        <f>SUM(W117:W119)</f>
        <v>0</v>
      </c>
      <c r="K120" s="788">
        <f>SUM(X117:X119)</f>
        <v>0</v>
      </c>
    </row>
    <row r="121" spans="1:12" hidden="1" x14ac:dyDescent="0.2">
      <c r="A121" s="788" t="s">
        <v>55</v>
      </c>
      <c r="J121" s="788">
        <f>SUM(Y117:Y120)</f>
        <v>0</v>
      </c>
      <c r="K121" s="788">
        <f>SUM(Z117:Z120)</f>
        <v>0</v>
      </c>
    </row>
    <row r="122" spans="1:12" hidden="1" x14ac:dyDescent="0.2"/>
    <row r="123" spans="1:12" hidden="1" x14ac:dyDescent="0.2">
      <c r="A123" s="805" t="str">
        <f>CONCATENATE("Подраздел: ",IF([87]Source!G273&lt;&gt;"Новый подраздел", [87]Source!G273, ""))</f>
        <v>Подраздел: П2-5 (ВОР лист 4 п.6)</v>
      </c>
      <c r="B123" s="805"/>
      <c r="C123" s="805"/>
      <c r="D123" s="805"/>
      <c r="E123" s="805"/>
      <c r="F123" s="805"/>
      <c r="G123" s="805"/>
      <c r="H123" s="805"/>
      <c r="I123" s="805"/>
      <c r="J123" s="805"/>
      <c r="K123" s="805"/>
      <c r="L123" s="805"/>
    </row>
    <row r="124" spans="1:12" hidden="1" x14ac:dyDescent="0.2"/>
    <row r="125" spans="1:12" hidden="1" x14ac:dyDescent="0.2">
      <c r="A125" s="807" t="str">
        <f>CONCATENATE("Итого по подразделу: ",IF([87]Source!G282&lt;&gt;"Новый подраздел", [87]Source!G282, ""))</f>
        <v>Итого по подразделу: П2-5 (ВОР лист 4 п.6)</v>
      </c>
      <c r="B125" s="807"/>
      <c r="C125" s="807"/>
      <c r="D125" s="807"/>
      <c r="E125" s="807"/>
      <c r="F125" s="807"/>
      <c r="G125" s="807"/>
      <c r="H125" s="807"/>
      <c r="I125" s="808">
        <f>SUM(O123:O124)</f>
        <v>0</v>
      </c>
      <c r="J125" s="809"/>
      <c r="K125" s="808">
        <f>SUM(P123:P124)</f>
        <v>0</v>
      </c>
      <c r="L125" s="809"/>
    </row>
    <row r="126" spans="1:12" hidden="1" x14ac:dyDescent="0.2">
      <c r="A126" s="788" t="s">
        <v>54</v>
      </c>
      <c r="J126" s="788">
        <f>SUM(W123:W125)</f>
        <v>0</v>
      </c>
      <c r="K126" s="788">
        <f>SUM(X123:X125)</f>
        <v>0</v>
      </c>
    </row>
    <row r="127" spans="1:12" hidden="1" x14ac:dyDescent="0.2">
      <c r="A127" s="788" t="s">
        <v>55</v>
      </c>
      <c r="J127" s="788">
        <f>SUM(Y123:Y126)</f>
        <v>0</v>
      </c>
      <c r="K127" s="788">
        <f>SUM(Z123:Z126)</f>
        <v>0</v>
      </c>
    </row>
    <row r="128" spans="1:12" hidden="1" x14ac:dyDescent="0.2"/>
    <row r="129" spans="1:12" hidden="1" x14ac:dyDescent="0.2">
      <c r="A129" s="805" t="str">
        <f>CONCATENATE("Подраздел: ",IF([87]Source!G312&lt;&gt;"Новый подраздел", [87]Source!G312, ""))</f>
        <v>Подраздел: П2-6, П2-6р</v>
      </c>
      <c r="B129" s="805"/>
      <c r="C129" s="805"/>
      <c r="D129" s="805"/>
      <c r="E129" s="805"/>
      <c r="F129" s="805"/>
      <c r="G129" s="805"/>
      <c r="H129" s="805"/>
      <c r="I129" s="805"/>
      <c r="J129" s="805"/>
      <c r="K129" s="805"/>
      <c r="L129" s="805"/>
    </row>
    <row r="130" spans="1:12" hidden="1" x14ac:dyDescent="0.2"/>
    <row r="131" spans="1:12" hidden="1" x14ac:dyDescent="0.2">
      <c r="A131" s="807" t="str">
        <f>CONCATENATE("Итого по подразделу: ",IF([87]Source!G321&lt;&gt;"Новый подраздел", [87]Source!G321, ""))</f>
        <v>Итого по подразделу: П2-6, П2-6р</v>
      </c>
      <c r="B131" s="807"/>
      <c r="C131" s="807"/>
      <c r="D131" s="807"/>
      <c r="E131" s="807"/>
      <c r="F131" s="807"/>
      <c r="G131" s="807"/>
      <c r="H131" s="807"/>
      <c r="I131" s="808">
        <f>SUM(O129:O130)</f>
        <v>0</v>
      </c>
      <c r="J131" s="809"/>
      <c r="K131" s="808">
        <f>SUM(P129:P130)</f>
        <v>0</v>
      </c>
      <c r="L131" s="809"/>
    </row>
    <row r="132" spans="1:12" hidden="1" x14ac:dyDescent="0.2">
      <c r="A132" s="788" t="s">
        <v>54</v>
      </c>
      <c r="J132" s="788">
        <f>SUM(W129:W131)</f>
        <v>0</v>
      </c>
      <c r="K132" s="788">
        <f>SUM(X129:X131)</f>
        <v>0</v>
      </c>
    </row>
    <row r="133" spans="1:12" hidden="1" x14ac:dyDescent="0.2">
      <c r="A133" s="788" t="s">
        <v>55</v>
      </c>
      <c r="J133" s="788">
        <f>SUM(Y129:Y132)</f>
        <v>0</v>
      </c>
      <c r="K133" s="788">
        <f>SUM(Z129:Z132)</f>
        <v>0</v>
      </c>
    </row>
    <row r="134" spans="1:12" hidden="1" x14ac:dyDescent="0.2"/>
    <row r="135" spans="1:12" hidden="1" x14ac:dyDescent="0.2">
      <c r="A135" s="805" t="str">
        <f>CONCATENATE("Подраздел: ",IF([87]Source!G351&lt;&gt;"Новый подраздел", [87]Source!G351, ""))</f>
        <v>Подраздел: П2-6.1, П2-6.1р</v>
      </c>
      <c r="B135" s="805"/>
      <c r="C135" s="805"/>
      <c r="D135" s="805"/>
      <c r="E135" s="805"/>
      <c r="F135" s="805"/>
      <c r="G135" s="805"/>
      <c r="H135" s="805"/>
      <c r="I135" s="805"/>
      <c r="J135" s="805"/>
      <c r="K135" s="805"/>
      <c r="L135" s="805"/>
    </row>
    <row r="136" spans="1:12" hidden="1" x14ac:dyDescent="0.2"/>
    <row r="137" spans="1:12" hidden="1" x14ac:dyDescent="0.2">
      <c r="A137" s="807" t="str">
        <f>CONCATENATE("Итого по подразделу: ",IF([87]Source!G360&lt;&gt;"Новый подраздел", [87]Source!G360, ""))</f>
        <v>Итого по подразделу: П2-6.1, П2-6.1р</v>
      </c>
      <c r="B137" s="807"/>
      <c r="C137" s="807"/>
      <c r="D137" s="807"/>
      <c r="E137" s="807"/>
      <c r="F137" s="807"/>
      <c r="G137" s="807"/>
      <c r="H137" s="807"/>
      <c r="I137" s="808">
        <f>SUM(O135:O136)</f>
        <v>0</v>
      </c>
      <c r="J137" s="809"/>
      <c r="K137" s="808">
        <f>SUM(P135:P136)</f>
        <v>0</v>
      </c>
      <c r="L137" s="809"/>
    </row>
    <row r="138" spans="1:12" hidden="1" x14ac:dyDescent="0.2">
      <c r="A138" s="788" t="s">
        <v>54</v>
      </c>
      <c r="J138" s="788">
        <f>SUM(W135:W137)</f>
        <v>0</v>
      </c>
      <c r="K138" s="788">
        <f>SUM(X135:X137)</f>
        <v>0</v>
      </c>
    </row>
    <row r="139" spans="1:12" hidden="1" x14ac:dyDescent="0.2">
      <c r="A139" s="788" t="s">
        <v>55</v>
      </c>
      <c r="J139" s="788">
        <f>SUM(Y135:Y138)</f>
        <v>0</v>
      </c>
      <c r="K139" s="788">
        <f>SUM(Z135:Z138)</f>
        <v>0</v>
      </c>
    </row>
    <row r="140" spans="1:12" hidden="1" x14ac:dyDescent="0.2"/>
    <row r="141" spans="1:12" hidden="1" x14ac:dyDescent="0.2">
      <c r="A141" s="805" t="str">
        <f>CONCATENATE("Подраздел: ",IF([87]Source!G390&lt;&gt;"Новый подраздел", [87]Source!G390, ""))</f>
        <v>Подраздел: П2-7</v>
      </c>
      <c r="B141" s="805"/>
      <c r="C141" s="805"/>
      <c r="D141" s="805"/>
      <c r="E141" s="805"/>
      <c r="F141" s="805"/>
      <c r="G141" s="805"/>
      <c r="H141" s="805"/>
      <c r="I141" s="805"/>
      <c r="J141" s="805"/>
      <c r="K141" s="805"/>
      <c r="L141" s="805"/>
    </row>
    <row r="142" spans="1:12" hidden="1" x14ac:dyDescent="0.2"/>
    <row r="143" spans="1:12" hidden="1" x14ac:dyDescent="0.2">
      <c r="A143" s="807" t="str">
        <f>CONCATENATE("Итого по подразделу: ",IF([87]Source!G399&lt;&gt;"Новый подраздел", [87]Source!G399, ""))</f>
        <v>Итого по подразделу: П2-7</v>
      </c>
      <c r="B143" s="807"/>
      <c r="C143" s="807"/>
      <c r="D143" s="807"/>
      <c r="E143" s="807"/>
      <c r="F143" s="807"/>
      <c r="G143" s="807"/>
      <c r="H143" s="807"/>
      <c r="I143" s="808">
        <f>SUM(O141:O142)</f>
        <v>0</v>
      </c>
      <c r="J143" s="809"/>
      <c r="K143" s="808">
        <f>SUM(P141:P142)</f>
        <v>0</v>
      </c>
      <c r="L143" s="809"/>
    </row>
    <row r="144" spans="1:12" hidden="1" x14ac:dyDescent="0.2">
      <c r="A144" s="788" t="s">
        <v>54</v>
      </c>
      <c r="J144" s="788">
        <f>SUM(W141:W143)</f>
        <v>0</v>
      </c>
      <c r="K144" s="788">
        <f>SUM(X141:X143)</f>
        <v>0</v>
      </c>
    </row>
    <row r="145" spans="1:12" hidden="1" x14ac:dyDescent="0.2">
      <c r="A145" s="788" t="s">
        <v>55</v>
      </c>
      <c r="J145" s="788">
        <f>SUM(Y141:Y144)</f>
        <v>0</v>
      </c>
      <c r="K145" s="788">
        <f>SUM(Z141:Z144)</f>
        <v>0</v>
      </c>
    </row>
    <row r="146" spans="1:12" hidden="1" x14ac:dyDescent="0.2"/>
    <row r="147" spans="1:12" hidden="1" x14ac:dyDescent="0.2">
      <c r="A147" s="805" t="str">
        <f>CONCATENATE("Подраздел: ",IF([87]Source!G429&lt;&gt;"Новый подраздел", [87]Source!G429, ""))</f>
        <v>Подраздел: П2-8</v>
      </c>
      <c r="B147" s="805"/>
      <c r="C147" s="805"/>
      <c r="D147" s="805"/>
      <c r="E147" s="805"/>
      <c r="F147" s="805"/>
      <c r="G147" s="805"/>
      <c r="H147" s="805"/>
      <c r="I147" s="805"/>
      <c r="J147" s="805"/>
      <c r="K147" s="805"/>
      <c r="L147" s="805"/>
    </row>
    <row r="148" spans="1:12" hidden="1" x14ac:dyDescent="0.2"/>
    <row r="149" spans="1:12" hidden="1" x14ac:dyDescent="0.2">
      <c r="A149" s="807" t="str">
        <f>CONCATENATE("Итого по подразделу: ",IF([87]Source!G458&lt;&gt;"Новый подраздел", [87]Source!G458, ""))</f>
        <v>Итого по подразделу: П2-8</v>
      </c>
      <c r="B149" s="807"/>
      <c r="C149" s="807"/>
      <c r="D149" s="807"/>
      <c r="E149" s="807"/>
      <c r="F149" s="807"/>
      <c r="G149" s="807"/>
      <c r="H149" s="807"/>
      <c r="I149" s="808">
        <f>SUM(O147:O148)</f>
        <v>0</v>
      </c>
      <c r="J149" s="809"/>
      <c r="K149" s="808">
        <f>SUM(P147:P148)</f>
        <v>0</v>
      </c>
      <c r="L149" s="809"/>
    </row>
    <row r="150" spans="1:12" hidden="1" x14ac:dyDescent="0.2">
      <c r="A150" s="788" t="s">
        <v>54</v>
      </c>
      <c r="J150" s="788">
        <f>SUM(W147:W149)</f>
        <v>0</v>
      </c>
      <c r="K150" s="788">
        <f>SUM(X147:X149)</f>
        <v>0</v>
      </c>
    </row>
    <row r="151" spans="1:12" hidden="1" x14ac:dyDescent="0.2">
      <c r="A151" s="788" t="s">
        <v>55</v>
      </c>
      <c r="J151" s="788">
        <f>SUM(Y147:Y150)</f>
        <v>0</v>
      </c>
      <c r="K151" s="788">
        <f>SUM(Z147:Z150)</f>
        <v>0</v>
      </c>
    </row>
    <row r="152" spans="1:12" hidden="1" x14ac:dyDescent="0.2"/>
    <row r="153" spans="1:12" hidden="1" x14ac:dyDescent="0.2">
      <c r="A153" s="805" t="str">
        <f>CONCATENATE("Подраздел: ",IF([87]Source!G488&lt;&gt;"Новый подраздел", [87]Source!G488, ""))</f>
        <v>Подраздел: П2-12</v>
      </c>
      <c r="B153" s="805"/>
      <c r="C153" s="805"/>
      <c r="D153" s="805"/>
      <c r="E153" s="805"/>
      <c r="F153" s="805"/>
      <c r="G153" s="805"/>
      <c r="H153" s="805"/>
      <c r="I153" s="805"/>
      <c r="J153" s="805"/>
      <c r="K153" s="805"/>
      <c r="L153" s="805"/>
    </row>
    <row r="154" spans="1:12" hidden="1" x14ac:dyDescent="0.2"/>
    <row r="155" spans="1:12" hidden="1" x14ac:dyDescent="0.2">
      <c r="A155" s="807" t="str">
        <f>CONCATENATE("Итого по подразделу: ",IF([87]Source!G497&lt;&gt;"Новый подраздел", [87]Source!G497, ""))</f>
        <v>Итого по подразделу: П2-12</v>
      </c>
      <c r="B155" s="807"/>
      <c r="C155" s="807"/>
      <c r="D155" s="807"/>
      <c r="E155" s="807"/>
      <c r="F155" s="807"/>
      <c r="G155" s="807"/>
      <c r="H155" s="807"/>
      <c r="I155" s="808">
        <f>SUM(O153:O154)</f>
        <v>0</v>
      </c>
      <c r="J155" s="809"/>
      <c r="K155" s="808">
        <f>SUM(P153:P154)</f>
        <v>0</v>
      </c>
      <c r="L155" s="809"/>
    </row>
    <row r="156" spans="1:12" hidden="1" x14ac:dyDescent="0.2">
      <c r="A156" s="788" t="s">
        <v>54</v>
      </c>
      <c r="J156" s="788">
        <f>SUM(W153:W155)</f>
        <v>0</v>
      </c>
      <c r="K156" s="788">
        <f>SUM(X153:X155)</f>
        <v>0</v>
      </c>
    </row>
    <row r="157" spans="1:12" hidden="1" x14ac:dyDescent="0.2">
      <c r="A157" s="788" t="s">
        <v>55</v>
      </c>
      <c r="J157" s="788">
        <f>SUM(Y153:Y156)</f>
        <v>0</v>
      </c>
      <c r="K157" s="788">
        <f>SUM(Z153:Z156)</f>
        <v>0</v>
      </c>
    </row>
    <row r="158" spans="1:12" hidden="1" x14ac:dyDescent="0.2"/>
    <row r="159" spans="1:12" hidden="1" x14ac:dyDescent="0.2">
      <c r="A159" s="805" t="str">
        <f>CONCATENATE("Подраздел: ",IF([87]Source!G527&lt;&gt;"Новый подраздел", [87]Source!G527, ""))</f>
        <v>Подраздел: В2-1</v>
      </c>
      <c r="B159" s="805"/>
      <c r="C159" s="805"/>
      <c r="D159" s="805"/>
      <c r="E159" s="805"/>
      <c r="F159" s="805"/>
      <c r="G159" s="805"/>
      <c r="H159" s="805"/>
      <c r="I159" s="805"/>
      <c r="J159" s="805"/>
      <c r="K159" s="805"/>
      <c r="L159" s="805"/>
    </row>
    <row r="160" spans="1:12" hidden="1" x14ac:dyDescent="0.2"/>
    <row r="161" spans="1:22" hidden="1" x14ac:dyDescent="0.2">
      <c r="A161" s="807" t="str">
        <f>CONCATENATE("Итого по подразделу: ",IF([87]Source!G536&lt;&gt;"Новый подраздел", [87]Source!G536, ""))</f>
        <v>Итого по подразделу: В2-1</v>
      </c>
      <c r="B161" s="807"/>
      <c r="C161" s="807"/>
      <c r="D161" s="807"/>
      <c r="E161" s="807"/>
      <c r="F161" s="807"/>
      <c r="G161" s="807"/>
      <c r="H161" s="807"/>
      <c r="I161" s="808">
        <f>SUM(O159:O160)</f>
        <v>0</v>
      </c>
      <c r="J161" s="809"/>
      <c r="K161" s="808">
        <f>SUM(P159:P160)</f>
        <v>0</v>
      </c>
      <c r="L161" s="809"/>
    </row>
    <row r="162" spans="1:22" hidden="1" x14ac:dyDescent="0.2">
      <c r="A162" s="788" t="s">
        <v>54</v>
      </c>
      <c r="J162" s="788">
        <f>SUM(W159:W161)</f>
        <v>0</v>
      </c>
      <c r="K162" s="788">
        <f>SUM(X159:X161)</f>
        <v>0</v>
      </c>
    </row>
    <row r="163" spans="1:22" hidden="1" x14ac:dyDescent="0.2">
      <c r="A163" s="788" t="s">
        <v>55</v>
      </c>
      <c r="J163" s="788">
        <f>SUM(Y159:Y162)</f>
        <v>0</v>
      </c>
      <c r="K163" s="788">
        <f>SUM(Z159:Z162)</f>
        <v>0</v>
      </c>
    </row>
    <row r="164" spans="1:22" hidden="1" x14ac:dyDescent="0.2"/>
    <row r="165" spans="1:22" hidden="1" x14ac:dyDescent="0.2">
      <c r="A165" s="805" t="str">
        <f>CONCATENATE("Подраздел: ",IF([87]Source!G566&lt;&gt;"Новый подраздел", [87]Source!G566, ""))</f>
        <v>Подраздел: В2-2</v>
      </c>
      <c r="B165" s="805"/>
      <c r="C165" s="805"/>
      <c r="D165" s="805"/>
      <c r="E165" s="805"/>
      <c r="F165" s="805"/>
      <c r="G165" s="805"/>
      <c r="H165" s="805"/>
      <c r="I165" s="805"/>
      <c r="J165" s="805"/>
      <c r="K165" s="805"/>
      <c r="L165" s="805"/>
    </row>
    <row r="166" spans="1:22" hidden="1" x14ac:dyDescent="0.2"/>
    <row r="167" spans="1:22" hidden="1" x14ac:dyDescent="0.2">
      <c r="A167" s="807" t="str">
        <f>CONCATENATE("Итого по подразделу: ",IF([87]Source!G575&lt;&gt;"Новый подраздел", [87]Source!G575, ""))</f>
        <v>Итого по подразделу: В2-2</v>
      </c>
      <c r="B167" s="807"/>
      <c r="C167" s="807"/>
      <c r="D167" s="807"/>
      <c r="E167" s="807"/>
      <c r="F167" s="807"/>
      <c r="G167" s="807"/>
      <c r="H167" s="807"/>
      <c r="I167" s="808">
        <f>SUM(O165:O166)</f>
        <v>0</v>
      </c>
      <c r="J167" s="809"/>
      <c r="K167" s="808">
        <f>SUM(P165:P166)</f>
        <v>0</v>
      </c>
      <c r="L167" s="809"/>
    </row>
    <row r="168" spans="1:22" hidden="1" x14ac:dyDescent="0.2">
      <c r="A168" s="788" t="s">
        <v>54</v>
      </c>
      <c r="J168" s="788">
        <f>SUM(W165:W167)</f>
        <v>0</v>
      </c>
      <c r="K168" s="788">
        <f>SUM(X165:X167)</f>
        <v>0</v>
      </c>
    </row>
    <row r="169" spans="1:22" hidden="1" x14ac:dyDescent="0.2">
      <c r="A169" s="788" t="s">
        <v>55</v>
      </c>
      <c r="J169" s="788">
        <f>SUM(Y165:Y168)</f>
        <v>0</v>
      </c>
      <c r="K169" s="788">
        <f>SUM(Z165:Z168)</f>
        <v>0</v>
      </c>
    </row>
    <row r="170" spans="1:22" hidden="1" x14ac:dyDescent="0.2"/>
    <row r="171" spans="1:22" hidden="1" x14ac:dyDescent="0.2">
      <c r="A171" s="805" t="str">
        <f>CONCATENATE("Подраздел: ",IF([87]Source!G605&lt;&gt;"Новый подраздел", [87]Source!G605, ""))</f>
        <v>Подраздел: В2-3</v>
      </c>
      <c r="B171" s="805"/>
      <c r="C171" s="805"/>
      <c r="D171" s="805"/>
      <c r="E171" s="805"/>
      <c r="F171" s="805"/>
      <c r="G171" s="805"/>
      <c r="H171" s="805"/>
      <c r="I171" s="805"/>
      <c r="J171" s="805"/>
      <c r="K171" s="805"/>
      <c r="L171" s="805"/>
    </row>
    <row r="172" spans="1:22" ht="48" hidden="1" x14ac:dyDescent="0.2">
      <c r="A172" s="810">
        <v>7</v>
      </c>
      <c r="B172" s="810" t="str">
        <f>[87]Source!E609</f>
        <v>39</v>
      </c>
      <c r="C172" s="811" t="s">
        <v>621</v>
      </c>
      <c r="D172" s="811" t="s">
        <v>100</v>
      </c>
      <c r="E172" s="812" t="str">
        <f>[87]Source!H609</f>
        <v>1  ШТ.</v>
      </c>
      <c r="F172" s="813">
        <f>[87]Source!I609</f>
        <v>0</v>
      </c>
      <c r="G172" s="814"/>
      <c r="H172" s="815"/>
      <c r="I172" s="813"/>
      <c r="J172" s="816"/>
      <c r="K172" s="813"/>
      <c r="L172" s="816"/>
      <c r="Q172" s="788">
        <f>[87]Source!X609</f>
        <v>0</v>
      </c>
      <c r="R172" s="788">
        <f>[87]Source!X610</f>
        <v>0</v>
      </c>
      <c r="S172" s="788">
        <f>[87]Source!Y609</f>
        <v>0</v>
      </c>
      <c r="T172" s="788">
        <f>[87]Source!Y610</f>
        <v>0</v>
      </c>
      <c r="U172" s="788">
        <f>ROUND((175/100)*ROUND([87]Source!R609, 2), 2)</f>
        <v>0</v>
      </c>
      <c r="V172" s="788">
        <f>ROUND((157/100)*ROUND([87]Source!R610, 2), 2)</f>
        <v>0</v>
      </c>
    </row>
    <row r="173" spans="1:22" hidden="1" x14ac:dyDescent="0.2">
      <c r="A173" s="810"/>
      <c r="B173" s="810"/>
      <c r="C173" s="811"/>
      <c r="D173" s="811" t="s">
        <v>43</v>
      </c>
      <c r="E173" s="812"/>
      <c r="F173" s="813"/>
      <c r="G173" s="814">
        <f>[87]Source!AO609</f>
        <v>615.5</v>
      </c>
      <c r="H173" s="815" t="str">
        <f>[87]Source!DG609</f>
        <v>)*1,67</v>
      </c>
      <c r="I173" s="813">
        <f>[87]Source!AV610</f>
        <v>1.0669999999999999</v>
      </c>
      <c r="J173" s="816">
        <f>[87]Source!S609</f>
        <v>0</v>
      </c>
      <c r="K173" s="813">
        <f>IF([87]Source!BA610&lt;&gt; 0, [87]Source!BA610, 1)</f>
        <v>24.53</v>
      </c>
      <c r="L173" s="816">
        <f>[87]Source!S610</f>
        <v>0</v>
      </c>
    </row>
    <row r="174" spans="1:22" hidden="1" x14ac:dyDescent="0.2">
      <c r="A174" s="810"/>
      <c r="B174" s="810"/>
      <c r="C174" s="811"/>
      <c r="D174" s="811" t="s">
        <v>44</v>
      </c>
      <c r="E174" s="812"/>
      <c r="F174" s="813"/>
      <c r="G174" s="814">
        <f>[87]Source!AM609</f>
        <v>15.8</v>
      </c>
      <c r="H174" s="815">
        <f>[87]Source!DE609</f>
        <v>0</v>
      </c>
      <c r="I174" s="813">
        <f>[87]Source!AV610</f>
        <v>1.0669999999999999</v>
      </c>
      <c r="J174" s="816">
        <f>[87]Source!Q609-J184</f>
        <v>0</v>
      </c>
      <c r="K174" s="813">
        <f>IF([87]Source!BB610&lt;&gt; 0, [87]Source!BB610, 1)</f>
        <v>7.59</v>
      </c>
      <c r="L174" s="816">
        <f>[87]Source!Q610-L184</f>
        <v>0</v>
      </c>
    </row>
    <row r="175" spans="1:22" hidden="1" x14ac:dyDescent="0.2">
      <c r="A175" s="810"/>
      <c r="B175" s="810"/>
      <c r="C175" s="811"/>
      <c r="D175" s="811" t="s">
        <v>45</v>
      </c>
      <c r="E175" s="812"/>
      <c r="F175" s="813"/>
      <c r="G175" s="814">
        <f>[87]Source!AN609</f>
        <v>1.31</v>
      </c>
      <c r="H175" s="815">
        <f>[87]Source!DE609</f>
        <v>0</v>
      </c>
      <c r="I175" s="813">
        <f>[87]Source!AV610</f>
        <v>1.0669999999999999</v>
      </c>
      <c r="J175" s="817">
        <f>[87]Source!R609-J185</f>
        <v>0</v>
      </c>
      <c r="K175" s="813">
        <f>IF([87]Source!BS610&lt;&gt; 0, [87]Source!BS610, 1)</f>
        <v>24.53</v>
      </c>
      <c r="L175" s="817">
        <f>[87]Source!R610-L185</f>
        <v>0</v>
      </c>
    </row>
    <row r="176" spans="1:22" hidden="1" x14ac:dyDescent="0.2">
      <c r="A176" s="810"/>
      <c r="B176" s="810"/>
      <c r="C176" s="811"/>
      <c r="D176" s="811" t="s">
        <v>46</v>
      </c>
      <c r="E176" s="812"/>
      <c r="F176" s="813"/>
      <c r="G176" s="814">
        <f>[87]Source!AL609</f>
        <v>4.0599999999999996</v>
      </c>
      <c r="H176" s="815">
        <f>[87]Source!DD609</f>
        <v>0</v>
      </c>
      <c r="I176" s="813">
        <f>[87]Source!AW610</f>
        <v>1.028</v>
      </c>
      <c r="J176" s="816">
        <f>[87]Source!P609</f>
        <v>0</v>
      </c>
      <c r="K176" s="813">
        <f>IF([87]Source!BC610&lt;&gt; 0, [87]Source!BC610, 1)</f>
        <v>6.33</v>
      </c>
      <c r="L176" s="816">
        <f>[87]Source!P610</f>
        <v>0</v>
      </c>
    </row>
    <row r="177" spans="1:22" hidden="1" x14ac:dyDescent="0.2">
      <c r="A177" s="810"/>
      <c r="B177" s="810"/>
      <c r="C177" s="811"/>
      <c r="D177" s="811" t="s">
        <v>47</v>
      </c>
      <c r="E177" s="812" t="s">
        <v>48</v>
      </c>
      <c r="F177" s="813">
        <f>[87]Source!DN610</f>
        <v>79</v>
      </c>
      <c r="G177" s="814"/>
      <c r="H177" s="815"/>
      <c r="I177" s="813"/>
      <c r="J177" s="816">
        <f>SUM(Q172:Q176)</f>
        <v>0</v>
      </c>
      <c r="K177" s="813">
        <f>[87]Source!BZ610</f>
        <v>68</v>
      </c>
      <c r="L177" s="816">
        <f>SUM(R172:R176)</f>
        <v>0</v>
      </c>
    </row>
    <row r="178" spans="1:22" hidden="1" x14ac:dyDescent="0.2">
      <c r="A178" s="810"/>
      <c r="B178" s="810"/>
      <c r="C178" s="811"/>
      <c r="D178" s="811" t="s">
        <v>49</v>
      </c>
      <c r="E178" s="812" t="s">
        <v>48</v>
      </c>
      <c r="F178" s="813">
        <f>[87]Source!DO610</f>
        <v>70</v>
      </c>
      <c r="G178" s="814"/>
      <c r="H178" s="815"/>
      <c r="I178" s="813"/>
      <c r="J178" s="816">
        <f>SUM(S172:S177)</f>
        <v>0</v>
      </c>
      <c r="K178" s="813">
        <f>[87]Source!CA610</f>
        <v>43</v>
      </c>
      <c r="L178" s="816">
        <f>SUM(T172:T177)</f>
        <v>0</v>
      </c>
    </row>
    <row r="179" spans="1:22" hidden="1" x14ac:dyDescent="0.2">
      <c r="A179" s="810"/>
      <c r="B179" s="810"/>
      <c r="C179" s="811"/>
      <c r="D179" s="811" t="s">
        <v>50</v>
      </c>
      <c r="E179" s="812" t="s">
        <v>48</v>
      </c>
      <c r="F179" s="813">
        <f>175</f>
        <v>175</v>
      </c>
      <c r="G179" s="814"/>
      <c r="H179" s="815"/>
      <c r="I179" s="813"/>
      <c r="J179" s="816">
        <f>SUM(U172:U178)-J186</f>
        <v>0</v>
      </c>
      <c r="K179" s="813">
        <f>157</f>
        <v>157</v>
      </c>
      <c r="L179" s="816">
        <f>SUM(V172:V178)-L186</f>
        <v>0</v>
      </c>
    </row>
    <row r="180" spans="1:22" hidden="1" x14ac:dyDescent="0.2">
      <c r="A180" s="818"/>
      <c r="B180" s="818"/>
      <c r="C180" s="819"/>
      <c r="D180" s="819" t="s">
        <v>51</v>
      </c>
      <c r="E180" s="820" t="s">
        <v>52</v>
      </c>
      <c r="F180" s="821">
        <f>[87]Source!AQ609</f>
        <v>51.58</v>
      </c>
      <c r="G180" s="822"/>
      <c r="H180" s="823">
        <f>[87]Source!DI609</f>
        <v>0</v>
      </c>
      <c r="I180" s="821">
        <f>[87]Source!AV610</f>
        <v>1.0669999999999999</v>
      </c>
      <c r="J180" s="824">
        <f>[87]Source!U609</f>
        <v>0</v>
      </c>
      <c r="K180" s="821"/>
      <c r="L180" s="824"/>
    </row>
    <row r="181" spans="1:22" hidden="1" x14ac:dyDescent="0.2">
      <c r="D181" s="825" t="s">
        <v>81</v>
      </c>
      <c r="I181" s="808">
        <f>J173+J174+J176+J177+J178+J179</f>
        <v>0</v>
      </c>
      <c r="J181" s="808"/>
      <c r="K181" s="808">
        <f>L173+L174+L176+L177+L178+L179</f>
        <v>0</v>
      </c>
      <c r="L181" s="808"/>
      <c r="O181" s="826">
        <f>J173+J174+J176+J177+J178+J179</f>
        <v>0</v>
      </c>
      <c r="P181" s="826">
        <f>L173+L174+L176+L177+L178+L179</f>
        <v>0</v>
      </c>
    </row>
    <row r="182" spans="1:22" hidden="1" x14ac:dyDescent="0.2"/>
    <row r="183" spans="1:22" ht="48" hidden="1" x14ac:dyDescent="0.2">
      <c r="A183" s="810">
        <v>8</v>
      </c>
      <c r="B183" s="810" t="str">
        <f>CONCATENATE([87]Source!E609, "/1")</f>
        <v>39/1</v>
      </c>
      <c r="C183" s="811" t="s">
        <v>622</v>
      </c>
      <c r="D183" s="811" t="s">
        <v>82</v>
      </c>
      <c r="E183" s="812" t="str">
        <f>[87]Source!H609</f>
        <v>1  ШТ.</v>
      </c>
      <c r="F183" s="813">
        <f>[87]Source!I609</f>
        <v>0</v>
      </c>
      <c r="G183" s="814"/>
      <c r="H183" s="815"/>
      <c r="I183" s="813"/>
      <c r="J183" s="816"/>
      <c r="K183" s="813"/>
      <c r="L183" s="816"/>
    </row>
    <row r="184" spans="1:22" hidden="1" x14ac:dyDescent="0.2">
      <c r="A184" s="810"/>
      <c r="B184" s="810"/>
      <c r="C184" s="811"/>
      <c r="D184" s="811" t="s">
        <v>44</v>
      </c>
      <c r="E184" s="812"/>
      <c r="F184" s="813"/>
      <c r="G184" s="814">
        <f t="shared" ref="G184:L184" si="2">G185</f>
        <v>1.31</v>
      </c>
      <c r="H184" s="827" t="str">
        <f t="shared" si="2"/>
        <v>)*(1.67-1)</v>
      </c>
      <c r="I184" s="813">
        <f t="shared" si="2"/>
        <v>1.0669999999999999</v>
      </c>
      <c r="J184" s="816">
        <f t="shared" si="2"/>
        <v>0</v>
      </c>
      <c r="K184" s="813">
        <f t="shared" si="2"/>
        <v>24.53</v>
      </c>
      <c r="L184" s="816">
        <f t="shared" si="2"/>
        <v>0</v>
      </c>
    </row>
    <row r="185" spans="1:22" hidden="1" x14ac:dyDescent="0.2">
      <c r="A185" s="810"/>
      <c r="B185" s="810"/>
      <c r="C185" s="811"/>
      <c r="D185" s="811" t="s">
        <v>45</v>
      </c>
      <c r="E185" s="812"/>
      <c r="F185" s="813"/>
      <c r="G185" s="814">
        <f>[87]Source!AN609</f>
        <v>1.31</v>
      </c>
      <c r="H185" s="827" t="s">
        <v>53</v>
      </c>
      <c r="I185" s="813">
        <f>[87]Source!AV610</f>
        <v>1.0669999999999999</v>
      </c>
      <c r="J185" s="817">
        <f>ROUND(F172*G185*I185*(1.67-1), 2)</f>
        <v>0</v>
      </c>
      <c r="K185" s="813">
        <f>IF([87]Source!BS610&lt;&gt; 0, [87]Source!BS610, 1)</f>
        <v>24.53</v>
      </c>
      <c r="L185" s="817">
        <f>ROUND(ROUND(F172*G185*I185*(1.67-1), 2)*K185, 2)</f>
        <v>0</v>
      </c>
    </row>
    <row r="186" spans="1:22" hidden="1" x14ac:dyDescent="0.2">
      <c r="A186" s="810"/>
      <c r="B186" s="810"/>
      <c r="C186" s="811"/>
      <c r="D186" s="811" t="s">
        <v>50</v>
      </c>
      <c r="E186" s="812" t="s">
        <v>48</v>
      </c>
      <c r="F186" s="813">
        <f>175</f>
        <v>175</v>
      </c>
      <c r="G186" s="814"/>
      <c r="H186" s="815"/>
      <c r="I186" s="813"/>
      <c r="J186" s="816">
        <f>ROUND(J185*(F186/100), 2)</f>
        <v>0</v>
      </c>
      <c r="K186" s="813">
        <f>157</f>
        <v>157</v>
      </c>
      <c r="L186" s="816">
        <f>ROUND(L185*(K186/100), 2)</f>
        <v>0</v>
      </c>
    </row>
    <row r="187" spans="1:22" hidden="1" x14ac:dyDescent="0.2">
      <c r="A187" s="828"/>
      <c r="B187" s="828"/>
      <c r="C187" s="828"/>
      <c r="D187" s="829" t="s">
        <v>81</v>
      </c>
      <c r="E187" s="828"/>
      <c r="F187" s="828"/>
      <c r="G187" s="828"/>
      <c r="H187" s="828"/>
      <c r="I187" s="830">
        <f>J186+J185</f>
        <v>0</v>
      </c>
      <c r="J187" s="830"/>
      <c r="K187" s="830">
        <f>L186+L185</f>
        <v>0</v>
      </c>
      <c r="L187" s="830"/>
      <c r="O187" s="826">
        <f>I187</f>
        <v>0</v>
      </c>
      <c r="P187" s="826">
        <f>K187</f>
        <v>0</v>
      </c>
    </row>
    <row r="188" spans="1:22" hidden="1" x14ac:dyDescent="0.2"/>
    <row r="189" spans="1:22" s="838" customFormat="1" ht="48" hidden="1" x14ac:dyDescent="0.2">
      <c r="A189" s="831">
        <v>9</v>
      </c>
      <c r="B189" s="831" t="str">
        <f>[87]Source!E611</f>
        <v>40</v>
      </c>
      <c r="C189" s="832" t="str">
        <f>[87]Source!F611</f>
        <v>Согласовать стоимость</v>
      </c>
      <c r="D189" s="832" t="s">
        <v>625</v>
      </c>
      <c r="E189" s="833" t="str">
        <f>[87]Source!H611</f>
        <v>шт.</v>
      </c>
      <c r="F189" s="834">
        <f>[87]Source!I611</f>
        <v>0</v>
      </c>
      <c r="G189" s="835">
        <f>[87]Source!AL611</f>
        <v>66965.63</v>
      </c>
      <c r="H189" s="836" t="str">
        <f>[87]Source!DD611</f>
        <v>=293205,68/4,6*1,03*1,012</v>
      </c>
      <c r="I189" s="834">
        <f>[87]Source!AW612</f>
        <v>1</v>
      </c>
      <c r="J189" s="837">
        <f>[87]Source!P611</f>
        <v>0</v>
      </c>
      <c r="K189" s="834">
        <f>IF([87]Source!BC612&lt;&gt; 0, [87]Source!BC612, 1)</f>
        <v>4.5999999999999996</v>
      </c>
      <c r="L189" s="837">
        <f>[87]Source!P612</f>
        <v>0</v>
      </c>
      <c r="Q189" s="838">
        <f>[87]Source!X611</f>
        <v>0</v>
      </c>
      <c r="R189" s="838">
        <f>[87]Source!X612</f>
        <v>0</v>
      </c>
      <c r="S189" s="838">
        <f>[87]Source!Y611</f>
        <v>0</v>
      </c>
      <c r="T189" s="838">
        <f>[87]Source!Y612</f>
        <v>0</v>
      </c>
      <c r="U189" s="838">
        <f>ROUND((175/100)*ROUND([87]Source!R611, 2), 2)</f>
        <v>0</v>
      </c>
      <c r="V189" s="838">
        <f>ROUND((157/100)*ROUND([87]Source!R612, 2), 2)</f>
        <v>0</v>
      </c>
    </row>
    <row r="190" spans="1:22" s="838" customFormat="1" hidden="1" x14ac:dyDescent="0.2">
      <c r="A190" s="839"/>
      <c r="B190" s="839"/>
      <c r="C190" s="839"/>
      <c r="D190" s="840" t="s">
        <v>81</v>
      </c>
      <c r="E190" s="839"/>
      <c r="F190" s="839"/>
      <c r="G190" s="839"/>
      <c r="H190" s="839"/>
      <c r="I190" s="841">
        <f>J189</f>
        <v>0</v>
      </c>
      <c r="J190" s="841"/>
      <c r="K190" s="841">
        <f>L189</f>
        <v>0</v>
      </c>
      <c r="L190" s="841"/>
      <c r="O190" s="842">
        <f>J189</f>
        <v>0</v>
      </c>
      <c r="P190" s="842">
        <f>L189</f>
        <v>0</v>
      </c>
    </row>
    <row r="191" spans="1:22" hidden="1" x14ac:dyDescent="0.2"/>
    <row r="192" spans="1:22" hidden="1" x14ac:dyDescent="0.2"/>
    <row r="193" spans="1:12" hidden="1" x14ac:dyDescent="0.2">
      <c r="A193" s="807" t="str">
        <f>CONCATENATE("Итого по подразделу: ",IF([87]Source!G614&lt;&gt;"Новый подраздел", [87]Source!G614, ""))</f>
        <v>Итого по подразделу: В2-3</v>
      </c>
      <c r="B193" s="807"/>
      <c r="C193" s="807"/>
      <c r="D193" s="807"/>
      <c r="E193" s="807"/>
      <c r="F193" s="807"/>
      <c r="G193" s="807"/>
      <c r="H193" s="807"/>
      <c r="I193" s="808">
        <f>SUM(O171:O192)</f>
        <v>0</v>
      </c>
      <c r="J193" s="809"/>
      <c r="K193" s="808">
        <f>SUM(P171:P192)</f>
        <v>0</v>
      </c>
      <c r="L193" s="809"/>
    </row>
    <row r="194" spans="1:12" hidden="1" x14ac:dyDescent="0.2">
      <c r="A194" s="788" t="s">
        <v>54</v>
      </c>
      <c r="J194" s="788">
        <f>SUM(W171:W193)</f>
        <v>0</v>
      </c>
      <c r="K194" s="788">
        <f>SUM(X171:X193)</f>
        <v>0</v>
      </c>
    </row>
    <row r="195" spans="1:12" hidden="1" x14ac:dyDescent="0.2">
      <c r="A195" s="788" t="s">
        <v>55</v>
      </c>
      <c r="J195" s="788">
        <f>SUM(Y171:Y194)</f>
        <v>0</v>
      </c>
      <c r="K195" s="788">
        <f>SUM(Z171:Z194)</f>
        <v>0</v>
      </c>
    </row>
    <row r="196" spans="1:12" ht="11.25" hidden="1" customHeight="1" x14ac:dyDescent="0.2"/>
    <row r="197" spans="1:12" hidden="1" x14ac:dyDescent="0.2">
      <c r="A197" s="805" t="str">
        <f>CONCATENATE("Подраздел: ",IF([87]Source!G644&lt;&gt;"Новый подраздел", [87]Source!G644, ""))</f>
        <v>Подраздел: В2-4</v>
      </c>
      <c r="B197" s="805"/>
      <c r="C197" s="805"/>
      <c r="D197" s="805"/>
      <c r="E197" s="805"/>
      <c r="F197" s="805"/>
      <c r="G197" s="805"/>
      <c r="H197" s="805"/>
      <c r="I197" s="805"/>
      <c r="J197" s="805"/>
      <c r="K197" s="805"/>
      <c r="L197" s="805"/>
    </row>
    <row r="198" spans="1:12" hidden="1" x14ac:dyDescent="0.2"/>
    <row r="199" spans="1:12" hidden="1" x14ac:dyDescent="0.2">
      <c r="A199" s="807" t="str">
        <f>CONCATENATE("Итого по подразделу: ",IF([87]Source!G653&lt;&gt;"Новый подраздел", [87]Source!G653, ""))</f>
        <v>Итого по подразделу: В2-4</v>
      </c>
      <c r="B199" s="807"/>
      <c r="C199" s="807"/>
      <c r="D199" s="807"/>
      <c r="E199" s="807"/>
      <c r="F199" s="807"/>
      <c r="G199" s="807"/>
      <c r="H199" s="807"/>
      <c r="I199" s="808">
        <f>SUM(O197:O198)</f>
        <v>0</v>
      </c>
      <c r="J199" s="809"/>
      <c r="K199" s="808">
        <f>SUM(P197:P198)</f>
        <v>0</v>
      </c>
      <c r="L199" s="809"/>
    </row>
    <row r="200" spans="1:12" hidden="1" x14ac:dyDescent="0.2">
      <c r="A200" s="788" t="s">
        <v>54</v>
      </c>
      <c r="J200" s="788">
        <f>SUM(W197:W199)</f>
        <v>0</v>
      </c>
      <c r="K200" s="788">
        <f>SUM(X197:X199)</f>
        <v>0</v>
      </c>
    </row>
    <row r="201" spans="1:12" hidden="1" x14ac:dyDescent="0.2">
      <c r="A201" s="788" t="s">
        <v>55</v>
      </c>
      <c r="J201" s="788">
        <f>SUM(Y197:Y200)</f>
        <v>0</v>
      </c>
      <c r="K201" s="788">
        <f>SUM(Z197:Z200)</f>
        <v>0</v>
      </c>
    </row>
    <row r="202" spans="1:12" hidden="1" x14ac:dyDescent="0.2"/>
    <row r="203" spans="1:12" hidden="1" x14ac:dyDescent="0.2">
      <c r="A203" s="805" t="str">
        <f>CONCATENATE("Подраздел: ",IF([87]Source!G683&lt;&gt;"Новый подраздел", [87]Source!G683, ""))</f>
        <v>Подраздел: В2-5</v>
      </c>
      <c r="B203" s="805"/>
      <c r="C203" s="805"/>
      <c r="D203" s="805"/>
      <c r="E203" s="805"/>
      <c r="F203" s="805"/>
      <c r="G203" s="805"/>
      <c r="H203" s="805"/>
      <c r="I203" s="805"/>
      <c r="J203" s="805"/>
      <c r="K203" s="805"/>
      <c r="L203" s="805"/>
    </row>
    <row r="204" spans="1:12" hidden="1" x14ac:dyDescent="0.2"/>
    <row r="205" spans="1:12" hidden="1" x14ac:dyDescent="0.2">
      <c r="A205" s="807" t="str">
        <f>CONCATENATE("Итого по подразделу: ",IF([87]Source!G692&lt;&gt;"Новый подраздел", [87]Source!G692, ""))</f>
        <v>Итого по подразделу: В2-5</v>
      </c>
      <c r="B205" s="807"/>
      <c r="C205" s="807"/>
      <c r="D205" s="807"/>
      <c r="E205" s="807"/>
      <c r="F205" s="807"/>
      <c r="G205" s="807"/>
      <c r="H205" s="807"/>
      <c r="I205" s="808">
        <f>SUM(O203:O204)</f>
        <v>0</v>
      </c>
      <c r="J205" s="809"/>
      <c r="K205" s="808">
        <f>SUM(P203:P204)</f>
        <v>0</v>
      </c>
      <c r="L205" s="809"/>
    </row>
    <row r="206" spans="1:12" hidden="1" x14ac:dyDescent="0.2">
      <c r="A206" s="788" t="s">
        <v>54</v>
      </c>
      <c r="J206" s="788">
        <f>SUM(W203:W205)</f>
        <v>0</v>
      </c>
      <c r="K206" s="788">
        <f>SUM(X203:X205)</f>
        <v>0</v>
      </c>
    </row>
    <row r="207" spans="1:12" hidden="1" x14ac:dyDescent="0.2">
      <c r="A207" s="788" t="s">
        <v>55</v>
      </c>
      <c r="J207" s="788">
        <f>SUM(Y203:Y206)</f>
        <v>0</v>
      </c>
      <c r="K207" s="788">
        <f>SUM(Z203:Z206)</f>
        <v>0</v>
      </c>
    </row>
    <row r="208" spans="1:12" hidden="1" x14ac:dyDescent="0.2"/>
    <row r="209" spans="1:12" hidden="1" x14ac:dyDescent="0.2">
      <c r="A209" s="805" t="str">
        <f>CONCATENATE("Подраздел: ",IF([87]Source!G722&lt;&gt;"Новый подраздел", [87]Source!G722, ""))</f>
        <v>Подраздел: В2-6, В2-6р</v>
      </c>
      <c r="B209" s="805"/>
      <c r="C209" s="805"/>
      <c r="D209" s="805"/>
      <c r="E209" s="805"/>
      <c r="F209" s="805"/>
      <c r="G209" s="805"/>
      <c r="H209" s="805"/>
      <c r="I209" s="805"/>
      <c r="J209" s="805"/>
      <c r="K209" s="805"/>
      <c r="L209" s="805"/>
    </row>
    <row r="210" spans="1:12" hidden="1" x14ac:dyDescent="0.2"/>
    <row r="211" spans="1:12" hidden="1" x14ac:dyDescent="0.2">
      <c r="A211" s="807" t="str">
        <f>CONCATENATE("Итого по подразделу: ",IF([87]Source!G731&lt;&gt;"Новый подраздел", [87]Source!G731, ""))</f>
        <v>Итого по подразделу: В2-6, В2-6р</v>
      </c>
      <c r="B211" s="807"/>
      <c r="C211" s="807"/>
      <c r="D211" s="807"/>
      <c r="E211" s="807"/>
      <c r="F211" s="807"/>
      <c r="G211" s="807"/>
      <c r="H211" s="807"/>
      <c r="I211" s="808">
        <f>SUM(O209:O210)</f>
        <v>0</v>
      </c>
      <c r="J211" s="809"/>
      <c r="K211" s="808">
        <f>SUM(P209:P210)</f>
        <v>0</v>
      </c>
      <c r="L211" s="809"/>
    </row>
    <row r="212" spans="1:12" hidden="1" x14ac:dyDescent="0.2">
      <c r="A212" s="788" t="s">
        <v>54</v>
      </c>
      <c r="J212" s="788">
        <f>SUM(W209:W211)</f>
        <v>0</v>
      </c>
      <c r="K212" s="788">
        <f>SUM(X209:X211)</f>
        <v>0</v>
      </c>
    </row>
    <row r="213" spans="1:12" hidden="1" x14ac:dyDescent="0.2">
      <c r="A213" s="788" t="s">
        <v>55</v>
      </c>
      <c r="J213" s="788">
        <f>SUM(Y209:Y212)</f>
        <v>0</v>
      </c>
      <c r="K213" s="788">
        <f>SUM(Z209:Z212)</f>
        <v>0</v>
      </c>
    </row>
    <row r="214" spans="1:12" hidden="1" x14ac:dyDescent="0.2"/>
    <row r="215" spans="1:12" hidden="1" x14ac:dyDescent="0.2">
      <c r="A215" s="805" t="str">
        <f>CONCATENATE("Подраздел: ",IF([87]Source!G761&lt;&gt;"Новый подраздел", [87]Source!G761, ""))</f>
        <v>Подраздел: В2-6.1, В2-6.1р</v>
      </c>
      <c r="B215" s="805"/>
      <c r="C215" s="805"/>
      <c r="D215" s="805"/>
      <c r="E215" s="805"/>
      <c r="F215" s="805"/>
      <c r="G215" s="805"/>
      <c r="H215" s="805"/>
      <c r="I215" s="805"/>
      <c r="J215" s="805"/>
      <c r="K215" s="805"/>
      <c r="L215" s="805"/>
    </row>
    <row r="216" spans="1:12" hidden="1" x14ac:dyDescent="0.2"/>
    <row r="217" spans="1:12" hidden="1" x14ac:dyDescent="0.2">
      <c r="A217" s="807" t="str">
        <f>CONCATENATE("Итого по подразделу: ",IF([87]Source!G782&lt;&gt;"Новый подраздел", [87]Source!G782, ""))</f>
        <v>Итого по подразделу: В2-6.1, В2-6.1р</v>
      </c>
      <c r="B217" s="807"/>
      <c r="C217" s="807"/>
      <c r="D217" s="807"/>
      <c r="E217" s="807"/>
      <c r="F217" s="807"/>
      <c r="G217" s="807"/>
      <c r="H217" s="807"/>
      <c r="I217" s="808">
        <f>SUM(O215:O216)</f>
        <v>0</v>
      </c>
      <c r="J217" s="809"/>
      <c r="K217" s="808">
        <f>SUM(P215:P216)</f>
        <v>0</v>
      </c>
      <c r="L217" s="809"/>
    </row>
    <row r="218" spans="1:12" hidden="1" x14ac:dyDescent="0.2">
      <c r="A218" s="788" t="s">
        <v>54</v>
      </c>
      <c r="J218" s="788">
        <f>SUM(W215:W217)</f>
        <v>0</v>
      </c>
      <c r="K218" s="788">
        <f>SUM(X215:X217)</f>
        <v>0</v>
      </c>
    </row>
    <row r="219" spans="1:12" hidden="1" x14ac:dyDescent="0.2">
      <c r="A219" s="788" t="s">
        <v>55</v>
      </c>
      <c r="J219" s="788">
        <f>SUM(Y215:Y218)</f>
        <v>0</v>
      </c>
      <c r="K219" s="788">
        <f>SUM(Z215:Z218)</f>
        <v>0</v>
      </c>
    </row>
    <row r="220" spans="1:12" hidden="1" x14ac:dyDescent="0.2"/>
    <row r="221" spans="1:12" hidden="1" x14ac:dyDescent="0.2">
      <c r="A221" s="805" t="str">
        <f>CONCATENATE("Подраздел: ",IF([87]Source!G812&lt;&gt;"Новый подраздел", [87]Source!G812, ""))</f>
        <v>Подраздел: В2-7</v>
      </c>
      <c r="B221" s="805"/>
      <c r="C221" s="805"/>
      <c r="D221" s="805"/>
      <c r="E221" s="805"/>
      <c r="F221" s="805"/>
      <c r="G221" s="805"/>
      <c r="H221" s="805"/>
      <c r="I221" s="805"/>
      <c r="J221" s="805"/>
      <c r="K221" s="805"/>
      <c r="L221" s="805"/>
    </row>
    <row r="222" spans="1:12" hidden="1" x14ac:dyDescent="0.2"/>
    <row r="223" spans="1:12" hidden="1" x14ac:dyDescent="0.2">
      <c r="A223" s="807" t="str">
        <f>CONCATENATE("Итого по подразделу: ",IF([87]Source!G835&lt;&gt;"Новый подраздел", [87]Source!G835, ""))</f>
        <v>Итого по подразделу: В2-7</v>
      </c>
      <c r="B223" s="807"/>
      <c r="C223" s="807"/>
      <c r="D223" s="807"/>
      <c r="E223" s="807"/>
      <c r="F223" s="807"/>
      <c r="G223" s="807"/>
      <c r="H223" s="807"/>
      <c r="I223" s="808">
        <f>SUM(O221:O222)</f>
        <v>0</v>
      </c>
      <c r="J223" s="809"/>
      <c r="K223" s="808">
        <f>SUM(P221:P222)</f>
        <v>0</v>
      </c>
      <c r="L223" s="809"/>
    </row>
    <row r="224" spans="1:12" hidden="1" x14ac:dyDescent="0.2">
      <c r="A224" s="788" t="s">
        <v>54</v>
      </c>
      <c r="J224" s="788">
        <f>SUM(W221:W223)</f>
        <v>0</v>
      </c>
      <c r="K224" s="788">
        <f>SUM(X221:X223)</f>
        <v>0</v>
      </c>
    </row>
    <row r="225" spans="1:12" hidden="1" x14ac:dyDescent="0.2">
      <c r="A225" s="788" t="s">
        <v>55</v>
      </c>
      <c r="J225" s="788">
        <f>SUM(Y221:Y224)</f>
        <v>0</v>
      </c>
      <c r="K225" s="788">
        <f>SUM(Z221:Z224)</f>
        <v>0</v>
      </c>
    </row>
    <row r="226" spans="1:12" hidden="1" x14ac:dyDescent="0.2"/>
    <row r="227" spans="1:12" hidden="1" x14ac:dyDescent="0.2">
      <c r="A227" s="805" t="str">
        <f>CONCATENATE("Подраздел: ",IF([87]Source!G865&lt;&gt;"Новый подраздел", [87]Source!G865, ""))</f>
        <v>Подраздел: В2-8</v>
      </c>
      <c r="B227" s="805"/>
      <c r="C227" s="805"/>
      <c r="D227" s="805"/>
      <c r="E227" s="805"/>
      <c r="F227" s="805"/>
      <c r="G227" s="805"/>
      <c r="H227" s="805"/>
      <c r="I227" s="805"/>
      <c r="J227" s="805"/>
      <c r="K227" s="805"/>
      <c r="L227" s="805"/>
    </row>
    <row r="228" spans="1:12" hidden="1" x14ac:dyDescent="0.2"/>
    <row r="229" spans="1:12" hidden="1" x14ac:dyDescent="0.2">
      <c r="A229" s="807" t="str">
        <f>CONCATENATE("Итого по подразделу: ",IF([87]Source!G886&lt;&gt;"Новый подраздел", [87]Source!G886, ""))</f>
        <v>Итого по подразделу: В2-8</v>
      </c>
      <c r="B229" s="807"/>
      <c r="C229" s="807"/>
      <c r="D229" s="807"/>
      <c r="E229" s="807"/>
      <c r="F229" s="807"/>
      <c r="G229" s="807"/>
      <c r="H229" s="807"/>
      <c r="I229" s="808">
        <f>SUM(O227:O228)</f>
        <v>0</v>
      </c>
      <c r="J229" s="809"/>
      <c r="K229" s="808">
        <f>SUM(P227:P228)</f>
        <v>0</v>
      </c>
      <c r="L229" s="809"/>
    </row>
    <row r="230" spans="1:12" hidden="1" x14ac:dyDescent="0.2">
      <c r="A230" s="788" t="s">
        <v>54</v>
      </c>
      <c r="J230" s="788">
        <f>SUM(W227:W229)</f>
        <v>0</v>
      </c>
      <c r="K230" s="788">
        <f>SUM(X227:X229)</f>
        <v>0</v>
      </c>
    </row>
    <row r="231" spans="1:12" hidden="1" x14ac:dyDescent="0.2">
      <c r="A231" s="788" t="s">
        <v>55</v>
      </c>
      <c r="J231" s="788">
        <f>SUM(Y227:Y230)</f>
        <v>0</v>
      </c>
      <c r="K231" s="788">
        <f>SUM(Z227:Z230)</f>
        <v>0</v>
      </c>
    </row>
    <row r="232" spans="1:12" hidden="1" x14ac:dyDescent="0.2"/>
    <row r="233" spans="1:12" hidden="1" x14ac:dyDescent="0.2">
      <c r="A233" s="805" t="str">
        <f>CONCATENATE("Подраздел: ",IF([87]Source!G916&lt;&gt;"Новый подраздел", [87]Source!G916, ""))</f>
        <v>Подраздел: В2-9</v>
      </c>
      <c r="B233" s="805"/>
      <c r="C233" s="805"/>
      <c r="D233" s="805"/>
      <c r="E233" s="805"/>
      <c r="F233" s="805"/>
      <c r="G233" s="805"/>
      <c r="H233" s="805"/>
      <c r="I233" s="805"/>
      <c r="J233" s="805"/>
      <c r="K233" s="805"/>
      <c r="L233" s="805"/>
    </row>
    <row r="234" spans="1:12" hidden="1" x14ac:dyDescent="0.2"/>
    <row r="235" spans="1:12" hidden="1" x14ac:dyDescent="0.2">
      <c r="A235" s="807" t="str">
        <f>CONCATENATE("Итого по подразделу: ",IF([87]Source!G937&lt;&gt;"Новый подраздел", [87]Source!G937, ""))</f>
        <v>Итого по подразделу: В2-9</v>
      </c>
      <c r="B235" s="807"/>
      <c r="C235" s="807"/>
      <c r="D235" s="807"/>
      <c r="E235" s="807"/>
      <c r="F235" s="807"/>
      <c r="G235" s="807"/>
      <c r="H235" s="807"/>
      <c r="I235" s="808">
        <f>SUM(O233:O234)</f>
        <v>0</v>
      </c>
      <c r="J235" s="809"/>
      <c r="K235" s="808">
        <f>SUM(P233:P234)</f>
        <v>0</v>
      </c>
      <c r="L235" s="809"/>
    </row>
    <row r="236" spans="1:12" hidden="1" x14ac:dyDescent="0.2">
      <c r="A236" s="788" t="s">
        <v>54</v>
      </c>
      <c r="J236" s="788">
        <f>SUM(W233:W235)</f>
        <v>0</v>
      </c>
      <c r="K236" s="788">
        <f>SUM(X233:X235)</f>
        <v>0</v>
      </c>
    </row>
    <row r="237" spans="1:12" hidden="1" x14ac:dyDescent="0.2">
      <c r="A237" s="788" t="s">
        <v>55</v>
      </c>
      <c r="J237" s="788">
        <f>SUM(Y233:Y236)</f>
        <v>0</v>
      </c>
      <c r="K237" s="788">
        <f>SUM(Z233:Z236)</f>
        <v>0</v>
      </c>
    </row>
    <row r="238" spans="1:12" hidden="1" x14ac:dyDescent="0.2"/>
    <row r="239" spans="1:12" hidden="1" x14ac:dyDescent="0.2">
      <c r="A239" s="805" t="str">
        <f>CONCATENATE("Подраздел: ",IF([87]Source!G967&lt;&gt;"Новый подраздел", [87]Source!G967, ""))</f>
        <v>Подраздел: В2-10</v>
      </c>
      <c r="B239" s="805"/>
      <c r="C239" s="805"/>
      <c r="D239" s="805"/>
      <c r="E239" s="805"/>
      <c r="F239" s="805"/>
      <c r="G239" s="805"/>
      <c r="H239" s="805"/>
      <c r="I239" s="805"/>
      <c r="J239" s="805"/>
      <c r="K239" s="805"/>
      <c r="L239" s="805"/>
    </row>
    <row r="240" spans="1:12" hidden="1" x14ac:dyDescent="0.2"/>
    <row r="241" spans="1:22" hidden="1" x14ac:dyDescent="0.2">
      <c r="A241" s="807" t="str">
        <f>CONCATENATE("Итого по подразделу: ",IF([87]Source!G988&lt;&gt;"Новый подраздел", [87]Source!G988, ""))</f>
        <v>Итого по подразделу: В2-10</v>
      </c>
      <c r="B241" s="807"/>
      <c r="C241" s="807"/>
      <c r="D241" s="807"/>
      <c r="E241" s="807"/>
      <c r="F241" s="807"/>
      <c r="G241" s="807"/>
      <c r="H241" s="807"/>
      <c r="I241" s="808">
        <f>SUM(O239:O240)</f>
        <v>0</v>
      </c>
      <c r="J241" s="809"/>
      <c r="K241" s="808">
        <f>SUM(P239:P240)</f>
        <v>0</v>
      </c>
      <c r="L241" s="809"/>
    </row>
    <row r="242" spans="1:22" hidden="1" x14ac:dyDescent="0.2">
      <c r="A242" s="788" t="s">
        <v>54</v>
      </c>
      <c r="J242" s="788">
        <f>SUM(W239:W241)</f>
        <v>0</v>
      </c>
      <c r="K242" s="788">
        <f>SUM(X239:X241)</f>
        <v>0</v>
      </c>
    </row>
    <row r="243" spans="1:22" hidden="1" x14ac:dyDescent="0.2">
      <c r="A243" s="788" t="s">
        <v>55</v>
      </c>
      <c r="J243" s="788">
        <f>SUM(Y239:Y242)</f>
        <v>0</v>
      </c>
      <c r="K243" s="788">
        <f>SUM(Z239:Z242)</f>
        <v>0</v>
      </c>
    </row>
    <row r="244" spans="1:22" hidden="1" x14ac:dyDescent="0.2"/>
    <row r="245" spans="1:22" x14ac:dyDescent="0.2">
      <c r="A245" s="805" t="str">
        <f>CONCATENATE("Подраздел: ",IF([87]Source!G1018&lt;&gt;"Новый подраздел", [87]Source!G1018, ""))</f>
        <v>Подраздел: В2-35</v>
      </c>
      <c r="B245" s="805"/>
      <c r="C245" s="805"/>
      <c r="D245" s="805"/>
      <c r="E245" s="805"/>
      <c r="F245" s="805"/>
      <c r="G245" s="805"/>
      <c r="H245" s="805"/>
      <c r="I245" s="805"/>
      <c r="J245" s="805"/>
      <c r="K245" s="805"/>
      <c r="L245" s="805"/>
    </row>
    <row r="246" spans="1:22" ht="48" x14ac:dyDescent="0.2">
      <c r="A246" s="810">
        <v>10</v>
      </c>
      <c r="B246" s="810" t="str">
        <f>[87]Source!E1268</f>
        <v>189</v>
      </c>
      <c r="C246" s="811" t="s">
        <v>626</v>
      </c>
      <c r="D246" s="811" t="s">
        <v>344</v>
      </c>
      <c r="E246" s="812" t="str">
        <f>[87]Source!H1268</f>
        <v>100 м2 поверхности воздуховодов</v>
      </c>
      <c r="F246" s="813">
        <f>[87]Source!I1268</f>
        <v>0.15440000000000001</v>
      </c>
      <c r="G246" s="814"/>
      <c r="H246" s="815"/>
      <c r="I246" s="813"/>
      <c r="J246" s="816"/>
      <c r="K246" s="813"/>
      <c r="L246" s="816"/>
      <c r="Q246" s="788">
        <f>[87]Source!X1268</f>
        <v>357.38</v>
      </c>
      <c r="R246" s="788">
        <f>[87]Source!X1269</f>
        <v>7013.13</v>
      </c>
      <c r="S246" s="788">
        <f>[87]Source!Y1268</f>
        <v>268.75</v>
      </c>
      <c r="T246" s="788">
        <f>[87]Source!Y1269</f>
        <v>3155.91</v>
      </c>
      <c r="U246" s="788">
        <f>ROUND((175/100)*ROUND([87]Source!R1268, 2), 2)</f>
        <v>5.15</v>
      </c>
      <c r="V246" s="788">
        <f>ROUND((157/100)*ROUND([87]Source!R1269, 2), 2)</f>
        <v>113.23</v>
      </c>
    </row>
    <row r="247" spans="1:22" x14ac:dyDescent="0.2">
      <c r="A247" s="810"/>
      <c r="B247" s="810"/>
      <c r="C247" s="811"/>
      <c r="D247" s="811" t="s">
        <v>43</v>
      </c>
      <c r="E247" s="812"/>
      <c r="F247" s="813"/>
      <c r="G247" s="814">
        <f>[87]Source!AO1268</f>
        <v>1039.18</v>
      </c>
      <c r="H247" s="815" t="str">
        <f>[87]Source!DG1268</f>
        <v>)*1,67</v>
      </c>
      <c r="I247" s="813">
        <f>[87]Source!AV1269</f>
        <v>1.0669999999999999</v>
      </c>
      <c r="J247" s="816">
        <f>[87]Source!S1268</f>
        <v>285.89999999999998</v>
      </c>
      <c r="K247" s="813">
        <f>IF([87]Source!BA1269&lt;&gt; 0, [87]Source!BA1269, 1)</f>
        <v>24.53</v>
      </c>
      <c r="L247" s="816">
        <f>[87]Source!S1269</f>
        <v>7013.13</v>
      </c>
    </row>
    <row r="248" spans="1:22" x14ac:dyDescent="0.2">
      <c r="A248" s="810"/>
      <c r="B248" s="810"/>
      <c r="C248" s="811"/>
      <c r="D248" s="811" t="s">
        <v>44</v>
      </c>
      <c r="E248" s="812"/>
      <c r="F248" s="813"/>
      <c r="G248" s="814">
        <f>[87]Source!AM1268</f>
        <v>87.46</v>
      </c>
      <c r="H248" s="815">
        <f>[87]Source!DE1268</f>
        <v>0</v>
      </c>
      <c r="I248" s="813">
        <f>[87]Source!AV1269</f>
        <v>1.0669999999999999</v>
      </c>
      <c r="J248" s="816">
        <f>[87]Source!Q1268-J259</f>
        <v>14.41</v>
      </c>
      <c r="K248" s="813">
        <f>IF([87]Source!BB1269&lt;&gt; 0, [87]Source!BB1269, 1)</f>
        <v>8.73</v>
      </c>
      <c r="L248" s="816">
        <f>[87]Source!Q1269-L259</f>
        <v>125.8</v>
      </c>
    </row>
    <row r="249" spans="1:22" x14ac:dyDescent="0.2">
      <c r="A249" s="810"/>
      <c r="B249" s="810"/>
      <c r="C249" s="811"/>
      <c r="D249" s="811" t="s">
        <v>45</v>
      </c>
      <c r="E249" s="812"/>
      <c r="F249" s="813"/>
      <c r="G249" s="814">
        <f>[87]Source!AN1268</f>
        <v>10.69</v>
      </c>
      <c r="H249" s="815">
        <f>[87]Source!DE1268</f>
        <v>0</v>
      </c>
      <c r="I249" s="813">
        <f>[87]Source!AV1269</f>
        <v>1.0669999999999999</v>
      </c>
      <c r="J249" s="817">
        <f>[87]Source!R1268-J260</f>
        <v>1.76</v>
      </c>
      <c r="K249" s="813">
        <f>IF([87]Source!BS1269&lt;&gt; 0, [87]Source!BS1269, 1)</f>
        <v>24.53</v>
      </c>
      <c r="L249" s="817">
        <f>[87]Source!R1269-L260</f>
        <v>43.17</v>
      </c>
    </row>
    <row r="250" spans="1:22" x14ac:dyDescent="0.2">
      <c r="A250" s="810"/>
      <c r="B250" s="810"/>
      <c r="C250" s="811"/>
      <c r="D250" s="811" t="s">
        <v>46</v>
      </c>
      <c r="E250" s="812"/>
      <c r="F250" s="813"/>
      <c r="G250" s="814">
        <f>[87]Source!AL1268</f>
        <v>409.71</v>
      </c>
      <c r="H250" s="815">
        <f>[87]Source!DD1268</f>
        <v>0</v>
      </c>
      <c r="I250" s="813">
        <f>[87]Source!AW1269</f>
        <v>1</v>
      </c>
      <c r="J250" s="816">
        <f>[87]Source!P1268</f>
        <v>63.26</v>
      </c>
      <c r="K250" s="813">
        <f>IF([87]Source!BC1269&lt;&gt; 0, [87]Source!BC1269, 1)</f>
        <v>3.31</v>
      </c>
      <c r="L250" s="816">
        <f>[87]Source!P1269</f>
        <v>209.39</v>
      </c>
    </row>
    <row r="251" spans="1:22" ht="36" x14ac:dyDescent="0.2">
      <c r="A251" s="810">
        <v>11</v>
      </c>
      <c r="B251" s="810" t="str">
        <f>[87]Source!E1270</f>
        <v>189,1</v>
      </c>
      <c r="C251" s="811" t="str">
        <f>[87]Source!F1270</f>
        <v>1.19-3-13</v>
      </c>
      <c r="D251" s="811" t="s">
        <v>315</v>
      </c>
      <c r="E251" s="812" t="str">
        <f>[87]Source!H1270</f>
        <v>м2</v>
      </c>
      <c r="F251" s="813">
        <f>[87]Source!I1270</f>
        <v>15.44</v>
      </c>
      <c r="G251" s="814">
        <f>[87]Source!AK1270</f>
        <v>157.54</v>
      </c>
      <c r="H251" s="843" t="s">
        <v>20</v>
      </c>
      <c r="I251" s="813">
        <f>[87]Source!AW1271</f>
        <v>1</v>
      </c>
      <c r="J251" s="816">
        <f>[87]Source!O1270</f>
        <v>2432.42</v>
      </c>
      <c r="K251" s="813">
        <f>IF([87]Source!BC1271&lt;&gt; 0, [87]Source!BC1271, 1)</f>
        <v>3.07</v>
      </c>
      <c r="L251" s="816">
        <f>[87]Source!O1271</f>
        <v>7467.53</v>
      </c>
      <c r="Q251" s="788">
        <f>[87]Source!X1270</f>
        <v>0</v>
      </c>
      <c r="R251" s="788">
        <f>[87]Source!X1271</f>
        <v>0</v>
      </c>
      <c r="S251" s="788">
        <f>[87]Source!Y1270</f>
        <v>0</v>
      </c>
      <c r="T251" s="788">
        <f>[87]Source!Y1271</f>
        <v>0</v>
      </c>
      <c r="U251" s="788">
        <f>ROUND((175/100)*ROUND([87]Source!R1270, 2), 2)</f>
        <v>0</v>
      </c>
      <c r="V251" s="788">
        <f>ROUND((157/100)*ROUND([87]Source!R1271, 2), 2)</f>
        <v>0</v>
      </c>
    </row>
    <row r="252" spans="1:22" x14ac:dyDescent="0.2">
      <c r="A252" s="810"/>
      <c r="B252" s="810"/>
      <c r="C252" s="811"/>
      <c r="D252" s="811" t="s">
        <v>47</v>
      </c>
      <c r="E252" s="812" t="s">
        <v>48</v>
      </c>
      <c r="F252" s="813">
        <f>[87]Source!DN1269</f>
        <v>125</v>
      </c>
      <c r="G252" s="814"/>
      <c r="H252" s="815"/>
      <c r="I252" s="813"/>
      <c r="J252" s="816">
        <f>SUM(Q246:Q251)</f>
        <v>357.38</v>
      </c>
      <c r="K252" s="813">
        <f>[87]Source!BZ1269</f>
        <v>100</v>
      </c>
      <c r="L252" s="816">
        <f>SUM(R246:R251)</f>
        <v>7013.13</v>
      </c>
    </row>
    <row r="253" spans="1:22" x14ac:dyDescent="0.2">
      <c r="A253" s="810"/>
      <c r="B253" s="810"/>
      <c r="C253" s="811"/>
      <c r="D253" s="811" t="s">
        <v>49</v>
      </c>
      <c r="E253" s="812" t="s">
        <v>48</v>
      </c>
      <c r="F253" s="813">
        <f>[87]Source!DO1269</f>
        <v>94</v>
      </c>
      <c r="G253" s="814"/>
      <c r="H253" s="815"/>
      <c r="I253" s="813"/>
      <c r="J253" s="816">
        <f>SUM(S246:S252)</f>
        <v>268.75</v>
      </c>
      <c r="K253" s="813">
        <f>[87]Source!CA1269</f>
        <v>45</v>
      </c>
      <c r="L253" s="816">
        <f>SUM(T246:T252)</f>
        <v>3155.91</v>
      </c>
    </row>
    <row r="254" spans="1:22" x14ac:dyDescent="0.2">
      <c r="A254" s="810"/>
      <c r="B254" s="810"/>
      <c r="C254" s="811"/>
      <c r="D254" s="811" t="s">
        <v>50</v>
      </c>
      <c r="E254" s="812" t="s">
        <v>48</v>
      </c>
      <c r="F254" s="813">
        <f>175</f>
        <v>175</v>
      </c>
      <c r="G254" s="814"/>
      <c r="H254" s="815"/>
      <c r="I254" s="813"/>
      <c r="J254" s="816">
        <f>SUM(U246:U253)-J261</f>
        <v>3.08</v>
      </c>
      <c r="K254" s="813">
        <f>157</f>
        <v>157</v>
      </c>
      <c r="L254" s="816">
        <f>SUM(V246:V253)-L261</f>
        <v>67.78</v>
      </c>
    </row>
    <row r="255" spans="1:22" x14ac:dyDescent="0.2">
      <c r="A255" s="818"/>
      <c r="B255" s="818"/>
      <c r="C255" s="819"/>
      <c r="D255" s="819" t="s">
        <v>51</v>
      </c>
      <c r="E255" s="820" t="s">
        <v>52</v>
      </c>
      <c r="F255" s="821">
        <f>[87]Source!AQ1268</f>
        <v>91.8</v>
      </c>
      <c r="G255" s="822"/>
      <c r="H255" s="823">
        <f>[87]Source!DI1268</f>
        <v>0</v>
      </c>
      <c r="I255" s="821">
        <f>[87]Source!AV1269</f>
        <v>1.0669999999999999</v>
      </c>
      <c r="J255" s="824">
        <f>[87]Source!U1268</f>
        <v>15.12</v>
      </c>
      <c r="K255" s="821"/>
      <c r="L255" s="824"/>
    </row>
    <row r="256" spans="1:22" x14ac:dyDescent="0.2">
      <c r="D256" s="825" t="s">
        <v>81</v>
      </c>
      <c r="I256" s="808">
        <f>J247+J248+J250+J252+J253+J254+SUM(J251:J251)</f>
        <v>3425.2</v>
      </c>
      <c r="J256" s="808"/>
      <c r="K256" s="808">
        <f>L247+L248+L250+L252+L253+L254+SUM(L251:L251)</f>
        <v>25052.67</v>
      </c>
      <c r="L256" s="808"/>
      <c r="O256" s="826">
        <f>J247+J248+J250+J252+J253+J254+SUM(J251:J251)</f>
        <v>3425.2</v>
      </c>
      <c r="P256" s="826">
        <f>L247+L248+L250+L252+L253+L254+SUM(L251:L251)</f>
        <v>25052.67</v>
      </c>
    </row>
    <row r="258" spans="1:22" ht="48" x14ac:dyDescent="0.2">
      <c r="A258" s="810">
        <v>12</v>
      </c>
      <c r="B258" s="810" t="str">
        <f>CONCATENATE([87]Source!E1268, "/1")</f>
        <v>189/1</v>
      </c>
      <c r="C258" s="811" t="s">
        <v>627</v>
      </c>
      <c r="D258" s="811" t="s">
        <v>82</v>
      </c>
      <c r="E258" s="812" t="str">
        <f>[87]Source!H1268</f>
        <v>100 м2 поверхности воздуховодов</v>
      </c>
      <c r="F258" s="813">
        <f>[87]Source!I1268</f>
        <v>0.15440000000000001</v>
      </c>
      <c r="G258" s="814"/>
      <c r="H258" s="815"/>
      <c r="I258" s="813"/>
      <c r="J258" s="816"/>
      <c r="K258" s="813"/>
      <c r="L258" s="816"/>
    </row>
    <row r="259" spans="1:22" x14ac:dyDescent="0.2">
      <c r="A259" s="810"/>
      <c r="B259" s="810"/>
      <c r="C259" s="811"/>
      <c r="D259" s="811" t="s">
        <v>44</v>
      </c>
      <c r="E259" s="812"/>
      <c r="F259" s="813"/>
      <c r="G259" s="814">
        <f t="shared" ref="G259:L259" si="3">G260</f>
        <v>10.69</v>
      </c>
      <c r="H259" s="827" t="str">
        <f t="shared" si="3"/>
        <v>)*(1.67-1)</v>
      </c>
      <c r="I259" s="813">
        <f t="shared" si="3"/>
        <v>1.0669999999999999</v>
      </c>
      <c r="J259" s="816">
        <f t="shared" si="3"/>
        <v>1.18</v>
      </c>
      <c r="K259" s="813">
        <f t="shared" si="3"/>
        <v>24.53</v>
      </c>
      <c r="L259" s="816">
        <f t="shared" si="3"/>
        <v>28.95</v>
      </c>
    </row>
    <row r="260" spans="1:22" x14ac:dyDescent="0.2">
      <c r="A260" s="810"/>
      <c r="B260" s="810"/>
      <c r="C260" s="811"/>
      <c r="D260" s="811" t="s">
        <v>45</v>
      </c>
      <c r="E260" s="812"/>
      <c r="F260" s="813"/>
      <c r="G260" s="814">
        <f>[87]Source!AN1268</f>
        <v>10.69</v>
      </c>
      <c r="H260" s="827" t="s">
        <v>53</v>
      </c>
      <c r="I260" s="813">
        <f>[87]Source!AV1269</f>
        <v>1.0669999999999999</v>
      </c>
      <c r="J260" s="817">
        <f>ROUND(F246*G260*I260*(1.67-1), 2)</f>
        <v>1.18</v>
      </c>
      <c r="K260" s="813">
        <f>IF([87]Source!BS1269&lt;&gt; 0, [87]Source!BS1269, 1)</f>
        <v>24.53</v>
      </c>
      <c r="L260" s="817">
        <f>ROUND(ROUND(F246*G260*I260*(1.67-1), 2)*K260, 2)</f>
        <v>28.95</v>
      </c>
    </row>
    <row r="261" spans="1:22" x14ac:dyDescent="0.2">
      <c r="A261" s="810"/>
      <c r="B261" s="810"/>
      <c r="C261" s="811"/>
      <c r="D261" s="811" t="s">
        <v>50</v>
      </c>
      <c r="E261" s="812" t="s">
        <v>48</v>
      </c>
      <c r="F261" s="813">
        <f>175</f>
        <v>175</v>
      </c>
      <c r="G261" s="814"/>
      <c r="H261" s="815"/>
      <c r="I261" s="813"/>
      <c r="J261" s="816">
        <f>ROUND(J260*(F261/100), 2)</f>
        <v>2.0699999999999998</v>
      </c>
      <c r="K261" s="813">
        <f>157</f>
        <v>157</v>
      </c>
      <c r="L261" s="816">
        <f>ROUND(L260*(K261/100), 2)</f>
        <v>45.45</v>
      </c>
    </row>
    <row r="262" spans="1:22" x14ac:dyDescent="0.2">
      <c r="A262" s="828"/>
      <c r="B262" s="828"/>
      <c r="C262" s="828"/>
      <c r="D262" s="829" t="s">
        <v>81</v>
      </c>
      <c r="E262" s="828"/>
      <c r="F262" s="828"/>
      <c r="G262" s="828"/>
      <c r="H262" s="828"/>
      <c r="I262" s="830">
        <f>J261+J260</f>
        <v>3.25</v>
      </c>
      <c r="J262" s="830"/>
      <c r="K262" s="830">
        <f>L261+L260</f>
        <v>74.400000000000006</v>
      </c>
      <c r="L262" s="830"/>
      <c r="O262" s="826">
        <f>I262</f>
        <v>3.25</v>
      </c>
      <c r="P262" s="826">
        <f>K262</f>
        <v>74.400000000000006</v>
      </c>
    </row>
    <row r="264" spans="1:22" ht="48" x14ac:dyDescent="0.2">
      <c r="A264" s="810">
        <v>13</v>
      </c>
      <c r="B264" s="810" t="str">
        <f>[87]Source!E1272</f>
        <v>190</v>
      </c>
      <c r="C264" s="811" t="s">
        <v>628</v>
      </c>
      <c r="D264" s="811" t="s">
        <v>339</v>
      </c>
      <c r="E264" s="812" t="str">
        <f>[87]Source!H1272</f>
        <v>100 м2 поверхности воздуховодов</v>
      </c>
      <c r="F264" s="813">
        <f>[87]Source!I1272</f>
        <v>0.1239</v>
      </c>
      <c r="G264" s="814"/>
      <c r="H264" s="815"/>
      <c r="I264" s="813"/>
      <c r="J264" s="816"/>
      <c r="K264" s="813"/>
      <c r="L264" s="816"/>
      <c r="Q264" s="788">
        <f>[87]Source!X1272</f>
        <v>231.8</v>
      </c>
      <c r="R264" s="788">
        <f>[87]Source!X1273</f>
        <v>4548.84</v>
      </c>
      <c r="S264" s="788">
        <f>[87]Source!Y1272</f>
        <v>174.31</v>
      </c>
      <c r="T264" s="788">
        <f>[87]Source!Y1273</f>
        <v>2046.98</v>
      </c>
      <c r="U264" s="788">
        <f>ROUND((175/100)*ROUND([87]Source!R1272, 2), 2)</f>
        <v>4.38</v>
      </c>
      <c r="V264" s="788">
        <f>ROUND((157/100)*ROUND([87]Source!R1273, 2), 2)</f>
        <v>96.29</v>
      </c>
    </row>
    <row r="265" spans="1:22" x14ac:dyDescent="0.2">
      <c r="A265" s="810"/>
      <c r="B265" s="810"/>
      <c r="C265" s="811"/>
      <c r="D265" s="811" t="s">
        <v>43</v>
      </c>
      <c r="E265" s="812"/>
      <c r="F265" s="813"/>
      <c r="G265" s="814">
        <f>[87]Source!AO1272</f>
        <v>839.94</v>
      </c>
      <c r="H265" s="815" t="str">
        <f>[87]Source!DG1272</f>
        <v>)*1,67</v>
      </c>
      <c r="I265" s="813">
        <f>[87]Source!AV1273</f>
        <v>1.0669999999999999</v>
      </c>
      <c r="J265" s="816">
        <f>[87]Source!S1272</f>
        <v>185.44</v>
      </c>
      <c r="K265" s="813">
        <f>IF([87]Source!BA1273&lt;&gt; 0, [87]Source!BA1273, 1)</f>
        <v>24.53</v>
      </c>
      <c r="L265" s="816">
        <f>[87]Source!S1273</f>
        <v>4548.84</v>
      </c>
    </row>
    <row r="266" spans="1:22" x14ac:dyDescent="0.2">
      <c r="A266" s="810"/>
      <c r="B266" s="810"/>
      <c r="C266" s="811"/>
      <c r="D266" s="811" t="s">
        <v>44</v>
      </c>
      <c r="E266" s="812"/>
      <c r="F266" s="813"/>
      <c r="G266" s="814">
        <f>[87]Source!AM1272</f>
        <v>92.82</v>
      </c>
      <c r="H266" s="815">
        <f>[87]Source!DE1272</f>
        <v>0</v>
      </c>
      <c r="I266" s="813">
        <f>[87]Source!AV1273</f>
        <v>1.0669999999999999</v>
      </c>
      <c r="J266" s="816">
        <f>[87]Source!Q1272-J277</f>
        <v>12.27</v>
      </c>
      <c r="K266" s="813">
        <f>IF([87]Source!BB1273&lt;&gt; 0, [87]Source!BB1273, 1)</f>
        <v>8.7200000000000006</v>
      </c>
      <c r="L266" s="816">
        <f>[87]Source!Q1273-L277</f>
        <v>106.99</v>
      </c>
    </row>
    <row r="267" spans="1:22" x14ac:dyDescent="0.2">
      <c r="A267" s="810"/>
      <c r="B267" s="810"/>
      <c r="C267" s="811"/>
      <c r="D267" s="811" t="s">
        <v>45</v>
      </c>
      <c r="E267" s="812"/>
      <c r="F267" s="813"/>
      <c r="G267" s="814">
        <f>[87]Source!AN1272</f>
        <v>11.34</v>
      </c>
      <c r="H267" s="815">
        <f>[87]Source!DE1272</f>
        <v>0</v>
      </c>
      <c r="I267" s="813">
        <f>[87]Source!AV1273</f>
        <v>1.0669999999999999</v>
      </c>
      <c r="J267" s="817">
        <f>[87]Source!R1272-J278</f>
        <v>1.5</v>
      </c>
      <c r="K267" s="813">
        <f>IF([87]Source!BS1273&lt;&gt; 0, [87]Source!BS1273, 1)</f>
        <v>24.53</v>
      </c>
      <c r="L267" s="817">
        <f>[87]Source!R1273-L278</f>
        <v>36.799999999999997</v>
      </c>
    </row>
    <row r="268" spans="1:22" x14ac:dyDescent="0.2">
      <c r="A268" s="810"/>
      <c r="B268" s="810"/>
      <c r="C268" s="811"/>
      <c r="D268" s="811" t="s">
        <v>46</v>
      </c>
      <c r="E268" s="812"/>
      <c r="F268" s="813"/>
      <c r="G268" s="814">
        <f>[87]Source!AL1272</f>
        <v>490.65</v>
      </c>
      <c r="H268" s="815">
        <f>[87]Source!DD1272</f>
        <v>0</v>
      </c>
      <c r="I268" s="813">
        <f>[87]Source!AW1273</f>
        <v>1</v>
      </c>
      <c r="J268" s="816">
        <f>[87]Source!P1272</f>
        <v>60.79</v>
      </c>
      <c r="K268" s="813">
        <f>IF([87]Source!BC1273&lt;&gt; 0, [87]Source!BC1273, 1)</f>
        <v>3.95</v>
      </c>
      <c r="L268" s="816">
        <f>[87]Source!P1273</f>
        <v>240.12</v>
      </c>
    </row>
    <row r="269" spans="1:22" ht="36" x14ac:dyDescent="0.2">
      <c r="A269" s="810">
        <v>14</v>
      </c>
      <c r="B269" s="810" t="str">
        <f>[87]Source!E1274</f>
        <v>190,1</v>
      </c>
      <c r="C269" s="811" t="str">
        <f>[87]Source!F1274</f>
        <v>1.19-3-13</v>
      </c>
      <c r="D269" s="811" t="s">
        <v>315</v>
      </c>
      <c r="E269" s="812" t="str">
        <f>[87]Source!H1274</f>
        <v>м2</v>
      </c>
      <c r="F269" s="813">
        <f>[87]Source!I1274</f>
        <v>12.39</v>
      </c>
      <c r="G269" s="814">
        <f>[87]Source!AK1274</f>
        <v>157.54</v>
      </c>
      <c r="H269" s="843" t="s">
        <v>20</v>
      </c>
      <c r="I269" s="813">
        <f>[87]Source!AW1275</f>
        <v>1</v>
      </c>
      <c r="J269" s="816">
        <f>[87]Source!O1274</f>
        <v>1951.92</v>
      </c>
      <c r="K269" s="813">
        <f>IF([87]Source!BC1275&lt;&gt; 0, [87]Source!BC1275, 1)</f>
        <v>3.07</v>
      </c>
      <c r="L269" s="816">
        <f>[87]Source!O1275</f>
        <v>5992.39</v>
      </c>
      <c r="Q269" s="788">
        <f>[87]Source!X1274</f>
        <v>0</v>
      </c>
      <c r="R269" s="788">
        <f>[87]Source!X1275</f>
        <v>0</v>
      </c>
      <c r="S269" s="788">
        <f>[87]Source!Y1274</f>
        <v>0</v>
      </c>
      <c r="T269" s="788">
        <f>[87]Source!Y1275</f>
        <v>0</v>
      </c>
      <c r="U269" s="788">
        <f>ROUND((175/100)*ROUND([87]Source!R1274, 2), 2)</f>
        <v>0</v>
      </c>
      <c r="V269" s="788">
        <f>ROUND((157/100)*ROUND([87]Source!R1275, 2), 2)</f>
        <v>0</v>
      </c>
    </row>
    <row r="270" spans="1:22" x14ac:dyDescent="0.2">
      <c r="A270" s="810"/>
      <c r="B270" s="810"/>
      <c r="C270" s="811"/>
      <c r="D270" s="811" t="s">
        <v>47</v>
      </c>
      <c r="E270" s="812" t="s">
        <v>48</v>
      </c>
      <c r="F270" s="813">
        <f>[87]Source!DN1273</f>
        <v>125</v>
      </c>
      <c r="G270" s="814"/>
      <c r="H270" s="815"/>
      <c r="I270" s="813"/>
      <c r="J270" s="816">
        <f>SUM(Q264:Q269)</f>
        <v>231.8</v>
      </c>
      <c r="K270" s="813">
        <f>[87]Source!BZ1273</f>
        <v>100</v>
      </c>
      <c r="L270" s="816">
        <f>SUM(R264:R269)</f>
        <v>4548.84</v>
      </c>
    </row>
    <row r="271" spans="1:22" x14ac:dyDescent="0.2">
      <c r="A271" s="810"/>
      <c r="B271" s="810"/>
      <c r="C271" s="811"/>
      <c r="D271" s="811" t="s">
        <v>49</v>
      </c>
      <c r="E271" s="812" t="s">
        <v>48</v>
      </c>
      <c r="F271" s="813">
        <f>[87]Source!DO1273</f>
        <v>94</v>
      </c>
      <c r="G271" s="814"/>
      <c r="H271" s="815"/>
      <c r="I271" s="813"/>
      <c r="J271" s="816">
        <f>SUM(S264:S270)</f>
        <v>174.31</v>
      </c>
      <c r="K271" s="813">
        <f>[87]Source!CA1273</f>
        <v>45</v>
      </c>
      <c r="L271" s="816">
        <f>SUM(T264:T270)</f>
        <v>2046.98</v>
      </c>
    </row>
    <row r="272" spans="1:22" x14ac:dyDescent="0.2">
      <c r="A272" s="810"/>
      <c r="B272" s="810"/>
      <c r="C272" s="811"/>
      <c r="D272" s="811" t="s">
        <v>50</v>
      </c>
      <c r="E272" s="812" t="s">
        <v>48</v>
      </c>
      <c r="F272" s="813">
        <f>175</f>
        <v>175</v>
      </c>
      <c r="G272" s="814"/>
      <c r="H272" s="815"/>
      <c r="I272" s="813"/>
      <c r="J272" s="816">
        <f>SUM(U264:U271)-J279</f>
        <v>2.63</v>
      </c>
      <c r="K272" s="813">
        <f>157</f>
        <v>157</v>
      </c>
      <c r="L272" s="816">
        <f>SUM(V264:V271)-L279</f>
        <v>57.78</v>
      </c>
    </row>
    <row r="273" spans="1:16" x14ac:dyDescent="0.2">
      <c r="A273" s="818"/>
      <c r="B273" s="818"/>
      <c r="C273" s="819"/>
      <c r="D273" s="819" t="s">
        <v>51</v>
      </c>
      <c r="E273" s="820" t="s">
        <v>52</v>
      </c>
      <c r="F273" s="821">
        <f>[87]Source!AQ1272</f>
        <v>74.2</v>
      </c>
      <c r="G273" s="822"/>
      <c r="H273" s="823">
        <f>[87]Source!DI1272</f>
        <v>0</v>
      </c>
      <c r="I273" s="821">
        <f>[87]Source!AV1273</f>
        <v>1.0669999999999999</v>
      </c>
      <c r="J273" s="824">
        <f>[87]Source!U1272</f>
        <v>9.81</v>
      </c>
      <c r="K273" s="821"/>
      <c r="L273" s="824"/>
    </row>
    <row r="274" spans="1:16" x14ac:dyDescent="0.2">
      <c r="D274" s="825" t="s">
        <v>81</v>
      </c>
      <c r="I274" s="808">
        <f>J265+J266+J268+J270+J271+J272+SUM(J269:J269)</f>
        <v>2619.16</v>
      </c>
      <c r="J274" s="808"/>
      <c r="K274" s="808">
        <f>L265+L266+L268+L270+L271+L272+SUM(L269:L269)</f>
        <v>17541.939999999999</v>
      </c>
      <c r="L274" s="808"/>
      <c r="O274" s="826">
        <f>J265+J266+J268+J270+J271+J272+SUM(J269:J269)</f>
        <v>2619.16</v>
      </c>
      <c r="P274" s="826">
        <f>L265+L266+L268+L270+L271+L272+SUM(L269:L269)</f>
        <v>17541.939999999999</v>
      </c>
    </row>
    <row r="276" spans="1:16" ht="48" x14ac:dyDescent="0.2">
      <c r="A276" s="810">
        <v>15</v>
      </c>
      <c r="B276" s="810" t="str">
        <f>CONCATENATE([87]Source!E1272, "/1")</f>
        <v>190/1</v>
      </c>
      <c r="C276" s="811" t="s">
        <v>629</v>
      </c>
      <c r="D276" s="811" t="s">
        <v>82</v>
      </c>
      <c r="E276" s="812" t="str">
        <f>[87]Source!H1272</f>
        <v>100 м2 поверхности воздуховодов</v>
      </c>
      <c r="F276" s="813">
        <f>[87]Source!I1272</f>
        <v>0.1239</v>
      </c>
      <c r="G276" s="814"/>
      <c r="H276" s="815"/>
      <c r="I276" s="813"/>
      <c r="J276" s="816"/>
      <c r="K276" s="813"/>
      <c r="L276" s="816"/>
    </row>
    <row r="277" spans="1:16" x14ac:dyDescent="0.2">
      <c r="A277" s="810"/>
      <c r="B277" s="810"/>
      <c r="C277" s="811"/>
      <c r="D277" s="811" t="s">
        <v>44</v>
      </c>
      <c r="E277" s="812"/>
      <c r="F277" s="813"/>
      <c r="G277" s="814">
        <f t="shared" ref="G277:L277" si="4">G278</f>
        <v>11.34</v>
      </c>
      <c r="H277" s="827" t="str">
        <f t="shared" si="4"/>
        <v>)*(1.67-1)</v>
      </c>
      <c r="I277" s="813">
        <f t="shared" si="4"/>
        <v>1.0669999999999999</v>
      </c>
      <c r="J277" s="816">
        <f t="shared" si="4"/>
        <v>1</v>
      </c>
      <c r="K277" s="813">
        <f t="shared" si="4"/>
        <v>24.53</v>
      </c>
      <c r="L277" s="816">
        <f t="shared" si="4"/>
        <v>24.53</v>
      </c>
    </row>
    <row r="278" spans="1:16" x14ac:dyDescent="0.2">
      <c r="A278" s="810"/>
      <c r="B278" s="810"/>
      <c r="C278" s="811"/>
      <c r="D278" s="811" t="s">
        <v>45</v>
      </c>
      <c r="E278" s="812"/>
      <c r="F278" s="813"/>
      <c r="G278" s="814">
        <f>[87]Source!AN1272</f>
        <v>11.34</v>
      </c>
      <c r="H278" s="827" t="s">
        <v>53</v>
      </c>
      <c r="I278" s="813">
        <f>[87]Source!AV1273</f>
        <v>1.0669999999999999</v>
      </c>
      <c r="J278" s="817">
        <f>ROUND(F264*G278*I278*(1.67-1), 2)</f>
        <v>1</v>
      </c>
      <c r="K278" s="813">
        <f>IF([87]Source!BS1273&lt;&gt; 0, [87]Source!BS1273, 1)</f>
        <v>24.53</v>
      </c>
      <c r="L278" s="817">
        <f>ROUND(ROUND(F264*G278*I278*(1.67-1), 2)*K278, 2)</f>
        <v>24.53</v>
      </c>
    </row>
    <row r="279" spans="1:16" x14ac:dyDescent="0.2">
      <c r="A279" s="810"/>
      <c r="B279" s="810"/>
      <c r="C279" s="811"/>
      <c r="D279" s="811" t="s">
        <v>50</v>
      </c>
      <c r="E279" s="812" t="s">
        <v>48</v>
      </c>
      <c r="F279" s="813">
        <f>175</f>
        <v>175</v>
      </c>
      <c r="G279" s="814"/>
      <c r="H279" s="815"/>
      <c r="I279" s="813"/>
      <c r="J279" s="816">
        <f>ROUND(J278*(F279/100), 2)</f>
        <v>1.75</v>
      </c>
      <c r="K279" s="813">
        <f>157</f>
        <v>157</v>
      </c>
      <c r="L279" s="816">
        <f>ROUND(L278*(K279/100), 2)</f>
        <v>38.51</v>
      </c>
    </row>
    <row r="280" spans="1:16" x14ac:dyDescent="0.2">
      <c r="A280" s="828"/>
      <c r="B280" s="828"/>
      <c r="C280" s="828"/>
      <c r="D280" s="829" t="s">
        <v>81</v>
      </c>
      <c r="E280" s="828"/>
      <c r="F280" s="828"/>
      <c r="G280" s="828"/>
      <c r="H280" s="828"/>
      <c r="I280" s="830">
        <f>J279+J278</f>
        <v>2.75</v>
      </c>
      <c r="J280" s="830"/>
      <c r="K280" s="830">
        <f>L279+L278</f>
        <v>63.04</v>
      </c>
      <c r="L280" s="830"/>
      <c r="O280" s="826">
        <f>I280</f>
        <v>2.75</v>
      </c>
      <c r="P280" s="826">
        <f>K280</f>
        <v>63.04</v>
      </c>
    </row>
    <row r="283" spans="1:16" x14ac:dyDescent="0.2">
      <c r="A283" s="807" t="str">
        <f>CONCATENATE("Итого по подразделу: ",IF([87]Source!G1385&lt;&gt;"Новый подраздел", [87]Source!G1385, ""))</f>
        <v>Итого по подразделу: В2-35</v>
      </c>
      <c r="B283" s="807"/>
      <c r="C283" s="807"/>
      <c r="D283" s="807"/>
      <c r="E283" s="807"/>
      <c r="F283" s="807"/>
      <c r="G283" s="807"/>
      <c r="H283" s="807"/>
      <c r="I283" s="808">
        <f>SUM(O245:O282)</f>
        <v>6050.36</v>
      </c>
      <c r="J283" s="809"/>
      <c r="K283" s="808">
        <f>SUM(P245:P282)</f>
        <v>42732.05</v>
      </c>
      <c r="L283" s="809"/>
    </row>
    <row r="284" spans="1:16" hidden="1" x14ac:dyDescent="0.2">
      <c r="A284" s="788" t="s">
        <v>54</v>
      </c>
      <c r="J284" s="788">
        <f>SUM(W245:W283)</f>
        <v>0</v>
      </c>
      <c r="K284" s="788">
        <f>SUM(X245:X283)</f>
        <v>0</v>
      </c>
    </row>
    <row r="285" spans="1:16" hidden="1" x14ac:dyDescent="0.2">
      <c r="A285" s="788" t="s">
        <v>55</v>
      </c>
      <c r="J285" s="788">
        <f>SUM(Y245:Y284)</f>
        <v>0</v>
      </c>
      <c r="K285" s="788">
        <f>SUM(Z245:Z284)</f>
        <v>0</v>
      </c>
    </row>
    <row r="287" spans="1:16" hidden="1" x14ac:dyDescent="0.2">
      <c r="A287" s="805" t="str">
        <f>CONCATENATE("Подраздел: ",IF([87]Source!G1415&lt;&gt;"Новый подраздел", [87]Source!G1415, ""))</f>
        <v>Подраздел: Грунтовка Лист 20 п. 63.</v>
      </c>
      <c r="B287" s="805"/>
      <c r="C287" s="805"/>
      <c r="D287" s="805"/>
      <c r="E287" s="805"/>
      <c r="F287" s="805"/>
      <c r="G287" s="805"/>
      <c r="H287" s="805"/>
      <c r="I287" s="805"/>
      <c r="J287" s="805"/>
      <c r="K287" s="805"/>
      <c r="L287" s="805"/>
    </row>
    <row r="288" spans="1:16" hidden="1" x14ac:dyDescent="0.2"/>
    <row r="289" spans="1:32" hidden="1" x14ac:dyDescent="0.2">
      <c r="A289" s="807" t="str">
        <f>CONCATENATE("Итого по подразделу: ",IF([87]Source!G1424&lt;&gt;"Новый подраздел", [87]Source!G1424, ""))</f>
        <v>Итого по подразделу: Грунтовка Лист 20 п. 63.</v>
      </c>
      <c r="B289" s="807"/>
      <c r="C289" s="807"/>
      <c r="D289" s="807"/>
      <c r="E289" s="807"/>
      <c r="F289" s="807"/>
      <c r="G289" s="807"/>
      <c r="H289" s="807"/>
      <c r="I289" s="808">
        <f>SUM(O287:O288)</f>
        <v>0</v>
      </c>
      <c r="J289" s="809"/>
      <c r="K289" s="808">
        <f>SUM(P287:P288)</f>
        <v>0</v>
      </c>
      <c r="L289" s="809"/>
    </row>
    <row r="290" spans="1:32" hidden="1" x14ac:dyDescent="0.2">
      <c r="A290" s="788" t="s">
        <v>54</v>
      </c>
      <c r="J290" s="788">
        <f>SUM(W287:W289)</f>
        <v>0</v>
      </c>
      <c r="K290" s="788">
        <f>SUM(X287:X289)</f>
        <v>0</v>
      </c>
    </row>
    <row r="291" spans="1:32" hidden="1" x14ac:dyDescent="0.2">
      <c r="A291" s="788" t="s">
        <v>55</v>
      </c>
      <c r="J291" s="788">
        <f>SUM(Y287:Y290)</f>
        <v>0</v>
      </c>
      <c r="K291" s="788">
        <f>SUM(Z287:Z290)</f>
        <v>0</v>
      </c>
    </row>
    <row r="292" spans="1:32" hidden="1" x14ac:dyDescent="0.2"/>
    <row r="293" spans="1:32" hidden="1" x14ac:dyDescent="0.2">
      <c r="A293" s="805" t="str">
        <f>CONCATENATE("Подраздел: ",IF([87]Source!G1454&lt;&gt;"Новый подраздел", [87]Source!G1454, ""))</f>
        <v>Подраздел: Обустройство узлов фиксации гермоклапанов и люк-вставок</v>
      </c>
      <c r="B293" s="805"/>
      <c r="C293" s="805"/>
      <c r="D293" s="805"/>
      <c r="E293" s="805"/>
      <c r="F293" s="805"/>
      <c r="G293" s="805"/>
      <c r="H293" s="805"/>
      <c r="I293" s="805"/>
      <c r="J293" s="805"/>
      <c r="K293" s="805"/>
      <c r="L293" s="805"/>
    </row>
    <row r="294" spans="1:32" hidden="1" x14ac:dyDescent="0.2"/>
    <row r="295" spans="1:32" hidden="1" x14ac:dyDescent="0.2">
      <c r="A295" s="807" t="str">
        <f>CONCATENATE("Итого по подразделу: ",IF([87]Source!G1485&lt;&gt;"Новый подраздел", [87]Source!G1485, ""))</f>
        <v>Итого по подразделу: Обустройство узлов фиксации гермоклапанов и люк-вставок</v>
      </c>
      <c r="B295" s="807"/>
      <c r="C295" s="807"/>
      <c r="D295" s="807"/>
      <c r="E295" s="807"/>
      <c r="F295" s="807"/>
      <c r="G295" s="807"/>
      <c r="H295" s="807"/>
      <c r="I295" s="808">
        <f>SUM(O293:O294)</f>
        <v>0</v>
      </c>
      <c r="J295" s="809"/>
      <c r="K295" s="808">
        <f>SUM(P293:P294)</f>
        <v>0</v>
      </c>
      <c r="L295" s="809"/>
      <c r="AF295" s="844" t="str">
        <f>CONCATENATE("Итого по подразделу: ",IF([87]Source!G1485&lt;&gt;"Новый подраздел", [87]Source!G1485, ""))</f>
        <v>Итого по подразделу: Обустройство узлов фиксации гермоклапанов и люк-вставок</v>
      </c>
    </row>
    <row r="296" spans="1:32" hidden="1" x14ac:dyDescent="0.2">
      <c r="A296" s="788" t="s">
        <v>54</v>
      </c>
      <c r="J296" s="788">
        <f>SUM(W293:W295)</f>
        <v>0</v>
      </c>
      <c r="K296" s="788">
        <f>SUM(X293:X295)</f>
        <v>0</v>
      </c>
    </row>
    <row r="297" spans="1:32" hidden="1" x14ac:dyDescent="0.2">
      <c r="A297" s="788" t="s">
        <v>55</v>
      </c>
      <c r="J297" s="788">
        <f>SUM(Y293:Y296)</f>
        <v>0</v>
      </c>
      <c r="K297" s="788">
        <f>SUM(Z293:Z296)</f>
        <v>0</v>
      </c>
    </row>
    <row r="298" spans="1:32" hidden="1" x14ac:dyDescent="0.2"/>
    <row r="299" spans="1:32" hidden="1" x14ac:dyDescent="0.2">
      <c r="A299" s="805" t="str">
        <f>CONCATENATE("Подраздел: ",IF([87]Source!G1515&lt;&gt;"Новый подраздел", [87]Source!G1515, ""))</f>
        <v>Подраздел: Грунтовка Лист 21 п. 68</v>
      </c>
      <c r="B299" s="805"/>
      <c r="C299" s="805"/>
      <c r="D299" s="805"/>
      <c r="E299" s="805"/>
      <c r="F299" s="805"/>
      <c r="G299" s="805"/>
      <c r="H299" s="805"/>
      <c r="I299" s="805"/>
      <c r="J299" s="805"/>
      <c r="K299" s="805"/>
      <c r="L299" s="805"/>
    </row>
    <row r="300" spans="1:32" hidden="1" x14ac:dyDescent="0.2"/>
    <row r="301" spans="1:32" hidden="1" x14ac:dyDescent="0.2">
      <c r="A301" s="807" t="str">
        <f>CONCATENATE("Итого по подразделу: ",IF([87]Source!G1524&lt;&gt;"Новый подраздел", [87]Source!G1524, ""))</f>
        <v>Итого по подразделу: Грунтовка Лист 21 п. 68</v>
      </c>
      <c r="B301" s="807"/>
      <c r="C301" s="807"/>
      <c r="D301" s="807"/>
      <c r="E301" s="807"/>
      <c r="F301" s="807"/>
      <c r="G301" s="807"/>
      <c r="H301" s="807"/>
      <c r="I301" s="808">
        <f>SUM(O299:O300)</f>
        <v>0</v>
      </c>
      <c r="J301" s="809"/>
      <c r="K301" s="808">
        <f>SUM(P299:P300)</f>
        <v>0</v>
      </c>
      <c r="L301" s="809"/>
    </row>
    <row r="302" spans="1:32" hidden="1" x14ac:dyDescent="0.2">
      <c r="A302" s="788" t="s">
        <v>54</v>
      </c>
      <c r="J302" s="788">
        <f>SUM(W299:W301)</f>
        <v>0</v>
      </c>
      <c r="K302" s="788">
        <f>SUM(X299:X301)</f>
        <v>0</v>
      </c>
    </row>
    <row r="303" spans="1:32" hidden="1" x14ac:dyDescent="0.2">
      <c r="A303" s="788" t="s">
        <v>55</v>
      </c>
      <c r="J303" s="788">
        <f>SUM(Y299:Y302)</f>
        <v>0</v>
      </c>
      <c r="K303" s="788">
        <f>SUM(Z299:Z302)</f>
        <v>0</v>
      </c>
    </row>
    <row r="304" spans="1:32" hidden="1" x14ac:dyDescent="0.2"/>
    <row r="305" spans="1:12" x14ac:dyDescent="0.2">
      <c r="A305" s="807" t="str">
        <f>CONCATENATE("Итого по разделу: ",IF([87]Source!G1554&lt;&gt;"Новый раздел", [87]Source!G1554, ""))</f>
        <v>Итого по разделу: Вентиляция</v>
      </c>
      <c r="B305" s="807"/>
      <c r="C305" s="807"/>
      <c r="D305" s="807"/>
      <c r="E305" s="807"/>
      <c r="F305" s="807"/>
      <c r="G305" s="807"/>
      <c r="H305" s="807"/>
      <c r="I305" s="808">
        <f>SUM(O50:O304)</f>
        <v>6050.36</v>
      </c>
      <c r="J305" s="809"/>
      <c r="K305" s="808">
        <f>SUM(P50:P304)</f>
        <v>42732.05</v>
      </c>
      <c r="L305" s="809"/>
    </row>
    <row r="306" spans="1:12" hidden="1" x14ac:dyDescent="0.2">
      <c r="A306" s="788" t="s">
        <v>54</v>
      </c>
      <c r="J306" s="788">
        <f>SUM(W50:W305)</f>
        <v>0</v>
      </c>
      <c r="K306" s="788">
        <f>SUM(X50:X305)</f>
        <v>0</v>
      </c>
    </row>
    <row r="307" spans="1:12" hidden="1" x14ac:dyDescent="0.2">
      <c r="A307" s="788" t="s">
        <v>55</v>
      </c>
      <c r="J307" s="788">
        <f>SUM(Y50:Y306)</f>
        <v>0</v>
      </c>
      <c r="K307" s="788">
        <f>SUM(Z50:Z306)</f>
        <v>0</v>
      </c>
    </row>
    <row r="309" spans="1:12" hidden="1" x14ac:dyDescent="0.2">
      <c r="A309" s="805" t="str">
        <f>CONCATENATE("Раздел: ",IF([87]Source!G1584&lt;&gt;"Новый раздел", [87]Source!G1584, ""))</f>
        <v>Раздел: Противодымная вентиляция</v>
      </c>
      <c r="B309" s="805"/>
      <c r="C309" s="805"/>
      <c r="D309" s="805"/>
      <c r="E309" s="805"/>
      <c r="F309" s="805"/>
      <c r="G309" s="805"/>
      <c r="H309" s="805"/>
      <c r="I309" s="805"/>
      <c r="J309" s="805"/>
      <c r="K309" s="805"/>
      <c r="L309" s="805"/>
    </row>
    <row r="310" spans="1:12" hidden="1" x14ac:dyDescent="0.2"/>
    <row r="311" spans="1:12" hidden="1" x14ac:dyDescent="0.2">
      <c r="A311" s="805" t="str">
        <f>CONCATENATE("Подраздел: ",IF([87]Source!G1588&lt;&gt;"Новый подраздел", [87]Source!G1588, ""))</f>
        <v>Подраздел: ВД2-1</v>
      </c>
      <c r="B311" s="805"/>
      <c r="C311" s="805"/>
      <c r="D311" s="805"/>
      <c r="E311" s="805"/>
      <c r="F311" s="805"/>
      <c r="G311" s="805"/>
      <c r="H311" s="805"/>
      <c r="I311" s="805"/>
      <c r="J311" s="805"/>
      <c r="K311" s="805"/>
      <c r="L311" s="805"/>
    </row>
    <row r="312" spans="1:12" hidden="1" x14ac:dyDescent="0.2"/>
    <row r="313" spans="1:12" hidden="1" x14ac:dyDescent="0.2">
      <c r="A313" s="807" t="str">
        <f>CONCATENATE("Итого по подразделу: ",IF([87]Source!G1651&lt;&gt;"Новый подраздел", [87]Source!G1651, ""))</f>
        <v>Итого по подразделу: ВД2-1</v>
      </c>
      <c r="B313" s="807"/>
      <c r="C313" s="807"/>
      <c r="D313" s="807"/>
      <c r="E313" s="807"/>
      <c r="F313" s="807"/>
      <c r="G313" s="807"/>
      <c r="H313" s="807"/>
      <c r="I313" s="808">
        <f>SUM(O311:O312)</f>
        <v>0</v>
      </c>
      <c r="J313" s="809"/>
      <c r="K313" s="808">
        <f>SUM(P311:P312)</f>
        <v>0</v>
      </c>
      <c r="L313" s="809"/>
    </row>
    <row r="314" spans="1:12" hidden="1" x14ac:dyDescent="0.2">
      <c r="A314" s="788" t="s">
        <v>54</v>
      </c>
      <c r="J314" s="788">
        <f>SUM(W311:W313)</f>
        <v>0</v>
      </c>
      <c r="K314" s="788">
        <f>SUM(X311:X313)</f>
        <v>0</v>
      </c>
    </row>
    <row r="315" spans="1:12" hidden="1" x14ac:dyDescent="0.2">
      <c r="A315" s="788" t="s">
        <v>55</v>
      </c>
      <c r="J315" s="788">
        <f>SUM(Y311:Y314)</f>
        <v>0</v>
      </c>
      <c r="K315" s="788">
        <f>SUM(Z311:Z314)</f>
        <v>0</v>
      </c>
    </row>
    <row r="316" spans="1:12" hidden="1" x14ac:dyDescent="0.2"/>
    <row r="317" spans="1:12" hidden="1" x14ac:dyDescent="0.2">
      <c r="A317" s="805" t="str">
        <f>CONCATENATE("Подраздел: ",IF([87]Source!G1681&lt;&gt;"Новый подраздел", [87]Source!G1681, ""))</f>
        <v>Подраздел: ПД2-1</v>
      </c>
      <c r="B317" s="805"/>
      <c r="C317" s="805"/>
      <c r="D317" s="805"/>
      <c r="E317" s="805"/>
      <c r="F317" s="805"/>
      <c r="G317" s="805"/>
      <c r="H317" s="805"/>
      <c r="I317" s="805"/>
      <c r="J317" s="805"/>
      <c r="K317" s="805"/>
      <c r="L317" s="805"/>
    </row>
    <row r="318" spans="1:12" hidden="1" x14ac:dyDescent="0.2"/>
    <row r="319" spans="1:12" hidden="1" x14ac:dyDescent="0.2">
      <c r="A319" s="807" t="str">
        <f>CONCATENATE("Итого по подразделу: ",IF([87]Source!G1742&lt;&gt;"Новый подраздел", [87]Source!G1742, ""))</f>
        <v>Итого по подразделу: ПД2-1</v>
      </c>
      <c r="B319" s="807"/>
      <c r="C319" s="807"/>
      <c r="D319" s="807"/>
      <c r="E319" s="807"/>
      <c r="F319" s="807"/>
      <c r="G319" s="807"/>
      <c r="H319" s="807"/>
      <c r="I319" s="808">
        <f>SUM(O317:O318)</f>
        <v>0</v>
      </c>
      <c r="J319" s="809"/>
      <c r="K319" s="808">
        <f>SUM(P317:P318)</f>
        <v>0</v>
      </c>
      <c r="L319" s="809"/>
    </row>
    <row r="320" spans="1:12" hidden="1" x14ac:dyDescent="0.2">
      <c r="A320" s="788" t="s">
        <v>54</v>
      </c>
      <c r="J320" s="788">
        <f>SUM(W317:W319)</f>
        <v>0</v>
      </c>
      <c r="K320" s="788">
        <f>SUM(X317:X319)</f>
        <v>0</v>
      </c>
    </row>
    <row r="321" spans="1:12" hidden="1" x14ac:dyDescent="0.2">
      <c r="A321" s="788" t="s">
        <v>55</v>
      </c>
      <c r="J321" s="788">
        <f>SUM(Y317:Y320)</f>
        <v>0</v>
      </c>
      <c r="K321" s="788">
        <f>SUM(Z317:Z320)</f>
        <v>0</v>
      </c>
    </row>
    <row r="322" spans="1:12" hidden="1" x14ac:dyDescent="0.2"/>
    <row r="323" spans="1:12" hidden="1" x14ac:dyDescent="0.2">
      <c r="A323" s="805" t="str">
        <f>CONCATENATE("Подраздел: ",IF([87]Source!G1772&lt;&gt;"Новый подраздел", [87]Source!G1772, ""))</f>
        <v>Подраздел: ПП2-1</v>
      </c>
      <c r="B323" s="805"/>
      <c r="C323" s="805"/>
      <c r="D323" s="805"/>
      <c r="E323" s="805"/>
      <c r="F323" s="805"/>
      <c r="G323" s="805"/>
      <c r="H323" s="805"/>
      <c r="I323" s="805"/>
      <c r="J323" s="805"/>
      <c r="K323" s="805"/>
      <c r="L323" s="805"/>
    </row>
    <row r="324" spans="1:12" hidden="1" x14ac:dyDescent="0.2"/>
    <row r="325" spans="1:12" hidden="1" x14ac:dyDescent="0.2">
      <c r="A325" s="807" t="str">
        <f>CONCATENATE("Итого по подразделу: ",IF([87]Source!G1837&lt;&gt;"Новый подраздел", [87]Source!G1837, ""))</f>
        <v>Итого по подразделу: ПП2-1</v>
      </c>
      <c r="B325" s="807"/>
      <c r="C325" s="807"/>
      <c r="D325" s="807"/>
      <c r="E325" s="807"/>
      <c r="F325" s="807"/>
      <c r="G325" s="807"/>
      <c r="H325" s="807"/>
      <c r="I325" s="808">
        <f>SUM(O323:O324)</f>
        <v>0</v>
      </c>
      <c r="J325" s="809"/>
      <c r="K325" s="808">
        <f>SUM(P323:P324)</f>
        <v>0</v>
      </c>
      <c r="L325" s="809"/>
    </row>
    <row r="326" spans="1:12" hidden="1" x14ac:dyDescent="0.2">
      <c r="A326" s="788" t="s">
        <v>54</v>
      </c>
      <c r="J326" s="788">
        <f>SUM(W323:W325)</f>
        <v>0</v>
      </c>
      <c r="K326" s="788">
        <f>SUM(X323:X325)</f>
        <v>0</v>
      </c>
    </row>
    <row r="327" spans="1:12" hidden="1" x14ac:dyDescent="0.2">
      <c r="A327" s="788" t="s">
        <v>55</v>
      </c>
      <c r="J327" s="788">
        <f>SUM(Y323:Y326)</f>
        <v>0</v>
      </c>
      <c r="K327" s="788">
        <f>SUM(Z323:Z326)</f>
        <v>0</v>
      </c>
    </row>
    <row r="328" spans="1:12" hidden="1" x14ac:dyDescent="0.2"/>
    <row r="329" spans="1:12" hidden="1" x14ac:dyDescent="0.2">
      <c r="A329" s="807" t="str">
        <f>CONCATENATE("Итого по разделу: ",IF([87]Source!G1867&lt;&gt;"Новый раздел", [87]Source!G1867, ""))</f>
        <v>Итого по разделу: Противодымная вентиляция</v>
      </c>
      <c r="B329" s="807"/>
      <c r="C329" s="807"/>
      <c r="D329" s="807"/>
      <c r="E329" s="807"/>
      <c r="F329" s="807"/>
      <c r="G329" s="807"/>
      <c r="H329" s="807"/>
      <c r="I329" s="808">
        <f>SUM(O309:O328)</f>
        <v>0</v>
      </c>
      <c r="J329" s="809"/>
      <c r="K329" s="808">
        <f>SUM(P309:P328)</f>
        <v>0</v>
      </c>
      <c r="L329" s="809"/>
    </row>
    <row r="330" spans="1:12" hidden="1" x14ac:dyDescent="0.2">
      <c r="A330" s="788" t="s">
        <v>54</v>
      </c>
      <c r="J330" s="788">
        <f>SUM(W309:W329)</f>
        <v>0</v>
      </c>
      <c r="K330" s="788">
        <f>SUM(X309:X329)</f>
        <v>0</v>
      </c>
    </row>
    <row r="331" spans="1:12" hidden="1" x14ac:dyDescent="0.2">
      <c r="A331" s="788" t="s">
        <v>55</v>
      </c>
      <c r="J331" s="788">
        <f>SUM(Y309:Y330)</f>
        <v>0</v>
      </c>
      <c r="K331" s="788">
        <f>SUM(Z309:Z330)</f>
        <v>0</v>
      </c>
    </row>
    <row r="332" spans="1:12" hidden="1" x14ac:dyDescent="0.2"/>
    <row r="333" spans="1:12" hidden="1" x14ac:dyDescent="0.2">
      <c r="A333" s="805" t="str">
        <f>CONCATENATE("Раздел: ",IF([87]Source!G1897&lt;&gt;"Новый раздел", [87]Source!G1897, ""))</f>
        <v>Раздел: КОНДИЦИОНИРОВАНИЕ</v>
      </c>
      <c r="B333" s="805"/>
      <c r="C333" s="805"/>
      <c r="D333" s="805"/>
      <c r="E333" s="805"/>
      <c r="F333" s="805"/>
      <c r="G333" s="805"/>
      <c r="H333" s="805"/>
      <c r="I333" s="805"/>
      <c r="J333" s="805"/>
      <c r="K333" s="805"/>
      <c r="L333" s="805"/>
    </row>
    <row r="334" spans="1:12" hidden="1" x14ac:dyDescent="0.2"/>
    <row r="335" spans="1:12" hidden="1" x14ac:dyDescent="0.2">
      <c r="A335" s="805" t="str">
        <f>CONCATENATE("Подраздел: ",IF([87]Source!G1901&lt;&gt;"Новый подраздел", [87]Source!G1901, ""))</f>
        <v>Подраздел: К2-14</v>
      </c>
      <c r="B335" s="805"/>
      <c r="C335" s="805"/>
      <c r="D335" s="805"/>
      <c r="E335" s="805"/>
      <c r="F335" s="805"/>
      <c r="G335" s="805"/>
      <c r="H335" s="805"/>
      <c r="I335" s="805"/>
      <c r="J335" s="805"/>
      <c r="K335" s="805"/>
      <c r="L335" s="805"/>
    </row>
    <row r="336" spans="1:12" hidden="1" x14ac:dyDescent="0.2"/>
    <row r="337" spans="1:12" hidden="1" x14ac:dyDescent="0.2">
      <c r="A337" s="807" t="str">
        <f>CONCATENATE("Итого по подразделу: ",IF([87]Source!G1960&lt;&gt;"Новый подраздел", [87]Source!G1960, ""))</f>
        <v>Итого по подразделу: К2-14</v>
      </c>
      <c r="B337" s="807"/>
      <c r="C337" s="807"/>
      <c r="D337" s="807"/>
      <c r="E337" s="807"/>
      <c r="F337" s="807"/>
      <c r="G337" s="807"/>
      <c r="H337" s="807"/>
      <c r="I337" s="808">
        <f>SUM(O335:O336)</f>
        <v>0</v>
      </c>
      <c r="J337" s="809"/>
      <c r="K337" s="808">
        <f>SUM(P335:P336)</f>
        <v>0</v>
      </c>
      <c r="L337" s="809"/>
    </row>
    <row r="338" spans="1:12" hidden="1" x14ac:dyDescent="0.2">
      <c r="A338" s="788" t="s">
        <v>54</v>
      </c>
      <c r="J338" s="788">
        <f>SUM(W335:W337)</f>
        <v>0</v>
      </c>
      <c r="K338" s="788">
        <f>SUM(X335:X337)</f>
        <v>0</v>
      </c>
    </row>
    <row r="339" spans="1:12" hidden="1" x14ac:dyDescent="0.2">
      <c r="A339" s="788" t="s">
        <v>55</v>
      </c>
      <c r="J339" s="788">
        <f>SUM(Y335:Y338)</f>
        <v>0</v>
      </c>
      <c r="K339" s="788">
        <f>SUM(Z335:Z338)</f>
        <v>0</v>
      </c>
    </row>
    <row r="340" spans="1:12" hidden="1" x14ac:dyDescent="0.2"/>
    <row r="341" spans="1:12" hidden="1" x14ac:dyDescent="0.2">
      <c r="A341" s="805" t="str">
        <f>CONCATENATE("Подраздел: ",IF([87]Source!G1990&lt;&gt;"Новый подраздел", [87]Source!G1990, ""))</f>
        <v>Подраздел: К2-15</v>
      </c>
      <c r="B341" s="805"/>
      <c r="C341" s="805"/>
      <c r="D341" s="805"/>
      <c r="E341" s="805"/>
      <c r="F341" s="805"/>
      <c r="G341" s="805"/>
      <c r="H341" s="805"/>
      <c r="I341" s="805"/>
      <c r="J341" s="805"/>
      <c r="K341" s="805"/>
      <c r="L341" s="805"/>
    </row>
    <row r="342" spans="1:12" hidden="1" x14ac:dyDescent="0.2"/>
    <row r="343" spans="1:12" hidden="1" x14ac:dyDescent="0.2">
      <c r="A343" s="807" t="str">
        <f>CONCATENATE("Итого по подразделу: ",IF([87]Source!G2049&lt;&gt;"Новый подраздел", [87]Source!G2049, ""))</f>
        <v>Итого по подразделу: К2-15</v>
      </c>
      <c r="B343" s="807"/>
      <c r="C343" s="807"/>
      <c r="D343" s="807"/>
      <c r="E343" s="807"/>
      <c r="F343" s="807"/>
      <c r="G343" s="807"/>
      <c r="H343" s="807"/>
      <c r="I343" s="808">
        <f>SUM(O341:O342)</f>
        <v>0</v>
      </c>
      <c r="J343" s="809"/>
      <c r="K343" s="808">
        <f>SUM(P341:P342)</f>
        <v>0</v>
      </c>
      <c r="L343" s="809"/>
    </row>
    <row r="344" spans="1:12" hidden="1" x14ac:dyDescent="0.2">
      <c r="A344" s="788" t="s">
        <v>54</v>
      </c>
      <c r="J344" s="788">
        <f>SUM(W341:W343)</f>
        <v>0</v>
      </c>
      <c r="K344" s="788">
        <f>SUM(X341:X343)</f>
        <v>0</v>
      </c>
    </row>
    <row r="345" spans="1:12" hidden="1" x14ac:dyDescent="0.2">
      <c r="A345" s="788" t="s">
        <v>55</v>
      </c>
      <c r="J345" s="788">
        <f>SUM(Y341:Y344)</f>
        <v>0</v>
      </c>
      <c r="K345" s="788">
        <f>SUM(Z341:Z344)</f>
        <v>0</v>
      </c>
    </row>
    <row r="346" spans="1:12" hidden="1" x14ac:dyDescent="0.2"/>
    <row r="347" spans="1:12" hidden="1" x14ac:dyDescent="0.2">
      <c r="A347" s="805" t="str">
        <f>CONCATENATE("Подраздел: ",IF([87]Source!G2079&lt;&gt;"Новый подраздел", [87]Source!G2079, ""))</f>
        <v>Подраздел: К2-19, К-20</v>
      </c>
      <c r="B347" s="805"/>
      <c r="C347" s="805"/>
      <c r="D347" s="805"/>
      <c r="E347" s="805"/>
      <c r="F347" s="805"/>
      <c r="G347" s="805"/>
      <c r="H347" s="805"/>
      <c r="I347" s="805"/>
      <c r="J347" s="805"/>
      <c r="K347" s="805"/>
      <c r="L347" s="805"/>
    </row>
    <row r="348" spans="1:12" hidden="1" x14ac:dyDescent="0.2"/>
    <row r="349" spans="1:12" hidden="1" x14ac:dyDescent="0.2">
      <c r="A349" s="807" t="str">
        <f>CONCATENATE("Итого по подразделу: ",IF([87]Source!G2114&lt;&gt;"Новый подраздел", [87]Source!G2114, ""))</f>
        <v>Итого по подразделу: К2-19, К-20</v>
      </c>
      <c r="B349" s="807"/>
      <c r="C349" s="807"/>
      <c r="D349" s="807"/>
      <c r="E349" s="807"/>
      <c r="F349" s="807"/>
      <c r="G349" s="807"/>
      <c r="H349" s="807"/>
      <c r="I349" s="808">
        <f>SUM(O347:O348)</f>
        <v>0</v>
      </c>
      <c r="J349" s="809"/>
      <c r="K349" s="808">
        <f>SUM(P347:P348)</f>
        <v>0</v>
      </c>
      <c r="L349" s="809"/>
    </row>
    <row r="350" spans="1:12" hidden="1" x14ac:dyDescent="0.2">
      <c r="A350" s="788" t="s">
        <v>54</v>
      </c>
      <c r="J350" s="788">
        <f>SUM(W347:W349)</f>
        <v>0</v>
      </c>
      <c r="K350" s="788">
        <f>SUM(X347:X349)</f>
        <v>0</v>
      </c>
    </row>
    <row r="351" spans="1:12" hidden="1" x14ac:dyDescent="0.2">
      <c r="A351" s="788" t="s">
        <v>55</v>
      </c>
      <c r="J351" s="788">
        <f>SUM(Y347:Y350)</f>
        <v>0</v>
      </c>
      <c r="K351" s="788">
        <f>SUM(Z347:Z350)</f>
        <v>0</v>
      </c>
    </row>
    <row r="352" spans="1:12" hidden="1" x14ac:dyDescent="0.2"/>
    <row r="353" spans="1:12" hidden="1" x14ac:dyDescent="0.2">
      <c r="A353" s="805" t="str">
        <f>CONCATENATE("Подраздел: ",IF([87]Source!G2144&lt;&gt;"Новый подраздел", [87]Source!G2144, ""))</f>
        <v>Подраздел: К2-22</v>
      </c>
      <c r="B353" s="805"/>
      <c r="C353" s="805"/>
      <c r="D353" s="805"/>
      <c r="E353" s="805"/>
      <c r="F353" s="805"/>
      <c r="G353" s="805"/>
      <c r="H353" s="805"/>
      <c r="I353" s="805"/>
      <c r="J353" s="805"/>
      <c r="K353" s="805"/>
      <c r="L353" s="805"/>
    </row>
    <row r="354" spans="1:12" hidden="1" x14ac:dyDescent="0.2"/>
    <row r="355" spans="1:12" hidden="1" x14ac:dyDescent="0.2">
      <c r="A355" s="807" t="str">
        <f>CONCATENATE("Итого по подразделу: ",IF([87]Source!G2213&lt;&gt;"Новый подраздел", [87]Source!G2213, ""))</f>
        <v>Итого по подразделу: К2-22</v>
      </c>
      <c r="B355" s="807"/>
      <c r="C355" s="807"/>
      <c r="D355" s="807"/>
      <c r="E355" s="807"/>
      <c r="F355" s="807"/>
      <c r="G355" s="807"/>
      <c r="H355" s="807"/>
      <c r="I355" s="808">
        <f>SUM(O353:O354)</f>
        <v>0</v>
      </c>
      <c r="J355" s="809"/>
      <c r="K355" s="808">
        <f>SUM(P353:P354)</f>
        <v>0</v>
      </c>
      <c r="L355" s="809"/>
    </row>
    <row r="356" spans="1:12" hidden="1" x14ac:dyDescent="0.2">
      <c r="A356" s="788" t="s">
        <v>54</v>
      </c>
      <c r="J356" s="788">
        <f>SUM(W353:W355)</f>
        <v>0</v>
      </c>
      <c r="K356" s="788">
        <f>SUM(X353:X355)</f>
        <v>0</v>
      </c>
    </row>
    <row r="357" spans="1:12" hidden="1" x14ac:dyDescent="0.2">
      <c r="A357" s="788" t="s">
        <v>55</v>
      </c>
      <c r="J357" s="788">
        <f>SUM(Y353:Y356)</f>
        <v>0</v>
      </c>
      <c r="K357" s="788">
        <f>SUM(Z353:Z356)</f>
        <v>0</v>
      </c>
    </row>
    <row r="358" spans="1:12" hidden="1" x14ac:dyDescent="0.2"/>
    <row r="359" spans="1:12" hidden="1" x14ac:dyDescent="0.2">
      <c r="A359" s="805" t="str">
        <f>CONCATENATE("Подраздел: ",IF([87]Source!G2243&lt;&gt;"Новый подраздел", [87]Source!G2243, ""))</f>
        <v>Подраздел: К2-23, К2-24</v>
      </c>
      <c r="B359" s="805"/>
      <c r="C359" s="805"/>
      <c r="D359" s="805"/>
      <c r="E359" s="805"/>
      <c r="F359" s="805"/>
      <c r="G359" s="805"/>
      <c r="H359" s="805"/>
      <c r="I359" s="805"/>
      <c r="J359" s="805"/>
      <c r="K359" s="805"/>
      <c r="L359" s="805"/>
    </row>
    <row r="360" spans="1:12" hidden="1" x14ac:dyDescent="0.2"/>
    <row r="361" spans="1:12" hidden="1" x14ac:dyDescent="0.2">
      <c r="A361" s="807" t="str">
        <f>CONCATENATE("Итого по подразделу: ",IF([87]Source!G2336&lt;&gt;"Новый подраздел", [87]Source!G2336, ""))</f>
        <v>Итого по подразделу: К2-23, К2-24</v>
      </c>
      <c r="B361" s="807"/>
      <c r="C361" s="807"/>
      <c r="D361" s="807"/>
      <c r="E361" s="807"/>
      <c r="F361" s="807"/>
      <c r="G361" s="807"/>
      <c r="H361" s="807"/>
      <c r="I361" s="808">
        <f>SUM(O359:O360)</f>
        <v>0</v>
      </c>
      <c r="J361" s="809"/>
      <c r="K361" s="808">
        <f>SUM(P359:P360)</f>
        <v>0</v>
      </c>
      <c r="L361" s="809"/>
    </row>
    <row r="362" spans="1:12" hidden="1" x14ac:dyDescent="0.2">
      <c r="A362" s="788" t="s">
        <v>54</v>
      </c>
      <c r="J362" s="788">
        <f>SUM(W359:W361)</f>
        <v>0</v>
      </c>
      <c r="K362" s="788">
        <f>SUM(X359:X361)</f>
        <v>0</v>
      </c>
    </row>
    <row r="363" spans="1:12" hidden="1" x14ac:dyDescent="0.2">
      <c r="A363" s="788" t="s">
        <v>55</v>
      </c>
      <c r="J363" s="788">
        <f>SUM(Y359:Y362)</f>
        <v>0</v>
      </c>
      <c r="K363" s="788">
        <f>SUM(Z359:Z362)</f>
        <v>0</v>
      </c>
    </row>
    <row r="364" spans="1:12" hidden="1" x14ac:dyDescent="0.2"/>
    <row r="365" spans="1:12" hidden="1" x14ac:dyDescent="0.2">
      <c r="A365" s="807" t="str">
        <f>CONCATENATE("Итого по разделу: ",IF([87]Source!G2366&lt;&gt;"Новый раздел", [87]Source!G2366, ""))</f>
        <v>Итого по разделу: КОНДИЦИОНИРОВАНИЕ</v>
      </c>
      <c r="B365" s="807"/>
      <c r="C365" s="807"/>
      <c r="D365" s="807"/>
      <c r="E365" s="807"/>
      <c r="F365" s="807"/>
      <c r="G365" s="807"/>
      <c r="H365" s="807"/>
      <c r="I365" s="808">
        <f>SUM(O333:O364)</f>
        <v>0</v>
      </c>
      <c r="J365" s="809"/>
      <c r="K365" s="808">
        <f>SUM(P333:P364)</f>
        <v>0</v>
      </c>
      <c r="L365" s="809"/>
    </row>
    <row r="366" spans="1:12" hidden="1" x14ac:dyDescent="0.2">
      <c r="A366" s="788" t="s">
        <v>54</v>
      </c>
      <c r="J366" s="788">
        <f>SUM(W333:W365)</f>
        <v>0</v>
      </c>
      <c r="K366" s="788">
        <f>SUM(X333:X365)</f>
        <v>0</v>
      </c>
    </row>
    <row r="367" spans="1:12" hidden="1" x14ac:dyDescent="0.2">
      <c r="A367" s="788" t="s">
        <v>55</v>
      </c>
      <c r="J367" s="788">
        <f>SUM(Y333:Y366)</f>
        <v>0</v>
      </c>
      <c r="K367" s="788">
        <f>SUM(Z333:Z366)</f>
        <v>0</v>
      </c>
    </row>
    <row r="368" spans="1:12" hidden="1" x14ac:dyDescent="0.2"/>
    <row r="369" spans="1:32" ht="18.75" customHeight="1" x14ac:dyDescent="0.2">
      <c r="A369" s="807" t="s">
        <v>74</v>
      </c>
      <c r="B369" s="807"/>
      <c r="C369" s="807"/>
      <c r="D369" s="807"/>
      <c r="E369" s="807"/>
      <c r="F369" s="807"/>
      <c r="G369" s="807"/>
      <c r="H369" s="807"/>
      <c r="I369" s="808">
        <f>SUM(O42:O368)</f>
        <v>6050.36</v>
      </c>
      <c r="J369" s="809"/>
      <c r="K369" s="808">
        <f>SUM(P42:P368)</f>
        <v>42732.05</v>
      </c>
      <c r="L369" s="809"/>
      <c r="AF369" s="844" t="str">
        <f>CONCATENATE("Итого по локальной смете: ",IF([87]Source!G2396&lt;&gt;"Новая локальная смета", [87]Source!G2396, ""))</f>
        <v>Итого по локальной смете: Станционный комплекс "Аминьевское шоссе". Инженерные системы ТПП. Отопление, вентиляция, кондиционирование, дымоудаление.</v>
      </c>
    </row>
    <row r="370" spans="1:32" hidden="1" x14ac:dyDescent="0.2">
      <c r="A370" s="788" t="s">
        <v>54</v>
      </c>
      <c r="J370" s="788">
        <f>SUM(W42:W369)</f>
        <v>0</v>
      </c>
      <c r="K370" s="788">
        <f>SUM(X42:X369)</f>
        <v>0</v>
      </c>
    </row>
    <row r="371" spans="1:32" hidden="1" x14ac:dyDescent="0.2">
      <c r="A371" s="788" t="s">
        <v>55</v>
      </c>
      <c r="J371" s="788">
        <f>SUM(Y42:Y370)</f>
        <v>0</v>
      </c>
      <c r="K371" s="788">
        <f>SUM(Z42:Z370)</f>
        <v>0</v>
      </c>
    </row>
    <row r="372" spans="1:32" x14ac:dyDescent="0.2">
      <c r="D372" s="845" t="str">
        <f>[87]Source!H2402</f>
        <v>Стоимость материалов (всего)</v>
      </c>
      <c r="E372" s="845"/>
      <c r="F372" s="845"/>
      <c r="G372" s="845"/>
      <c r="H372" s="845"/>
      <c r="I372" s="846">
        <f>[87]Source!F2402</f>
        <v>4508.3900000000003</v>
      </c>
      <c r="J372" s="846"/>
      <c r="K372" s="846">
        <f>[87]Source!P2402</f>
        <v>13909.43</v>
      </c>
      <c r="L372" s="846"/>
    </row>
    <row r="373" spans="1:32" x14ac:dyDescent="0.2">
      <c r="D373" s="845" t="str">
        <f>[87]Source!H2410</f>
        <v>ЗП машинистов</v>
      </c>
      <c r="E373" s="845"/>
      <c r="F373" s="845"/>
      <c r="G373" s="845"/>
      <c r="H373" s="845"/>
      <c r="I373" s="846">
        <f>[87]Source!F2410</f>
        <v>5.44</v>
      </c>
      <c r="J373" s="846"/>
      <c r="K373" s="846">
        <f>[87]Source!P2410</f>
        <v>133.44999999999999</v>
      </c>
      <c r="L373" s="846"/>
    </row>
    <row r="374" spans="1:32" x14ac:dyDescent="0.2">
      <c r="D374" s="845" t="str">
        <f>[87]Source!H2411</f>
        <v>Основная ЗП рабочих</v>
      </c>
      <c r="E374" s="845"/>
      <c r="F374" s="845"/>
      <c r="G374" s="845"/>
      <c r="H374" s="845"/>
      <c r="I374" s="846">
        <f>[87]Source!F2411</f>
        <v>471.34</v>
      </c>
      <c r="J374" s="846"/>
      <c r="K374" s="846">
        <f>[87]Source!P2411</f>
        <v>11561.97</v>
      </c>
      <c r="L374" s="846"/>
    </row>
    <row r="375" spans="1:32" x14ac:dyDescent="0.2">
      <c r="D375" s="847" t="str">
        <f>[87]Source!H2405</f>
        <v>Стоимость оборудования (всего)</v>
      </c>
      <c r="E375" s="847"/>
      <c r="F375" s="847"/>
      <c r="G375" s="847"/>
      <c r="H375" s="847"/>
      <c r="I375" s="848">
        <f>[87]Source!F2405</f>
        <v>0</v>
      </c>
      <c r="J375" s="848"/>
      <c r="K375" s="848">
        <f>[87]Source!P2405</f>
        <v>0</v>
      </c>
      <c r="L375" s="848"/>
    </row>
    <row r="376" spans="1:32" x14ac:dyDescent="0.2">
      <c r="D376" s="849"/>
      <c r="E376" s="849"/>
      <c r="F376" s="849"/>
      <c r="G376" s="849"/>
      <c r="H376" s="849"/>
      <c r="I376" s="850"/>
      <c r="J376" s="850"/>
      <c r="K376" s="850"/>
      <c r="L376" s="850"/>
    </row>
    <row r="377" spans="1:32" s="851" customFormat="1" x14ac:dyDescent="0.2">
      <c r="D377" s="852" t="s">
        <v>57</v>
      </c>
      <c r="J377" s="853">
        <f>I369</f>
        <v>6050.36</v>
      </c>
      <c r="K377" s="853"/>
      <c r="L377" s="853">
        <f>K369</f>
        <v>42732.05</v>
      </c>
    </row>
    <row r="378" spans="1:32" s="851" customFormat="1" x14ac:dyDescent="0.2">
      <c r="D378" s="852" t="s">
        <v>3</v>
      </c>
      <c r="J378" s="853">
        <f>J377</f>
        <v>6050.36</v>
      </c>
      <c r="K378" s="853"/>
      <c r="L378" s="853">
        <f>L377</f>
        <v>42732.05</v>
      </c>
    </row>
    <row r="379" spans="1:32" s="851" customFormat="1" x14ac:dyDescent="0.2">
      <c r="D379" s="852" t="s">
        <v>58</v>
      </c>
      <c r="J379" s="853">
        <f>I373+I374</f>
        <v>476.78</v>
      </c>
      <c r="K379" s="853"/>
      <c r="L379" s="853">
        <f>K373+K374</f>
        <v>11695.42</v>
      </c>
    </row>
    <row r="380" spans="1:32" s="851" customFormat="1" x14ac:dyDescent="0.2">
      <c r="D380" s="852" t="s">
        <v>59</v>
      </c>
      <c r="J380" s="853">
        <f>I372</f>
        <v>4508.3900000000003</v>
      </c>
      <c r="K380" s="853"/>
      <c r="L380" s="853">
        <f>K372</f>
        <v>13909.43</v>
      </c>
    </row>
    <row r="381" spans="1:32" s="851" customFormat="1" x14ac:dyDescent="0.2">
      <c r="A381" s="854"/>
      <c r="B381" s="854"/>
      <c r="C381" s="854"/>
      <c r="D381" s="855" t="s">
        <v>62</v>
      </c>
      <c r="E381" s="855"/>
      <c r="F381" s="855"/>
      <c r="G381" s="855"/>
      <c r="H381" s="855"/>
      <c r="J381" s="856">
        <f>I375</f>
        <v>0</v>
      </c>
      <c r="L381" s="856">
        <f>K375</f>
        <v>0</v>
      </c>
    </row>
    <row r="382" spans="1:32" s="851" customFormat="1" ht="14.25" customHeight="1" x14ac:dyDescent="0.2">
      <c r="A382" s="857"/>
      <c r="B382" s="857"/>
      <c r="C382" s="857"/>
      <c r="D382" s="855" t="s">
        <v>71</v>
      </c>
      <c r="E382" s="855"/>
      <c r="F382" s="855"/>
      <c r="G382" s="855"/>
      <c r="H382" s="855"/>
      <c r="J382" s="856">
        <f>J379*0.15</f>
        <v>71.52</v>
      </c>
      <c r="L382" s="856">
        <f>L379*0.15</f>
        <v>1754.31</v>
      </c>
    </row>
    <row r="383" spans="1:32" s="851" customFormat="1" x14ac:dyDescent="0.2">
      <c r="A383" s="858"/>
      <c r="B383" s="858"/>
      <c r="C383" s="858"/>
      <c r="D383" s="859" t="s">
        <v>265</v>
      </c>
      <c r="E383" s="859"/>
      <c r="F383" s="859"/>
      <c r="G383" s="859"/>
      <c r="H383" s="859"/>
      <c r="J383" s="860">
        <f>J378+J382</f>
        <v>6121.88</v>
      </c>
      <c r="L383" s="860">
        <f>L378+L382</f>
        <v>44486.36</v>
      </c>
    </row>
    <row r="384" spans="1:32" s="851" customFormat="1" x14ac:dyDescent="0.2">
      <c r="A384" s="857"/>
      <c r="B384" s="857"/>
      <c r="C384" s="857"/>
      <c r="D384" s="855"/>
      <c r="E384" s="855"/>
      <c r="F384" s="855"/>
      <c r="G384" s="855"/>
      <c r="H384" s="855"/>
      <c r="I384" s="861"/>
      <c r="J384" s="861"/>
      <c r="K384" s="861"/>
      <c r="L384" s="861"/>
    </row>
    <row r="385" spans="1:13" s="851" customFormat="1" x14ac:dyDescent="0.2">
      <c r="A385" s="858"/>
      <c r="B385" s="858"/>
      <c r="C385" s="858"/>
      <c r="D385" s="862" t="s">
        <v>313</v>
      </c>
      <c r="E385" s="863"/>
      <c r="F385" s="863"/>
      <c r="G385" s="863"/>
      <c r="H385" s="863"/>
      <c r="I385" s="863"/>
      <c r="J385" s="864"/>
      <c r="K385" s="864"/>
      <c r="L385" s="864">
        <f>L377*0.925</f>
        <v>39527.15</v>
      </c>
    </row>
    <row r="386" spans="1:13" s="851" customFormat="1" x14ac:dyDescent="0.2">
      <c r="A386" s="857"/>
      <c r="B386" s="857"/>
      <c r="C386" s="857"/>
      <c r="D386" s="855" t="s">
        <v>3</v>
      </c>
      <c r="E386" s="855"/>
      <c r="F386" s="855"/>
      <c r="G386" s="855"/>
      <c r="H386" s="855"/>
      <c r="I386" s="857"/>
      <c r="J386" s="865"/>
      <c r="L386" s="866">
        <f>L385</f>
        <v>39527.15</v>
      </c>
    </row>
    <row r="387" spans="1:13" s="851" customFormat="1" x14ac:dyDescent="0.2">
      <c r="A387" s="857"/>
      <c r="B387" s="857"/>
      <c r="C387" s="857"/>
      <c r="D387" s="855" t="s">
        <v>312</v>
      </c>
      <c r="E387" s="855"/>
      <c r="F387" s="855"/>
      <c r="G387" s="855"/>
      <c r="H387" s="855"/>
      <c r="I387" s="857"/>
      <c r="J387" s="865"/>
      <c r="L387" s="866">
        <f>L379*0.925</f>
        <v>10818.26</v>
      </c>
    </row>
    <row r="388" spans="1:13" s="851" customFormat="1" x14ac:dyDescent="0.2">
      <c r="A388" s="857"/>
      <c r="B388" s="857"/>
      <c r="C388" s="857"/>
      <c r="D388" s="855" t="s">
        <v>58</v>
      </c>
      <c r="E388" s="855"/>
      <c r="F388" s="855"/>
      <c r="G388" s="855"/>
      <c r="H388" s="855"/>
      <c r="I388" s="857"/>
      <c r="J388" s="865"/>
      <c r="L388" s="866">
        <f>L380*0.925</f>
        <v>12866.22</v>
      </c>
    </row>
    <row r="389" spans="1:13" s="851" customFormat="1" x14ac:dyDescent="0.2">
      <c r="A389" s="857"/>
      <c r="B389" s="857"/>
      <c r="C389" s="857"/>
      <c r="D389" s="867" t="s">
        <v>62</v>
      </c>
      <c r="E389" s="863"/>
      <c r="F389" s="863"/>
      <c r="G389" s="863"/>
      <c r="H389" s="863"/>
      <c r="I389" s="863"/>
      <c r="J389" s="868"/>
      <c r="K389" s="866"/>
      <c r="L389" s="868">
        <v>0</v>
      </c>
    </row>
    <row r="390" spans="1:13" s="851" customFormat="1" ht="14.25" customHeight="1" x14ac:dyDescent="0.2">
      <c r="A390" s="857"/>
      <c r="B390" s="857"/>
      <c r="C390" s="857"/>
      <c r="D390" s="863" t="s">
        <v>311</v>
      </c>
      <c r="E390" s="863"/>
      <c r="F390" s="863"/>
      <c r="G390" s="863"/>
      <c r="H390" s="863"/>
      <c r="I390" s="863"/>
      <c r="J390" s="866"/>
      <c r="K390" s="866"/>
      <c r="L390" s="866">
        <f>L387*0.15</f>
        <v>1622.74</v>
      </c>
    </row>
    <row r="391" spans="1:13" s="851" customFormat="1" ht="14.25" customHeight="1" x14ac:dyDescent="0.2">
      <c r="A391" s="858"/>
      <c r="B391" s="858"/>
      <c r="C391" s="858"/>
      <c r="D391" s="862" t="s">
        <v>310</v>
      </c>
      <c r="E391" s="869"/>
      <c r="F391" s="869"/>
      <c r="G391" s="869"/>
      <c r="H391" s="869"/>
      <c r="I391" s="869"/>
      <c r="J391" s="864"/>
      <c r="K391" s="869"/>
      <c r="L391" s="864">
        <f>L390+L385</f>
        <v>41149.89</v>
      </c>
    </row>
    <row r="392" spans="1:13" s="851" customFormat="1" x14ac:dyDescent="0.2">
      <c r="A392" s="870"/>
      <c r="B392" s="870"/>
      <c r="C392" s="870"/>
      <c r="D392" s="870"/>
      <c r="E392" s="870"/>
      <c r="F392" s="870"/>
      <c r="G392" s="870"/>
      <c r="H392" s="870"/>
      <c r="I392" s="870"/>
      <c r="J392" s="870"/>
      <c r="K392" s="870"/>
      <c r="L392" s="870"/>
    </row>
    <row r="393" spans="1:13" s="851" customFormat="1" ht="14.25" customHeight="1" x14ac:dyDescent="0.2">
      <c r="A393" s="870"/>
      <c r="B393" s="870"/>
      <c r="C393" s="870"/>
      <c r="D393" s="870"/>
      <c r="E393" s="870"/>
      <c r="F393" s="870"/>
      <c r="G393" s="870"/>
      <c r="H393" s="870"/>
      <c r="I393" s="870"/>
      <c r="J393" s="870"/>
      <c r="K393" s="870"/>
      <c r="L393" s="870"/>
    </row>
    <row r="394" spans="1:13" s="877" customFormat="1" x14ac:dyDescent="0.2">
      <c r="A394" s="870"/>
      <c r="B394" s="870"/>
      <c r="C394" s="870"/>
      <c r="D394" s="871" t="s">
        <v>309</v>
      </c>
      <c r="E394" s="872"/>
      <c r="F394" s="872"/>
      <c r="G394" s="872"/>
      <c r="H394" s="872"/>
      <c r="I394" s="873"/>
      <c r="J394" s="874"/>
      <c r="K394" s="875"/>
      <c r="L394" s="874">
        <f>L391</f>
        <v>41149.89</v>
      </c>
      <c r="M394" s="876"/>
    </row>
    <row r="395" spans="1:13" s="877" customFormat="1" x14ac:dyDescent="0.2">
      <c r="A395" s="870"/>
      <c r="B395" s="870"/>
      <c r="C395" s="870"/>
      <c r="D395" s="878" t="s">
        <v>308</v>
      </c>
      <c r="E395" s="879"/>
      <c r="F395" s="879"/>
      <c r="G395" s="879"/>
      <c r="H395" s="879"/>
      <c r="I395" s="880"/>
      <c r="J395" s="881"/>
      <c r="K395" s="882"/>
      <c r="L395" s="881">
        <f>L386</f>
        <v>39527.15</v>
      </c>
      <c r="M395" s="876"/>
    </row>
    <row r="396" spans="1:13" s="877" customFormat="1" x14ac:dyDescent="0.2">
      <c r="A396" s="870"/>
      <c r="B396" s="870"/>
      <c r="C396" s="870"/>
      <c r="D396" s="878" t="s">
        <v>307</v>
      </c>
      <c r="E396" s="879"/>
      <c r="F396" s="879"/>
      <c r="G396" s="879"/>
      <c r="H396" s="879"/>
      <c r="I396" s="880"/>
      <c r="J396" s="881"/>
      <c r="K396" s="883"/>
      <c r="L396" s="881">
        <f>L390</f>
        <v>1622.74</v>
      </c>
      <c r="M396" s="876"/>
    </row>
    <row r="397" spans="1:13" s="877" customFormat="1" x14ac:dyDescent="0.2">
      <c r="A397" s="870"/>
      <c r="B397" s="870"/>
      <c r="C397" s="870"/>
      <c r="D397" s="878" t="s">
        <v>306</v>
      </c>
      <c r="E397" s="879"/>
      <c r="F397" s="879"/>
      <c r="G397" s="879"/>
      <c r="H397" s="879"/>
      <c r="I397" s="880"/>
      <c r="J397" s="881"/>
      <c r="K397" s="881"/>
      <c r="L397" s="881">
        <v>0</v>
      </c>
      <c r="M397" s="876"/>
    </row>
    <row r="398" spans="1:13" s="877" customFormat="1" x14ac:dyDescent="0.2">
      <c r="A398" s="870"/>
      <c r="B398" s="870"/>
      <c r="C398" s="870"/>
      <c r="D398" s="878" t="s">
        <v>305</v>
      </c>
      <c r="E398" s="879"/>
      <c r="F398" s="879"/>
      <c r="G398" s="879"/>
      <c r="H398" s="879"/>
      <c r="I398" s="880"/>
      <c r="J398" s="884"/>
      <c r="K398" s="884"/>
      <c r="L398" s="881">
        <f>L389</f>
        <v>0</v>
      </c>
      <c r="M398" s="876"/>
    </row>
  </sheetData>
  <mergeCells count="220">
    <mergeCell ref="A31:B32"/>
    <mergeCell ref="C31:C38"/>
    <mergeCell ref="D31:D38"/>
    <mergeCell ref="E31:E38"/>
    <mergeCell ref="F31:F38"/>
    <mergeCell ref="G31:G38"/>
    <mergeCell ref="A26:L26"/>
    <mergeCell ref="H28:I28"/>
    <mergeCell ref="A30:L30"/>
    <mergeCell ref="H31:H38"/>
    <mergeCell ref="I31:I38"/>
    <mergeCell ref="J31:J38"/>
    <mergeCell ref="K31:K38"/>
    <mergeCell ref="L31:L38"/>
    <mergeCell ref="A33:A38"/>
    <mergeCell ref="B33:B38"/>
    <mergeCell ref="A41:L41"/>
    <mergeCell ref="A42:L42"/>
    <mergeCell ref="A44:L44"/>
    <mergeCell ref="A46:H46"/>
    <mergeCell ref="I46:J46"/>
    <mergeCell ref="K46:L46"/>
    <mergeCell ref="A50:L50"/>
    <mergeCell ref="A52:L52"/>
    <mergeCell ref="A54:H54"/>
    <mergeCell ref="I54:J54"/>
    <mergeCell ref="K54:L54"/>
    <mergeCell ref="A58:L58"/>
    <mergeCell ref="A60:H60"/>
    <mergeCell ref="I60:J60"/>
    <mergeCell ref="K60:L60"/>
    <mergeCell ref="A65:L65"/>
    <mergeCell ref="I75:J75"/>
    <mergeCell ref="K75:L75"/>
    <mergeCell ref="I81:J81"/>
    <mergeCell ref="K81:L81"/>
    <mergeCell ref="I84:J84"/>
    <mergeCell ref="K84:L84"/>
    <mergeCell ref="A87:H87"/>
    <mergeCell ref="I87:J87"/>
    <mergeCell ref="K87:L87"/>
    <mergeCell ref="A91:L91"/>
    <mergeCell ref="I101:J101"/>
    <mergeCell ref="K101:L101"/>
    <mergeCell ref="I107:J107"/>
    <mergeCell ref="K107:L107"/>
    <mergeCell ref="I110:J110"/>
    <mergeCell ref="K110:L110"/>
    <mergeCell ref="A113:H113"/>
    <mergeCell ref="I113:J113"/>
    <mergeCell ref="K113:L113"/>
    <mergeCell ref="A117:L117"/>
    <mergeCell ref="A119:H119"/>
    <mergeCell ref="I119:J119"/>
    <mergeCell ref="K119:L119"/>
    <mergeCell ref="A123:L123"/>
    <mergeCell ref="A125:H125"/>
    <mergeCell ref="I125:J125"/>
    <mergeCell ref="K125:L125"/>
    <mergeCell ref="A129:L129"/>
    <mergeCell ref="A131:H131"/>
    <mergeCell ref="I131:J131"/>
    <mergeCell ref="K131:L131"/>
    <mergeCell ref="A135:L135"/>
    <mergeCell ref="A137:H137"/>
    <mergeCell ref="I137:J137"/>
    <mergeCell ref="K137:L137"/>
    <mergeCell ref="A141:L141"/>
    <mergeCell ref="A143:H143"/>
    <mergeCell ref="I143:J143"/>
    <mergeCell ref="K143:L143"/>
    <mergeCell ref="A147:L147"/>
    <mergeCell ref="A149:H149"/>
    <mergeCell ref="I149:J149"/>
    <mergeCell ref="K149:L149"/>
    <mergeCell ref="A153:L153"/>
    <mergeCell ref="A155:H155"/>
    <mergeCell ref="I155:J155"/>
    <mergeCell ref="K155:L155"/>
    <mergeCell ref="A159:L159"/>
    <mergeCell ref="A161:H161"/>
    <mergeCell ref="I161:J161"/>
    <mergeCell ref="K161:L161"/>
    <mergeCell ref="A165:L165"/>
    <mergeCell ref="A167:H167"/>
    <mergeCell ref="I167:J167"/>
    <mergeCell ref="K167:L167"/>
    <mergeCell ref="A171:L171"/>
    <mergeCell ref="I181:J181"/>
    <mergeCell ref="K181:L181"/>
    <mergeCell ref="I187:J187"/>
    <mergeCell ref="K187:L187"/>
    <mergeCell ref="I190:J190"/>
    <mergeCell ref="K190:L190"/>
    <mergeCell ref="A193:H193"/>
    <mergeCell ref="I193:J193"/>
    <mergeCell ref="K193:L193"/>
    <mergeCell ref="A197:L197"/>
    <mergeCell ref="A199:H199"/>
    <mergeCell ref="I199:J199"/>
    <mergeCell ref="K199:L199"/>
    <mergeCell ref="A203:L203"/>
    <mergeCell ref="A205:H205"/>
    <mergeCell ref="I205:J205"/>
    <mergeCell ref="K205:L205"/>
    <mergeCell ref="A209:L209"/>
    <mergeCell ref="A211:H211"/>
    <mergeCell ref="I211:J211"/>
    <mergeCell ref="K211:L211"/>
    <mergeCell ref="A215:L215"/>
    <mergeCell ref="A217:H217"/>
    <mergeCell ref="I217:J217"/>
    <mergeCell ref="K217:L217"/>
    <mergeCell ref="A221:L221"/>
    <mergeCell ref="A223:H223"/>
    <mergeCell ref="I223:J223"/>
    <mergeCell ref="K223:L223"/>
    <mergeCell ref="A227:L227"/>
    <mergeCell ref="A229:H229"/>
    <mergeCell ref="I229:J229"/>
    <mergeCell ref="K229:L229"/>
    <mergeCell ref="A233:L233"/>
    <mergeCell ref="A235:H235"/>
    <mergeCell ref="I235:J235"/>
    <mergeCell ref="K235:L235"/>
    <mergeCell ref="A239:L239"/>
    <mergeCell ref="A241:H241"/>
    <mergeCell ref="I241:J241"/>
    <mergeCell ref="K241:L241"/>
    <mergeCell ref="A245:L245"/>
    <mergeCell ref="I256:J256"/>
    <mergeCell ref="K256:L256"/>
    <mergeCell ref="I262:J262"/>
    <mergeCell ref="K262:L262"/>
    <mergeCell ref="I274:J274"/>
    <mergeCell ref="K274:L274"/>
    <mergeCell ref="I280:J280"/>
    <mergeCell ref="K280:L280"/>
    <mergeCell ref="A283:H283"/>
    <mergeCell ref="I283:J283"/>
    <mergeCell ref="K283:L283"/>
    <mergeCell ref="A287:L287"/>
    <mergeCell ref="A289:H289"/>
    <mergeCell ref="I289:J289"/>
    <mergeCell ref="K289:L289"/>
    <mergeCell ref="A293:L293"/>
    <mergeCell ref="A295:H295"/>
    <mergeCell ref="I295:J295"/>
    <mergeCell ref="K295:L295"/>
    <mergeCell ref="A299:L299"/>
    <mergeCell ref="A301:H301"/>
    <mergeCell ref="I301:J301"/>
    <mergeCell ref="K301:L301"/>
    <mergeCell ref="A305:H305"/>
    <mergeCell ref="I305:J305"/>
    <mergeCell ref="K305:L305"/>
    <mergeCell ref="A309:L309"/>
    <mergeCell ref="A311:L311"/>
    <mergeCell ref="A313:H313"/>
    <mergeCell ref="I313:J313"/>
    <mergeCell ref="K313:L313"/>
    <mergeCell ref="A317:L317"/>
    <mergeCell ref="A319:H319"/>
    <mergeCell ref="I319:J319"/>
    <mergeCell ref="K319:L319"/>
    <mergeCell ref="A323:L323"/>
    <mergeCell ref="A325:H325"/>
    <mergeCell ref="I325:J325"/>
    <mergeCell ref="K325:L325"/>
    <mergeCell ref="A329:H329"/>
    <mergeCell ref="I329:J329"/>
    <mergeCell ref="K329:L329"/>
    <mergeCell ref="A333:L333"/>
    <mergeCell ref="A335:L335"/>
    <mergeCell ref="A337:H337"/>
    <mergeCell ref="I337:J337"/>
    <mergeCell ref="K337:L337"/>
    <mergeCell ref="A341:L341"/>
    <mergeCell ref="A343:H343"/>
    <mergeCell ref="I343:J343"/>
    <mergeCell ref="K343:L343"/>
    <mergeCell ref="A347:L347"/>
    <mergeCell ref="A349:H349"/>
    <mergeCell ref="I349:J349"/>
    <mergeCell ref="K349:L349"/>
    <mergeCell ref="D372:H372"/>
    <mergeCell ref="I372:J372"/>
    <mergeCell ref="K372:L372"/>
    <mergeCell ref="D373:H373"/>
    <mergeCell ref="I373:J373"/>
    <mergeCell ref="A353:L353"/>
    <mergeCell ref="A355:H355"/>
    <mergeCell ref="I355:J355"/>
    <mergeCell ref="K355:L355"/>
    <mergeCell ref="A359:L359"/>
    <mergeCell ref="A361:H361"/>
    <mergeCell ref="I361:J361"/>
    <mergeCell ref="K361:L361"/>
    <mergeCell ref="K373:L373"/>
    <mergeCell ref="A365:H365"/>
    <mergeCell ref="I365:J365"/>
    <mergeCell ref="K365:L365"/>
    <mergeCell ref="A369:H369"/>
    <mergeCell ref="I369:J369"/>
    <mergeCell ref="K369:L369"/>
    <mergeCell ref="D388:H388"/>
    <mergeCell ref="D387:H387"/>
    <mergeCell ref="D374:H374"/>
    <mergeCell ref="I374:J374"/>
    <mergeCell ref="K374:L374"/>
    <mergeCell ref="D375:H375"/>
    <mergeCell ref="I375:J375"/>
    <mergeCell ref="K375:L375"/>
    <mergeCell ref="D383:H383"/>
    <mergeCell ref="D386:H386"/>
    <mergeCell ref="D382:H382"/>
    <mergeCell ref="D381:H381"/>
    <mergeCell ref="D384:H384"/>
    <mergeCell ref="I384:J384"/>
    <mergeCell ref="K384:L384"/>
  </mergeCells>
  <pageMargins left="0.39370078740157483" right="0.19685039370078741" top="0.19685039370078741" bottom="0.39370078740157483" header="0.31496062992125984" footer="0.31496062992125984"/>
  <pageSetup paperSize="9" scale="60" firstPageNumber="6" fitToHeight="0" orientation="portrait" blackAndWhite="1" useFirstPageNumber="1" r:id="rId1"/>
  <headerFoot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03"/>
  <sheetViews>
    <sheetView view="pageBreakPreview" topLeftCell="A25" zoomScale="60" zoomScaleNormal="100" workbookViewId="0">
      <selection activeCell="A25" sqref="A1:XFD1048576"/>
    </sheetView>
  </sheetViews>
  <sheetFormatPr defaultColWidth="9.33203125" defaultRowHeight="11.25" x14ac:dyDescent="0.2"/>
  <cols>
    <col min="1" max="1" width="8.5" style="178" customWidth="1"/>
    <col min="2" max="2" width="9.1640625" style="178" customWidth="1"/>
    <col min="3" max="3" width="13.6640625" style="178" customWidth="1"/>
    <col min="4" max="4" width="47.5" style="178" customWidth="1"/>
    <col min="5" max="5" width="13.5" style="178" customWidth="1"/>
    <col min="6" max="6" width="11" style="178" customWidth="1"/>
    <col min="7" max="7" width="13.83203125" style="178" bestFit="1" customWidth="1"/>
    <col min="8" max="8" width="14.33203125" style="178" customWidth="1"/>
    <col min="9" max="9" width="14.83203125" style="178" customWidth="1"/>
    <col min="10" max="10" width="16.83203125" style="178" customWidth="1"/>
    <col min="11" max="11" width="12" style="178" bestFit="1" customWidth="1"/>
    <col min="12" max="12" width="18.83203125" style="178" customWidth="1"/>
    <col min="13" max="14" width="9.33203125" style="178"/>
    <col min="15" max="29" width="0" style="178" hidden="1" customWidth="1"/>
    <col min="30" max="30" width="106.1640625" style="178" hidden="1" customWidth="1"/>
    <col min="31" max="31" width="157.1640625" style="178" hidden="1" customWidth="1"/>
    <col min="32" max="32" width="117.83203125" style="178" hidden="1" customWidth="1"/>
    <col min="33" max="33" width="0" style="178" hidden="1" customWidth="1"/>
    <col min="34" max="34" width="93.33203125" style="178" hidden="1" customWidth="1"/>
    <col min="35" max="36" width="0" style="178" hidden="1" customWidth="1"/>
    <col min="37" max="16384" width="9.33203125" style="178"/>
  </cols>
  <sheetData>
    <row r="1" spans="30:30" hidden="1" x14ac:dyDescent="0.2"/>
    <row r="2" spans="30:30" hidden="1" x14ac:dyDescent="0.2"/>
    <row r="3" spans="30:30" hidden="1" x14ac:dyDescent="0.2"/>
    <row r="4" spans="30:30" hidden="1" x14ac:dyDescent="0.2"/>
    <row r="5" spans="30:30" hidden="1" x14ac:dyDescent="0.2"/>
    <row r="6" spans="30:30" ht="26.25" hidden="1" customHeight="1" x14ac:dyDescent="0.2"/>
    <row r="7" spans="30:30" hidden="1" x14ac:dyDescent="0.2"/>
    <row r="8" spans="30:30" ht="25.5" hidden="1" customHeight="1" x14ac:dyDescent="0.2"/>
    <row r="9" spans="30:30" hidden="1" x14ac:dyDescent="0.2"/>
    <row r="10" spans="30:30" hidden="1" x14ac:dyDescent="0.2"/>
    <row r="11" spans="30:30" hidden="1" x14ac:dyDescent="0.2"/>
    <row r="12" spans="30:30" hidden="1" x14ac:dyDescent="0.2"/>
    <row r="13" spans="30:30" hidden="1" x14ac:dyDescent="0.2"/>
    <row r="14" spans="30:30" hidden="1" x14ac:dyDescent="0.2"/>
    <row r="15" spans="30:30" ht="18" hidden="1" customHeight="1" x14ac:dyDescent="0.2">
      <c r="AD15" s="483" t="s">
        <v>504</v>
      </c>
    </row>
    <row r="16" spans="30:30" hidden="1" x14ac:dyDescent="0.2"/>
    <row r="17" spans="1:31" ht="14.25" hidden="1" customHeight="1" x14ac:dyDescent="0.2">
      <c r="AD17" s="885" t="str">
        <f>IF([88]Source!G12&lt;&gt;"Новый объект", [88]Source!G12, "")</f>
        <v>48645-доп.1-изм2.1 12-4017-Л-Р-11.3.3.2-ВК-СМ1К1С Внутренние инженерные системы. Водоснабжение и водоотведение</v>
      </c>
    </row>
    <row r="18" spans="1:31" hidden="1" x14ac:dyDescent="0.2"/>
    <row r="19" spans="1:31" hidden="1" x14ac:dyDescent="0.2"/>
    <row r="20" spans="1:31" hidden="1" x14ac:dyDescent="0.2"/>
    <row r="21" spans="1:31" hidden="1" x14ac:dyDescent="0.2"/>
    <row r="22" spans="1:31" hidden="1" x14ac:dyDescent="0.2"/>
    <row r="23" spans="1:31" hidden="1" x14ac:dyDescent="0.2"/>
    <row r="24" spans="1:31" ht="14.25" hidden="1" customHeight="1" x14ac:dyDescent="0.2"/>
    <row r="26" spans="1:31" ht="18" x14ac:dyDescent="0.25">
      <c r="A26" s="595" t="s">
        <v>503</v>
      </c>
      <c r="B26" s="595"/>
      <c r="C26" s="595"/>
      <c r="D26" s="595"/>
      <c r="E26" s="595"/>
      <c r="F26" s="595"/>
      <c r="G26" s="595"/>
      <c r="H26" s="595"/>
      <c r="I26" s="595"/>
      <c r="J26" s="595"/>
      <c r="K26" s="595"/>
      <c r="L26" s="595"/>
    </row>
    <row r="27" spans="1:31" ht="14.25" x14ac:dyDescent="0.2">
      <c r="A27" s="316"/>
      <c r="B27" s="316"/>
      <c r="C27" s="316"/>
      <c r="D27" s="316"/>
      <c r="E27" s="316"/>
      <c r="F27" s="316"/>
      <c r="G27" s="316"/>
      <c r="H27" s="316"/>
      <c r="I27" s="316"/>
      <c r="J27" s="316"/>
      <c r="K27" s="316"/>
      <c r="L27" s="316"/>
    </row>
    <row r="28" spans="1:31" ht="15" hidden="1" x14ac:dyDescent="0.25">
      <c r="A28" s="316" t="s">
        <v>66</v>
      </c>
      <c r="B28" s="316"/>
      <c r="C28" s="316"/>
      <c r="D28" s="316"/>
      <c r="E28" s="316"/>
      <c r="F28" s="316"/>
      <c r="G28" s="316"/>
      <c r="H28" s="786">
        <f>([88]Source!P2765/1000)</f>
        <v>2722.92</v>
      </c>
      <c r="I28" s="786"/>
      <c r="J28" s="316" t="s">
        <v>67</v>
      </c>
      <c r="K28" s="316"/>
      <c r="L28" s="316"/>
    </row>
    <row r="29" spans="1:31" ht="15" hidden="1" x14ac:dyDescent="0.25">
      <c r="A29" s="316" t="s">
        <v>95</v>
      </c>
      <c r="B29" s="316"/>
      <c r="C29" s="316"/>
      <c r="D29" s="316"/>
      <c r="E29" s="316"/>
      <c r="F29" s="316"/>
      <c r="G29" s="316"/>
      <c r="H29" s="787"/>
      <c r="I29" s="787"/>
      <c r="J29" s="316"/>
      <c r="K29" s="316"/>
      <c r="L29" s="316"/>
    </row>
    <row r="30" spans="1:31" ht="14.25" x14ac:dyDescent="0.2">
      <c r="A30" s="645" t="s">
        <v>502</v>
      </c>
      <c r="B30" s="645"/>
      <c r="C30" s="645"/>
      <c r="D30" s="645"/>
      <c r="E30" s="645"/>
      <c r="F30" s="645"/>
      <c r="G30" s="645"/>
      <c r="H30" s="645"/>
      <c r="I30" s="645"/>
      <c r="J30" s="645"/>
      <c r="K30" s="645"/>
      <c r="L30" s="645"/>
      <c r="AE30" s="483" t="s">
        <v>502</v>
      </c>
    </row>
    <row r="31" spans="1:31" x14ac:dyDescent="0.2">
      <c r="A31" s="755" t="s">
        <v>38</v>
      </c>
      <c r="B31" s="756"/>
      <c r="C31" s="647" t="s">
        <v>39</v>
      </c>
      <c r="D31" s="647" t="s">
        <v>40</v>
      </c>
      <c r="E31" s="647" t="s">
        <v>75</v>
      </c>
      <c r="F31" s="647" t="s">
        <v>68</v>
      </c>
      <c r="G31" s="647" t="s">
        <v>69</v>
      </c>
      <c r="H31" s="647" t="s">
        <v>76</v>
      </c>
      <c r="I31" s="647" t="s">
        <v>77</v>
      </c>
      <c r="J31" s="647" t="s">
        <v>78</v>
      </c>
      <c r="K31" s="647" t="s">
        <v>79</v>
      </c>
      <c r="L31" s="647" t="s">
        <v>80</v>
      </c>
    </row>
    <row r="32" spans="1:31" x14ac:dyDescent="0.2">
      <c r="A32" s="757"/>
      <c r="B32" s="758"/>
      <c r="C32" s="648"/>
      <c r="D32" s="648"/>
      <c r="E32" s="648"/>
      <c r="F32" s="648"/>
      <c r="G32" s="648"/>
      <c r="H32" s="648"/>
      <c r="I32" s="648"/>
      <c r="J32" s="648"/>
      <c r="K32" s="648"/>
      <c r="L32" s="648"/>
    </row>
    <row r="33" spans="1:22" x14ac:dyDescent="0.2">
      <c r="A33" s="650" t="s">
        <v>41</v>
      </c>
      <c r="B33" s="650" t="s">
        <v>42</v>
      </c>
      <c r="C33" s="648"/>
      <c r="D33" s="648"/>
      <c r="E33" s="648"/>
      <c r="F33" s="648"/>
      <c r="G33" s="648"/>
      <c r="H33" s="648"/>
      <c r="I33" s="648"/>
      <c r="J33" s="648"/>
      <c r="K33" s="648"/>
      <c r="L33" s="648"/>
    </row>
    <row r="34" spans="1:22" x14ac:dyDescent="0.2">
      <c r="A34" s="650"/>
      <c r="B34" s="650"/>
      <c r="C34" s="648"/>
      <c r="D34" s="648"/>
      <c r="E34" s="648"/>
      <c r="F34" s="648"/>
      <c r="G34" s="648"/>
      <c r="H34" s="648"/>
      <c r="I34" s="648"/>
      <c r="J34" s="648"/>
      <c r="K34" s="648"/>
      <c r="L34" s="648"/>
    </row>
    <row r="35" spans="1:22" x14ac:dyDescent="0.2">
      <c r="A35" s="650"/>
      <c r="B35" s="650"/>
      <c r="C35" s="648"/>
      <c r="D35" s="648"/>
      <c r="E35" s="648"/>
      <c r="F35" s="648"/>
      <c r="G35" s="648"/>
      <c r="H35" s="648"/>
      <c r="I35" s="648"/>
      <c r="J35" s="648"/>
      <c r="K35" s="648"/>
      <c r="L35" s="648"/>
    </row>
    <row r="36" spans="1:22" x14ac:dyDescent="0.2">
      <c r="A36" s="650"/>
      <c r="B36" s="650"/>
      <c r="C36" s="648"/>
      <c r="D36" s="648"/>
      <c r="E36" s="648"/>
      <c r="F36" s="648"/>
      <c r="G36" s="648"/>
      <c r="H36" s="648"/>
      <c r="I36" s="648"/>
      <c r="J36" s="648"/>
      <c r="K36" s="648"/>
      <c r="L36" s="648"/>
    </row>
    <row r="37" spans="1:22" x14ac:dyDescent="0.2">
      <c r="A37" s="650"/>
      <c r="B37" s="650"/>
      <c r="C37" s="648"/>
      <c r="D37" s="648"/>
      <c r="E37" s="648"/>
      <c r="F37" s="648"/>
      <c r="G37" s="648"/>
      <c r="H37" s="648"/>
      <c r="I37" s="648"/>
      <c r="J37" s="648"/>
      <c r="K37" s="648"/>
      <c r="L37" s="648"/>
    </row>
    <row r="38" spans="1:22" x14ac:dyDescent="0.2">
      <c r="A38" s="650"/>
      <c r="B38" s="650"/>
      <c r="C38" s="649"/>
      <c r="D38" s="649"/>
      <c r="E38" s="649"/>
      <c r="F38" s="649"/>
      <c r="G38" s="649"/>
      <c r="H38" s="649"/>
      <c r="I38" s="649"/>
      <c r="J38" s="649"/>
      <c r="K38" s="649"/>
      <c r="L38" s="649"/>
    </row>
    <row r="39" spans="1:22" ht="14.25" x14ac:dyDescent="0.2">
      <c r="A39" s="482">
        <v>1</v>
      </c>
      <c r="B39" s="482">
        <v>2</v>
      </c>
      <c r="C39" s="482">
        <v>3</v>
      </c>
      <c r="D39" s="482">
        <v>4</v>
      </c>
      <c r="E39" s="482">
        <v>5</v>
      </c>
      <c r="F39" s="482">
        <v>6</v>
      </c>
      <c r="G39" s="482">
        <v>7</v>
      </c>
      <c r="H39" s="482">
        <v>8</v>
      </c>
      <c r="I39" s="482">
        <v>9</v>
      </c>
      <c r="J39" s="482">
        <v>10</v>
      </c>
      <c r="K39" s="482">
        <v>11</v>
      </c>
      <c r="L39" s="482">
        <v>12</v>
      </c>
    </row>
    <row r="41" spans="1:22" hidden="1" x14ac:dyDescent="0.2">
      <c r="A41" s="178" t="s">
        <v>54</v>
      </c>
      <c r="J41" s="178" t="e">
        <f>SUM(#REF!)</f>
        <v>#REF!</v>
      </c>
      <c r="K41" s="178" t="e">
        <f>SUM(#REF!)</f>
        <v>#REF!</v>
      </c>
    </row>
    <row r="42" spans="1:22" hidden="1" x14ac:dyDescent="0.2">
      <c r="A42" s="178" t="s">
        <v>55</v>
      </c>
      <c r="J42" s="178">
        <f>SUM(Y41:Y41)</f>
        <v>0</v>
      </c>
      <c r="K42" s="178">
        <f>SUM(Z41:Z41)</f>
        <v>0</v>
      </c>
    </row>
    <row r="43" spans="1:22" ht="16.5" x14ac:dyDescent="0.25">
      <c r="A43" s="642" t="s">
        <v>501</v>
      </c>
      <c r="B43" s="642"/>
      <c r="C43" s="642"/>
      <c r="D43" s="642"/>
      <c r="E43" s="642"/>
      <c r="F43" s="642"/>
      <c r="G43" s="642"/>
      <c r="H43" s="642"/>
      <c r="I43" s="642"/>
      <c r="J43" s="642"/>
      <c r="K43" s="642"/>
      <c r="L43" s="642"/>
    </row>
    <row r="44" spans="1:22" ht="33" customHeight="1" x14ac:dyDescent="0.25">
      <c r="A44" s="642" t="s">
        <v>500</v>
      </c>
      <c r="B44" s="642"/>
      <c r="C44" s="642"/>
      <c r="D44" s="642"/>
      <c r="E44" s="642"/>
      <c r="F44" s="642"/>
      <c r="G44" s="642"/>
      <c r="H44" s="642"/>
      <c r="I44" s="642"/>
      <c r="J44" s="642"/>
      <c r="K44" s="642"/>
      <c r="L44" s="642"/>
    </row>
    <row r="45" spans="1:22" ht="18" customHeight="1" x14ac:dyDescent="0.25">
      <c r="A45" s="642" t="str">
        <f>CONCATENATE("Раздел: ",IF([88]Source!G146&lt;&gt;"Новый раздел", [88]Source!G146, ""))</f>
        <v>Раздел: Хозяйственно-питьевой, производственный и противопожарный водопровод (В1)</v>
      </c>
      <c r="B45" s="642"/>
      <c r="C45" s="642"/>
      <c r="D45" s="642"/>
      <c r="E45" s="642"/>
      <c r="F45" s="642"/>
      <c r="G45" s="642"/>
      <c r="H45" s="642"/>
      <c r="I45" s="642"/>
      <c r="J45" s="642"/>
      <c r="K45" s="642"/>
      <c r="L45" s="642"/>
    </row>
    <row r="46" spans="1:22" ht="65.25" x14ac:dyDescent="0.2">
      <c r="A46" s="478">
        <v>1</v>
      </c>
      <c r="B46" s="478" t="str">
        <f>[88]Source!E242</f>
        <v>68</v>
      </c>
      <c r="C46" s="439" t="s">
        <v>499</v>
      </c>
      <c r="D46" s="439" t="s">
        <v>498</v>
      </c>
      <c r="E46" s="440" t="str">
        <f>[88]Source!H242</f>
        <v>100 м трубопровода</v>
      </c>
      <c r="F46" s="270">
        <f>[88]Source!I242</f>
        <v>1.7</v>
      </c>
      <c r="G46" s="441"/>
      <c r="H46" s="442"/>
      <c r="I46" s="270"/>
      <c r="J46" s="480"/>
      <c r="K46" s="270"/>
      <c r="L46" s="480"/>
      <c r="Q46" s="178">
        <f>[88]Source!X242</f>
        <v>3464.48</v>
      </c>
      <c r="R46" s="178">
        <f>[88]Source!X243</f>
        <v>67986.86</v>
      </c>
      <c r="S46" s="178">
        <f>[88]Source!Y242</f>
        <v>2605.29</v>
      </c>
      <c r="T46" s="178">
        <f>[88]Source!Y243</f>
        <v>30594.09</v>
      </c>
      <c r="U46" s="178">
        <f>ROUND((175/100)*ROUND([88]Source!R242, 2), 2)</f>
        <v>164.5</v>
      </c>
      <c r="V46" s="178">
        <f>ROUND((157/100)*ROUND([88]Source!R243, 2), 2)</f>
        <v>3620.14</v>
      </c>
    </row>
    <row r="47" spans="1:22" ht="14.25" x14ac:dyDescent="0.2">
      <c r="A47" s="478"/>
      <c r="B47" s="478"/>
      <c r="C47" s="439"/>
      <c r="D47" s="439" t="s">
        <v>43</v>
      </c>
      <c r="E47" s="440"/>
      <c r="F47" s="270"/>
      <c r="G47" s="441">
        <f>[88]Source!AO242</f>
        <v>914.95</v>
      </c>
      <c r="H47" s="442" t="str">
        <f>[88]Source!DG242</f>
        <v>)*1,67</v>
      </c>
      <c r="I47" s="270">
        <f>[88]Source!AV243</f>
        <v>1.0669999999999999</v>
      </c>
      <c r="J47" s="480">
        <f>[88]Source!S242</f>
        <v>2771.58</v>
      </c>
      <c r="K47" s="270">
        <f>IF([88]Source!BA243&lt;&gt; 0, [88]Source!BA243, 1)</f>
        <v>24.53</v>
      </c>
      <c r="L47" s="480">
        <f>[88]Source!S243</f>
        <v>67986.86</v>
      </c>
    </row>
    <row r="48" spans="1:22" ht="14.25" x14ac:dyDescent="0.2">
      <c r="A48" s="478"/>
      <c r="B48" s="478"/>
      <c r="C48" s="439"/>
      <c r="D48" s="439" t="s">
        <v>44</v>
      </c>
      <c r="E48" s="440"/>
      <c r="F48" s="270"/>
      <c r="G48" s="441">
        <f>[88]Source!AM242</f>
        <v>218.14</v>
      </c>
      <c r="H48" s="442">
        <f>[88]Source!DE242</f>
        <v>0</v>
      </c>
      <c r="I48" s="270">
        <f>[88]Source!AV243</f>
        <v>1.0669999999999999</v>
      </c>
      <c r="J48" s="480">
        <f>[88]Source!Q242-J59</f>
        <v>395.68</v>
      </c>
      <c r="K48" s="270">
        <f>IF([88]Source!BB243&lt;&gt; 0, [88]Source!BB243, 1)</f>
        <v>8.35</v>
      </c>
      <c r="L48" s="480">
        <f>[88]Source!Q243-L59</f>
        <v>3303.93</v>
      </c>
    </row>
    <row r="49" spans="1:22" ht="14.25" x14ac:dyDescent="0.2">
      <c r="A49" s="478"/>
      <c r="B49" s="478"/>
      <c r="C49" s="439"/>
      <c r="D49" s="439" t="s">
        <v>45</v>
      </c>
      <c r="E49" s="440"/>
      <c r="F49" s="270"/>
      <c r="G49" s="441">
        <f>[88]Source!AN242</f>
        <v>31.03</v>
      </c>
      <c r="H49" s="442">
        <f>[88]Source!DE242</f>
        <v>0</v>
      </c>
      <c r="I49" s="270">
        <f>[88]Source!AV243</f>
        <v>1.0669999999999999</v>
      </c>
      <c r="J49" s="443">
        <f>[88]Source!R242-J60</f>
        <v>56.29</v>
      </c>
      <c r="K49" s="270">
        <f>IF([88]Source!BS243&lt;&gt; 0, [88]Source!BS243, 1)</f>
        <v>24.53</v>
      </c>
      <c r="L49" s="443">
        <f>[88]Source!R243-L60</f>
        <v>1380.79</v>
      </c>
    </row>
    <row r="50" spans="1:22" ht="14.25" x14ac:dyDescent="0.2">
      <c r="A50" s="478"/>
      <c r="B50" s="478"/>
      <c r="C50" s="439"/>
      <c r="D50" s="439" t="s">
        <v>46</v>
      </c>
      <c r="E50" s="440"/>
      <c r="F50" s="270"/>
      <c r="G50" s="441">
        <f>[88]Source!AL242</f>
        <v>51.59</v>
      </c>
      <c r="H50" s="442">
        <f>[88]Source!DD242</f>
        <v>0</v>
      </c>
      <c r="I50" s="270">
        <f>[88]Source!AW243</f>
        <v>1</v>
      </c>
      <c r="J50" s="480">
        <f>[88]Source!P242</f>
        <v>87.7</v>
      </c>
      <c r="K50" s="270">
        <f>IF([88]Source!BC243&lt;&gt; 0, [88]Source!BC243, 1)</f>
        <v>5.73</v>
      </c>
      <c r="L50" s="480">
        <f>[88]Source!P243</f>
        <v>502.52</v>
      </c>
    </row>
    <row r="51" spans="1:22" ht="71.25" x14ac:dyDescent="0.2">
      <c r="A51" s="478">
        <v>2</v>
      </c>
      <c r="B51" s="478" t="str">
        <f>[88]Source!E244</f>
        <v>68,1</v>
      </c>
      <c r="C51" s="439" t="str">
        <f>[88]Source!F244</f>
        <v>1.12-7-138</v>
      </c>
      <c r="D51" s="439" t="s">
        <v>497</v>
      </c>
      <c r="E51" s="440" t="str">
        <f>[88]Source!H244</f>
        <v>м</v>
      </c>
      <c r="F51" s="270">
        <f>[88]Source!I244</f>
        <v>170</v>
      </c>
      <c r="G51" s="441">
        <f>[88]Source!AK244</f>
        <v>1286.57</v>
      </c>
      <c r="H51" s="781" t="s">
        <v>20</v>
      </c>
      <c r="I51" s="270">
        <f>[88]Source!AW245</f>
        <v>1</v>
      </c>
      <c r="J51" s="480">
        <f>[88]Source!O244</f>
        <v>218716.9</v>
      </c>
      <c r="K51" s="270">
        <f>IF([88]Source!BC245&lt;&gt; 0, [88]Source!BC245, 1)</f>
        <v>3.28</v>
      </c>
      <c r="L51" s="480">
        <f>[88]Source!O245</f>
        <v>717391.43</v>
      </c>
      <c r="Q51" s="178">
        <f>[88]Source!X244</f>
        <v>0</v>
      </c>
      <c r="R51" s="178">
        <f>[88]Source!X245</f>
        <v>0</v>
      </c>
      <c r="S51" s="178">
        <f>[88]Source!Y244</f>
        <v>0</v>
      </c>
      <c r="T51" s="178">
        <f>[88]Source!Y245</f>
        <v>0</v>
      </c>
      <c r="U51" s="178">
        <f>ROUND((175/100)*ROUND([88]Source!R244, 2), 2)</f>
        <v>0</v>
      </c>
      <c r="V51" s="178">
        <f>ROUND((157/100)*ROUND([88]Source!R245, 2), 2)</f>
        <v>0</v>
      </c>
    </row>
    <row r="52" spans="1:22" ht="14.25" x14ac:dyDescent="0.2">
      <c r="A52" s="478"/>
      <c r="B52" s="478"/>
      <c r="C52" s="439"/>
      <c r="D52" s="439" t="s">
        <v>47</v>
      </c>
      <c r="E52" s="440" t="s">
        <v>48</v>
      </c>
      <c r="F52" s="270">
        <f>[88]Source!DN243</f>
        <v>125</v>
      </c>
      <c r="G52" s="441"/>
      <c r="H52" s="442"/>
      <c r="I52" s="270"/>
      <c r="J52" s="480">
        <f>SUM(Q46:Q51)</f>
        <v>3464.48</v>
      </c>
      <c r="K52" s="270">
        <f>[88]Source!BZ243</f>
        <v>100</v>
      </c>
      <c r="L52" s="480">
        <f>SUM(R46:R51)</f>
        <v>67986.86</v>
      </c>
    </row>
    <row r="53" spans="1:22" ht="14.25" x14ac:dyDescent="0.2">
      <c r="A53" s="478"/>
      <c r="B53" s="478"/>
      <c r="C53" s="439"/>
      <c r="D53" s="439" t="s">
        <v>49</v>
      </c>
      <c r="E53" s="440" t="s">
        <v>48</v>
      </c>
      <c r="F53" s="270">
        <f>[88]Source!DO243</f>
        <v>94</v>
      </c>
      <c r="G53" s="441"/>
      <c r="H53" s="442"/>
      <c r="I53" s="270"/>
      <c r="J53" s="480">
        <f>SUM(S46:S52)</f>
        <v>2605.29</v>
      </c>
      <c r="K53" s="270">
        <f>[88]Source!CA243</f>
        <v>45</v>
      </c>
      <c r="L53" s="480">
        <f>SUM(T46:T52)</f>
        <v>30594.09</v>
      </c>
    </row>
    <row r="54" spans="1:22" ht="14.25" x14ac:dyDescent="0.2">
      <c r="A54" s="478"/>
      <c r="B54" s="478"/>
      <c r="C54" s="439"/>
      <c r="D54" s="439" t="s">
        <v>50</v>
      </c>
      <c r="E54" s="440" t="s">
        <v>48</v>
      </c>
      <c r="F54" s="270">
        <f>175</f>
        <v>175</v>
      </c>
      <c r="G54" s="441"/>
      <c r="H54" s="442"/>
      <c r="I54" s="270"/>
      <c r="J54" s="480">
        <f>SUM(U46:U53)-J61</f>
        <v>98.51</v>
      </c>
      <c r="K54" s="270">
        <f>157</f>
        <v>157</v>
      </c>
      <c r="L54" s="480">
        <f>SUM(V46:V53)-L61</f>
        <v>2167.84</v>
      </c>
    </row>
    <row r="55" spans="1:22" ht="14.25" x14ac:dyDescent="0.2">
      <c r="A55" s="479"/>
      <c r="B55" s="479"/>
      <c r="C55" s="308"/>
      <c r="D55" s="308" t="s">
        <v>51</v>
      </c>
      <c r="E55" s="307" t="s">
        <v>52</v>
      </c>
      <c r="F55" s="306">
        <f>[88]Source!AQ242</f>
        <v>72.5</v>
      </c>
      <c r="G55" s="305"/>
      <c r="H55" s="315">
        <f>[88]Source!DI242</f>
        <v>0</v>
      </c>
      <c r="I55" s="306">
        <f>[88]Source!AV243</f>
        <v>1.0669999999999999</v>
      </c>
      <c r="J55" s="314">
        <f>[88]Source!U242</f>
        <v>131.51</v>
      </c>
      <c r="K55" s="306"/>
      <c r="L55" s="314"/>
    </row>
    <row r="56" spans="1:22" ht="15" x14ac:dyDescent="0.25">
      <c r="D56" s="764" t="s">
        <v>81</v>
      </c>
      <c r="I56" s="640">
        <f>J47+J48+J50+J52+J53+J54+SUM(J51:J51)</f>
        <v>228140.14</v>
      </c>
      <c r="J56" s="640"/>
      <c r="K56" s="640">
        <f>L47+L48+L50+L52+L53+L54+SUM(L51:L51)</f>
        <v>889933.53</v>
      </c>
      <c r="L56" s="640"/>
      <c r="O56" s="765">
        <f>J47+J48+J50+J52+J53+J54+SUM(J51:J51)</f>
        <v>228140.14</v>
      </c>
      <c r="P56" s="765">
        <f>L47+L48+L50+L52+L53+L54+SUM(L51:L51)</f>
        <v>889933.53</v>
      </c>
    </row>
    <row r="58" spans="1:22" ht="65.25" x14ac:dyDescent="0.2">
      <c r="A58" s="478">
        <v>3</v>
      </c>
      <c r="B58" s="478" t="str">
        <f>CONCATENATE([88]Source!E242, "/1")</f>
        <v>68/1</v>
      </c>
      <c r="C58" s="439" t="s">
        <v>496</v>
      </c>
      <c r="D58" s="439" t="s">
        <v>82</v>
      </c>
      <c r="E58" s="440" t="str">
        <f>[88]Source!H242</f>
        <v>100 м трубопровода</v>
      </c>
      <c r="F58" s="270">
        <f>[88]Source!I242</f>
        <v>1.7</v>
      </c>
      <c r="G58" s="441"/>
      <c r="H58" s="442"/>
      <c r="I58" s="270"/>
      <c r="J58" s="480"/>
      <c r="K58" s="270"/>
      <c r="L58" s="480"/>
    </row>
    <row r="59" spans="1:22" ht="14.25" x14ac:dyDescent="0.2">
      <c r="A59" s="478"/>
      <c r="B59" s="478"/>
      <c r="C59" s="439"/>
      <c r="D59" s="439" t="s">
        <v>44</v>
      </c>
      <c r="E59" s="440"/>
      <c r="F59" s="270"/>
      <c r="G59" s="441">
        <f t="shared" ref="G59:L59" si="0">G60</f>
        <v>31.03</v>
      </c>
      <c r="H59" s="766" t="str">
        <f t="shared" si="0"/>
        <v>)*(1.67-1)</v>
      </c>
      <c r="I59" s="270">
        <f t="shared" si="0"/>
        <v>1.0669999999999999</v>
      </c>
      <c r="J59" s="480">
        <f t="shared" si="0"/>
        <v>37.71</v>
      </c>
      <c r="K59" s="270">
        <f t="shared" si="0"/>
        <v>24.53</v>
      </c>
      <c r="L59" s="480">
        <f t="shared" si="0"/>
        <v>925.03</v>
      </c>
    </row>
    <row r="60" spans="1:22" ht="14.25" x14ac:dyDescent="0.2">
      <c r="A60" s="478"/>
      <c r="B60" s="478"/>
      <c r="C60" s="439"/>
      <c r="D60" s="439" t="s">
        <v>45</v>
      </c>
      <c r="E60" s="440"/>
      <c r="F60" s="270"/>
      <c r="G60" s="441">
        <f>[88]Source!AN242</f>
        <v>31.03</v>
      </c>
      <c r="H60" s="766" t="s">
        <v>53</v>
      </c>
      <c r="I60" s="270">
        <f>[88]Source!AV243</f>
        <v>1.0669999999999999</v>
      </c>
      <c r="J60" s="443">
        <f>ROUND(F46*G60*I60*(1.67-1), 2)</f>
        <v>37.71</v>
      </c>
      <c r="K60" s="270">
        <f>IF([88]Source!BS243&lt;&gt; 0, [88]Source!BS243, 1)</f>
        <v>24.53</v>
      </c>
      <c r="L60" s="443">
        <f>ROUND(ROUND(F46*G60*I60*(1.67-1), 2)*K60, 2)</f>
        <v>925.03</v>
      </c>
    </row>
    <row r="61" spans="1:22" ht="14.25" x14ac:dyDescent="0.2">
      <c r="A61" s="478"/>
      <c r="B61" s="478"/>
      <c r="C61" s="439"/>
      <c r="D61" s="439" t="s">
        <v>50</v>
      </c>
      <c r="E61" s="440" t="s">
        <v>48</v>
      </c>
      <c r="F61" s="270">
        <f>175</f>
        <v>175</v>
      </c>
      <c r="G61" s="441"/>
      <c r="H61" s="442"/>
      <c r="I61" s="270"/>
      <c r="J61" s="480">
        <f>ROUND(J60*(F61/100), 2)</f>
        <v>65.989999999999995</v>
      </c>
      <c r="K61" s="270">
        <f>157</f>
        <v>157</v>
      </c>
      <c r="L61" s="480">
        <f>ROUND(L60*(K61/100), 2)</f>
        <v>1452.3</v>
      </c>
    </row>
    <row r="62" spans="1:22" ht="15" x14ac:dyDescent="0.25">
      <c r="A62" s="311"/>
      <c r="B62" s="311"/>
      <c r="C62" s="311"/>
      <c r="D62" s="312" t="s">
        <v>81</v>
      </c>
      <c r="E62" s="311"/>
      <c r="F62" s="311"/>
      <c r="G62" s="311"/>
      <c r="H62" s="311"/>
      <c r="I62" s="639">
        <f>J61+J60</f>
        <v>103.7</v>
      </c>
      <c r="J62" s="639"/>
      <c r="K62" s="639">
        <f>L61+L60</f>
        <v>2377.33</v>
      </c>
      <c r="L62" s="639"/>
      <c r="O62" s="765">
        <f>I62</f>
        <v>103.7</v>
      </c>
      <c r="P62" s="765">
        <f>K62</f>
        <v>2377.33</v>
      </c>
    </row>
    <row r="64" spans="1:22" ht="65.25" x14ac:dyDescent="0.2">
      <c r="A64" s="478">
        <v>4</v>
      </c>
      <c r="B64" s="478" t="str">
        <f>[88]Source!E250</f>
        <v>71</v>
      </c>
      <c r="C64" s="439" t="s">
        <v>495</v>
      </c>
      <c r="D64" s="439" t="s">
        <v>494</v>
      </c>
      <c r="E64" s="440" t="str">
        <f>[88]Source!H250</f>
        <v>100 м трубопровода</v>
      </c>
      <c r="F64" s="270">
        <f>[88]Source!I250</f>
        <v>1.2</v>
      </c>
      <c r="G64" s="441"/>
      <c r="H64" s="442"/>
      <c r="I64" s="270"/>
      <c r="J64" s="480"/>
      <c r="K64" s="270"/>
      <c r="L64" s="480"/>
      <c r="Q64" s="178">
        <f>[88]Source!X250</f>
        <v>3427.43</v>
      </c>
      <c r="R64" s="178">
        <f>[88]Source!X251</f>
        <v>67259.789999999994</v>
      </c>
      <c r="S64" s="178">
        <f>[88]Source!Y250</f>
        <v>2577.42</v>
      </c>
      <c r="T64" s="178">
        <f>[88]Source!Y251</f>
        <v>30266.91</v>
      </c>
      <c r="U64" s="178">
        <f>ROUND((175/100)*ROUND([88]Source!R250, 2), 2)</f>
        <v>202.25</v>
      </c>
      <c r="V64" s="178">
        <f>ROUND((157/100)*ROUND([88]Source!R251, 2), 2)</f>
        <v>4450.84</v>
      </c>
    </row>
    <row r="65" spans="1:22" ht="14.25" x14ac:dyDescent="0.2">
      <c r="A65" s="478"/>
      <c r="B65" s="478"/>
      <c r="C65" s="439"/>
      <c r="D65" s="439" t="s">
        <v>43</v>
      </c>
      <c r="E65" s="440"/>
      <c r="F65" s="270"/>
      <c r="G65" s="441">
        <f>[88]Source!AO250</f>
        <v>1282.32</v>
      </c>
      <c r="H65" s="442" t="str">
        <f>[88]Source!DG250</f>
        <v>)*1,67</v>
      </c>
      <c r="I65" s="270">
        <f>[88]Source!AV251</f>
        <v>1.0669999999999999</v>
      </c>
      <c r="J65" s="480">
        <f>[88]Source!S250</f>
        <v>2741.94</v>
      </c>
      <c r="K65" s="270">
        <f>IF([88]Source!BA251&lt;&gt; 0, [88]Source!BA251, 1)</f>
        <v>24.53</v>
      </c>
      <c r="L65" s="480">
        <f>[88]Source!S251</f>
        <v>67259.789999999994</v>
      </c>
    </row>
    <row r="66" spans="1:22" ht="14.25" x14ac:dyDescent="0.2">
      <c r="A66" s="478"/>
      <c r="B66" s="478"/>
      <c r="C66" s="439"/>
      <c r="D66" s="439" t="s">
        <v>44</v>
      </c>
      <c r="E66" s="440"/>
      <c r="F66" s="270"/>
      <c r="G66" s="441">
        <f>[88]Source!AM250</f>
        <v>326.27</v>
      </c>
      <c r="H66" s="442">
        <f>[88]Source!DE250</f>
        <v>0</v>
      </c>
      <c r="I66" s="270">
        <f>[88]Source!AV251</f>
        <v>1.0669999999999999</v>
      </c>
      <c r="J66" s="480">
        <f>[88]Source!Q250-J77</f>
        <v>417.76</v>
      </c>
      <c r="K66" s="270">
        <f>IF([88]Source!BB251&lt;&gt; 0, [88]Source!BB251, 1)</f>
        <v>8.7899999999999991</v>
      </c>
      <c r="L66" s="480">
        <f>[88]Source!Q251-L77</f>
        <v>3672.11</v>
      </c>
    </row>
    <row r="67" spans="1:22" ht="14.25" x14ac:dyDescent="0.2">
      <c r="A67" s="478"/>
      <c r="B67" s="478"/>
      <c r="C67" s="439"/>
      <c r="D67" s="439" t="s">
        <v>45</v>
      </c>
      <c r="E67" s="440"/>
      <c r="F67" s="270"/>
      <c r="G67" s="441">
        <f>[88]Source!AN250</f>
        <v>54.05</v>
      </c>
      <c r="H67" s="442">
        <f>[88]Source!DE250</f>
        <v>0</v>
      </c>
      <c r="I67" s="270">
        <f>[88]Source!AV251</f>
        <v>1.0669999999999999</v>
      </c>
      <c r="J67" s="443">
        <f>[88]Source!R250-J78</f>
        <v>69.2</v>
      </c>
      <c r="K67" s="270">
        <f>IF([88]Source!BS251&lt;&gt; 0, [88]Source!BS251, 1)</f>
        <v>24.53</v>
      </c>
      <c r="L67" s="443">
        <f>[88]Source!R251-L78</f>
        <v>1697.47</v>
      </c>
    </row>
    <row r="68" spans="1:22" ht="14.25" x14ac:dyDescent="0.2">
      <c r="A68" s="478"/>
      <c r="B68" s="478"/>
      <c r="C68" s="439"/>
      <c r="D68" s="439" t="s">
        <v>46</v>
      </c>
      <c r="E68" s="440"/>
      <c r="F68" s="270"/>
      <c r="G68" s="441">
        <f>[88]Source!AL250</f>
        <v>117.18</v>
      </c>
      <c r="H68" s="442">
        <f>[88]Source!DD250</f>
        <v>0</v>
      </c>
      <c r="I68" s="270">
        <f>[88]Source!AW251</f>
        <v>1</v>
      </c>
      <c r="J68" s="480">
        <f>[88]Source!P250</f>
        <v>140.62</v>
      </c>
      <c r="K68" s="270">
        <f>IF([88]Source!BC251&lt;&gt; 0, [88]Source!BC251, 1)</f>
        <v>5.73</v>
      </c>
      <c r="L68" s="480">
        <f>[88]Source!P251</f>
        <v>805.75</v>
      </c>
    </row>
    <row r="69" spans="1:22" ht="71.25" x14ac:dyDescent="0.2">
      <c r="A69" s="478">
        <v>5</v>
      </c>
      <c r="B69" s="478" t="str">
        <f>[88]Source!E252</f>
        <v>71,1</v>
      </c>
      <c r="C69" s="439" t="str">
        <f>[88]Source!F252</f>
        <v>1.12-7-154</v>
      </c>
      <c r="D69" s="439" t="s">
        <v>493</v>
      </c>
      <c r="E69" s="440" t="str">
        <f>[88]Source!H252</f>
        <v>м</v>
      </c>
      <c r="F69" s="270">
        <f>[88]Source!I252</f>
        <v>120</v>
      </c>
      <c r="G69" s="441">
        <f>[88]Source!AK252</f>
        <v>1565.36</v>
      </c>
      <c r="H69" s="781" t="s">
        <v>20</v>
      </c>
      <c r="I69" s="270">
        <f>[88]Source!AW253</f>
        <v>1</v>
      </c>
      <c r="J69" s="480">
        <f>[88]Source!O252</f>
        <v>187843.20000000001</v>
      </c>
      <c r="K69" s="270">
        <f>IF([88]Source!BC253&lt;&gt; 0, [88]Source!BC253, 1)</f>
        <v>4.83</v>
      </c>
      <c r="L69" s="480">
        <f>[88]Source!O253</f>
        <v>907282.66</v>
      </c>
      <c r="Q69" s="178">
        <f>[88]Source!X252</f>
        <v>0</v>
      </c>
      <c r="R69" s="178">
        <f>[88]Source!X253</f>
        <v>0</v>
      </c>
      <c r="S69" s="178">
        <f>[88]Source!Y252</f>
        <v>0</v>
      </c>
      <c r="T69" s="178">
        <f>[88]Source!Y253</f>
        <v>0</v>
      </c>
      <c r="U69" s="178">
        <f>ROUND((175/100)*ROUND([88]Source!R252, 2), 2)</f>
        <v>0</v>
      </c>
      <c r="V69" s="178">
        <f>ROUND((157/100)*ROUND([88]Source!R253, 2), 2)</f>
        <v>0</v>
      </c>
    </row>
    <row r="70" spans="1:22" ht="14.25" x14ac:dyDescent="0.2">
      <c r="A70" s="478"/>
      <c r="B70" s="478"/>
      <c r="C70" s="439"/>
      <c r="D70" s="439" t="s">
        <v>47</v>
      </c>
      <c r="E70" s="440" t="s">
        <v>48</v>
      </c>
      <c r="F70" s="270">
        <f>[88]Source!DN251</f>
        <v>125</v>
      </c>
      <c r="G70" s="441"/>
      <c r="H70" s="442"/>
      <c r="I70" s="270"/>
      <c r="J70" s="480">
        <f>SUM(Q64:Q69)</f>
        <v>3427.43</v>
      </c>
      <c r="K70" s="270">
        <f>[88]Source!BZ251</f>
        <v>100</v>
      </c>
      <c r="L70" s="480">
        <f>SUM(R64:R69)</f>
        <v>67259.789999999994</v>
      </c>
    </row>
    <row r="71" spans="1:22" ht="14.25" x14ac:dyDescent="0.2">
      <c r="A71" s="478"/>
      <c r="B71" s="478"/>
      <c r="C71" s="439"/>
      <c r="D71" s="439" t="s">
        <v>49</v>
      </c>
      <c r="E71" s="440" t="s">
        <v>48</v>
      </c>
      <c r="F71" s="270">
        <f>[88]Source!DO251</f>
        <v>94</v>
      </c>
      <c r="G71" s="441"/>
      <c r="H71" s="442"/>
      <c r="I71" s="270"/>
      <c r="J71" s="480">
        <f>SUM(S64:S70)</f>
        <v>2577.42</v>
      </c>
      <c r="K71" s="270">
        <f>[88]Source!CA251</f>
        <v>45</v>
      </c>
      <c r="L71" s="480">
        <f>SUM(T64:T70)</f>
        <v>30266.91</v>
      </c>
    </row>
    <row r="72" spans="1:22" ht="14.25" x14ac:dyDescent="0.2">
      <c r="A72" s="478"/>
      <c r="B72" s="478"/>
      <c r="C72" s="439"/>
      <c r="D72" s="439" t="s">
        <v>50</v>
      </c>
      <c r="E72" s="440" t="s">
        <v>48</v>
      </c>
      <c r="F72" s="270">
        <f>175</f>
        <v>175</v>
      </c>
      <c r="G72" s="441"/>
      <c r="H72" s="442"/>
      <c r="I72" s="270"/>
      <c r="J72" s="480">
        <f>SUM(U64:U71)-J79</f>
        <v>121.1</v>
      </c>
      <c r="K72" s="270">
        <f>157</f>
        <v>157</v>
      </c>
      <c r="L72" s="480">
        <f>SUM(V64:V71)-L79</f>
        <v>2665.03</v>
      </c>
    </row>
    <row r="73" spans="1:22" ht="14.25" x14ac:dyDescent="0.2">
      <c r="A73" s="479"/>
      <c r="B73" s="479"/>
      <c r="C73" s="308"/>
      <c r="D73" s="308" t="s">
        <v>51</v>
      </c>
      <c r="E73" s="307" t="s">
        <v>52</v>
      </c>
      <c r="F73" s="306">
        <f>[88]Source!AQ250</f>
        <v>104</v>
      </c>
      <c r="G73" s="305"/>
      <c r="H73" s="315">
        <f>[88]Source!DI250</f>
        <v>0</v>
      </c>
      <c r="I73" s="306">
        <f>[88]Source!AV251</f>
        <v>1.0669999999999999</v>
      </c>
      <c r="J73" s="314">
        <f>[88]Source!U250</f>
        <v>133.16</v>
      </c>
      <c r="K73" s="306"/>
      <c r="L73" s="314"/>
    </row>
    <row r="74" spans="1:22" ht="15" x14ac:dyDescent="0.25">
      <c r="D74" s="764" t="s">
        <v>81</v>
      </c>
      <c r="I74" s="640">
        <f>J65+J66+J68+J70+J71+J72+SUM(J69:J69)</f>
        <v>197269.47</v>
      </c>
      <c r="J74" s="640"/>
      <c r="K74" s="640">
        <f>L65+L66+L68+L70+L71+L72+SUM(L69:L69)</f>
        <v>1079212.04</v>
      </c>
      <c r="L74" s="640"/>
      <c r="O74" s="765">
        <f>J65+J66+J68+J70+J71+J72+SUM(J69:J69)</f>
        <v>197269.47</v>
      </c>
      <c r="P74" s="765">
        <f>L65+L66+L68+L70+L71+L72+SUM(L69:L69)</f>
        <v>1079212.04</v>
      </c>
    </row>
    <row r="76" spans="1:22" ht="65.25" x14ac:dyDescent="0.2">
      <c r="A76" s="478">
        <v>6</v>
      </c>
      <c r="B76" s="478" t="str">
        <f>CONCATENATE([88]Source!E250, "/1")</f>
        <v>71/1</v>
      </c>
      <c r="C76" s="439" t="s">
        <v>492</v>
      </c>
      <c r="D76" s="439" t="s">
        <v>82</v>
      </c>
      <c r="E76" s="440" t="str">
        <f>[88]Source!H250</f>
        <v>100 м трубопровода</v>
      </c>
      <c r="F76" s="270">
        <f>[88]Source!I250</f>
        <v>1.2</v>
      </c>
      <c r="G76" s="441"/>
      <c r="H76" s="442"/>
      <c r="I76" s="270"/>
      <c r="J76" s="480"/>
      <c r="K76" s="270"/>
      <c r="L76" s="480"/>
    </row>
    <row r="77" spans="1:22" ht="14.25" x14ac:dyDescent="0.2">
      <c r="A77" s="478"/>
      <c r="B77" s="478"/>
      <c r="C77" s="439"/>
      <c r="D77" s="439" t="s">
        <v>44</v>
      </c>
      <c r="E77" s="440"/>
      <c r="F77" s="270"/>
      <c r="G77" s="441">
        <f t="shared" ref="G77:L77" si="1">G78</f>
        <v>54.05</v>
      </c>
      <c r="H77" s="766" t="str">
        <f t="shared" si="1"/>
        <v>)*(1.67-1)</v>
      </c>
      <c r="I77" s="270">
        <f t="shared" si="1"/>
        <v>1.0669999999999999</v>
      </c>
      <c r="J77" s="480">
        <f t="shared" si="1"/>
        <v>46.37</v>
      </c>
      <c r="K77" s="270">
        <f t="shared" si="1"/>
        <v>24.53</v>
      </c>
      <c r="L77" s="480">
        <f t="shared" si="1"/>
        <v>1137.46</v>
      </c>
    </row>
    <row r="78" spans="1:22" ht="14.25" x14ac:dyDescent="0.2">
      <c r="A78" s="478"/>
      <c r="B78" s="478"/>
      <c r="C78" s="439"/>
      <c r="D78" s="439" t="s">
        <v>45</v>
      </c>
      <c r="E78" s="440"/>
      <c r="F78" s="270"/>
      <c r="G78" s="441">
        <f>[88]Source!AN250</f>
        <v>54.05</v>
      </c>
      <c r="H78" s="766" t="s">
        <v>53</v>
      </c>
      <c r="I78" s="270">
        <f>[88]Source!AV251</f>
        <v>1.0669999999999999</v>
      </c>
      <c r="J78" s="443">
        <f>ROUND(F64*G78*I78*(1.67-1), 2)</f>
        <v>46.37</v>
      </c>
      <c r="K78" s="270">
        <f>IF([88]Source!BS251&lt;&gt; 0, [88]Source!BS251, 1)</f>
        <v>24.53</v>
      </c>
      <c r="L78" s="443">
        <f>ROUND(ROUND(F64*G78*I78*(1.67-1), 2)*K78, 2)</f>
        <v>1137.46</v>
      </c>
    </row>
    <row r="79" spans="1:22" ht="14.25" x14ac:dyDescent="0.2">
      <c r="A79" s="478"/>
      <c r="B79" s="478"/>
      <c r="C79" s="439"/>
      <c r="D79" s="439" t="s">
        <v>50</v>
      </c>
      <c r="E79" s="440" t="s">
        <v>48</v>
      </c>
      <c r="F79" s="270">
        <f>175</f>
        <v>175</v>
      </c>
      <c r="G79" s="441"/>
      <c r="H79" s="442"/>
      <c r="I79" s="270"/>
      <c r="J79" s="480">
        <f>ROUND(J78*(F79/100), 2)</f>
        <v>81.150000000000006</v>
      </c>
      <c r="K79" s="270">
        <f>157</f>
        <v>157</v>
      </c>
      <c r="L79" s="480">
        <f>ROUND(L78*(K79/100), 2)</f>
        <v>1785.81</v>
      </c>
    </row>
    <row r="80" spans="1:22" ht="15" x14ac:dyDescent="0.25">
      <c r="A80" s="311"/>
      <c r="B80" s="311"/>
      <c r="C80" s="311"/>
      <c r="D80" s="312" t="s">
        <v>81</v>
      </c>
      <c r="E80" s="311"/>
      <c r="F80" s="311"/>
      <c r="G80" s="311"/>
      <c r="H80" s="311"/>
      <c r="I80" s="639">
        <f>J79+J78</f>
        <v>127.52</v>
      </c>
      <c r="J80" s="639"/>
      <c r="K80" s="639">
        <f>L79+L78</f>
        <v>2923.27</v>
      </c>
      <c r="L80" s="639"/>
      <c r="O80" s="765">
        <f>I80</f>
        <v>127.52</v>
      </c>
      <c r="P80" s="765">
        <f>K80</f>
        <v>2923.27</v>
      </c>
    </row>
    <row r="82" spans="1:22" ht="68.25" x14ac:dyDescent="0.2">
      <c r="A82" s="479">
        <v>7</v>
      </c>
      <c r="B82" s="479" t="str">
        <f>[88]Source!E320</f>
        <v>94</v>
      </c>
      <c r="C82" s="308" t="str">
        <f>[88]Source!F320</f>
        <v>МКЭ-33-425/8-10 от 09.08.2018</v>
      </c>
      <c r="D82" s="308" t="s">
        <v>491</v>
      </c>
      <c r="E82" s="307" t="str">
        <f>[88]Source!H320</f>
        <v>шт.</v>
      </c>
      <c r="F82" s="306">
        <f>[88]Source!I320</f>
        <v>4</v>
      </c>
      <c r="G82" s="886">
        <f>J82/F82</f>
        <v>727.54</v>
      </c>
      <c r="H82" s="315">
        <f>[88]Source!DD320</f>
        <v>0</v>
      </c>
      <c r="I82" s="306">
        <f>[88]Source!AW321</f>
        <v>1</v>
      </c>
      <c r="J82" s="314">
        <f>L82/K82</f>
        <v>2910.16</v>
      </c>
      <c r="K82" s="306">
        <f>IF([88]Source!BC321&lt;&gt; 0, [88]Source!BC321, 1)</f>
        <v>5.65</v>
      </c>
      <c r="L82" s="314">
        <f>4030*1.02*F82</f>
        <v>16442.400000000001</v>
      </c>
      <c r="Q82" s="178">
        <f>[88]Source!X320</f>
        <v>0</v>
      </c>
      <c r="R82" s="178">
        <f>[88]Source!X321</f>
        <v>0</v>
      </c>
      <c r="S82" s="178">
        <f>[88]Source!Y320</f>
        <v>0</v>
      </c>
      <c r="T82" s="178">
        <f>[88]Source!Y321</f>
        <v>0</v>
      </c>
      <c r="U82" s="178">
        <f>ROUND((175/100)*ROUND([88]Source!R320, 2), 2)</f>
        <v>0</v>
      </c>
      <c r="V82" s="178">
        <f>ROUND((157/100)*ROUND([88]Source!R321, 2), 2)</f>
        <v>0</v>
      </c>
    </row>
    <row r="83" spans="1:22" ht="15" x14ac:dyDescent="0.25">
      <c r="A83" s="311"/>
      <c r="B83" s="311"/>
      <c r="C83" s="311"/>
      <c r="D83" s="312" t="s">
        <v>81</v>
      </c>
      <c r="E83" s="311"/>
      <c r="F83" s="311"/>
      <c r="G83" s="311"/>
      <c r="H83" s="311"/>
      <c r="I83" s="639">
        <f>J82</f>
        <v>2910.16</v>
      </c>
      <c r="J83" s="639"/>
      <c r="K83" s="639">
        <f>L82</f>
        <v>16442.400000000001</v>
      </c>
      <c r="L83" s="639"/>
      <c r="O83" s="765">
        <f>J82</f>
        <v>2910.16</v>
      </c>
      <c r="P83" s="765">
        <f>L82</f>
        <v>16442.400000000001</v>
      </c>
    </row>
    <row r="85" spans="1:22" ht="57" x14ac:dyDescent="0.2">
      <c r="A85" s="479">
        <v>8</v>
      </c>
      <c r="B85" s="479" t="str">
        <f>[88]Source!E324</f>
        <v>96</v>
      </c>
      <c r="C85" s="308" t="str">
        <f>[88]Source!F324</f>
        <v>1.12-11-9</v>
      </c>
      <c r="D85" s="308" t="s">
        <v>490</v>
      </c>
      <c r="E85" s="307" t="str">
        <f>[88]Source!H324</f>
        <v>шт.</v>
      </c>
      <c r="F85" s="306">
        <f>[88]Source!I324</f>
        <v>8</v>
      </c>
      <c r="G85" s="305">
        <f>[88]Source!AL324</f>
        <v>174</v>
      </c>
      <c r="H85" s="315">
        <f>[88]Source!DD324</f>
        <v>0</v>
      </c>
      <c r="I85" s="306">
        <f>[88]Source!AW325</f>
        <v>1</v>
      </c>
      <c r="J85" s="314">
        <f>[88]Source!P324</f>
        <v>1392</v>
      </c>
      <c r="K85" s="306">
        <f>IF([88]Source!BC325&lt;&gt; 0, [88]Source!BC325, 1)</f>
        <v>3.5</v>
      </c>
      <c r="L85" s="314">
        <f>[88]Source!P325</f>
        <v>4872</v>
      </c>
      <c r="Q85" s="178">
        <f>[88]Source!X324</f>
        <v>0</v>
      </c>
      <c r="R85" s="178">
        <f>[88]Source!X325</f>
        <v>0</v>
      </c>
      <c r="S85" s="178">
        <f>[88]Source!Y324</f>
        <v>0</v>
      </c>
      <c r="T85" s="178">
        <f>[88]Source!Y325</f>
        <v>0</v>
      </c>
      <c r="U85" s="178">
        <f>ROUND((175/100)*ROUND([88]Source!R324, 2), 2)</f>
        <v>0</v>
      </c>
      <c r="V85" s="178">
        <f>ROUND((157/100)*ROUND([88]Source!R325, 2), 2)</f>
        <v>0</v>
      </c>
    </row>
    <row r="86" spans="1:22" ht="15" x14ac:dyDescent="0.25">
      <c r="A86" s="311"/>
      <c r="B86" s="311"/>
      <c r="C86" s="311"/>
      <c r="D86" s="312" t="s">
        <v>81</v>
      </c>
      <c r="E86" s="311"/>
      <c r="F86" s="311"/>
      <c r="G86" s="311"/>
      <c r="H86" s="311"/>
      <c r="I86" s="639">
        <f>J85</f>
        <v>1392</v>
      </c>
      <c r="J86" s="639"/>
      <c r="K86" s="639">
        <f>L85</f>
        <v>4872</v>
      </c>
      <c r="L86" s="639"/>
      <c r="O86" s="765">
        <f>J85</f>
        <v>1392</v>
      </c>
      <c r="P86" s="765">
        <f>L85</f>
        <v>4872</v>
      </c>
    </row>
    <row r="88" spans="1:22" ht="57" x14ac:dyDescent="0.2">
      <c r="A88" s="479">
        <v>9</v>
      </c>
      <c r="B88" s="479" t="str">
        <f>[88]Source!E326</f>
        <v>97</v>
      </c>
      <c r="C88" s="308" t="str">
        <f>[88]Source!F326</f>
        <v>1.12-11-5</v>
      </c>
      <c r="D88" s="308" t="s">
        <v>489</v>
      </c>
      <c r="E88" s="307" t="str">
        <f>[88]Source!H326</f>
        <v>шт.</v>
      </c>
      <c r="F88" s="306">
        <f>[88]Source!I326</f>
        <v>32</v>
      </c>
      <c r="G88" s="305">
        <f>[88]Source!AL326</f>
        <v>51.01</v>
      </c>
      <c r="H88" s="315">
        <f>[88]Source!DD326</f>
        <v>0</v>
      </c>
      <c r="I88" s="306">
        <f>[88]Source!AW327</f>
        <v>1</v>
      </c>
      <c r="J88" s="314">
        <f>[88]Source!P326</f>
        <v>1632.32</v>
      </c>
      <c r="K88" s="306">
        <f>IF([88]Source!BC327&lt;&gt; 0, [88]Source!BC327, 1)</f>
        <v>4.9400000000000004</v>
      </c>
      <c r="L88" s="314">
        <f>[88]Source!P327</f>
        <v>8063.66</v>
      </c>
      <c r="Q88" s="178">
        <f>[88]Source!X326</f>
        <v>0</v>
      </c>
      <c r="R88" s="178">
        <f>[88]Source!X327</f>
        <v>0</v>
      </c>
      <c r="S88" s="178">
        <f>[88]Source!Y326</f>
        <v>0</v>
      </c>
      <c r="T88" s="178">
        <f>[88]Source!Y327</f>
        <v>0</v>
      </c>
      <c r="U88" s="178">
        <f>ROUND((175/100)*ROUND([88]Source!R326, 2), 2)</f>
        <v>0</v>
      </c>
      <c r="V88" s="178">
        <f>ROUND((157/100)*ROUND([88]Source!R327, 2), 2)</f>
        <v>0</v>
      </c>
    </row>
    <row r="89" spans="1:22" ht="15" x14ac:dyDescent="0.25">
      <c r="A89" s="311"/>
      <c r="B89" s="311"/>
      <c r="C89" s="311"/>
      <c r="D89" s="312" t="s">
        <v>81</v>
      </c>
      <c r="E89" s="311"/>
      <c r="F89" s="311"/>
      <c r="G89" s="311"/>
      <c r="H89" s="311"/>
      <c r="I89" s="639">
        <f>J88</f>
        <v>1632.32</v>
      </c>
      <c r="J89" s="639"/>
      <c r="K89" s="639">
        <f>L88</f>
        <v>8063.66</v>
      </c>
      <c r="L89" s="639"/>
      <c r="O89" s="765">
        <f>J88</f>
        <v>1632.32</v>
      </c>
      <c r="P89" s="765">
        <f>L88</f>
        <v>8063.66</v>
      </c>
    </row>
    <row r="91" spans="1:22" ht="57" x14ac:dyDescent="0.2">
      <c r="A91" s="478">
        <v>10</v>
      </c>
      <c r="B91" s="478" t="str">
        <f>[88]Source!E384</f>
        <v>121</v>
      </c>
      <c r="C91" s="439" t="str">
        <f>[88]Source!F384</f>
        <v>1.6-1-269</v>
      </c>
      <c r="D91" s="439" t="s">
        <v>481</v>
      </c>
      <c r="E91" s="440" t="str">
        <f>[88]Source!H384</f>
        <v>т</v>
      </c>
      <c r="F91" s="270">
        <f>[88]Source!I384</f>
        <v>0.52200000000000002</v>
      </c>
      <c r="G91" s="441">
        <f>[88]Source!AL384</f>
        <v>12416.1</v>
      </c>
      <c r="H91" s="442">
        <f>[88]Source!DD384</f>
        <v>0</v>
      </c>
      <c r="I91" s="270">
        <f>[88]Source!AW385</f>
        <v>1</v>
      </c>
      <c r="J91" s="480">
        <f>[88]Source!P384</f>
        <v>6481.2</v>
      </c>
      <c r="K91" s="270">
        <f>IF([88]Source!BC385&lt;&gt; 0, [88]Source!BC385, 1)</f>
        <v>6.7</v>
      </c>
      <c r="L91" s="480">
        <f>[88]Source!P385</f>
        <v>43424.04</v>
      </c>
      <c r="Q91" s="178">
        <f>[88]Source!X384</f>
        <v>0</v>
      </c>
      <c r="R91" s="178">
        <f>[88]Source!X385</f>
        <v>0</v>
      </c>
      <c r="S91" s="178">
        <f>[88]Source!Y384</f>
        <v>0</v>
      </c>
      <c r="T91" s="178">
        <f>[88]Source!Y385</f>
        <v>0</v>
      </c>
      <c r="U91" s="178">
        <f>ROUND((175/100)*ROUND([88]Source!R384, 2), 2)</f>
        <v>0</v>
      </c>
      <c r="V91" s="178">
        <f>ROUND((157/100)*ROUND([88]Source!R385, 2), 2)</f>
        <v>0</v>
      </c>
    </row>
    <row r="92" spans="1:22" ht="12.75" x14ac:dyDescent="0.2">
      <c r="A92" s="887"/>
      <c r="B92" s="887"/>
      <c r="C92" s="887"/>
      <c r="D92" s="888" t="str">
        <f>"Объем: "&amp;[88]Source!I384&amp;"=0,372+"&amp;"0,15"</f>
        <v>Объем: 0,522=0,372+0,15</v>
      </c>
      <c r="E92" s="887"/>
      <c r="F92" s="887"/>
      <c r="G92" s="887"/>
      <c r="H92" s="887"/>
      <c r="I92" s="887"/>
      <c r="J92" s="887"/>
      <c r="K92" s="887"/>
      <c r="L92" s="887"/>
    </row>
    <row r="93" spans="1:22" ht="15" x14ac:dyDescent="0.25">
      <c r="A93" s="311"/>
      <c r="B93" s="311"/>
      <c r="C93" s="311"/>
      <c r="D93" s="312" t="s">
        <v>81</v>
      </c>
      <c r="E93" s="311"/>
      <c r="F93" s="311"/>
      <c r="G93" s="311"/>
      <c r="H93" s="311"/>
      <c r="I93" s="639">
        <f>J91</f>
        <v>6481.2</v>
      </c>
      <c r="J93" s="639"/>
      <c r="K93" s="639">
        <f>L91</f>
        <v>43424.04</v>
      </c>
      <c r="L93" s="639"/>
      <c r="O93" s="765">
        <f>J91</f>
        <v>6481.2</v>
      </c>
      <c r="P93" s="765">
        <f>L91</f>
        <v>43424.04</v>
      </c>
    </row>
    <row r="95" spans="1:22" ht="128.25" x14ac:dyDescent="0.2">
      <c r="A95" s="479">
        <v>11</v>
      </c>
      <c r="B95" s="479" t="str">
        <f>[88]Source!E392</f>
        <v>123</v>
      </c>
      <c r="C95" s="308" t="str">
        <f>[88]Source!F392</f>
        <v>1.7-5-155</v>
      </c>
      <c r="D95" s="308" t="s">
        <v>480</v>
      </c>
      <c r="E95" s="307" t="str">
        <f>[88]Source!H392</f>
        <v>шт.</v>
      </c>
      <c r="F95" s="306">
        <f>[88]Source!I392</f>
        <v>186</v>
      </c>
      <c r="G95" s="305">
        <f>[88]Source!AL392</f>
        <v>25.33</v>
      </c>
      <c r="H95" s="315">
        <f>[88]Source!DD392</f>
        <v>0</v>
      </c>
      <c r="I95" s="306">
        <f>[88]Source!AW393</f>
        <v>1</v>
      </c>
      <c r="J95" s="314">
        <f>[88]Source!P392</f>
        <v>4711.38</v>
      </c>
      <c r="K95" s="306">
        <f>IF([88]Source!BC393&lt;&gt; 0, [88]Source!BC393, 1)</f>
        <v>5.69</v>
      </c>
      <c r="L95" s="314">
        <f>[88]Source!P393</f>
        <v>26807.75</v>
      </c>
      <c r="Q95" s="178">
        <f>[88]Source!X392</f>
        <v>0</v>
      </c>
      <c r="R95" s="178">
        <f>[88]Source!X393</f>
        <v>0</v>
      </c>
      <c r="S95" s="178">
        <f>[88]Source!Y392</f>
        <v>0</v>
      </c>
      <c r="T95" s="178">
        <f>[88]Source!Y393</f>
        <v>0</v>
      </c>
      <c r="U95" s="178">
        <f>ROUND((175/100)*ROUND([88]Source!R392, 2), 2)</f>
        <v>0</v>
      </c>
      <c r="V95" s="178">
        <f>ROUND((157/100)*ROUND([88]Source!R393, 2), 2)</f>
        <v>0</v>
      </c>
    </row>
    <row r="96" spans="1:22" ht="15" x14ac:dyDescent="0.25">
      <c r="A96" s="311"/>
      <c r="B96" s="311"/>
      <c r="C96" s="311"/>
      <c r="D96" s="312" t="s">
        <v>81</v>
      </c>
      <c r="E96" s="311"/>
      <c r="F96" s="311"/>
      <c r="G96" s="311"/>
      <c r="H96" s="311"/>
      <c r="I96" s="639">
        <f>J95</f>
        <v>4711.38</v>
      </c>
      <c r="J96" s="639"/>
      <c r="K96" s="639">
        <f>L95</f>
        <v>26807.75</v>
      </c>
      <c r="L96" s="639"/>
      <c r="O96" s="765">
        <f>J95</f>
        <v>4711.38</v>
      </c>
      <c r="P96" s="765">
        <f>L95</f>
        <v>26807.75</v>
      </c>
    </row>
    <row r="98" spans="1:32" ht="85.5" x14ac:dyDescent="0.2">
      <c r="A98" s="479">
        <v>12</v>
      </c>
      <c r="B98" s="479" t="str">
        <f>[88]Source!E394</f>
        <v>124</v>
      </c>
      <c r="C98" s="308" t="str">
        <f>[88]Source!F394</f>
        <v>1.7-5-240</v>
      </c>
      <c r="D98" s="308" t="s">
        <v>488</v>
      </c>
      <c r="E98" s="307" t="str">
        <f>[88]Source!H394</f>
        <v>100 шт.</v>
      </c>
      <c r="F98" s="306">
        <f>[88]Source!I394</f>
        <v>0.19</v>
      </c>
      <c r="G98" s="305">
        <f>[88]Source!AL394</f>
        <v>617.04</v>
      </c>
      <c r="H98" s="315">
        <f>[88]Source!DD394</f>
        <v>0</v>
      </c>
      <c r="I98" s="306">
        <f>[88]Source!AW395</f>
        <v>1</v>
      </c>
      <c r="J98" s="314">
        <f>[88]Source!P394</f>
        <v>117.24</v>
      </c>
      <c r="K98" s="306">
        <f>IF([88]Source!BC395&lt;&gt; 0, [88]Source!BC395, 1)</f>
        <v>7.42</v>
      </c>
      <c r="L98" s="314">
        <f>[88]Source!P395</f>
        <v>869.92</v>
      </c>
      <c r="Q98" s="178">
        <f>[88]Source!X394</f>
        <v>0</v>
      </c>
      <c r="R98" s="178">
        <f>[88]Source!X395</f>
        <v>0</v>
      </c>
      <c r="S98" s="178">
        <f>[88]Source!Y394</f>
        <v>0</v>
      </c>
      <c r="T98" s="178">
        <f>[88]Source!Y395</f>
        <v>0</v>
      </c>
      <c r="U98" s="178">
        <f>ROUND((175/100)*ROUND([88]Source!R394, 2), 2)</f>
        <v>0</v>
      </c>
      <c r="V98" s="178">
        <f>ROUND((157/100)*ROUND([88]Source!R395, 2), 2)</f>
        <v>0</v>
      </c>
    </row>
    <row r="99" spans="1:32" ht="15" x14ac:dyDescent="0.25">
      <c r="A99" s="311"/>
      <c r="B99" s="311"/>
      <c r="C99" s="311"/>
      <c r="D99" s="312" t="s">
        <v>81</v>
      </c>
      <c r="E99" s="311"/>
      <c r="F99" s="311"/>
      <c r="G99" s="311"/>
      <c r="H99" s="311"/>
      <c r="I99" s="639">
        <f>J98</f>
        <v>117.24</v>
      </c>
      <c r="J99" s="639"/>
      <c r="K99" s="639">
        <f>L98</f>
        <v>869.92</v>
      </c>
      <c r="L99" s="639"/>
      <c r="O99" s="765">
        <f>J98</f>
        <v>117.24</v>
      </c>
      <c r="P99" s="765">
        <f>L98</f>
        <v>869.92</v>
      </c>
    </row>
    <row r="102" spans="1:32" ht="30" x14ac:dyDescent="0.25">
      <c r="A102" s="634" t="str">
        <f>CONCATENATE("Итого по разделу: ",IF([88]Source!G421&lt;&gt;"Новый раздел", [88]Source!G421, ""))</f>
        <v>Итого по разделу: Хозяйственно-питьевой, производственный и противопожарный водопровод (В1)</v>
      </c>
      <c r="B102" s="634"/>
      <c r="C102" s="634"/>
      <c r="D102" s="634"/>
      <c r="E102" s="634"/>
      <c r="F102" s="634"/>
      <c r="G102" s="634"/>
      <c r="H102" s="634"/>
      <c r="I102" s="640">
        <f>SUM(O45:O101)</f>
        <v>442885.13</v>
      </c>
      <c r="J102" s="641"/>
      <c r="K102" s="640">
        <f>SUM(P45:P101)</f>
        <v>2074925.94</v>
      </c>
      <c r="L102" s="641"/>
      <c r="AF102" s="471" t="str">
        <f>CONCATENATE("Итого по разделу: ",IF([88]Source!G421&lt;&gt;"Новый раздел", [88]Source!G421, ""))</f>
        <v>Итого по разделу: Хозяйственно-питьевой, производственный и противопожарный водопровод (В1)</v>
      </c>
    </row>
    <row r="103" spans="1:32" hidden="1" x14ac:dyDescent="0.2">
      <c r="A103" s="178" t="s">
        <v>54</v>
      </c>
      <c r="J103" s="178">
        <f>SUM(W45:W102)</f>
        <v>0</v>
      </c>
      <c r="K103" s="178">
        <f>SUM(X45:X102)</f>
        <v>0</v>
      </c>
    </row>
    <row r="104" spans="1:32" hidden="1" x14ac:dyDescent="0.2">
      <c r="A104" s="178" t="s">
        <v>55</v>
      </c>
      <c r="J104" s="178">
        <f>SUM(Y45:Y103)</f>
        <v>0</v>
      </c>
      <c r="K104" s="178">
        <f>SUM(Z45:Z103)</f>
        <v>0</v>
      </c>
    </row>
    <row r="106" spans="1:32" hidden="1" x14ac:dyDescent="0.2">
      <c r="A106" s="178" t="s">
        <v>54</v>
      </c>
      <c r="J106" s="178" t="e">
        <f>SUM(#REF!)</f>
        <v>#REF!</v>
      </c>
      <c r="K106" s="178" t="e">
        <f>SUM(#REF!)</f>
        <v>#REF!</v>
      </c>
    </row>
    <row r="107" spans="1:32" hidden="1" x14ac:dyDescent="0.2">
      <c r="A107" s="178" t="s">
        <v>55</v>
      </c>
      <c r="J107" s="178">
        <f>SUM(Y106:Y106)</f>
        <v>0</v>
      </c>
      <c r="K107" s="178">
        <f>SUM(Z106:Z106)</f>
        <v>0</v>
      </c>
    </row>
    <row r="109" spans="1:32" hidden="1" x14ac:dyDescent="0.2">
      <c r="A109" s="178" t="s">
        <v>54</v>
      </c>
      <c r="J109" s="178" t="e">
        <f>SUM(#REF!)</f>
        <v>#REF!</v>
      </c>
      <c r="K109" s="178" t="e">
        <f>SUM(#REF!)</f>
        <v>#REF!</v>
      </c>
    </row>
    <row r="110" spans="1:32" hidden="1" x14ac:dyDescent="0.2">
      <c r="A110" s="178" t="s">
        <v>55</v>
      </c>
      <c r="J110" s="178">
        <f>SUM(Y109:Y109)</f>
        <v>0</v>
      </c>
      <c r="K110" s="178">
        <f>SUM(Z109:Z109)</f>
        <v>0</v>
      </c>
    </row>
    <row r="112" spans="1:32" ht="16.5" x14ac:dyDescent="0.25">
      <c r="A112" s="642" t="str">
        <f>CONCATENATE("Раздел: ",IF([88]Source!G1404&lt;&gt;"Новый раздел", [88]Source!G1404, ""))</f>
        <v>Раздел: Водоотвод самотечный (К2)</v>
      </c>
      <c r="B112" s="642"/>
      <c r="C112" s="642"/>
      <c r="D112" s="642"/>
      <c r="E112" s="642"/>
      <c r="F112" s="642"/>
      <c r="G112" s="642"/>
      <c r="H112" s="642"/>
      <c r="I112" s="642"/>
      <c r="J112" s="642"/>
      <c r="K112" s="642"/>
      <c r="L112" s="642"/>
    </row>
    <row r="113" spans="1:22" ht="65.25" x14ac:dyDescent="0.2">
      <c r="A113" s="478">
        <v>13</v>
      </c>
      <c r="B113" s="478" t="str">
        <f>[88]Source!E1408</f>
        <v>344</v>
      </c>
      <c r="C113" s="439" t="s">
        <v>487</v>
      </c>
      <c r="D113" s="439" t="s">
        <v>486</v>
      </c>
      <c r="E113" s="440" t="str">
        <f>[88]Source!H1408</f>
        <v>100 м трубопровода</v>
      </c>
      <c r="F113" s="270">
        <f>[88]Source!I1408</f>
        <v>1.4</v>
      </c>
      <c r="G113" s="441"/>
      <c r="H113" s="442"/>
      <c r="I113" s="270"/>
      <c r="J113" s="480"/>
      <c r="K113" s="270"/>
      <c r="L113" s="480"/>
      <c r="Q113" s="178">
        <f>[88]Source!X1408</f>
        <v>3169.45</v>
      </c>
      <c r="R113" s="178">
        <f>[88]Source!X1409</f>
        <v>62197.29</v>
      </c>
      <c r="S113" s="178">
        <f>[88]Source!Y1408</f>
        <v>2383.4299999999998</v>
      </c>
      <c r="T113" s="178">
        <f>[88]Source!Y1409</f>
        <v>27988.78</v>
      </c>
      <c r="U113" s="178">
        <f>ROUND((175/100)*ROUND([88]Source!R1408, 2), 2)</f>
        <v>130.53</v>
      </c>
      <c r="V113" s="178">
        <f>ROUND((157/100)*ROUND([88]Source!R1409, 2), 2)</f>
        <v>2872.61</v>
      </c>
    </row>
    <row r="114" spans="1:22" ht="14.25" x14ac:dyDescent="0.2">
      <c r="A114" s="478"/>
      <c r="B114" s="478"/>
      <c r="C114" s="439"/>
      <c r="D114" s="439" t="s">
        <v>43</v>
      </c>
      <c r="E114" s="440"/>
      <c r="F114" s="270"/>
      <c r="G114" s="441">
        <f>[88]Source!AO1408</f>
        <v>1016.4</v>
      </c>
      <c r="H114" s="442" t="str">
        <f>[88]Source!DG1408</f>
        <v>)*1,67</v>
      </c>
      <c r="I114" s="270">
        <f>[88]Source!AV1409</f>
        <v>1.0669999999999999</v>
      </c>
      <c r="J114" s="480">
        <f>[88]Source!S1408</f>
        <v>2535.56</v>
      </c>
      <c r="K114" s="270">
        <f>IF([88]Source!BA1409&lt;&gt; 0, [88]Source!BA1409, 1)</f>
        <v>24.53</v>
      </c>
      <c r="L114" s="480">
        <f>[88]Source!S1409</f>
        <v>62197.29</v>
      </c>
    </row>
    <row r="115" spans="1:22" ht="14.25" x14ac:dyDescent="0.2">
      <c r="A115" s="478"/>
      <c r="B115" s="478"/>
      <c r="C115" s="439"/>
      <c r="D115" s="439" t="s">
        <v>44</v>
      </c>
      <c r="E115" s="440"/>
      <c r="F115" s="270"/>
      <c r="G115" s="441">
        <f>[88]Source!AM1408</f>
        <v>126.55</v>
      </c>
      <c r="H115" s="442">
        <f>[88]Source!DE1408</f>
        <v>0</v>
      </c>
      <c r="I115" s="270">
        <f>[88]Source!AV1409</f>
        <v>1.0669999999999999</v>
      </c>
      <c r="J115" s="480">
        <f>[88]Source!Q1408-J126</f>
        <v>189.04</v>
      </c>
      <c r="K115" s="270">
        <f>IF([88]Source!BB1409&lt;&gt; 0, [88]Source!BB1409, 1)</f>
        <v>10.130000000000001</v>
      </c>
      <c r="L115" s="480">
        <f>[88]Source!Q1409-L126</f>
        <v>1914.98</v>
      </c>
    </row>
    <row r="116" spans="1:22" ht="14.25" x14ac:dyDescent="0.2">
      <c r="A116" s="478"/>
      <c r="B116" s="478"/>
      <c r="C116" s="439"/>
      <c r="D116" s="439" t="s">
        <v>45</v>
      </c>
      <c r="E116" s="440"/>
      <c r="F116" s="270"/>
      <c r="G116" s="441">
        <f>[88]Source!AN1408</f>
        <v>29.9</v>
      </c>
      <c r="H116" s="442">
        <f>[88]Source!DE1408</f>
        <v>0</v>
      </c>
      <c r="I116" s="270">
        <f>[88]Source!AV1409</f>
        <v>1.0669999999999999</v>
      </c>
      <c r="J116" s="443">
        <f>[88]Source!R1408-J127</f>
        <v>44.66</v>
      </c>
      <c r="K116" s="270">
        <f>IF([88]Source!BS1409&lt;&gt; 0, [88]Source!BS1409, 1)</f>
        <v>24.53</v>
      </c>
      <c r="L116" s="443">
        <f>[88]Source!R1409-L127</f>
        <v>1095.51</v>
      </c>
    </row>
    <row r="117" spans="1:22" ht="14.25" x14ac:dyDescent="0.2">
      <c r="A117" s="478"/>
      <c r="B117" s="478"/>
      <c r="C117" s="439"/>
      <c r="D117" s="439" t="s">
        <v>46</v>
      </c>
      <c r="E117" s="440"/>
      <c r="F117" s="270"/>
      <c r="G117" s="441">
        <f>[88]Source!AL1408</f>
        <v>197.05</v>
      </c>
      <c r="H117" s="442">
        <f>[88]Source!DD1408</f>
        <v>0</v>
      </c>
      <c r="I117" s="270">
        <f>[88]Source!AW1409</f>
        <v>1</v>
      </c>
      <c r="J117" s="480">
        <f>[88]Source!P1408</f>
        <v>275.87</v>
      </c>
      <c r="K117" s="270">
        <f>IF([88]Source!BC1409&lt;&gt; 0, [88]Source!BC1409, 1)</f>
        <v>5.73</v>
      </c>
      <c r="L117" s="480">
        <f>[88]Source!P1409</f>
        <v>1580.74</v>
      </c>
    </row>
    <row r="118" spans="1:22" ht="57" x14ac:dyDescent="0.2">
      <c r="A118" s="478">
        <v>14</v>
      </c>
      <c r="B118" s="478" t="str">
        <f>[88]Source!E1410</f>
        <v>344,1</v>
      </c>
      <c r="C118" s="439" t="str">
        <f>[88]Source!F1410</f>
        <v>1.12-1-69</v>
      </c>
      <c r="D118" s="439" t="s">
        <v>485</v>
      </c>
      <c r="E118" s="440" t="str">
        <f>[88]Source!H1410</f>
        <v>м</v>
      </c>
      <c r="F118" s="270">
        <f>[88]Source!I1410</f>
        <v>139.72</v>
      </c>
      <c r="G118" s="441">
        <f>[88]Source!AK1410</f>
        <v>129.19</v>
      </c>
      <c r="H118" s="781" t="s">
        <v>20</v>
      </c>
      <c r="I118" s="270">
        <f>[88]Source!AW1411</f>
        <v>1</v>
      </c>
      <c r="J118" s="480">
        <f>[88]Source!O1410</f>
        <v>18050.43</v>
      </c>
      <c r="K118" s="270">
        <f>IF([88]Source!BC1411&lt;&gt; 0, [88]Source!BC1411, 1)</f>
        <v>6.89</v>
      </c>
      <c r="L118" s="480">
        <f>[88]Source!O1411</f>
        <v>124367.46</v>
      </c>
      <c r="Q118" s="178">
        <f>[88]Source!X1410</f>
        <v>0</v>
      </c>
      <c r="R118" s="178">
        <f>[88]Source!X1411</f>
        <v>0</v>
      </c>
      <c r="S118" s="178">
        <f>[88]Source!Y1410</f>
        <v>0</v>
      </c>
      <c r="T118" s="178">
        <f>[88]Source!Y1411</f>
        <v>0</v>
      </c>
      <c r="U118" s="178">
        <f>ROUND((175/100)*ROUND([88]Source!R1410, 2), 2)</f>
        <v>0</v>
      </c>
      <c r="V118" s="178">
        <f>ROUND((157/100)*ROUND([88]Source!R1411, 2), 2)</f>
        <v>0</v>
      </c>
    </row>
    <row r="119" spans="1:22" ht="14.25" x14ac:dyDescent="0.2">
      <c r="A119" s="478"/>
      <c r="B119" s="478"/>
      <c r="C119" s="439"/>
      <c r="D119" s="439" t="s">
        <v>47</v>
      </c>
      <c r="E119" s="440" t="s">
        <v>48</v>
      </c>
      <c r="F119" s="270">
        <f>[88]Source!DN1409</f>
        <v>125</v>
      </c>
      <c r="G119" s="441"/>
      <c r="H119" s="442"/>
      <c r="I119" s="270"/>
      <c r="J119" s="480">
        <f>SUM(Q113:Q118)</f>
        <v>3169.45</v>
      </c>
      <c r="K119" s="270">
        <f>[88]Source!BZ1409</f>
        <v>100</v>
      </c>
      <c r="L119" s="480">
        <f>SUM(R113:R118)</f>
        <v>62197.29</v>
      </c>
    </row>
    <row r="120" spans="1:22" ht="14.25" x14ac:dyDescent="0.2">
      <c r="A120" s="478"/>
      <c r="B120" s="478"/>
      <c r="C120" s="439"/>
      <c r="D120" s="439" t="s">
        <v>49</v>
      </c>
      <c r="E120" s="440" t="s">
        <v>48</v>
      </c>
      <c r="F120" s="270">
        <f>[88]Source!DO1409</f>
        <v>94</v>
      </c>
      <c r="G120" s="441"/>
      <c r="H120" s="442"/>
      <c r="I120" s="270"/>
      <c r="J120" s="480">
        <f>SUM(S113:S119)</f>
        <v>2383.4299999999998</v>
      </c>
      <c r="K120" s="270">
        <f>[88]Source!CA1409</f>
        <v>45</v>
      </c>
      <c r="L120" s="480">
        <f>SUM(T113:T119)</f>
        <v>27988.78</v>
      </c>
    </row>
    <row r="121" spans="1:22" ht="14.25" x14ac:dyDescent="0.2">
      <c r="A121" s="478"/>
      <c r="B121" s="478"/>
      <c r="C121" s="439"/>
      <c r="D121" s="439" t="s">
        <v>50</v>
      </c>
      <c r="E121" s="440" t="s">
        <v>48</v>
      </c>
      <c r="F121" s="270">
        <f>175</f>
        <v>175</v>
      </c>
      <c r="G121" s="441"/>
      <c r="H121" s="442"/>
      <c r="I121" s="270"/>
      <c r="J121" s="480">
        <f>SUM(U113:U120)-J128</f>
        <v>78.150000000000006</v>
      </c>
      <c r="K121" s="270">
        <f>157</f>
        <v>157</v>
      </c>
      <c r="L121" s="480">
        <f>SUM(V113:V120)-L128</f>
        <v>1719.95</v>
      </c>
    </row>
    <row r="122" spans="1:22" ht="14.25" x14ac:dyDescent="0.2">
      <c r="A122" s="479"/>
      <c r="B122" s="479"/>
      <c r="C122" s="308"/>
      <c r="D122" s="308" t="s">
        <v>51</v>
      </c>
      <c r="E122" s="307" t="s">
        <v>52</v>
      </c>
      <c r="F122" s="306">
        <f>[88]Source!AQ1408</f>
        <v>77</v>
      </c>
      <c r="G122" s="305"/>
      <c r="H122" s="315">
        <f>[88]Source!DI1408</f>
        <v>0</v>
      </c>
      <c r="I122" s="306">
        <f>[88]Source!AV1409</f>
        <v>1.0669999999999999</v>
      </c>
      <c r="J122" s="314">
        <f>[88]Source!U1408</f>
        <v>115.02</v>
      </c>
      <c r="K122" s="306"/>
      <c r="L122" s="314"/>
    </row>
    <row r="123" spans="1:22" ht="15" x14ac:dyDescent="0.25">
      <c r="D123" s="764" t="s">
        <v>81</v>
      </c>
      <c r="I123" s="640">
        <f>J114+J115+J117+J119+J120+J121+SUM(J118:J118)</f>
        <v>26681.93</v>
      </c>
      <c r="J123" s="640"/>
      <c r="K123" s="640">
        <f>L114+L115+L117+L119+L120+L121+SUM(L118:L118)</f>
        <v>281966.49</v>
      </c>
      <c r="L123" s="640"/>
      <c r="O123" s="765">
        <f>J114+J115+J117+J119+J120+J121+SUM(J118:J118)</f>
        <v>26681.93</v>
      </c>
      <c r="P123" s="765">
        <f>L114+L115+L117+L119+L120+L121+SUM(L118:L118)</f>
        <v>281966.49</v>
      </c>
    </row>
    <row r="125" spans="1:22" ht="65.25" x14ac:dyDescent="0.2">
      <c r="A125" s="478">
        <v>15</v>
      </c>
      <c r="B125" s="478" t="str">
        <f>CONCATENATE([88]Source!E1408, "/1")</f>
        <v>344/1</v>
      </c>
      <c r="C125" s="439" t="s">
        <v>484</v>
      </c>
      <c r="D125" s="439" t="s">
        <v>82</v>
      </c>
      <c r="E125" s="440" t="str">
        <f>[88]Source!H1408</f>
        <v>100 м трубопровода</v>
      </c>
      <c r="F125" s="270">
        <f>[88]Source!I1408</f>
        <v>1.4</v>
      </c>
      <c r="G125" s="441"/>
      <c r="H125" s="442"/>
      <c r="I125" s="270"/>
      <c r="J125" s="480"/>
      <c r="K125" s="270"/>
      <c r="L125" s="480"/>
    </row>
    <row r="126" spans="1:22" ht="14.25" x14ac:dyDescent="0.2">
      <c r="A126" s="478"/>
      <c r="B126" s="478"/>
      <c r="C126" s="439"/>
      <c r="D126" s="439" t="s">
        <v>44</v>
      </c>
      <c r="E126" s="440"/>
      <c r="F126" s="270"/>
      <c r="G126" s="441">
        <f t="shared" ref="G126:L126" si="2">G127</f>
        <v>29.9</v>
      </c>
      <c r="H126" s="766" t="str">
        <f t="shared" si="2"/>
        <v>)*(1.67-1)</v>
      </c>
      <c r="I126" s="270">
        <f t="shared" si="2"/>
        <v>1.0669999999999999</v>
      </c>
      <c r="J126" s="480">
        <f t="shared" si="2"/>
        <v>29.93</v>
      </c>
      <c r="K126" s="270">
        <f t="shared" si="2"/>
        <v>24.53</v>
      </c>
      <c r="L126" s="480">
        <f t="shared" si="2"/>
        <v>734.18</v>
      </c>
    </row>
    <row r="127" spans="1:22" ht="14.25" x14ac:dyDescent="0.2">
      <c r="A127" s="478"/>
      <c r="B127" s="478"/>
      <c r="C127" s="439"/>
      <c r="D127" s="439" t="s">
        <v>45</v>
      </c>
      <c r="E127" s="440"/>
      <c r="F127" s="270"/>
      <c r="G127" s="441">
        <f>[88]Source!AN1408</f>
        <v>29.9</v>
      </c>
      <c r="H127" s="766" t="s">
        <v>53</v>
      </c>
      <c r="I127" s="270">
        <f>[88]Source!AV1409</f>
        <v>1.0669999999999999</v>
      </c>
      <c r="J127" s="443">
        <f>ROUND(F113*G127*I127*(1.67-1), 2)</f>
        <v>29.93</v>
      </c>
      <c r="K127" s="270">
        <f>IF([88]Source!BS1409&lt;&gt; 0, [88]Source!BS1409, 1)</f>
        <v>24.53</v>
      </c>
      <c r="L127" s="443">
        <f>ROUND(ROUND(F113*G127*I127*(1.67-1), 2)*K127, 2)</f>
        <v>734.18</v>
      </c>
    </row>
    <row r="128" spans="1:22" ht="14.25" x14ac:dyDescent="0.2">
      <c r="A128" s="478"/>
      <c r="B128" s="478"/>
      <c r="C128" s="439"/>
      <c r="D128" s="439" t="s">
        <v>50</v>
      </c>
      <c r="E128" s="440" t="s">
        <v>48</v>
      </c>
      <c r="F128" s="270">
        <f>175</f>
        <v>175</v>
      </c>
      <c r="G128" s="441"/>
      <c r="H128" s="442"/>
      <c r="I128" s="270"/>
      <c r="J128" s="480">
        <f>ROUND(J127*(F128/100), 2)</f>
        <v>52.38</v>
      </c>
      <c r="K128" s="270">
        <f>157</f>
        <v>157</v>
      </c>
      <c r="L128" s="480">
        <f>ROUND(L127*(K128/100), 2)</f>
        <v>1152.6600000000001</v>
      </c>
    </row>
    <row r="129" spans="1:22" ht="15" x14ac:dyDescent="0.25">
      <c r="A129" s="311"/>
      <c r="B129" s="311"/>
      <c r="C129" s="311"/>
      <c r="D129" s="312" t="s">
        <v>81</v>
      </c>
      <c r="E129" s="311"/>
      <c r="F129" s="311"/>
      <c r="G129" s="311"/>
      <c r="H129" s="311"/>
      <c r="I129" s="639">
        <f>J128+J127</f>
        <v>82.31</v>
      </c>
      <c r="J129" s="639"/>
      <c r="K129" s="639">
        <f>L128+L127</f>
        <v>1886.84</v>
      </c>
      <c r="L129" s="639"/>
      <c r="O129" s="765">
        <f>I129</f>
        <v>82.31</v>
      </c>
      <c r="P129" s="765">
        <f>K129</f>
        <v>1886.84</v>
      </c>
    </row>
    <row r="131" spans="1:22" ht="28.5" x14ac:dyDescent="0.2">
      <c r="A131" s="479">
        <v>16</v>
      </c>
      <c r="B131" s="479" t="str">
        <f>[88]Source!E1438</f>
        <v>354</v>
      </c>
      <c r="C131" s="308" t="str">
        <f>[88]Source!F1438</f>
        <v>1.12-10-33</v>
      </c>
      <c r="D131" s="308" t="s">
        <v>483</v>
      </c>
      <c r="E131" s="307" t="str">
        <f>[88]Source!H1438</f>
        <v>шт.</v>
      </c>
      <c r="F131" s="306">
        <f>[88]Source!I1438</f>
        <v>42</v>
      </c>
      <c r="G131" s="305">
        <f>[88]Source!AL1438</f>
        <v>31.39</v>
      </c>
      <c r="H131" s="315">
        <f>[88]Source!DD1438</f>
        <v>0</v>
      </c>
      <c r="I131" s="306">
        <f>[88]Source!AW1439</f>
        <v>1</v>
      </c>
      <c r="J131" s="314">
        <f>[88]Source!P1438</f>
        <v>1318.38</v>
      </c>
      <c r="K131" s="306">
        <f>IF([88]Source!BC1439&lt;&gt; 0, [88]Source!BC1439, 1)</f>
        <v>12.42</v>
      </c>
      <c r="L131" s="314">
        <f>[88]Source!P1439</f>
        <v>16374.28</v>
      </c>
      <c r="Q131" s="178">
        <f>[88]Source!X1438</f>
        <v>0</v>
      </c>
      <c r="R131" s="178">
        <f>[88]Source!X1439</f>
        <v>0</v>
      </c>
      <c r="S131" s="178">
        <f>[88]Source!Y1438</f>
        <v>0</v>
      </c>
      <c r="T131" s="178">
        <f>[88]Source!Y1439</f>
        <v>0</v>
      </c>
      <c r="U131" s="178">
        <f>ROUND((175/100)*ROUND([88]Source!R1438, 2), 2)</f>
        <v>0</v>
      </c>
      <c r="V131" s="178">
        <f>ROUND((157/100)*ROUND([88]Source!R1439, 2), 2)</f>
        <v>0</v>
      </c>
    </row>
    <row r="132" spans="1:22" ht="15" x14ac:dyDescent="0.25">
      <c r="A132" s="311"/>
      <c r="B132" s="311"/>
      <c r="C132" s="311"/>
      <c r="D132" s="312" t="s">
        <v>81</v>
      </c>
      <c r="E132" s="311"/>
      <c r="F132" s="311"/>
      <c r="G132" s="311"/>
      <c r="H132" s="311"/>
      <c r="I132" s="639">
        <f>J131</f>
        <v>1318.38</v>
      </c>
      <c r="J132" s="639"/>
      <c r="K132" s="639">
        <f>L131</f>
        <v>16374.28</v>
      </c>
      <c r="L132" s="639"/>
      <c r="O132" s="765">
        <f>J131</f>
        <v>1318.38</v>
      </c>
      <c r="P132" s="765">
        <f>L131</f>
        <v>16374.28</v>
      </c>
    </row>
    <row r="134" spans="1:22" ht="28.5" x14ac:dyDescent="0.2">
      <c r="A134" s="479">
        <v>17</v>
      </c>
      <c r="B134" s="479" t="str">
        <f>[88]Source!E1442</f>
        <v>356</v>
      </c>
      <c r="C134" s="308" t="str">
        <f>[88]Source!F1442</f>
        <v>1.12-10-49</v>
      </c>
      <c r="D134" s="308" t="s">
        <v>482</v>
      </c>
      <c r="E134" s="307" t="str">
        <f>[88]Source!H1442</f>
        <v>шт.</v>
      </c>
      <c r="F134" s="306">
        <f>[88]Source!I1442</f>
        <v>4</v>
      </c>
      <c r="G134" s="305">
        <f>[88]Source!AL1442</f>
        <v>63.65</v>
      </c>
      <c r="H134" s="315">
        <f>[88]Source!DD1442</f>
        <v>0</v>
      </c>
      <c r="I134" s="306">
        <f>[88]Source!AW1443</f>
        <v>1</v>
      </c>
      <c r="J134" s="314">
        <f>[88]Source!P1442</f>
        <v>254.6</v>
      </c>
      <c r="K134" s="306">
        <f>IF([88]Source!BC1443&lt;&gt; 0, [88]Source!BC1443, 1)</f>
        <v>11.91</v>
      </c>
      <c r="L134" s="314">
        <f>[88]Source!P1443</f>
        <v>3032.29</v>
      </c>
      <c r="Q134" s="178">
        <f>[88]Source!X1442</f>
        <v>0</v>
      </c>
      <c r="R134" s="178">
        <f>[88]Source!X1443</f>
        <v>0</v>
      </c>
      <c r="S134" s="178">
        <f>[88]Source!Y1442</f>
        <v>0</v>
      </c>
      <c r="T134" s="178">
        <f>[88]Source!Y1443</f>
        <v>0</v>
      </c>
      <c r="U134" s="178">
        <f>ROUND((175/100)*ROUND([88]Source!R1442, 2), 2)</f>
        <v>0</v>
      </c>
      <c r="V134" s="178">
        <f>ROUND((157/100)*ROUND([88]Source!R1443, 2), 2)</f>
        <v>0</v>
      </c>
    </row>
    <row r="135" spans="1:22" ht="15" x14ac:dyDescent="0.25">
      <c r="A135" s="311"/>
      <c r="B135" s="311"/>
      <c r="C135" s="311"/>
      <c r="D135" s="312" t="s">
        <v>81</v>
      </c>
      <c r="E135" s="311"/>
      <c r="F135" s="311"/>
      <c r="G135" s="311"/>
      <c r="H135" s="311"/>
      <c r="I135" s="639">
        <f>J134</f>
        <v>254.6</v>
      </c>
      <c r="J135" s="639"/>
      <c r="K135" s="639">
        <f>L134</f>
        <v>3032.29</v>
      </c>
      <c r="L135" s="639"/>
      <c r="O135" s="765">
        <f>J134</f>
        <v>254.6</v>
      </c>
      <c r="P135" s="765">
        <f>L134</f>
        <v>3032.29</v>
      </c>
    </row>
    <row r="137" spans="1:22" ht="57" x14ac:dyDescent="0.2">
      <c r="A137" s="479">
        <v>18</v>
      </c>
      <c r="B137" s="479" t="str">
        <f>[88]Source!E1458</f>
        <v>362</v>
      </c>
      <c r="C137" s="308" t="str">
        <f>[88]Source!F1458</f>
        <v>1.6-1-269</v>
      </c>
      <c r="D137" s="308" t="s">
        <v>481</v>
      </c>
      <c r="E137" s="307" t="str">
        <f>[88]Source!H1458</f>
        <v>т</v>
      </c>
      <c r="F137" s="306">
        <f>[88]Source!I1458</f>
        <v>0.15</v>
      </c>
      <c r="G137" s="305">
        <f>[88]Source!AL1458</f>
        <v>12416.1</v>
      </c>
      <c r="H137" s="315">
        <f>[88]Source!DD1458</f>
        <v>0</v>
      </c>
      <c r="I137" s="306">
        <f>[88]Source!AW1459</f>
        <v>1</v>
      </c>
      <c r="J137" s="314">
        <f>[88]Source!P1458</f>
        <v>1862.42</v>
      </c>
      <c r="K137" s="306">
        <f>IF([88]Source!BC1459&lt;&gt; 0, [88]Source!BC1459, 1)</f>
        <v>6.7</v>
      </c>
      <c r="L137" s="314">
        <f>[88]Source!P1459</f>
        <v>12478.21</v>
      </c>
      <c r="Q137" s="178">
        <f>[88]Source!X1458</f>
        <v>0</v>
      </c>
      <c r="R137" s="178">
        <f>[88]Source!X1459</f>
        <v>0</v>
      </c>
      <c r="S137" s="178">
        <f>[88]Source!Y1458</f>
        <v>0</v>
      </c>
      <c r="T137" s="178">
        <f>[88]Source!Y1459</f>
        <v>0</v>
      </c>
      <c r="U137" s="178">
        <f>ROUND((175/100)*ROUND([88]Source!R1458, 2), 2)</f>
        <v>0</v>
      </c>
      <c r="V137" s="178">
        <f>ROUND((157/100)*ROUND([88]Source!R1459, 2), 2)</f>
        <v>0</v>
      </c>
    </row>
    <row r="138" spans="1:22" ht="15" x14ac:dyDescent="0.25">
      <c r="A138" s="311"/>
      <c r="B138" s="311"/>
      <c r="C138" s="311"/>
      <c r="D138" s="312" t="s">
        <v>81</v>
      </c>
      <c r="E138" s="311"/>
      <c r="F138" s="311"/>
      <c r="G138" s="311"/>
      <c r="H138" s="311"/>
      <c r="I138" s="639">
        <f>J137</f>
        <v>1862.42</v>
      </c>
      <c r="J138" s="639"/>
      <c r="K138" s="639">
        <f>L137</f>
        <v>12478.21</v>
      </c>
      <c r="L138" s="639"/>
      <c r="O138" s="765">
        <f>J137</f>
        <v>1862.42</v>
      </c>
      <c r="P138" s="765">
        <f>L137</f>
        <v>12478.21</v>
      </c>
    </row>
    <row r="140" spans="1:22" ht="128.25" x14ac:dyDescent="0.2">
      <c r="A140" s="479">
        <v>19</v>
      </c>
      <c r="B140" s="479" t="str">
        <f>[88]Source!E1462</f>
        <v>363</v>
      </c>
      <c r="C140" s="308" t="str">
        <f>[88]Source!F1462</f>
        <v>1.7-5-155</v>
      </c>
      <c r="D140" s="308" t="s">
        <v>480</v>
      </c>
      <c r="E140" s="307" t="str">
        <f>[88]Source!H1462</f>
        <v>шт.</v>
      </c>
      <c r="F140" s="306">
        <f>[88]Source!I1462</f>
        <v>100</v>
      </c>
      <c r="G140" s="305">
        <f>[88]Source!AL1462</f>
        <v>25.33</v>
      </c>
      <c r="H140" s="315">
        <f>[88]Source!DD1462</f>
        <v>0</v>
      </c>
      <c r="I140" s="306">
        <f>[88]Source!AW1463</f>
        <v>1</v>
      </c>
      <c r="J140" s="314">
        <f>[88]Source!P1462</f>
        <v>2533</v>
      </c>
      <c r="K140" s="306">
        <f>IF([88]Source!BC1463&lt;&gt; 0, [88]Source!BC1463, 1)</f>
        <v>5.69</v>
      </c>
      <c r="L140" s="314">
        <f>[88]Source!P1463</f>
        <v>14412.77</v>
      </c>
      <c r="Q140" s="178">
        <f>[88]Source!X1462</f>
        <v>0</v>
      </c>
      <c r="R140" s="178">
        <f>[88]Source!X1463</f>
        <v>0</v>
      </c>
      <c r="S140" s="178">
        <f>[88]Source!Y1462</f>
        <v>0</v>
      </c>
      <c r="T140" s="178">
        <f>[88]Source!Y1463</f>
        <v>0</v>
      </c>
      <c r="U140" s="178">
        <f>ROUND((175/100)*ROUND([88]Source!R1462, 2), 2)</f>
        <v>0</v>
      </c>
      <c r="V140" s="178">
        <f>ROUND((157/100)*ROUND([88]Source!R1463, 2), 2)</f>
        <v>0</v>
      </c>
    </row>
    <row r="141" spans="1:22" ht="15" x14ac:dyDescent="0.25">
      <c r="A141" s="311"/>
      <c r="B141" s="311"/>
      <c r="C141" s="311"/>
      <c r="D141" s="312" t="s">
        <v>81</v>
      </c>
      <c r="E141" s="311"/>
      <c r="F141" s="311"/>
      <c r="G141" s="311"/>
      <c r="H141" s="311"/>
      <c r="I141" s="639">
        <f>J140</f>
        <v>2533</v>
      </c>
      <c r="J141" s="639"/>
      <c r="K141" s="639">
        <f>L140</f>
        <v>14412.77</v>
      </c>
      <c r="L141" s="639"/>
      <c r="O141" s="765">
        <f>J140</f>
        <v>2533</v>
      </c>
      <c r="P141" s="765">
        <f>L140</f>
        <v>14412.77</v>
      </c>
    </row>
    <row r="144" spans="1:22" ht="15" x14ac:dyDescent="0.25">
      <c r="A144" s="634" t="str">
        <f>CONCATENATE("Итого по разделу: ",IF([88]Source!G1467&lt;&gt;"Новый раздел", [88]Source!G1467, ""))</f>
        <v>Итого по разделу: Водоотвод самотечный (К2)</v>
      </c>
      <c r="B144" s="634"/>
      <c r="C144" s="634"/>
      <c r="D144" s="634"/>
      <c r="E144" s="634"/>
      <c r="F144" s="634"/>
      <c r="G144" s="634"/>
      <c r="H144" s="634"/>
      <c r="I144" s="640">
        <f>SUM(O112:O143)</f>
        <v>32732.639999999999</v>
      </c>
      <c r="J144" s="641"/>
      <c r="K144" s="640">
        <f>SUM(P112:P143)</f>
        <v>330150.88</v>
      </c>
      <c r="L144" s="641"/>
    </row>
    <row r="145" spans="1:22" hidden="1" x14ac:dyDescent="0.2">
      <c r="A145" s="178" t="s">
        <v>54</v>
      </c>
      <c r="J145" s="178">
        <f>SUM(W112:W144)</f>
        <v>0</v>
      </c>
      <c r="K145" s="178">
        <f>SUM(X112:X144)</f>
        <v>0</v>
      </c>
    </row>
    <row r="146" spans="1:22" hidden="1" x14ac:dyDescent="0.2">
      <c r="A146" s="178" t="s">
        <v>55</v>
      </c>
      <c r="J146" s="178">
        <f>SUM(Y112:Y145)</f>
        <v>0</v>
      </c>
      <c r="K146" s="178">
        <f>SUM(Z112:Z145)</f>
        <v>0</v>
      </c>
    </row>
    <row r="148" spans="1:22" ht="16.5" x14ac:dyDescent="0.25">
      <c r="A148" s="642" t="str">
        <f>CONCATENATE("Раздел: ",IF([88]Source!G1497&lt;&gt;"Новый раздел", [88]Source!G1497, ""))</f>
        <v>Раздел: Водоотвод напорный (К2Н)</v>
      </c>
      <c r="B148" s="642"/>
      <c r="C148" s="642"/>
      <c r="D148" s="642"/>
      <c r="E148" s="642"/>
      <c r="F148" s="642"/>
      <c r="G148" s="642"/>
      <c r="H148" s="642"/>
      <c r="I148" s="642"/>
      <c r="J148" s="642"/>
      <c r="K148" s="642"/>
      <c r="L148" s="642"/>
    </row>
    <row r="149" spans="1:22" ht="65.25" x14ac:dyDescent="0.2">
      <c r="A149" s="478">
        <v>20</v>
      </c>
      <c r="B149" s="478" t="str">
        <f>[88]Source!E1533</f>
        <v>378</v>
      </c>
      <c r="C149" s="439" t="s">
        <v>479</v>
      </c>
      <c r="D149" s="439" t="s">
        <v>478</v>
      </c>
      <c r="E149" s="440" t="str">
        <f>[88]Source!H1533</f>
        <v>100 м трубопровода</v>
      </c>
      <c r="F149" s="270">
        <f>[88]Source!I1533</f>
        <v>0.88200000000000001</v>
      </c>
      <c r="G149" s="441"/>
      <c r="H149" s="442"/>
      <c r="I149" s="270"/>
      <c r="J149" s="480"/>
      <c r="K149" s="270"/>
      <c r="L149" s="480"/>
      <c r="Q149" s="178">
        <f>[88]Source!X1533</f>
        <v>4020.96</v>
      </c>
      <c r="R149" s="178">
        <f>[88]Source!X1534</f>
        <v>78907.37</v>
      </c>
      <c r="S149" s="178">
        <f>[88]Source!Y1533</f>
        <v>3023.76</v>
      </c>
      <c r="T149" s="178">
        <f>[88]Source!Y1534</f>
        <v>35508.32</v>
      </c>
      <c r="U149" s="178">
        <f>ROUND((175/100)*ROUND([88]Source!R1533, 2), 2)</f>
        <v>176.4</v>
      </c>
      <c r="V149" s="178">
        <f>ROUND((157/100)*ROUND([88]Source!R1534, 2), 2)</f>
        <v>3882.01</v>
      </c>
    </row>
    <row r="150" spans="1:22" ht="14.25" x14ac:dyDescent="0.2">
      <c r="A150" s="478"/>
      <c r="B150" s="478"/>
      <c r="C150" s="439"/>
      <c r="D150" s="439" t="s">
        <v>43</v>
      </c>
      <c r="E150" s="440"/>
      <c r="F150" s="270"/>
      <c r="G150" s="441">
        <f>[88]Source!AO1533</f>
        <v>2046.78</v>
      </c>
      <c r="H150" s="442" t="str">
        <f>[88]Source!DG1533</f>
        <v>)*1,67</v>
      </c>
      <c r="I150" s="270">
        <f>[88]Source!AV1534</f>
        <v>1.0669999999999999</v>
      </c>
      <c r="J150" s="480">
        <f>[88]Source!S1533</f>
        <v>3216.77</v>
      </c>
      <c r="K150" s="270">
        <f>IF([88]Source!BA1534&lt;&gt; 0, [88]Source!BA1534, 1)</f>
        <v>24.53</v>
      </c>
      <c r="L150" s="480">
        <f>[88]Source!S1534</f>
        <v>78907.37</v>
      </c>
    </row>
    <row r="151" spans="1:22" ht="14.25" x14ac:dyDescent="0.2">
      <c r="A151" s="478"/>
      <c r="B151" s="478"/>
      <c r="C151" s="439"/>
      <c r="D151" s="439" t="s">
        <v>44</v>
      </c>
      <c r="E151" s="440"/>
      <c r="F151" s="270"/>
      <c r="G151" s="441">
        <f>[88]Source!AM1533</f>
        <v>393.06</v>
      </c>
      <c r="H151" s="442">
        <f>[88]Source!DE1533</f>
        <v>0</v>
      </c>
      <c r="I151" s="270">
        <f>[88]Source!AV1534</f>
        <v>1.0669999999999999</v>
      </c>
      <c r="J151" s="480">
        <f>[88]Source!Q1533-J162</f>
        <v>369.91</v>
      </c>
      <c r="K151" s="270">
        <f>IF([88]Source!BB1534&lt;&gt; 0, [88]Source!BB1534, 1)</f>
        <v>8.75</v>
      </c>
      <c r="L151" s="480">
        <f>[88]Source!Q1534-L162</f>
        <v>3236.71</v>
      </c>
    </row>
    <row r="152" spans="1:22" ht="14.25" x14ac:dyDescent="0.2">
      <c r="A152" s="478"/>
      <c r="B152" s="478"/>
      <c r="C152" s="439"/>
      <c r="D152" s="439" t="s">
        <v>45</v>
      </c>
      <c r="E152" s="440"/>
      <c r="F152" s="270"/>
      <c r="G152" s="441">
        <f>[88]Source!AN1533</f>
        <v>64.14</v>
      </c>
      <c r="H152" s="442">
        <f>[88]Source!DE1533</f>
        <v>0</v>
      </c>
      <c r="I152" s="270">
        <f>[88]Source!AV1534</f>
        <v>1.0669999999999999</v>
      </c>
      <c r="J152" s="443">
        <f>[88]Source!R1533-J163</f>
        <v>60.36</v>
      </c>
      <c r="K152" s="270">
        <f>IF([88]Source!BS1534&lt;&gt; 0, [88]Source!BS1534, 1)</f>
        <v>24.53</v>
      </c>
      <c r="L152" s="443">
        <f>[88]Source!R1534-L163</f>
        <v>1480.63</v>
      </c>
    </row>
    <row r="153" spans="1:22" ht="14.25" x14ac:dyDescent="0.2">
      <c r="A153" s="478"/>
      <c r="B153" s="478"/>
      <c r="C153" s="439"/>
      <c r="D153" s="439" t="s">
        <v>46</v>
      </c>
      <c r="E153" s="440"/>
      <c r="F153" s="270"/>
      <c r="G153" s="441">
        <f>[88]Source!AL1533</f>
        <v>5583.75</v>
      </c>
      <c r="H153" s="442">
        <f>[88]Source!DD1533</f>
        <v>0</v>
      </c>
      <c r="I153" s="270">
        <f>[88]Source!AW1534</f>
        <v>1</v>
      </c>
      <c r="J153" s="480">
        <f>[88]Source!P1533</f>
        <v>4924.87</v>
      </c>
      <c r="K153" s="270">
        <f>IF([88]Source!BC1534&lt;&gt; 0, [88]Source!BC1534, 1)</f>
        <v>4.04</v>
      </c>
      <c r="L153" s="480">
        <f>[88]Source!P1534</f>
        <v>19896.47</v>
      </c>
    </row>
    <row r="154" spans="1:22" ht="71.25" x14ac:dyDescent="0.2">
      <c r="A154" s="478">
        <v>21</v>
      </c>
      <c r="B154" s="478" t="str">
        <f>[88]Source!E1535</f>
        <v>378,1</v>
      </c>
      <c r="C154" s="439" t="str">
        <f>[88]Source!F1535</f>
        <v>1.12-6-206</v>
      </c>
      <c r="D154" s="439" t="s">
        <v>477</v>
      </c>
      <c r="E154" s="440" t="str">
        <f>[88]Source!H1535</f>
        <v>м</v>
      </c>
      <c r="F154" s="270">
        <f>[88]Source!I1535</f>
        <v>82.025999999999996</v>
      </c>
      <c r="G154" s="441">
        <f>[88]Source!AK1535</f>
        <v>139.91</v>
      </c>
      <c r="H154" s="781" t="s">
        <v>20</v>
      </c>
      <c r="I154" s="270">
        <f>[88]Source!AW1536</f>
        <v>1</v>
      </c>
      <c r="J154" s="480">
        <f>[88]Source!O1535</f>
        <v>11476.26</v>
      </c>
      <c r="K154" s="270">
        <f>IF([88]Source!BC1536&lt;&gt; 0, [88]Source!BC1536, 1)</f>
        <v>8.41</v>
      </c>
      <c r="L154" s="480">
        <f>[88]Source!O1536</f>
        <v>96515.35</v>
      </c>
      <c r="Q154" s="178">
        <f>[88]Source!X1535</f>
        <v>0</v>
      </c>
      <c r="R154" s="178">
        <f>[88]Source!X1536</f>
        <v>0</v>
      </c>
      <c r="S154" s="178">
        <f>[88]Source!Y1535</f>
        <v>0</v>
      </c>
      <c r="T154" s="178">
        <f>[88]Source!Y1536</f>
        <v>0</v>
      </c>
      <c r="U154" s="178">
        <f>ROUND((175/100)*ROUND([88]Source!R1535, 2), 2)</f>
        <v>0</v>
      </c>
      <c r="V154" s="178">
        <f>ROUND((157/100)*ROUND([88]Source!R1536, 2), 2)</f>
        <v>0</v>
      </c>
    </row>
    <row r="155" spans="1:22" ht="14.25" x14ac:dyDescent="0.2">
      <c r="A155" s="478"/>
      <c r="B155" s="478"/>
      <c r="C155" s="439"/>
      <c r="D155" s="439" t="s">
        <v>47</v>
      </c>
      <c r="E155" s="440" t="s">
        <v>48</v>
      </c>
      <c r="F155" s="270">
        <f>[88]Source!DN1534</f>
        <v>125</v>
      </c>
      <c r="G155" s="441"/>
      <c r="H155" s="442"/>
      <c r="I155" s="270"/>
      <c r="J155" s="480">
        <f>SUM(Q149:Q154)</f>
        <v>4020.96</v>
      </c>
      <c r="K155" s="270">
        <f>[88]Source!BZ1534</f>
        <v>100</v>
      </c>
      <c r="L155" s="480">
        <f>SUM(R149:R154)</f>
        <v>78907.37</v>
      </c>
    </row>
    <row r="156" spans="1:22" ht="14.25" x14ac:dyDescent="0.2">
      <c r="A156" s="478"/>
      <c r="B156" s="478"/>
      <c r="C156" s="439"/>
      <c r="D156" s="439" t="s">
        <v>49</v>
      </c>
      <c r="E156" s="440" t="s">
        <v>48</v>
      </c>
      <c r="F156" s="270">
        <f>[88]Source!DO1534</f>
        <v>94</v>
      </c>
      <c r="G156" s="441"/>
      <c r="H156" s="442"/>
      <c r="I156" s="270"/>
      <c r="J156" s="480">
        <f>SUM(S149:S155)</f>
        <v>3023.76</v>
      </c>
      <c r="K156" s="270">
        <f>[88]Source!CA1534</f>
        <v>45</v>
      </c>
      <c r="L156" s="480">
        <f>SUM(T149:T155)</f>
        <v>35508.32</v>
      </c>
    </row>
    <row r="157" spans="1:22" ht="14.25" x14ac:dyDescent="0.2">
      <c r="A157" s="478"/>
      <c r="B157" s="478"/>
      <c r="C157" s="439"/>
      <c r="D157" s="439" t="s">
        <v>50</v>
      </c>
      <c r="E157" s="440" t="s">
        <v>48</v>
      </c>
      <c r="F157" s="270">
        <f>175</f>
        <v>175</v>
      </c>
      <c r="G157" s="441"/>
      <c r="H157" s="442"/>
      <c r="I157" s="270"/>
      <c r="J157" s="480">
        <f>SUM(U149:U156)-J164</f>
        <v>105.63</v>
      </c>
      <c r="K157" s="270">
        <f>157</f>
        <v>157</v>
      </c>
      <c r="L157" s="480">
        <f>SUM(V149:V156)-L164</f>
        <v>2324.59</v>
      </c>
    </row>
    <row r="158" spans="1:22" ht="14.25" x14ac:dyDescent="0.2">
      <c r="A158" s="479"/>
      <c r="B158" s="479"/>
      <c r="C158" s="308"/>
      <c r="D158" s="308" t="s">
        <v>51</v>
      </c>
      <c r="E158" s="307" t="s">
        <v>52</v>
      </c>
      <c r="F158" s="306">
        <f>[88]Source!AQ1533</f>
        <v>166</v>
      </c>
      <c r="G158" s="305"/>
      <c r="H158" s="315">
        <f>[88]Source!DI1533</f>
        <v>0</v>
      </c>
      <c r="I158" s="306">
        <f>[88]Source!AV1534</f>
        <v>1.0669999999999999</v>
      </c>
      <c r="J158" s="314">
        <f>[88]Source!U1533</f>
        <v>156.22</v>
      </c>
      <c r="K158" s="306"/>
      <c r="L158" s="314"/>
    </row>
    <row r="159" spans="1:22" ht="15" x14ac:dyDescent="0.25">
      <c r="D159" s="764" t="s">
        <v>81</v>
      </c>
      <c r="I159" s="640">
        <f>J150+J151+J153+J155+J156+J157+SUM(J154:J154)</f>
        <v>27138.16</v>
      </c>
      <c r="J159" s="640"/>
      <c r="K159" s="640">
        <f>L150+L151+L153+L155+L156+L157+SUM(L154:L154)</f>
        <v>315296.18</v>
      </c>
      <c r="L159" s="640"/>
      <c r="O159" s="765">
        <f>J150+J151+J153+J155+J156+J157+SUM(J154:J154)</f>
        <v>27138.16</v>
      </c>
      <c r="P159" s="765">
        <f>L150+L151+L153+L155+L156+L157+SUM(L154:L154)</f>
        <v>315296.18</v>
      </c>
    </row>
    <row r="161" spans="1:32" ht="65.25" x14ac:dyDescent="0.2">
      <c r="A161" s="478">
        <v>22</v>
      </c>
      <c r="B161" s="478" t="str">
        <f>CONCATENATE([88]Source!E1533, "/1")</f>
        <v>378/1</v>
      </c>
      <c r="C161" s="439" t="s">
        <v>476</v>
      </c>
      <c r="D161" s="439" t="s">
        <v>82</v>
      </c>
      <c r="E161" s="440" t="str">
        <f>[88]Source!H1533</f>
        <v>100 м трубопровода</v>
      </c>
      <c r="F161" s="270">
        <f>[88]Source!I1533</f>
        <v>0.88200000000000001</v>
      </c>
      <c r="G161" s="441"/>
      <c r="H161" s="442"/>
      <c r="I161" s="270"/>
      <c r="J161" s="480"/>
      <c r="K161" s="270"/>
      <c r="L161" s="480"/>
    </row>
    <row r="162" spans="1:32" ht="14.25" x14ac:dyDescent="0.2">
      <c r="A162" s="478"/>
      <c r="B162" s="478"/>
      <c r="C162" s="439"/>
      <c r="D162" s="439" t="s">
        <v>44</v>
      </c>
      <c r="E162" s="440"/>
      <c r="F162" s="270"/>
      <c r="G162" s="441">
        <f t="shared" ref="G162:L162" si="3">G163</f>
        <v>64.14</v>
      </c>
      <c r="H162" s="766" t="str">
        <f t="shared" si="3"/>
        <v>)*(1.67-1)</v>
      </c>
      <c r="I162" s="270">
        <f t="shared" si="3"/>
        <v>1.0669999999999999</v>
      </c>
      <c r="J162" s="480">
        <f t="shared" si="3"/>
        <v>40.44</v>
      </c>
      <c r="K162" s="270">
        <f t="shared" si="3"/>
        <v>24.53</v>
      </c>
      <c r="L162" s="480">
        <f t="shared" si="3"/>
        <v>991.99</v>
      </c>
    </row>
    <row r="163" spans="1:32" ht="14.25" x14ac:dyDescent="0.2">
      <c r="A163" s="478"/>
      <c r="B163" s="478"/>
      <c r="C163" s="439"/>
      <c r="D163" s="439" t="s">
        <v>45</v>
      </c>
      <c r="E163" s="440"/>
      <c r="F163" s="270"/>
      <c r="G163" s="441">
        <f>[88]Source!AN1533</f>
        <v>64.14</v>
      </c>
      <c r="H163" s="766" t="s">
        <v>53</v>
      </c>
      <c r="I163" s="270">
        <f>[88]Source!AV1534</f>
        <v>1.0669999999999999</v>
      </c>
      <c r="J163" s="443">
        <f>ROUND(F149*G163*I163*(1.67-1), 2)</f>
        <v>40.44</v>
      </c>
      <c r="K163" s="270">
        <f>IF([88]Source!BS1534&lt;&gt; 0, [88]Source!BS1534, 1)</f>
        <v>24.53</v>
      </c>
      <c r="L163" s="443">
        <f>ROUND(ROUND(F149*G163*I163*(1.67-1), 2)*K163, 2)</f>
        <v>991.99</v>
      </c>
    </row>
    <row r="164" spans="1:32" ht="14.25" x14ac:dyDescent="0.2">
      <c r="A164" s="478"/>
      <c r="B164" s="478"/>
      <c r="C164" s="439"/>
      <c r="D164" s="439" t="s">
        <v>50</v>
      </c>
      <c r="E164" s="440" t="s">
        <v>48</v>
      </c>
      <c r="F164" s="270">
        <f>175</f>
        <v>175</v>
      </c>
      <c r="G164" s="441"/>
      <c r="H164" s="442"/>
      <c r="I164" s="270"/>
      <c r="J164" s="480">
        <f>ROUND(J163*(F164/100), 2)</f>
        <v>70.77</v>
      </c>
      <c r="K164" s="270">
        <f>157</f>
        <v>157</v>
      </c>
      <c r="L164" s="480">
        <f>ROUND(L163*(K164/100), 2)</f>
        <v>1557.42</v>
      </c>
    </row>
    <row r="165" spans="1:32" ht="15" x14ac:dyDescent="0.25">
      <c r="A165" s="311"/>
      <c r="B165" s="311"/>
      <c r="C165" s="311"/>
      <c r="D165" s="312" t="s">
        <v>81</v>
      </c>
      <c r="E165" s="311"/>
      <c r="F165" s="311"/>
      <c r="G165" s="311"/>
      <c r="H165" s="311"/>
      <c r="I165" s="639">
        <f>J164+J163</f>
        <v>111.21</v>
      </c>
      <c r="J165" s="639"/>
      <c r="K165" s="639">
        <f>L164+L163</f>
        <v>2549.41</v>
      </c>
      <c r="L165" s="639"/>
      <c r="O165" s="765">
        <f>I165</f>
        <v>111.21</v>
      </c>
      <c r="P165" s="765">
        <f>K165</f>
        <v>2549.41</v>
      </c>
    </row>
    <row r="168" spans="1:32" ht="15" x14ac:dyDescent="0.25">
      <c r="A168" s="634" t="str">
        <f>CONCATENATE("Итого по разделу: ",IF([88]Source!G1592&lt;&gt;"Новый раздел", [88]Source!G1592, ""))</f>
        <v>Итого по разделу: Водоотвод напорный (К2Н)</v>
      </c>
      <c r="B168" s="634"/>
      <c r="C168" s="634"/>
      <c r="D168" s="634"/>
      <c r="E168" s="634"/>
      <c r="F168" s="634"/>
      <c r="G168" s="634"/>
      <c r="H168" s="634"/>
      <c r="I168" s="640">
        <f>SUM(O148:O167)</f>
        <v>27249.37</v>
      </c>
      <c r="J168" s="641"/>
      <c r="K168" s="640">
        <f>SUM(P148:P167)</f>
        <v>317845.59000000003</v>
      </c>
      <c r="L168" s="641"/>
    </row>
    <row r="169" spans="1:32" hidden="1" x14ac:dyDescent="0.2">
      <c r="A169" s="178" t="s">
        <v>54</v>
      </c>
      <c r="J169" s="178">
        <f>SUM(W148:W168)</f>
        <v>0</v>
      </c>
      <c r="K169" s="178">
        <f>SUM(X148:X168)</f>
        <v>0</v>
      </c>
    </row>
    <row r="170" spans="1:32" hidden="1" x14ac:dyDescent="0.2">
      <c r="A170" s="178" t="s">
        <v>55</v>
      </c>
      <c r="J170" s="178">
        <f>SUM(Y148:Y169)</f>
        <v>0</v>
      </c>
      <c r="K170" s="178">
        <f>SUM(Z148:Z169)</f>
        <v>0</v>
      </c>
    </row>
    <row r="172" spans="1:32" hidden="1" x14ac:dyDescent="0.2">
      <c r="A172" s="178" t="s">
        <v>54</v>
      </c>
      <c r="J172" s="178" t="e">
        <f>SUM(#REF!)</f>
        <v>#REF!</v>
      </c>
      <c r="K172" s="178" t="e">
        <f>SUM(#REF!)</f>
        <v>#REF!</v>
      </c>
    </row>
    <row r="173" spans="1:32" hidden="1" x14ac:dyDescent="0.2">
      <c r="A173" s="178" t="s">
        <v>55</v>
      </c>
      <c r="J173" s="178">
        <f>SUM(Y172:Y172)</f>
        <v>0</v>
      </c>
      <c r="K173" s="178">
        <f>SUM(Z172:Z172)</f>
        <v>0</v>
      </c>
    </row>
    <row r="174" spans="1:32" ht="18" customHeight="1" x14ac:dyDescent="0.25">
      <c r="A174" s="634" t="s">
        <v>74</v>
      </c>
      <c r="B174" s="634"/>
      <c r="C174" s="634"/>
      <c r="D174" s="634"/>
      <c r="E174" s="634"/>
      <c r="F174" s="634"/>
      <c r="G174" s="634"/>
      <c r="H174" s="634"/>
      <c r="I174" s="640">
        <f>SUM(O31:O173)</f>
        <v>502867.14</v>
      </c>
      <c r="J174" s="641"/>
      <c r="K174" s="640">
        <f>SUM(P31:P173)</f>
        <v>2722922.41</v>
      </c>
      <c r="L174" s="641"/>
      <c r="AF174" s="471" t="str">
        <f>CONCATENATE("Итого по акту: ",IF([88]Source!G2767&lt;&gt;"Новый объект", [88]Source!G2767, ""))</f>
        <v>Итого по акту: 48645-доп.1-изм2.1 12-4017-Л-Р-11.3.3.2-ВК-СМ1К1С Внутренние инженерные системы. Водоснабжение и водоотведение</v>
      </c>
    </row>
    <row r="175" spans="1:32" hidden="1" x14ac:dyDescent="0.2">
      <c r="A175" s="178" t="s">
        <v>54</v>
      </c>
      <c r="J175" s="178">
        <f>SUM(W31:W174)</f>
        <v>0</v>
      </c>
      <c r="K175" s="178">
        <f>SUM(X31:X174)</f>
        <v>0</v>
      </c>
    </row>
    <row r="176" spans="1:32" hidden="1" x14ac:dyDescent="0.2">
      <c r="A176" s="178" t="s">
        <v>55</v>
      </c>
      <c r="J176" s="178">
        <f>SUM(Y31:Y175)</f>
        <v>0</v>
      </c>
      <c r="K176" s="178">
        <f>SUM(Z31:Z175)</f>
        <v>0</v>
      </c>
    </row>
    <row r="177" spans="1:12" ht="14.25" x14ac:dyDescent="0.2">
      <c r="D177" s="635" t="str">
        <f>[88]Source!H2773</f>
        <v>Стоимость материалов (всего)</v>
      </c>
      <c r="E177" s="635"/>
      <c r="F177" s="635"/>
      <c r="G177" s="635"/>
      <c r="H177" s="635"/>
      <c r="I177" s="889">
        <f>[88]Source!F2773</f>
        <v>464728.55</v>
      </c>
      <c r="J177" s="889"/>
      <c r="K177" s="889">
        <f>[88]Source!P2773</f>
        <v>2015119.7</v>
      </c>
      <c r="L177" s="889"/>
    </row>
    <row r="178" spans="1:12" ht="14.25" x14ac:dyDescent="0.2">
      <c r="D178" s="635" t="str">
        <f>[88]Source!H2781</f>
        <v>ЗП машинистов</v>
      </c>
      <c r="E178" s="635"/>
      <c r="F178" s="635"/>
      <c r="G178" s="635"/>
      <c r="H178" s="635"/>
      <c r="I178" s="638">
        <f>[88]Source!F2781</f>
        <v>384.96</v>
      </c>
      <c r="J178" s="638"/>
      <c r="K178" s="638">
        <f>[88]Source!P2781</f>
        <v>9443.06</v>
      </c>
      <c r="L178" s="638"/>
    </row>
    <row r="179" spans="1:12" ht="14.25" x14ac:dyDescent="0.2">
      <c r="D179" s="635" t="str">
        <f>[88]Source!H2782</f>
        <v>Основная ЗП рабочих</v>
      </c>
      <c r="E179" s="635"/>
      <c r="F179" s="635"/>
      <c r="G179" s="635"/>
      <c r="H179" s="635"/>
      <c r="I179" s="638">
        <f>[88]Source!F2782</f>
        <v>11265.85</v>
      </c>
      <c r="J179" s="638"/>
      <c r="K179" s="638">
        <f>[88]Source!P2782</f>
        <v>276351.31</v>
      </c>
      <c r="L179" s="638"/>
    </row>
    <row r="180" spans="1:12" ht="15" x14ac:dyDescent="0.25">
      <c r="D180" s="472"/>
      <c r="I180" s="477"/>
      <c r="J180" s="477"/>
      <c r="K180" s="456"/>
      <c r="L180" s="456"/>
    </row>
    <row r="181" spans="1:12" ht="14.25" x14ac:dyDescent="0.2">
      <c r="D181" s="472"/>
      <c r="E181" s="472"/>
      <c r="F181" s="472"/>
      <c r="G181" s="472"/>
      <c r="H181" s="472"/>
      <c r="I181" s="457"/>
      <c r="J181" s="457"/>
      <c r="K181" s="457"/>
      <c r="L181" s="457"/>
    </row>
    <row r="182" spans="1:12" s="290" customFormat="1" ht="15" x14ac:dyDescent="0.25">
      <c r="D182" s="470" t="s">
        <v>57</v>
      </c>
      <c r="J182" s="304">
        <f>I174</f>
        <v>502867.14</v>
      </c>
      <c r="K182" s="304"/>
      <c r="L182" s="304">
        <f>K174</f>
        <v>2722922.41</v>
      </c>
    </row>
    <row r="183" spans="1:12" s="290" customFormat="1" ht="15" x14ac:dyDescent="0.25">
      <c r="D183" s="470" t="s">
        <v>3</v>
      </c>
      <c r="J183" s="304">
        <f>J182</f>
        <v>502867.14</v>
      </c>
      <c r="K183" s="304"/>
      <c r="L183" s="304">
        <f>L182</f>
        <v>2722922.41</v>
      </c>
    </row>
    <row r="184" spans="1:12" s="290" customFormat="1" ht="15" x14ac:dyDescent="0.25">
      <c r="D184" s="470" t="s">
        <v>58</v>
      </c>
      <c r="J184" s="304">
        <f>I178+I179</f>
        <v>11650.81</v>
      </c>
      <c r="K184" s="304"/>
      <c r="L184" s="304">
        <f>K178+K179</f>
        <v>285794.37</v>
      </c>
    </row>
    <row r="185" spans="1:12" s="290" customFormat="1" ht="15" x14ac:dyDescent="0.25">
      <c r="D185" s="470" t="s">
        <v>59</v>
      </c>
      <c r="J185" s="304">
        <f>I177</f>
        <v>464728.55</v>
      </c>
      <c r="K185" s="304"/>
      <c r="L185" s="304">
        <f>K177</f>
        <v>2015119.7</v>
      </c>
    </row>
    <row r="186" spans="1:12" s="290" customFormat="1" ht="15" x14ac:dyDescent="0.25">
      <c r="A186" s="303"/>
      <c r="B186" s="303"/>
      <c r="C186" s="303"/>
      <c r="D186" s="578" t="s">
        <v>62</v>
      </c>
      <c r="E186" s="578"/>
      <c r="F186" s="578"/>
      <c r="G186" s="578"/>
      <c r="H186" s="578"/>
      <c r="J186" s="302">
        <f>I180</f>
        <v>0</v>
      </c>
      <c r="L186" s="302">
        <f>K180</f>
        <v>0</v>
      </c>
    </row>
    <row r="187" spans="1:12" s="290" customFormat="1" ht="14.25" customHeight="1" x14ac:dyDescent="0.25">
      <c r="A187" s="297"/>
      <c r="B187" s="297"/>
      <c r="C187" s="297"/>
      <c r="D187" s="577" t="s">
        <v>71</v>
      </c>
      <c r="E187" s="577"/>
      <c r="F187" s="577"/>
      <c r="G187" s="577"/>
      <c r="H187" s="577"/>
      <c r="J187" s="302">
        <f>J184*0.15</f>
        <v>1747.62</v>
      </c>
      <c r="L187" s="302">
        <f>L184*0.15</f>
        <v>42869.16</v>
      </c>
    </row>
    <row r="188" spans="1:12" s="290" customFormat="1" ht="14.25" x14ac:dyDescent="0.2">
      <c r="A188" s="294"/>
      <c r="B188" s="294"/>
      <c r="C188" s="294"/>
      <c r="D188" s="579" t="s">
        <v>265</v>
      </c>
      <c r="E188" s="579"/>
      <c r="F188" s="579"/>
      <c r="G188" s="579"/>
      <c r="H188" s="579"/>
      <c r="J188" s="301">
        <f>J183+J187</f>
        <v>504614.76</v>
      </c>
      <c r="L188" s="301">
        <f>L183+L187</f>
        <v>2765791.57</v>
      </c>
    </row>
    <row r="189" spans="1:12" s="290" customFormat="1" ht="15" x14ac:dyDescent="0.25">
      <c r="A189" s="297"/>
      <c r="B189" s="297"/>
      <c r="C189" s="297"/>
      <c r="D189" s="578"/>
      <c r="E189" s="578"/>
      <c r="F189" s="578"/>
      <c r="G189" s="578"/>
      <c r="H189" s="578"/>
      <c r="I189" s="576"/>
      <c r="J189" s="576"/>
      <c r="K189" s="576"/>
      <c r="L189" s="576"/>
    </row>
    <row r="190" spans="1:12" s="290" customFormat="1" ht="15" x14ac:dyDescent="0.25">
      <c r="A190" s="294"/>
      <c r="B190" s="294"/>
      <c r="C190" s="294"/>
      <c r="D190" s="293" t="s">
        <v>313</v>
      </c>
      <c r="E190" s="296"/>
      <c r="F190" s="296"/>
      <c r="G190" s="296"/>
      <c r="H190" s="296"/>
      <c r="I190" s="296"/>
      <c r="J190" s="291"/>
      <c r="K190" s="291"/>
      <c r="L190" s="291">
        <f>L182*0.925</f>
        <v>2518703.23</v>
      </c>
    </row>
    <row r="191" spans="1:12" s="290" customFormat="1" ht="15" x14ac:dyDescent="0.25">
      <c r="A191" s="297"/>
      <c r="B191" s="297"/>
      <c r="C191" s="297"/>
      <c r="D191" s="578" t="s">
        <v>3</v>
      </c>
      <c r="E191" s="578"/>
      <c r="F191" s="578"/>
      <c r="G191" s="578"/>
      <c r="H191" s="578"/>
      <c r="I191" s="297"/>
      <c r="J191" s="300"/>
      <c r="L191" s="295">
        <f>L190</f>
        <v>2518703.23</v>
      </c>
    </row>
    <row r="192" spans="1:12" s="290" customFormat="1" ht="15" x14ac:dyDescent="0.25">
      <c r="A192" s="297"/>
      <c r="B192" s="297"/>
      <c r="C192" s="297"/>
      <c r="D192" s="578" t="s">
        <v>312</v>
      </c>
      <c r="E192" s="578"/>
      <c r="F192" s="578"/>
      <c r="G192" s="578"/>
      <c r="H192" s="578"/>
      <c r="I192" s="297"/>
      <c r="J192" s="300"/>
      <c r="L192" s="295">
        <f>L184*0.925</f>
        <v>264359.78999999998</v>
      </c>
    </row>
    <row r="193" spans="1:13" s="290" customFormat="1" ht="15" x14ac:dyDescent="0.25">
      <c r="A193" s="297"/>
      <c r="B193" s="297"/>
      <c r="C193" s="297"/>
      <c r="D193" s="578" t="s">
        <v>58</v>
      </c>
      <c r="E193" s="578"/>
      <c r="F193" s="578"/>
      <c r="G193" s="578"/>
      <c r="H193" s="578"/>
      <c r="I193" s="297"/>
      <c r="J193" s="300"/>
      <c r="L193" s="295">
        <f>L185*0.925</f>
        <v>1863985.72</v>
      </c>
    </row>
    <row r="194" spans="1:13" s="290" customFormat="1" ht="15" x14ac:dyDescent="0.25">
      <c r="A194" s="297"/>
      <c r="B194" s="297"/>
      <c r="C194" s="297"/>
      <c r="D194" s="299" t="s">
        <v>62</v>
      </c>
      <c r="E194" s="296"/>
      <c r="F194" s="296"/>
      <c r="G194" s="296"/>
      <c r="H194" s="296"/>
      <c r="I194" s="296"/>
      <c r="J194" s="298"/>
      <c r="K194" s="295"/>
      <c r="L194" s="298">
        <v>0</v>
      </c>
    </row>
    <row r="195" spans="1:13" s="290" customFormat="1" ht="14.25" customHeight="1" x14ac:dyDescent="0.25">
      <c r="A195" s="297"/>
      <c r="B195" s="297"/>
      <c r="C195" s="297"/>
      <c r="D195" s="296" t="s">
        <v>311</v>
      </c>
      <c r="E195" s="296"/>
      <c r="F195" s="296"/>
      <c r="G195" s="296"/>
      <c r="H195" s="296"/>
      <c r="I195" s="296"/>
      <c r="J195" s="295"/>
      <c r="K195" s="295"/>
      <c r="L195" s="295">
        <f>L192*0.15</f>
        <v>39653.97</v>
      </c>
    </row>
    <row r="196" spans="1:13" s="290" customFormat="1" ht="14.25" customHeight="1" x14ac:dyDescent="0.2">
      <c r="A196" s="294"/>
      <c r="B196" s="294"/>
      <c r="C196" s="294"/>
      <c r="D196" s="293" t="s">
        <v>310</v>
      </c>
      <c r="E196" s="292"/>
      <c r="F196" s="292"/>
      <c r="G196" s="292"/>
      <c r="H196" s="292"/>
      <c r="I196" s="292"/>
      <c r="J196" s="291"/>
      <c r="K196" s="292"/>
      <c r="L196" s="291">
        <f>L195+L190</f>
        <v>2558357.2000000002</v>
      </c>
    </row>
    <row r="197" spans="1:13" s="290" customFormat="1" ht="12.75" x14ac:dyDescent="0.2">
      <c r="A197" s="282"/>
      <c r="B197" s="282"/>
      <c r="C197" s="282"/>
      <c r="D197" s="282"/>
      <c r="E197" s="282"/>
      <c r="F197" s="282"/>
      <c r="G197" s="282"/>
      <c r="H197" s="282"/>
      <c r="I197" s="282"/>
      <c r="J197" s="282"/>
      <c r="K197" s="282"/>
      <c r="L197" s="282"/>
    </row>
    <row r="198" spans="1:13" s="290" customFormat="1" ht="14.25" customHeight="1" x14ac:dyDescent="0.2">
      <c r="A198" s="282"/>
      <c r="B198" s="282"/>
      <c r="C198" s="282"/>
      <c r="D198" s="282"/>
      <c r="E198" s="282"/>
      <c r="F198" s="282"/>
      <c r="G198" s="282"/>
      <c r="H198" s="282"/>
      <c r="I198" s="282"/>
      <c r="J198" s="282"/>
      <c r="K198" s="282"/>
      <c r="L198" s="282"/>
    </row>
    <row r="199" spans="1:13" s="275" customFormat="1" ht="14.25" x14ac:dyDescent="0.2">
      <c r="A199" s="282"/>
      <c r="B199" s="282"/>
      <c r="C199" s="282"/>
      <c r="D199" s="289" t="s">
        <v>309</v>
      </c>
      <c r="E199" s="288"/>
      <c r="F199" s="288"/>
      <c r="G199" s="288"/>
      <c r="H199" s="288"/>
      <c r="I199" s="287"/>
      <c r="J199" s="285"/>
      <c r="K199" s="286"/>
      <c r="L199" s="285">
        <f>L196</f>
        <v>2558357.2000000002</v>
      </c>
      <c r="M199" s="276"/>
    </row>
    <row r="200" spans="1:13" s="275" customFormat="1" ht="15" x14ac:dyDescent="0.25">
      <c r="A200" s="282"/>
      <c r="B200" s="282"/>
      <c r="C200" s="282"/>
      <c r="D200" s="281" t="s">
        <v>308</v>
      </c>
      <c r="E200" s="280"/>
      <c r="F200" s="280"/>
      <c r="G200" s="280"/>
      <c r="H200" s="280"/>
      <c r="I200" s="279"/>
      <c r="J200" s="277"/>
      <c r="K200" s="284"/>
      <c r="L200" s="277">
        <f>L191</f>
        <v>2518703.23</v>
      </c>
      <c r="M200" s="276"/>
    </row>
    <row r="201" spans="1:13" s="275" customFormat="1" ht="15" x14ac:dyDescent="0.25">
      <c r="A201" s="282"/>
      <c r="B201" s="282"/>
      <c r="C201" s="282"/>
      <c r="D201" s="281" t="s">
        <v>307</v>
      </c>
      <c r="E201" s="280"/>
      <c r="F201" s="280"/>
      <c r="G201" s="280"/>
      <c r="H201" s="280"/>
      <c r="I201" s="279"/>
      <c r="J201" s="277"/>
      <c r="K201" s="283"/>
      <c r="L201" s="277">
        <f>L195</f>
        <v>39653.97</v>
      </c>
      <c r="M201" s="276"/>
    </row>
    <row r="202" spans="1:13" s="275" customFormat="1" ht="15" x14ac:dyDescent="0.25">
      <c r="A202" s="282"/>
      <c r="B202" s="282"/>
      <c r="C202" s="282"/>
      <c r="D202" s="281" t="s">
        <v>306</v>
      </c>
      <c r="E202" s="280"/>
      <c r="F202" s="280"/>
      <c r="G202" s="280"/>
      <c r="H202" s="280"/>
      <c r="I202" s="279"/>
      <c r="J202" s="277"/>
      <c r="K202" s="277"/>
      <c r="L202" s="277">
        <v>0</v>
      </c>
      <c r="M202" s="276"/>
    </row>
    <row r="203" spans="1:13" s="275" customFormat="1" ht="15" x14ac:dyDescent="0.25">
      <c r="A203" s="282"/>
      <c r="B203" s="282"/>
      <c r="C203" s="282"/>
      <c r="D203" s="281" t="s">
        <v>305</v>
      </c>
      <c r="E203" s="280"/>
      <c r="F203" s="280"/>
      <c r="G203" s="280"/>
      <c r="H203" s="280"/>
      <c r="I203" s="279"/>
      <c r="J203" s="278"/>
      <c r="K203" s="278"/>
      <c r="L203" s="277">
        <f>L194</f>
        <v>0</v>
      </c>
      <c r="M203" s="276"/>
    </row>
  </sheetData>
  <mergeCells count="87">
    <mergeCell ref="A43:L43"/>
    <mergeCell ref="A44:L44"/>
    <mergeCell ref="A45:L45"/>
    <mergeCell ref="J31:J38"/>
    <mergeCell ref="K31:K38"/>
    <mergeCell ref="L31:L38"/>
    <mergeCell ref="A33:A38"/>
    <mergeCell ref="B33:B38"/>
    <mergeCell ref="A31:B32"/>
    <mergeCell ref="C31:C38"/>
    <mergeCell ref="D31:D38"/>
    <mergeCell ref="E31:E38"/>
    <mergeCell ref="F31:F38"/>
    <mergeCell ref="A26:L26"/>
    <mergeCell ref="H28:I28"/>
    <mergeCell ref="A30:L30"/>
    <mergeCell ref="H31:H38"/>
    <mergeCell ref="I31:I38"/>
    <mergeCell ref="G31:G38"/>
    <mergeCell ref="I99:J99"/>
    <mergeCell ref="K99:L99"/>
    <mergeCell ref="I74:J74"/>
    <mergeCell ref="K74:L74"/>
    <mergeCell ref="I80:J80"/>
    <mergeCell ref="K80:L80"/>
    <mergeCell ref="I83:J83"/>
    <mergeCell ref="K83:L83"/>
    <mergeCell ref="K93:L93"/>
    <mergeCell ref="I56:J56"/>
    <mergeCell ref="K56:L56"/>
    <mergeCell ref="I62:J62"/>
    <mergeCell ref="K62:L62"/>
    <mergeCell ref="I96:J96"/>
    <mergeCell ref="K96:L96"/>
    <mergeCell ref="I86:J86"/>
    <mergeCell ref="K86:L86"/>
    <mergeCell ref="I89:J89"/>
    <mergeCell ref="K89:L89"/>
    <mergeCell ref="I93:J93"/>
    <mergeCell ref="I129:J129"/>
    <mergeCell ref="K129:L129"/>
    <mergeCell ref="I132:J132"/>
    <mergeCell ref="K132:L132"/>
    <mergeCell ref="K159:L159"/>
    <mergeCell ref="A102:H102"/>
    <mergeCell ref="I102:J102"/>
    <mergeCell ref="K102:L102"/>
    <mergeCell ref="A112:L112"/>
    <mergeCell ref="I123:J123"/>
    <mergeCell ref="K123:L123"/>
    <mergeCell ref="A168:H168"/>
    <mergeCell ref="I168:J168"/>
    <mergeCell ref="K168:L168"/>
    <mergeCell ref="I135:J135"/>
    <mergeCell ref="K135:L135"/>
    <mergeCell ref="I138:J138"/>
    <mergeCell ref="K138:L138"/>
    <mergeCell ref="I141:J141"/>
    <mergeCell ref="K141:L141"/>
    <mergeCell ref="A144:H144"/>
    <mergeCell ref="I144:J144"/>
    <mergeCell ref="K144:L144"/>
    <mergeCell ref="A148:L148"/>
    <mergeCell ref="I159:J159"/>
    <mergeCell ref="I165:J165"/>
    <mergeCell ref="K165:L165"/>
    <mergeCell ref="K178:L178"/>
    <mergeCell ref="D186:H186"/>
    <mergeCell ref="A174:H174"/>
    <mergeCell ref="I174:J174"/>
    <mergeCell ref="K174:L174"/>
    <mergeCell ref="D177:H177"/>
    <mergeCell ref="I177:J177"/>
    <mergeCell ref="K177:L177"/>
    <mergeCell ref="D178:H178"/>
    <mergeCell ref="I178:J178"/>
    <mergeCell ref="D193:H193"/>
    <mergeCell ref="D179:H179"/>
    <mergeCell ref="I179:J179"/>
    <mergeCell ref="K179:L179"/>
    <mergeCell ref="D187:H187"/>
    <mergeCell ref="D191:H191"/>
    <mergeCell ref="D188:H188"/>
    <mergeCell ref="D189:H189"/>
    <mergeCell ref="I189:J189"/>
    <mergeCell ref="K189:L189"/>
    <mergeCell ref="D192:H192"/>
  </mergeCells>
  <pageMargins left="0.39370078740157483" right="0.19685039370078741" top="0.19685039370078741" bottom="0.39370078740157483" header="0.31496062992125984" footer="0.31496062992125984"/>
  <pageSetup paperSize="9" scale="64" firstPageNumber="7" fitToHeight="0" orientation="portrait" blackAndWhite="1" useFirstPageNumber="1" r:id="rId1"/>
  <headerFooter>
    <oddFooter>&amp;R&amp;P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8"/>
  <sheetViews>
    <sheetView view="pageBreakPreview" topLeftCell="A37" zoomScale="70" zoomScaleNormal="100" zoomScaleSheetLayoutView="70" workbookViewId="0">
      <selection activeCell="A31" sqref="A1:XFD1048576"/>
    </sheetView>
  </sheetViews>
  <sheetFormatPr defaultColWidth="9.33203125" defaultRowHeight="11.25" x14ac:dyDescent="0.2"/>
  <cols>
    <col min="1" max="2" width="8.83203125" style="178" customWidth="1"/>
    <col min="3" max="3" width="13.6640625" style="178" customWidth="1"/>
    <col min="4" max="4" width="47.5" style="178" customWidth="1"/>
    <col min="5" max="5" width="13.6640625" style="178" customWidth="1"/>
    <col min="6" max="6" width="11.83203125" style="178" bestFit="1" customWidth="1"/>
    <col min="7" max="10" width="17.83203125" style="178" customWidth="1"/>
    <col min="11" max="11" width="10.6640625" style="178" bestFit="1" customWidth="1"/>
    <col min="12" max="12" width="16.1640625" style="178" customWidth="1"/>
    <col min="13" max="13" width="9.33203125" style="178"/>
    <col min="14" max="35" width="0" style="178" hidden="1" customWidth="1"/>
    <col min="36" max="36" width="106.1640625" style="178" hidden="1" customWidth="1"/>
    <col min="37" max="37" width="157.1640625" style="178" hidden="1" customWidth="1"/>
    <col min="38" max="38" width="117.83203125" style="178" hidden="1" customWidth="1"/>
    <col min="39" max="39" width="0" style="178" hidden="1" customWidth="1"/>
    <col min="40" max="40" width="113" style="178" hidden="1" customWidth="1"/>
    <col min="41" max="42" width="0" style="178" hidden="1" customWidth="1"/>
    <col min="43" max="16384" width="9.33203125" style="178"/>
  </cols>
  <sheetData>
    <row r="1" spans="1:30" ht="15" x14ac:dyDescent="0.25">
      <c r="A1" s="257"/>
      <c r="B1" s="257"/>
      <c r="C1" s="258"/>
      <c r="D1" s="258"/>
      <c r="E1" s="258"/>
      <c r="F1" s="257"/>
      <c r="G1" s="257"/>
      <c r="H1" s="257"/>
      <c r="I1" s="621" t="s">
        <v>247</v>
      </c>
      <c r="J1" s="621"/>
      <c r="K1" s="621"/>
      <c r="L1" s="621"/>
    </row>
    <row r="2" spans="1:30" ht="14.25" x14ac:dyDescent="0.2">
      <c r="A2" s="257"/>
      <c r="B2" s="257"/>
      <c r="C2" s="257"/>
      <c r="D2" s="257"/>
      <c r="E2" s="257"/>
      <c r="F2" s="257"/>
      <c r="G2" s="257"/>
      <c r="H2" s="257"/>
      <c r="I2" s="621" t="s">
        <v>15</v>
      </c>
      <c r="J2" s="621"/>
      <c r="K2" s="621"/>
      <c r="L2" s="621"/>
    </row>
    <row r="3" spans="1:30" ht="14.25" x14ac:dyDescent="0.2">
      <c r="A3" s="257"/>
      <c r="B3" s="257"/>
      <c r="C3" s="257"/>
      <c r="D3" s="257"/>
      <c r="E3" s="257"/>
      <c r="F3" s="257"/>
      <c r="G3" s="257"/>
      <c r="H3" s="257"/>
      <c r="I3" s="621" t="s">
        <v>16</v>
      </c>
      <c r="J3" s="621"/>
      <c r="K3" s="621"/>
      <c r="L3" s="621"/>
    </row>
    <row r="4" spans="1:30" ht="14.25" x14ac:dyDescent="0.2">
      <c r="A4" s="257"/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</row>
    <row r="5" spans="1:30" ht="14.25" x14ac:dyDescent="0.2">
      <c r="A5" s="257"/>
      <c r="B5" s="257"/>
      <c r="C5" s="257"/>
      <c r="D5" s="257"/>
      <c r="E5" s="257"/>
      <c r="F5" s="257"/>
      <c r="G5" s="257"/>
      <c r="H5" s="257"/>
      <c r="I5" s="257"/>
      <c r="J5" s="624" t="s">
        <v>17</v>
      </c>
      <c r="K5" s="624"/>
      <c r="L5" s="624"/>
    </row>
    <row r="6" spans="1:30" ht="31.5" customHeight="1" x14ac:dyDescent="0.2">
      <c r="A6" s="257"/>
      <c r="B6" s="257"/>
      <c r="C6" s="257"/>
      <c r="D6" s="257"/>
      <c r="E6" s="257"/>
      <c r="F6" s="257"/>
      <c r="G6" s="257"/>
      <c r="H6" s="257"/>
      <c r="I6" s="473" t="s">
        <v>18</v>
      </c>
      <c r="J6" s="633" t="s">
        <v>19</v>
      </c>
      <c r="K6" s="633"/>
      <c r="L6" s="633"/>
    </row>
    <row r="7" spans="1:30" ht="14.25" x14ac:dyDescent="0.2">
      <c r="A7" s="257"/>
      <c r="B7" s="257"/>
      <c r="C7" s="257"/>
      <c r="D7" s="257"/>
      <c r="E7" s="257"/>
      <c r="F7" s="257"/>
      <c r="G7" s="257"/>
      <c r="H7" s="257"/>
      <c r="I7" s="257"/>
      <c r="J7" s="624"/>
      <c r="K7" s="624"/>
      <c r="L7" s="624"/>
    </row>
    <row r="8" spans="1:30" ht="33.75" customHeight="1" x14ac:dyDescent="0.2">
      <c r="A8" s="630" t="s">
        <v>86</v>
      </c>
      <c r="B8" s="630"/>
      <c r="C8" s="631" t="s">
        <v>257</v>
      </c>
      <c r="D8" s="631"/>
      <c r="E8" s="631"/>
      <c r="F8" s="631"/>
      <c r="G8" s="631"/>
      <c r="H8" s="631"/>
      <c r="I8" s="473" t="s">
        <v>21</v>
      </c>
      <c r="J8" s="624"/>
      <c r="K8" s="624"/>
      <c r="L8" s="624"/>
    </row>
    <row r="9" spans="1:30" ht="14.25" x14ac:dyDescent="0.2">
      <c r="A9" s="259"/>
      <c r="B9" s="259"/>
      <c r="C9" s="625" t="s">
        <v>22</v>
      </c>
      <c r="D9" s="625"/>
      <c r="E9" s="625"/>
      <c r="F9" s="625"/>
      <c r="G9" s="625"/>
      <c r="H9" s="625"/>
      <c r="I9" s="257"/>
      <c r="J9" s="632" t="s">
        <v>56</v>
      </c>
      <c r="K9" s="632"/>
      <c r="L9" s="632"/>
    </row>
    <row r="10" spans="1:30" ht="14.25" customHeight="1" x14ac:dyDescent="0.2">
      <c r="A10" s="260" t="s">
        <v>251</v>
      </c>
      <c r="B10" s="260"/>
      <c r="C10" s="628" t="s">
        <v>258</v>
      </c>
      <c r="D10" s="628"/>
      <c r="E10" s="628"/>
      <c r="F10" s="628"/>
      <c r="G10" s="628"/>
      <c r="H10" s="628"/>
      <c r="I10" s="473" t="s">
        <v>21</v>
      </c>
      <c r="J10" s="632"/>
      <c r="K10" s="632"/>
      <c r="L10" s="632"/>
    </row>
    <row r="11" spans="1:30" ht="14.25" x14ac:dyDescent="0.2">
      <c r="A11" s="260"/>
      <c r="B11" s="260"/>
      <c r="C11" s="625" t="s">
        <v>22</v>
      </c>
      <c r="D11" s="625"/>
      <c r="E11" s="625"/>
      <c r="F11" s="625"/>
      <c r="G11" s="625"/>
      <c r="H11" s="625"/>
      <c r="I11" s="257"/>
      <c r="J11" s="624">
        <v>29478604</v>
      </c>
      <c r="K11" s="624"/>
      <c r="L11" s="624"/>
    </row>
    <row r="12" spans="1:30" ht="14.25" customHeight="1" x14ac:dyDescent="0.2">
      <c r="A12" s="260" t="s">
        <v>259</v>
      </c>
      <c r="B12" s="260"/>
      <c r="C12" s="628" t="s">
        <v>260</v>
      </c>
      <c r="D12" s="628"/>
      <c r="E12" s="628"/>
      <c r="F12" s="628"/>
      <c r="G12" s="628"/>
      <c r="H12" s="628"/>
      <c r="I12" s="473" t="s">
        <v>21</v>
      </c>
      <c r="J12" s="624"/>
      <c r="K12" s="624"/>
      <c r="L12" s="624"/>
    </row>
    <row r="13" spans="1:30" ht="14.25" x14ac:dyDescent="0.2">
      <c r="A13" s="260"/>
      <c r="B13" s="260"/>
      <c r="C13" s="625" t="s">
        <v>22</v>
      </c>
      <c r="D13" s="625"/>
      <c r="E13" s="625"/>
      <c r="F13" s="625"/>
      <c r="G13" s="625"/>
      <c r="H13" s="625"/>
      <c r="I13" s="257"/>
      <c r="J13" s="624"/>
      <c r="K13" s="624"/>
      <c r="L13" s="624"/>
    </row>
    <row r="14" spans="1:30" ht="14.25" x14ac:dyDescent="0.2">
      <c r="A14" s="259" t="s">
        <v>23</v>
      </c>
      <c r="B14" s="259"/>
      <c r="C14" s="629" t="s">
        <v>261</v>
      </c>
      <c r="D14" s="629"/>
      <c r="E14" s="629"/>
      <c r="F14" s="629"/>
      <c r="G14" s="629"/>
      <c r="H14" s="629"/>
      <c r="I14" s="257"/>
      <c r="J14" s="624"/>
      <c r="K14" s="624"/>
      <c r="L14" s="624"/>
    </row>
    <row r="15" spans="1:30" ht="42.75" customHeight="1" x14ac:dyDescent="0.2">
      <c r="A15" s="259"/>
      <c r="B15" s="259"/>
      <c r="C15" s="625" t="s">
        <v>24</v>
      </c>
      <c r="D15" s="625"/>
      <c r="E15" s="625"/>
      <c r="F15" s="625"/>
      <c r="G15" s="625"/>
      <c r="H15" s="625"/>
      <c r="I15" s="257"/>
      <c r="J15" s="624"/>
      <c r="K15" s="624"/>
      <c r="L15" s="624"/>
      <c r="AD15" s="483" t="s">
        <v>233</v>
      </c>
    </row>
    <row r="16" spans="1:30" ht="14.25" x14ac:dyDescent="0.2">
      <c r="A16" s="259" t="s">
        <v>25</v>
      </c>
      <c r="B16" s="259"/>
      <c r="C16" s="626" t="s">
        <v>262</v>
      </c>
      <c r="D16" s="626"/>
      <c r="E16" s="626"/>
      <c r="F16" s="626"/>
      <c r="G16" s="626"/>
      <c r="H16" s="626"/>
      <c r="I16" s="257"/>
      <c r="J16" s="624"/>
      <c r="K16" s="624"/>
      <c r="L16" s="624"/>
    </row>
    <row r="17" spans="1:30" ht="42.75" customHeight="1" x14ac:dyDescent="0.2">
      <c r="A17" s="259"/>
      <c r="B17" s="259"/>
      <c r="C17" s="625" t="s">
        <v>26</v>
      </c>
      <c r="D17" s="625"/>
      <c r="E17" s="625"/>
      <c r="F17" s="625"/>
      <c r="G17" s="625"/>
      <c r="H17" s="625"/>
      <c r="I17" s="257"/>
      <c r="J17" s="257"/>
      <c r="K17" s="257"/>
      <c r="L17" s="257"/>
      <c r="AD17" s="885" t="str">
        <f>IF([84]Source!G15&lt;&gt;"Новый объект", [84]Source!G15, "")</f>
        <v>Май, 2020 г., Р.17.98</v>
      </c>
    </row>
    <row r="18" spans="1:30" ht="14.25" x14ac:dyDescent="0.2">
      <c r="A18" s="257"/>
      <c r="B18" s="257"/>
      <c r="C18" s="257"/>
      <c r="D18" s="257"/>
      <c r="E18" s="257"/>
      <c r="F18" s="257"/>
      <c r="G18" s="621" t="s">
        <v>27</v>
      </c>
      <c r="H18" s="621"/>
      <c r="I18" s="627"/>
      <c r="J18" s="624"/>
      <c r="K18" s="624"/>
      <c r="L18" s="624"/>
    </row>
    <row r="19" spans="1:30" ht="15" x14ac:dyDescent="0.25">
      <c r="A19" s="257"/>
      <c r="B19" s="257"/>
      <c r="C19" s="257"/>
      <c r="D19" s="257"/>
      <c r="E19" s="257"/>
      <c r="F19" s="257"/>
      <c r="G19" s="621" t="s">
        <v>28</v>
      </c>
      <c r="H19" s="622"/>
      <c r="I19" s="261" t="s">
        <v>29</v>
      </c>
      <c r="J19" s="596" t="s">
        <v>267</v>
      </c>
      <c r="K19" s="597"/>
      <c r="L19" s="598"/>
    </row>
    <row r="20" spans="1:30" ht="14.25" customHeight="1" x14ac:dyDescent="0.25">
      <c r="A20" s="257"/>
      <c r="B20" s="623"/>
      <c r="C20" s="623"/>
      <c r="D20" s="623"/>
      <c r="E20" s="257"/>
      <c r="F20" s="257"/>
      <c r="G20" s="257"/>
      <c r="H20" s="257"/>
      <c r="I20" s="262" t="s">
        <v>30</v>
      </c>
      <c r="J20" s="613">
        <v>43811</v>
      </c>
      <c r="K20" s="614"/>
      <c r="L20" s="615"/>
    </row>
    <row r="21" spans="1:30" ht="14.25" x14ac:dyDescent="0.2">
      <c r="A21" s="257"/>
      <c r="B21" s="623"/>
      <c r="C21" s="623"/>
      <c r="D21" s="623"/>
      <c r="E21" s="257"/>
      <c r="F21" s="257"/>
      <c r="G21" s="257"/>
      <c r="H21" s="257"/>
      <c r="I21" s="473" t="s">
        <v>248</v>
      </c>
      <c r="J21" s="624"/>
      <c r="K21" s="624"/>
      <c r="L21" s="624"/>
    </row>
    <row r="22" spans="1:30" ht="14.25" x14ac:dyDescent="0.2">
      <c r="A22" s="257"/>
      <c r="B22" s="257"/>
      <c r="C22" s="257"/>
      <c r="D22" s="257"/>
      <c r="E22" s="257"/>
      <c r="F22" s="257"/>
      <c r="G22" s="257"/>
      <c r="H22" s="257"/>
      <c r="I22" s="257"/>
      <c r="J22" s="257"/>
      <c r="K22" s="257"/>
      <c r="L22" s="257"/>
    </row>
    <row r="23" spans="1:30" ht="14.25" x14ac:dyDescent="0.2">
      <c r="A23" s="257"/>
      <c r="B23" s="257"/>
      <c r="C23" s="257"/>
      <c r="D23" s="257"/>
      <c r="E23" s="257"/>
      <c r="F23" s="257"/>
      <c r="G23" s="616" t="s">
        <v>31</v>
      </c>
      <c r="H23" s="618" t="s">
        <v>32</v>
      </c>
      <c r="I23" s="618" t="s">
        <v>33</v>
      </c>
      <c r="J23" s="620"/>
      <c r="K23" s="257"/>
      <c r="L23" s="257"/>
    </row>
    <row r="24" spans="1:30" ht="14.25" customHeight="1" x14ac:dyDescent="0.2">
      <c r="A24" s="257"/>
      <c r="B24" s="257"/>
      <c r="C24" s="257"/>
      <c r="D24" s="257"/>
      <c r="E24" s="257"/>
      <c r="F24" s="257"/>
      <c r="G24" s="617"/>
      <c r="H24" s="619"/>
      <c r="I24" s="475" t="s">
        <v>34</v>
      </c>
      <c r="J24" s="474" t="s">
        <v>35</v>
      </c>
      <c r="K24" s="257"/>
      <c r="L24" s="257"/>
    </row>
    <row r="25" spans="1:30" ht="14.25" x14ac:dyDescent="0.2">
      <c r="A25" s="257"/>
      <c r="B25" s="257"/>
      <c r="C25" s="257"/>
      <c r="D25" s="257"/>
      <c r="E25" s="257"/>
      <c r="F25" s="257"/>
      <c r="G25" s="262">
        <v>9</v>
      </c>
      <c r="H25" s="263">
        <v>44196</v>
      </c>
      <c r="I25" s="263">
        <v>44166</v>
      </c>
      <c r="J25" s="481">
        <f>H25</f>
        <v>44196</v>
      </c>
      <c r="K25" s="257"/>
      <c r="L25" s="257"/>
    </row>
    <row r="26" spans="1:30" ht="14.25" x14ac:dyDescent="0.2">
      <c r="A26" s="257"/>
      <c r="B26" s="257"/>
      <c r="C26" s="257"/>
      <c r="D26" s="257"/>
      <c r="E26" s="257"/>
      <c r="F26" s="257"/>
      <c r="G26" s="264"/>
      <c r="H26" s="265"/>
      <c r="I26" s="265"/>
      <c r="J26" s="265"/>
      <c r="K26" s="257"/>
      <c r="L26" s="257"/>
    </row>
    <row r="27" spans="1:30" ht="18" x14ac:dyDescent="0.25">
      <c r="A27" s="595" t="s">
        <v>512</v>
      </c>
      <c r="B27" s="595"/>
      <c r="C27" s="595"/>
      <c r="D27" s="595"/>
      <c r="E27" s="595"/>
      <c r="F27" s="595"/>
      <c r="G27" s="595"/>
      <c r="H27" s="595"/>
      <c r="I27" s="595"/>
      <c r="J27" s="595"/>
      <c r="K27" s="595"/>
      <c r="L27" s="595"/>
    </row>
    <row r="28" spans="1:30" ht="14.25" x14ac:dyDescent="0.2">
      <c r="A28" s="316"/>
      <c r="B28" s="316"/>
      <c r="C28" s="316"/>
      <c r="D28" s="316"/>
      <c r="E28" s="316"/>
      <c r="F28" s="316"/>
      <c r="G28" s="316"/>
      <c r="H28" s="316"/>
      <c r="I28" s="316"/>
      <c r="J28" s="316"/>
      <c r="K28" s="316"/>
      <c r="L28" s="316"/>
    </row>
    <row r="29" spans="1:30" ht="15" hidden="1" x14ac:dyDescent="0.25">
      <c r="A29" s="316" t="s">
        <v>66</v>
      </c>
      <c r="B29" s="316"/>
      <c r="C29" s="316"/>
      <c r="D29" s="316"/>
      <c r="E29" s="316"/>
      <c r="F29" s="316"/>
      <c r="G29" s="316"/>
      <c r="H29" s="786">
        <f>([89]Source!P704/1000)</f>
        <v>0</v>
      </c>
      <c r="I29" s="786"/>
      <c r="J29" s="316" t="s">
        <v>67</v>
      </c>
      <c r="K29" s="316"/>
      <c r="L29" s="316"/>
    </row>
    <row r="30" spans="1:30" ht="14.25" x14ac:dyDescent="0.2">
      <c r="A30" s="645" t="s">
        <v>200</v>
      </c>
      <c r="B30" s="645"/>
      <c r="C30" s="645"/>
      <c r="D30" s="645"/>
      <c r="E30" s="645"/>
      <c r="F30" s="645"/>
      <c r="G30" s="645"/>
      <c r="H30" s="645"/>
      <c r="I30" s="645"/>
      <c r="J30" s="645"/>
      <c r="K30" s="645"/>
      <c r="L30" s="645"/>
    </row>
    <row r="31" spans="1:30" ht="14.25" x14ac:dyDescent="0.2">
      <c r="A31" s="650" t="s">
        <v>38</v>
      </c>
      <c r="B31" s="650"/>
      <c r="C31" s="650" t="s">
        <v>39</v>
      </c>
      <c r="D31" s="650" t="s">
        <v>40</v>
      </c>
      <c r="E31" s="650" t="s">
        <v>126</v>
      </c>
      <c r="F31" s="650" t="s">
        <v>68</v>
      </c>
      <c r="G31" s="650" t="s">
        <v>69</v>
      </c>
      <c r="H31" s="647" t="s">
        <v>127</v>
      </c>
      <c r="I31" s="647" t="s">
        <v>128</v>
      </c>
      <c r="J31" s="650" t="s">
        <v>129</v>
      </c>
      <c r="K31" s="650" t="s">
        <v>130</v>
      </c>
      <c r="L31" s="650" t="s">
        <v>131</v>
      </c>
    </row>
    <row r="32" spans="1:30" x14ac:dyDescent="0.2">
      <c r="A32" s="647" t="s">
        <v>41</v>
      </c>
      <c r="B32" s="647" t="s">
        <v>42</v>
      </c>
      <c r="C32" s="650"/>
      <c r="D32" s="650"/>
      <c r="E32" s="650"/>
      <c r="F32" s="650"/>
      <c r="G32" s="650"/>
      <c r="H32" s="648"/>
      <c r="I32" s="648"/>
      <c r="J32" s="650"/>
      <c r="K32" s="650"/>
      <c r="L32" s="650"/>
    </row>
    <row r="33" spans="1:37" x14ac:dyDescent="0.2">
      <c r="A33" s="648"/>
      <c r="B33" s="648"/>
      <c r="C33" s="650"/>
      <c r="D33" s="650"/>
      <c r="E33" s="650"/>
      <c r="F33" s="650"/>
      <c r="G33" s="650"/>
      <c r="H33" s="648"/>
      <c r="I33" s="648"/>
      <c r="J33" s="650"/>
      <c r="K33" s="650"/>
      <c r="L33" s="650"/>
    </row>
    <row r="34" spans="1:37" x14ac:dyDescent="0.2">
      <c r="A34" s="648"/>
      <c r="B34" s="648"/>
      <c r="C34" s="650"/>
      <c r="D34" s="650"/>
      <c r="E34" s="650"/>
      <c r="F34" s="650"/>
      <c r="G34" s="650"/>
      <c r="H34" s="648"/>
      <c r="I34" s="648"/>
      <c r="J34" s="650"/>
      <c r="K34" s="650"/>
      <c r="L34" s="650"/>
    </row>
    <row r="35" spans="1:37" x14ac:dyDescent="0.2">
      <c r="A35" s="648"/>
      <c r="B35" s="648"/>
      <c r="C35" s="650"/>
      <c r="D35" s="650"/>
      <c r="E35" s="650"/>
      <c r="F35" s="650"/>
      <c r="G35" s="650"/>
      <c r="H35" s="648"/>
      <c r="I35" s="648"/>
      <c r="J35" s="650"/>
      <c r="K35" s="650"/>
      <c r="L35" s="650"/>
    </row>
    <row r="36" spans="1:37" x14ac:dyDescent="0.2">
      <c r="A36" s="649"/>
      <c r="B36" s="649"/>
      <c r="C36" s="650"/>
      <c r="D36" s="650"/>
      <c r="E36" s="650"/>
      <c r="F36" s="650"/>
      <c r="G36" s="650"/>
      <c r="H36" s="649"/>
      <c r="I36" s="649"/>
      <c r="J36" s="650"/>
      <c r="K36" s="650"/>
      <c r="L36" s="650"/>
    </row>
    <row r="37" spans="1:37" ht="14.25" x14ac:dyDescent="0.2">
      <c r="A37" s="482">
        <v>1</v>
      </c>
      <c r="B37" s="482">
        <v>2</v>
      </c>
      <c r="C37" s="482">
        <v>3</v>
      </c>
      <c r="D37" s="482">
        <v>4</v>
      </c>
      <c r="E37" s="482">
        <v>5</v>
      </c>
      <c r="F37" s="482">
        <v>6</v>
      </c>
      <c r="G37" s="482">
        <v>7</v>
      </c>
      <c r="H37" s="482">
        <v>8</v>
      </c>
      <c r="I37" s="482">
        <v>9</v>
      </c>
      <c r="J37" s="482">
        <v>10</v>
      </c>
      <c r="K37" s="482">
        <v>11</v>
      </c>
      <c r="L37" s="482">
        <v>12</v>
      </c>
    </row>
    <row r="39" spans="1:37" ht="16.5" x14ac:dyDescent="0.25">
      <c r="A39" s="642" t="s">
        <v>216</v>
      </c>
      <c r="B39" s="642"/>
      <c r="C39" s="642"/>
      <c r="D39" s="642"/>
      <c r="E39" s="642"/>
      <c r="F39" s="642"/>
      <c r="G39" s="642"/>
      <c r="H39" s="642"/>
      <c r="I39" s="642"/>
      <c r="J39" s="642"/>
      <c r="K39" s="642"/>
      <c r="L39" s="642"/>
    </row>
    <row r="40" spans="1:37" ht="18" customHeight="1" x14ac:dyDescent="0.25">
      <c r="A40" s="642" t="s">
        <v>215</v>
      </c>
      <c r="B40" s="642"/>
      <c r="C40" s="642"/>
      <c r="D40" s="642"/>
      <c r="E40" s="642"/>
      <c r="F40" s="642"/>
      <c r="G40" s="642"/>
      <c r="H40" s="642"/>
      <c r="I40" s="642"/>
      <c r="J40" s="642"/>
      <c r="K40" s="642"/>
      <c r="L40" s="642"/>
      <c r="AK40" s="476" t="str">
        <f>CONCATENATE("Локальная смета: ",IF([89]Source!G20&lt;&gt;"Новая локальная смета", [89]Source!G20, ""))</f>
        <v>Локальная смета: Станционный комплекс "Аминьевское шоссе". Платформенная часть. Внутренние инженерные системы. Электроосвещение.</v>
      </c>
    </row>
    <row r="42" spans="1:37" ht="16.5" x14ac:dyDescent="0.25">
      <c r="A42" s="642" t="str">
        <f>CONCATENATE("Раздел: ",IF([89]Source!G27&lt;&gt;"Новый раздел", [89]Source!G27, ""))</f>
        <v>Раздел: Монтажные работы</v>
      </c>
      <c r="B42" s="642"/>
      <c r="C42" s="642"/>
      <c r="D42" s="642"/>
      <c r="E42" s="642"/>
      <c r="F42" s="642"/>
      <c r="G42" s="642"/>
      <c r="H42" s="642"/>
      <c r="I42" s="642"/>
      <c r="J42" s="642"/>
      <c r="K42" s="642"/>
      <c r="L42" s="642"/>
    </row>
    <row r="44" spans="1:37" ht="16.5" x14ac:dyDescent="0.25">
      <c r="A44" s="642" t="str">
        <f>CONCATENATE("Подраздел: ",IF([89]Source!G211&lt;&gt;"Новый подраздел", [89]Source!G211, ""))</f>
        <v>Подраздел: Металл и металлические изделия</v>
      </c>
      <c r="B44" s="642"/>
      <c r="C44" s="642"/>
      <c r="D44" s="642"/>
      <c r="E44" s="642"/>
      <c r="F44" s="642"/>
      <c r="G44" s="642"/>
      <c r="H44" s="642"/>
      <c r="I44" s="642"/>
      <c r="J44" s="642"/>
      <c r="K44" s="642"/>
      <c r="L44" s="642"/>
    </row>
    <row r="45" spans="1:37" ht="42.75" x14ac:dyDescent="0.2">
      <c r="A45" s="478">
        <v>1</v>
      </c>
      <c r="B45" s="478" t="str">
        <f>[89]Source!E230</f>
        <v>18</v>
      </c>
      <c r="C45" s="439" t="str">
        <f>[89]Source!F230</f>
        <v>4.8-187-6</v>
      </c>
      <c r="D45" s="439" t="s">
        <v>201</v>
      </c>
      <c r="E45" s="440" t="str">
        <f>[89]Source!H230</f>
        <v>100 м</v>
      </c>
      <c r="F45" s="270">
        <f>[89]Source!I230</f>
        <v>6.1</v>
      </c>
      <c r="G45" s="441"/>
      <c r="H45" s="442"/>
      <c r="I45" s="270"/>
      <c r="J45" s="480"/>
      <c r="K45" s="270"/>
      <c r="L45" s="480"/>
      <c r="Q45" s="178">
        <f>ROUND(([89]Source!DN230/100)*ROUND((ROUND(([89]Source!AF230*[89]Source!AV230*[89]Source!I230),2)),2), 2)</f>
        <v>2476.66</v>
      </c>
      <c r="R45" s="178">
        <f>[89]Source!X230</f>
        <v>47644.67</v>
      </c>
      <c r="S45" s="178">
        <f>ROUND(([89]Source!DO230/100)*ROUND((ROUND(([89]Source!AF230*[89]Source!AV230*[89]Source!I230),2)),2), 2)</f>
        <v>1547.91</v>
      </c>
      <c r="T45" s="178">
        <f>[89]Source!Y230</f>
        <v>22763.56</v>
      </c>
      <c r="U45" s="178">
        <f>ROUND((175/100)*ROUND((ROUND(([89]Source!AE230*[89]Source!AV230*[89]Source!I230),2)),2), 2)</f>
        <v>211.33</v>
      </c>
      <c r="V45" s="178">
        <f>ROUND((157/100)*ROUND(ROUND((ROUND(([89]Source!AE230*[89]Source!AV230*[89]Source!I230),2)*[89]Source!BS230),2), 2), 2)</f>
        <v>4538.8500000000004</v>
      </c>
    </row>
    <row r="46" spans="1:37" ht="14.25" x14ac:dyDescent="0.2">
      <c r="A46" s="478"/>
      <c r="B46" s="478"/>
      <c r="C46" s="439"/>
      <c r="D46" s="439" t="s">
        <v>43</v>
      </c>
      <c r="E46" s="440"/>
      <c r="F46" s="270"/>
      <c r="G46" s="441">
        <f>[89]Source!AO230</f>
        <v>203.44</v>
      </c>
      <c r="H46" s="442" t="str">
        <f>[89]Source!DG230</f>
        <v>)*1,67</v>
      </c>
      <c r="I46" s="270">
        <f>[89]Source!AV230</f>
        <v>1.0669999999999999</v>
      </c>
      <c r="J46" s="480">
        <f>ROUND((ROUND(([89]Source!AF230*[89]Source!AV230*[89]Source!I230),2)),2)</f>
        <v>2211.3000000000002</v>
      </c>
      <c r="K46" s="270">
        <f>IF([89]Source!BA230&lt;&gt; 0, [89]Source!BA230, 1)</f>
        <v>23.94</v>
      </c>
      <c r="L46" s="480">
        <f>[89]Source!S230</f>
        <v>52938.52</v>
      </c>
      <c r="W46" s="178">
        <f>J46</f>
        <v>2211.3000000000002</v>
      </c>
    </row>
    <row r="47" spans="1:37" ht="14.25" x14ac:dyDescent="0.2">
      <c r="A47" s="478"/>
      <c r="B47" s="478"/>
      <c r="C47" s="439"/>
      <c r="D47" s="439" t="s">
        <v>44</v>
      </c>
      <c r="E47" s="440"/>
      <c r="F47" s="270"/>
      <c r="G47" s="441">
        <f>[89]Source!AM230</f>
        <v>140.25</v>
      </c>
      <c r="H47" s="442">
        <f>[89]Source!DE230</f>
        <v>0</v>
      </c>
      <c r="I47" s="270">
        <f>[89]Source!AV230</f>
        <v>1.0669999999999999</v>
      </c>
      <c r="J47" s="480">
        <f>(ROUND((ROUND((([89]Source!ET230)*[89]Source!AV230*[89]Source!I230),2)),2)+ROUND((ROUND((([89]Source!AE230-([89]Source!EU230))*[89]Source!AV230*[89]Source!I230),2)),2))-J56</f>
        <v>912.85</v>
      </c>
      <c r="K47" s="270">
        <f>IF([89]Source!BB230&lt;&gt; 0, [89]Source!BB230, 1)</f>
        <v>6.82</v>
      </c>
      <c r="L47" s="480">
        <f>[89]Source!Q230-L56</f>
        <v>6225.67</v>
      </c>
    </row>
    <row r="48" spans="1:37" ht="14.25" x14ac:dyDescent="0.2">
      <c r="A48" s="478"/>
      <c r="B48" s="478"/>
      <c r="C48" s="439"/>
      <c r="D48" s="439" t="s">
        <v>45</v>
      </c>
      <c r="E48" s="440"/>
      <c r="F48" s="270"/>
      <c r="G48" s="441">
        <f>[89]Source!AN230</f>
        <v>11.11</v>
      </c>
      <c r="H48" s="442">
        <f>[89]Source!DE230</f>
        <v>0</v>
      </c>
      <c r="I48" s="270">
        <f>[89]Source!AV230</f>
        <v>1.0669999999999999</v>
      </c>
      <c r="J48" s="443">
        <f>ROUND((ROUND(([89]Source!AE230*[89]Source!AV230*[89]Source!I230),2)),2)-J57</f>
        <v>72.31</v>
      </c>
      <c r="K48" s="270">
        <f>IF([89]Source!BS230&lt;&gt; 0, [89]Source!BS230, 1)</f>
        <v>23.94</v>
      </c>
      <c r="L48" s="443">
        <f>[89]Source!R230-L57</f>
        <v>1731.13</v>
      </c>
      <c r="W48" s="178">
        <f>J48</f>
        <v>72.31</v>
      </c>
    </row>
    <row r="49" spans="1:27" ht="14.25" x14ac:dyDescent="0.2">
      <c r="A49" s="478"/>
      <c r="B49" s="478"/>
      <c r="C49" s="439"/>
      <c r="D49" s="439" t="s">
        <v>46</v>
      </c>
      <c r="E49" s="440"/>
      <c r="F49" s="270"/>
      <c r="G49" s="441">
        <f>[89]Source!AL230</f>
        <v>343</v>
      </c>
      <c r="H49" s="442">
        <f>[89]Source!DD230</f>
        <v>0</v>
      </c>
      <c r="I49" s="270">
        <f>[89]Source!AW230</f>
        <v>1.081</v>
      </c>
      <c r="J49" s="480">
        <f>ROUND((ROUND(([89]Source!AC230*[89]Source!AW230*[89]Source!I230),2)),2)</f>
        <v>2261.7800000000002</v>
      </c>
      <c r="K49" s="270">
        <f>IF([89]Source!BC230&lt;&gt; 0, [89]Source!BC230, 1)</f>
        <v>5.56</v>
      </c>
      <c r="L49" s="480">
        <f>[89]Source!P230</f>
        <v>12575.5</v>
      </c>
    </row>
    <row r="50" spans="1:27" ht="14.25" x14ac:dyDescent="0.2">
      <c r="A50" s="478"/>
      <c r="B50" s="478"/>
      <c r="C50" s="439"/>
      <c r="D50" s="439" t="s">
        <v>47</v>
      </c>
      <c r="E50" s="440" t="s">
        <v>48</v>
      </c>
      <c r="F50" s="270">
        <f>[89]Source!DN230</f>
        <v>112</v>
      </c>
      <c r="G50" s="441"/>
      <c r="H50" s="442"/>
      <c r="I50" s="270"/>
      <c r="J50" s="480">
        <f>SUM(Q45:Q49)</f>
        <v>2476.66</v>
      </c>
      <c r="K50" s="270">
        <f>[89]Source!BZ230</f>
        <v>90</v>
      </c>
      <c r="L50" s="480">
        <f>SUM(R45:R49)</f>
        <v>47644.67</v>
      </c>
    </row>
    <row r="51" spans="1:27" ht="14.25" x14ac:dyDescent="0.2">
      <c r="A51" s="478"/>
      <c r="B51" s="478"/>
      <c r="C51" s="439"/>
      <c r="D51" s="439" t="s">
        <v>49</v>
      </c>
      <c r="E51" s="440" t="s">
        <v>48</v>
      </c>
      <c r="F51" s="270">
        <f>[89]Source!DO230</f>
        <v>70</v>
      </c>
      <c r="G51" s="441"/>
      <c r="H51" s="442"/>
      <c r="I51" s="270"/>
      <c r="J51" s="480">
        <f>SUM(S45:S50)</f>
        <v>1547.91</v>
      </c>
      <c r="K51" s="270">
        <f>[89]Source!CA230</f>
        <v>43</v>
      </c>
      <c r="L51" s="480">
        <f>SUM(T45:T50)</f>
        <v>22763.56</v>
      </c>
    </row>
    <row r="52" spans="1:27" ht="14.25" x14ac:dyDescent="0.2">
      <c r="A52" s="478"/>
      <c r="B52" s="478"/>
      <c r="C52" s="439"/>
      <c r="D52" s="439" t="s">
        <v>50</v>
      </c>
      <c r="E52" s="440" t="s">
        <v>48</v>
      </c>
      <c r="F52" s="270">
        <f>175</f>
        <v>175</v>
      </c>
      <c r="G52" s="441"/>
      <c r="H52" s="442"/>
      <c r="I52" s="270"/>
      <c r="J52" s="480">
        <f>SUM(U45:U51)-J58</f>
        <v>126.54</v>
      </c>
      <c r="K52" s="270">
        <f>157</f>
        <v>157</v>
      </c>
      <c r="L52" s="480">
        <f>SUM(V45:V51)-L58</f>
        <v>2717.87</v>
      </c>
    </row>
    <row r="53" spans="1:27" ht="14.25" x14ac:dyDescent="0.2">
      <c r="A53" s="478"/>
      <c r="B53" s="478"/>
      <c r="C53" s="439"/>
      <c r="D53" s="439" t="s">
        <v>51</v>
      </c>
      <c r="E53" s="440" t="s">
        <v>52</v>
      </c>
      <c r="F53" s="270">
        <f>[89]Source!AQ230</f>
        <v>16.5</v>
      </c>
      <c r="G53" s="441"/>
      <c r="H53" s="442">
        <f>[89]Source!DI230</f>
        <v>0</v>
      </c>
      <c r="I53" s="270">
        <f>[89]Source!AV230</f>
        <v>1.0669999999999999</v>
      </c>
      <c r="J53" s="480">
        <f>[89]Source!U230</f>
        <v>107.39</v>
      </c>
      <c r="K53" s="270"/>
      <c r="L53" s="480"/>
    </row>
    <row r="54" spans="1:27" ht="15" x14ac:dyDescent="0.25">
      <c r="I54" s="639">
        <f>J46+J47+J49+J50+J51+J52</f>
        <v>9537.0400000000009</v>
      </c>
      <c r="J54" s="639"/>
      <c r="K54" s="639">
        <f>L46+L47+L49+L50+L51+L52</f>
        <v>144865.79</v>
      </c>
      <c r="L54" s="639"/>
      <c r="O54" s="765">
        <f>J46+J47+J49+J50+J51+J52</f>
        <v>9537.0400000000009</v>
      </c>
      <c r="P54" s="765">
        <f>L46+L47+L49+L50+L51+L52</f>
        <v>144865.79</v>
      </c>
      <c r="X54" s="178">
        <f>IF([89]Source!BI230&lt;=1,J46+J47+J49+J50+J51+J52-0, 0)</f>
        <v>0</v>
      </c>
      <c r="Y54" s="178">
        <f>IF([89]Source!BI230=2,J46+J47+J49+J50+J51+J52-0, 0)</f>
        <v>9537.0400000000009</v>
      </c>
      <c r="Z54" s="178">
        <f>IF([89]Source!BI230=3,J46+J47+J49+J50+J51+J52-0, 0)</f>
        <v>0</v>
      </c>
      <c r="AA54" s="178">
        <f>IF([89]Source!BI230=4,J46+J47+J49+J50+J51+J52,0)</f>
        <v>0</v>
      </c>
    </row>
    <row r="55" spans="1:27" ht="28.5" x14ac:dyDescent="0.2">
      <c r="A55" s="444"/>
      <c r="B55" s="444"/>
      <c r="C55" s="445"/>
      <c r="D55" s="445" t="s">
        <v>133</v>
      </c>
      <c r="E55" s="440"/>
      <c r="F55" s="446"/>
      <c r="G55" s="447"/>
      <c r="H55" s="440"/>
      <c r="I55" s="446"/>
      <c r="J55" s="443"/>
      <c r="K55" s="446"/>
      <c r="L55" s="443"/>
    </row>
    <row r="56" spans="1:27" ht="14.25" x14ac:dyDescent="0.2">
      <c r="A56" s="444"/>
      <c r="B56" s="444"/>
      <c r="C56" s="445"/>
      <c r="D56" s="445" t="s">
        <v>44</v>
      </c>
      <c r="E56" s="440"/>
      <c r="F56" s="446"/>
      <c r="G56" s="447">
        <f t="shared" ref="G56:L56" si="0">G57</f>
        <v>11.11</v>
      </c>
      <c r="H56" s="448" t="str">
        <f t="shared" si="0"/>
        <v>)*(1.67-1)</v>
      </c>
      <c r="I56" s="446">
        <f t="shared" si="0"/>
        <v>1.0669999999999999</v>
      </c>
      <c r="J56" s="443">
        <f t="shared" si="0"/>
        <v>48.45</v>
      </c>
      <c r="K56" s="446">
        <f t="shared" si="0"/>
        <v>23.94</v>
      </c>
      <c r="L56" s="443">
        <f t="shared" si="0"/>
        <v>1159.8599999999999</v>
      </c>
    </row>
    <row r="57" spans="1:27" ht="14.25" x14ac:dyDescent="0.2">
      <c r="A57" s="444"/>
      <c r="B57" s="444"/>
      <c r="C57" s="445"/>
      <c r="D57" s="445" t="s">
        <v>45</v>
      </c>
      <c r="E57" s="440"/>
      <c r="F57" s="446"/>
      <c r="G57" s="447">
        <f>[89]Source!AN230</f>
        <v>11.11</v>
      </c>
      <c r="H57" s="448" t="s">
        <v>53</v>
      </c>
      <c r="I57" s="446">
        <f>[89]Source!AV230</f>
        <v>1.0669999999999999</v>
      </c>
      <c r="J57" s="443">
        <f>ROUND(F45*G57*I57*(1.67-1), 2)</f>
        <v>48.45</v>
      </c>
      <c r="K57" s="446">
        <f>IF([89]Source!BS230&lt;&gt; 0, [89]Source!BS230, 1)</f>
        <v>23.94</v>
      </c>
      <c r="L57" s="443">
        <f>ROUND(F45*G57*I57*(1.67-1)*K57, 2)</f>
        <v>1159.8599999999999</v>
      </c>
      <c r="W57" s="178">
        <f>J57</f>
        <v>48.45</v>
      </c>
    </row>
    <row r="58" spans="1:27" ht="14.25" x14ac:dyDescent="0.2">
      <c r="A58" s="444"/>
      <c r="B58" s="444"/>
      <c r="C58" s="445"/>
      <c r="D58" s="445" t="s">
        <v>50</v>
      </c>
      <c r="E58" s="440" t="s">
        <v>48</v>
      </c>
      <c r="F58" s="446">
        <f>175</f>
        <v>175</v>
      </c>
      <c r="G58" s="447"/>
      <c r="H58" s="440"/>
      <c r="I58" s="446"/>
      <c r="J58" s="443">
        <f>ROUND(J57*(F58/100), 2)</f>
        <v>84.79</v>
      </c>
      <c r="K58" s="446">
        <f>157</f>
        <v>157</v>
      </c>
      <c r="L58" s="443">
        <f>ROUND(L57*(K58/100), 2)</f>
        <v>1820.98</v>
      </c>
    </row>
    <row r="59" spans="1:27" ht="15" x14ac:dyDescent="0.25">
      <c r="I59" s="639">
        <f>J58+J57</f>
        <v>133.24</v>
      </c>
      <c r="J59" s="639"/>
      <c r="K59" s="639">
        <f>L58+L57</f>
        <v>2980.84</v>
      </c>
      <c r="L59" s="639"/>
      <c r="O59" s="765">
        <f>I59</f>
        <v>133.24</v>
      </c>
      <c r="P59" s="765">
        <f>K59</f>
        <v>2980.84</v>
      </c>
      <c r="X59" s="178">
        <f>IF([89]Source!BI230&lt;=1,I59, 0)</f>
        <v>0</v>
      </c>
      <c r="Y59" s="178">
        <f>IF([89]Source!BI230=2,I59, 0)</f>
        <v>133.24</v>
      </c>
      <c r="Z59" s="178">
        <f>IF([89]Source!BI230=3,I59, 0)</f>
        <v>0</v>
      </c>
      <c r="AA59" s="178">
        <f>IF([89]Source!BI230=4,I59, 0)</f>
        <v>0</v>
      </c>
    </row>
    <row r="61" spans="1:27" ht="15" x14ac:dyDescent="0.25">
      <c r="A61" s="449"/>
      <c r="B61" s="449"/>
      <c r="C61" s="450"/>
      <c r="D61" s="450" t="s">
        <v>134</v>
      </c>
      <c r="E61" s="451"/>
      <c r="F61" s="452"/>
      <c r="G61" s="453"/>
      <c r="H61" s="454"/>
      <c r="I61" s="639">
        <f>I54+I59</f>
        <v>9670.2800000000007</v>
      </c>
      <c r="J61" s="639"/>
      <c r="K61" s="639">
        <f>K54+K59</f>
        <v>147846.63</v>
      </c>
      <c r="L61" s="639"/>
    </row>
    <row r="63" spans="1:27" ht="15" x14ac:dyDescent="0.25">
      <c r="A63" s="634" t="str">
        <f>CONCATENATE("Итого по подразделу: ",IF([89]Source!G238&lt;&gt;"Новый подраздел", [89]Source!G238, ""))</f>
        <v>Итого по подразделу: Металл и металлические изделия</v>
      </c>
      <c r="B63" s="634"/>
      <c r="C63" s="634"/>
      <c r="D63" s="634"/>
      <c r="E63" s="634"/>
      <c r="F63" s="634"/>
      <c r="G63" s="634"/>
      <c r="H63" s="634"/>
      <c r="I63" s="640">
        <f>SUM(O44:O62)</f>
        <v>9670.2800000000007</v>
      </c>
      <c r="J63" s="641"/>
      <c r="K63" s="640">
        <f>SUM(P44:P62)</f>
        <v>147846.63</v>
      </c>
      <c r="L63" s="641"/>
    </row>
    <row r="64" spans="1:27" hidden="1" x14ac:dyDescent="0.2">
      <c r="A64" s="178" t="s">
        <v>54</v>
      </c>
      <c r="I64" s="178">
        <f>SUM(AC44:AC63)</f>
        <v>0</v>
      </c>
      <c r="K64" s="178">
        <f>SUM(AD44:AD63)</f>
        <v>0</v>
      </c>
    </row>
    <row r="65" spans="1:38" hidden="1" x14ac:dyDescent="0.2">
      <c r="A65" s="178" t="s">
        <v>55</v>
      </c>
      <c r="I65" s="178">
        <f>SUM(AE44:AE64)</f>
        <v>0</v>
      </c>
      <c r="K65" s="178">
        <f>SUM(AF44:AF64)</f>
        <v>0</v>
      </c>
    </row>
    <row r="67" spans="1:38" ht="21" customHeight="1" x14ac:dyDescent="0.25">
      <c r="A67" s="634" t="s">
        <v>202</v>
      </c>
      <c r="B67" s="634"/>
      <c r="C67" s="634"/>
      <c r="D67" s="634"/>
      <c r="E67" s="634"/>
      <c r="F67" s="634"/>
      <c r="G67" s="634"/>
      <c r="H67" s="634"/>
      <c r="I67" s="640">
        <f>SUM(O1:O66)</f>
        <v>9670.2800000000007</v>
      </c>
      <c r="J67" s="641"/>
      <c r="K67" s="640">
        <f>SUM(P1:P66)</f>
        <v>147846.63</v>
      </c>
      <c r="L67" s="641"/>
      <c r="AL67" s="471" t="str">
        <f>CONCATENATE("Итого по акту: ",IF([89]Source!G673&lt;&gt;"Новый объект", [89]Source!G673, ""))</f>
        <v>Итого по акту: 49814-12-4017-Л-Р-11.3.3.4-ЭО1-СМ1, Станционный комплекс "Аминьевское шоссе". Платформенная часть. Внутренние инженерные системы. Электроосвещение</v>
      </c>
    </row>
    <row r="69" spans="1:38" ht="14.25" x14ac:dyDescent="0.2">
      <c r="D69" s="635" t="s">
        <v>217</v>
      </c>
      <c r="E69" s="635"/>
      <c r="F69" s="635"/>
      <c r="G69" s="635"/>
      <c r="H69" s="635"/>
      <c r="I69" s="638">
        <f>J49</f>
        <v>2261.7800000000002</v>
      </c>
      <c r="J69" s="638"/>
      <c r="K69" s="638">
        <f>L49</f>
        <v>12575.5</v>
      </c>
      <c r="L69" s="638"/>
    </row>
    <row r="70" spans="1:38" ht="14.25" x14ac:dyDescent="0.2">
      <c r="D70" s="635" t="s">
        <v>218</v>
      </c>
      <c r="E70" s="635"/>
      <c r="F70" s="635"/>
      <c r="G70" s="635"/>
      <c r="H70" s="635"/>
      <c r="I70" s="638">
        <f>J57+J48</f>
        <v>120.76</v>
      </c>
      <c r="J70" s="638"/>
      <c r="K70" s="638">
        <f>L57+L48</f>
        <v>2890.99</v>
      </c>
      <c r="L70" s="638"/>
    </row>
    <row r="71" spans="1:38" ht="14.25" x14ac:dyDescent="0.2">
      <c r="D71" s="635" t="s">
        <v>219</v>
      </c>
      <c r="E71" s="635"/>
      <c r="F71" s="635"/>
      <c r="G71" s="635"/>
      <c r="H71" s="635"/>
      <c r="I71" s="638">
        <f>J46</f>
        <v>2211.3000000000002</v>
      </c>
      <c r="J71" s="638"/>
      <c r="K71" s="638">
        <f>L46</f>
        <v>52938.52</v>
      </c>
      <c r="L71" s="638"/>
    </row>
    <row r="72" spans="1:38" ht="15" x14ac:dyDescent="0.25">
      <c r="D72" s="472"/>
      <c r="I72" s="477"/>
      <c r="J72" s="477"/>
      <c r="K72" s="456"/>
      <c r="L72" s="456"/>
    </row>
    <row r="73" spans="1:38" ht="14.25" x14ac:dyDescent="0.2">
      <c r="D73" s="472"/>
      <c r="E73" s="472"/>
      <c r="F73" s="472"/>
      <c r="G73" s="472"/>
      <c r="H73" s="472"/>
      <c r="I73" s="457"/>
      <c r="J73" s="457"/>
      <c r="K73" s="457"/>
      <c r="L73" s="457"/>
    </row>
    <row r="74" spans="1:38" ht="14.25" x14ac:dyDescent="0.2">
      <c r="D74" s="472" t="s">
        <v>57</v>
      </c>
      <c r="J74" s="249">
        <f>I67</f>
        <v>9670.2800000000007</v>
      </c>
      <c r="K74" s="249"/>
      <c r="L74" s="249">
        <f>K67</f>
        <v>147846.63</v>
      </c>
    </row>
    <row r="75" spans="1:38" ht="14.25" x14ac:dyDescent="0.2">
      <c r="D75" s="472" t="s">
        <v>3</v>
      </c>
      <c r="J75" s="249">
        <f>J74</f>
        <v>9670.2800000000007</v>
      </c>
      <c r="K75" s="249"/>
      <c r="L75" s="249">
        <f>L74</f>
        <v>147846.63</v>
      </c>
    </row>
    <row r="76" spans="1:38" ht="14.25" x14ac:dyDescent="0.2">
      <c r="D76" s="472" t="s">
        <v>58</v>
      </c>
      <c r="J76" s="249">
        <f>I70+I71</f>
        <v>2332.06</v>
      </c>
      <c r="K76" s="249"/>
      <c r="L76" s="249">
        <f>K70+K71</f>
        <v>55829.51</v>
      </c>
    </row>
    <row r="77" spans="1:38" ht="14.25" x14ac:dyDescent="0.2">
      <c r="D77" s="472" t="s">
        <v>59</v>
      </c>
      <c r="J77" s="249">
        <f>I69</f>
        <v>2261.7800000000002</v>
      </c>
      <c r="K77" s="249"/>
      <c r="L77" s="249">
        <f>K69</f>
        <v>12575.5</v>
      </c>
    </row>
    <row r="78" spans="1:38" ht="14.25" x14ac:dyDescent="0.2">
      <c r="D78" s="472" t="s">
        <v>60</v>
      </c>
      <c r="J78" s="250">
        <v>0</v>
      </c>
      <c r="K78" s="250"/>
      <c r="L78" s="250">
        <v>0</v>
      </c>
    </row>
    <row r="79" spans="1:38" ht="14.25" customHeight="1" x14ac:dyDescent="0.2">
      <c r="A79" s="179"/>
      <c r="B79" s="179"/>
      <c r="C79" s="179"/>
      <c r="D79" s="635" t="s">
        <v>266</v>
      </c>
      <c r="E79" s="635"/>
      <c r="F79" s="635"/>
      <c r="G79" s="635"/>
      <c r="H79" s="635"/>
      <c r="I79" s="635"/>
      <c r="J79" s="251">
        <f>J76*0.15</f>
        <v>349.81</v>
      </c>
      <c r="L79" s="251">
        <f>L76*0.15</f>
        <v>8374.43</v>
      </c>
    </row>
    <row r="80" spans="1:38" ht="15" x14ac:dyDescent="0.25">
      <c r="A80" s="90"/>
      <c r="B80" s="90"/>
      <c r="C80" s="90"/>
      <c r="D80" s="634" t="s">
        <v>265</v>
      </c>
      <c r="E80" s="634"/>
      <c r="F80" s="634"/>
      <c r="G80" s="634"/>
      <c r="H80" s="634"/>
      <c r="J80" s="253">
        <f>J74+J79</f>
        <v>10020.09</v>
      </c>
      <c r="L80" s="253">
        <f>L74+L79</f>
        <v>156221.06</v>
      </c>
    </row>
    <row r="81" spans="1:12" ht="15" customHeight="1" x14ac:dyDescent="0.2">
      <c r="A81" s="179"/>
      <c r="B81" s="179"/>
      <c r="C81" s="179"/>
      <c r="D81" s="635"/>
      <c r="E81" s="635"/>
      <c r="F81" s="635"/>
      <c r="G81" s="635"/>
      <c r="H81" s="635"/>
      <c r="I81" s="636"/>
      <c r="J81" s="636"/>
      <c r="K81" s="636"/>
      <c r="L81" s="636"/>
    </row>
    <row r="82" spans="1:12" ht="15" customHeight="1" x14ac:dyDescent="0.25">
      <c r="A82" s="90"/>
      <c r="B82" s="90"/>
      <c r="C82" s="90"/>
      <c r="D82" s="634" t="s">
        <v>264</v>
      </c>
      <c r="E82" s="634"/>
      <c r="F82" s="634"/>
      <c r="G82" s="634"/>
      <c r="H82" s="634"/>
      <c r="I82" s="90"/>
      <c r="J82" s="90"/>
      <c r="K82" s="90"/>
      <c r="L82" s="254">
        <f t="shared" ref="L82:L87" si="1">L74*0.925</f>
        <v>136758.13</v>
      </c>
    </row>
    <row r="83" spans="1:12" ht="14.25" x14ac:dyDescent="0.2">
      <c r="D83" s="472" t="s">
        <v>3</v>
      </c>
      <c r="J83" s="249"/>
      <c r="K83" s="249"/>
      <c r="L83" s="249">
        <f t="shared" si="1"/>
        <v>136758.13</v>
      </c>
    </row>
    <row r="84" spans="1:12" ht="14.25" x14ac:dyDescent="0.2">
      <c r="D84" s="472" t="s">
        <v>58</v>
      </c>
      <c r="J84" s="249"/>
      <c r="K84" s="249"/>
      <c r="L84" s="249">
        <f t="shared" si="1"/>
        <v>51642.3</v>
      </c>
    </row>
    <row r="85" spans="1:12" ht="14.25" x14ac:dyDescent="0.2">
      <c r="D85" s="472" t="s">
        <v>59</v>
      </c>
      <c r="J85" s="249"/>
      <c r="K85" s="249"/>
      <c r="L85" s="249">
        <f t="shared" si="1"/>
        <v>11632.34</v>
      </c>
    </row>
    <row r="86" spans="1:12" ht="14.25" x14ac:dyDescent="0.2">
      <c r="D86" s="472" t="s">
        <v>60</v>
      </c>
      <c r="J86" s="250"/>
      <c r="K86" s="250"/>
      <c r="L86" s="250">
        <f t="shared" si="1"/>
        <v>0</v>
      </c>
    </row>
    <row r="87" spans="1:12" ht="14.25" customHeight="1" x14ac:dyDescent="0.2">
      <c r="A87" s="179"/>
      <c r="B87" s="179"/>
      <c r="C87" s="179"/>
      <c r="D87" s="635" t="s">
        <v>266</v>
      </c>
      <c r="E87" s="635"/>
      <c r="F87" s="635"/>
      <c r="G87" s="635"/>
      <c r="H87" s="635"/>
      <c r="I87" s="635"/>
      <c r="J87" s="251"/>
      <c r="L87" s="251">
        <f t="shared" si="1"/>
        <v>7746.35</v>
      </c>
    </row>
    <row r="88" spans="1:12" ht="14.25" customHeight="1" x14ac:dyDescent="0.25">
      <c r="A88" s="90"/>
      <c r="B88" s="90"/>
      <c r="C88" s="90"/>
      <c r="D88" s="634" t="s">
        <v>265</v>
      </c>
      <c r="E88" s="634"/>
      <c r="F88" s="634"/>
      <c r="G88" s="634"/>
      <c r="H88" s="634"/>
      <c r="J88" s="252"/>
      <c r="L88" s="253">
        <f>L82+L87</f>
        <v>144504.48000000001</v>
      </c>
    </row>
  </sheetData>
  <mergeCells count="81">
    <mergeCell ref="J31:J36"/>
    <mergeCell ref="K31:K36"/>
    <mergeCell ref="L31:L36"/>
    <mergeCell ref="D70:H70"/>
    <mergeCell ref="I70:J70"/>
    <mergeCell ref="K70:L70"/>
    <mergeCell ref="I61:J61"/>
    <mergeCell ref="K61:L61"/>
    <mergeCell ref="A63:H63"/>
    <mergeCell ref="I63:J63"/>
    <mergeCell ref="K63:L63"/>
    <mergeCell ref="A67:H67"/>
    <mergeCell ref="I67:J67"/>
    <mergeCell ref="K67:L67"/>
    <mergeCell ref="E31:E36"/>
    <mergeCell ref="F31:F36"/>
    <mergeCell ref="G31:G36"/>
    <mergeCell ref="H31:H36"/>
    <mergeCell ref="I31:I36"/>
    <mergeCell ref="A32:A36"/>
    <mergeCell ref="B32:B36"/>
    <mergeCell ref="A31:B31"/>
    <mergeCell ref="C31:C36"/>
    <mergeCell ref="D31:D36"/>
    <mergeCell ref="I69:J69"/>
    <mergeCell ref="K69:L69"/>
    <mergeCell ref="A40:L40"/>
    <mergeCell ref="A42:L42"/>
    <mergeCell ref="A44:L44"/>
    <mergeCell ref="I54:J54"/>
    <mergeCell ref="K54:L54"/>
    <mergeCell ref="I59:J59"/>
    <mergeCell ref="K59:L59"/>
    <mergeCell ref="A27:L27"/>
    <mergeCell ref="H29:I29"/>
    <mergeCell ref="A30:L30"/>
    <mergeCell ref="D88:H88"/>
    <mergeCell ref="D80:H80"/>
    <mergeCell ref="D81:H81"/>
    <mergeCell ref="I81:J81"/>
    <mergeCell ref="K81:L81"/>
    <mergeCell ref="D82:H82"/>
    <mergeCell ref="D87:I87"/>
    <mergeCell ref="D71:H71"/>
    <mergeCell ref="I71:J71"/>
    <mergeCell ref="K71:L71"/>
    <mergeCell ref="D79:I79"/>
    <mergeCell ref="A39:L39"/>
    <mergeCell ref="D69:H69"/>
    <mergeCell ref="I1:L1"/>
    <mergeCell ref="I2:L2"/>
    <mergeCell ref="I3:L3"/>
    <mergeCell ref="J5:L5"/>
    <mergeCell ref="J6:L6"/>
    <mergeCell ref="J7:L8"/>
    <mergeCell ref="A8:B8"/>
    <mergeCell ref="C8:H8"/>
    <mergeCell ref="C9:H9"/>
    <mergeCell ref="J9:L10"/>
    <mergeCell ref="C10:H10"/>
    <mergeCell ref="C11:H11"/>
    <mergeCell ref="J11:L12"/>
    <mergeCell ref="C12:H12"/>
    <mergeCell ref="C13:H13"/>
    <mergeCell ref="J13:L14"/>
    <mergeCell ref="C14:H14"/>
    <mergeCell ref="B20:D20"/>
    <mergeCell ref="J20:L20"/>
    <mergeCell ref="B21:D21"/>
    <mergeCell ref="J21:L21"/>
    <mergeCell ref="C15:H15"/>
    <mergeCell ref="J15:L16"/>
    <mergeCell ref="C16:H16"/>
    <mergeCell ref="C17:H17"/>
    <mergeCell ref="G18:I18"/>
    <mergeCell ref="J18:L18"/>
    <mergeCell ref="G23:G24"/>
    <mergeCell ref="H23:H24"/>
    <mergeCell ref="I23:J23"/>
    <mergeCell ref="G19:H19"/>
    <mergeCell ref="J19:L19"/>
  </mergeCells>
  <pageMargins left="0.39370078740157483" right="0.19685039370078741" top="0.19685039370078741" bottom="0.39370078740157483" header="0.31496062992125984" footer="0.31496062992125984"/>
  <pageSetup paperSize="9" scale="61" firstPageNumber="10" fitToHeight="0" orientation="portrait" blackAndWhite="1" useFirstPageNumber="1" r:id="rId1"/>
  <headerFooter>
    <oddFooter>&amp;R&amp;P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11"/>
  <sheetViews>
    <sheetView view="pageBreakPreview" topLeftCell="A67" zoomScale="70" zoomScaleNormal="100" zoomScaleSheetLayoutView="70" workbookViewId="0">
      <selection activeCell="E52" sqref="E52"/>
    </sheetView>
  </sheetViews>
  <sheetFormatPr defaultColWidth="9.33203125" defaultRowHeight="12.75" x14ac:dyDescent="0.2"/>
  <cols>
    <col min="1" max="2" width="9.5" style="988" customWidth="1"/>
    <col min="3" max="3" width="17.6640625" style="988" customWidth="1"/>
    <col min="4" max="4" width="56.33203125" style="988" customWidth="1"/>
    <col min="5" max="5" width="13.6640625" style="988" customWidth="1"/>
    <col min="6" max="6" width="10.33203125" style="988" customWidth="1"/>
    <col min="7" max="7" width="13" style="988" customWidth="1"/>
    <col min="8" max="9" width="14.5" style="988" customWidth="1"/>
    <col min="10" max="12" width="14.83203125" style="988" customWidth="1"/>
    <col min="13" max="13" width="9.33203125" style="988"/>
    <col min="14" max="35" width="0" style="988" hidden="1" customWidth="1"/>
    <col min="36" max="36" width="106.1640625" style="988" hidden="1" customWidth="1"/>
    <col min="37" max="37" width="157.1640625" style="988" hidden="1" customWidth="1"/>
    <col min="38" max="38" width="117.83203125" style="988" hidden="1" customWidth="1"/>
    <col min="39" max="39" width="0" style="988" hidden="1" customWidth="1"/>
    <col min="40" max="40" width="114.1640625" style="988" hidden="1" customWidth="1"/>
    <col min="41" max="42" width="0" style="988" hidden="1" customWidth="1"/>
    <col min="43" max="16384" width="9.33203125" style="988"/>
  </cols>
  <sheetData>
    <row r="1" spans="1:30" x14ac:dyDescent="0.2">
      <c r="A1" s="985"/>
      <c r="B1" s="985"/>
      <c r="C1" s="986"/>
      <c r="D1" s="986"/>
      <c r="E1" s="986"/>
      <c r="F1" s="985"/>
      <c r="G1" s="985"/>
      <c r="H1" s="985"/>
      <c r="I1" s="987" t="s">
        <v>247</v>
      </c>
      <c r="J1" s="987"/>
      <c r="K1" s="987"/>
      <c r="L1" s="987"/>
    </row>
    <row r="2" spans="1:30" x14ac:dyDescent="0.2">
      <c r="A2" s="985"/>
      <c r="B2" s="985"/>
      <c r="C2" s="985"/>
      <c r="D2" s="985"/>
      <c r="E2" s="985"/>
      <c r="F2" s="985"/>
      <c r="G2" s="985"/>
      <c r="H2" s="985"/>
      <c r="I2" s="987" t="s">
        <v>15</v>
      </c>
      <c r="J2" s="987"/>
      <c r="K2" s="987"/>
      <c r="L2" s="987"/>
    </row>
    <row r="3" spans="1:30" x14ac:dyDescent="0.2">
      <c r="A3" s="985"/>
      <c r="B3" s="985"/>
      <c r="C3" s="985"/>
      <c r="D3" s="985"/>
      <c r="E3" s="985"/>
      <c r="F3" s="985"/>
      <c r="G3" s="985"/>
      <c r="H3" s="985"/>
      <c r="I3" s="987" t="s">
        <v>16</v>
      </c>
      <c r="J3" s="987"/>
      <c r="K3" s="987"/>
      <c r="L3" s="987"/>
    </row>
    <row r="4" spans="1:30" x14ac:dyDescent="0.2">
      <c r="A4" s="985"/>
      <c r="B4" s="985"/>
      <c r="C4" s="985"/>
      <c r="D4" s="985"/>
      <c r="E4" s="985"/>
      <c r="F4" s="985"/>
      <c r="G4" s="985"/>
      <c r="H4" s="985"/>
      <c r="I4" s="985"/>
      <c r="J4" s="985"/>
      <c r="K4" s="985"/>
      <c r="L4" s="985"/>
    </row>
    <row r="5" spans="1:30" x14ac:dyDescent="0.2">
      <c r="A5" s="985"/>
      <c r="B5" s="985"/>
      <c r="C5" s="985"/>
      <c r="D5" s="985"/>
      <c r="E5" s="985"/>
      <c r="F5" s="985"/>
      <c r="G5" s="985"/>
      <c r="H5" s="985"/>
      <c r="I5" s="985"/>
      <c r="J5" s="989" t="s">
        <v>17</v>
      </c>
      <c r="K5" s="989"/>
      <c r="L5" s="989"/>
    </row>
    <row r="6" spans="1:30" ht="31.5" customHeight="1" x14ac:dyDescent="0.2">
      <c r="A6" s="985"/>
      <c r="B6" s="985"/>
      <c r="C6" s="985"/>
      <c r="D6" s="985"/>
      <c r="E6" s="985"/>
      <c r="F6" s="985"/>
      <c r="G6" s="985"/>
      <c r="H6" s="985"/>
      <c r="I6" s="990" t="s">
        <v>18</v>
      </c>
      <c r="J6" s="991" t="s">
        <v>19</v>
      </c>
      <c r="K6" s="991"/>
      <c r="L6" s="991"/>
    </row>
    <row r="7" spans="1:30" x14ac:dyDescent="0.2">
      <c r="A7" s="985"/>
      <c r="B7" s="985"/>
      <c r="C7" s="985"/>
      <c r="D7" s="985"/>
      <c r="E7" s="985"/>
      <c r="F7" s="985"/>
      <c r="G7" s="985"/>
      <c r="H7" s="985"/>
      <c r="I7" s="985"/>
      <c r="J7" s="989"/>
      <c r="K7" s="989"/>
      <c r="L7" s="989"/>
    </row>
    <row r="8" spans="1:30" ht="33.75" customHeight="1" x14ac:dyDescent="0.2">
      <c r="A8" s="992" t="s">
        <v>86</v>
      </c>
      <c r="B8" s="992"/>
      <c r="C8" s="993" t="s">
        <v>257</v>
      </c>
      <c r="D8" s="993"/>
      <c r="E8" s="993"/>
      <c r="F8" s="993"/>
      <c r="G8" s="993"/>
      <c r="H8" s="993"/>
      <c r="I8" s="990" t="s">
        <v>21</v>
      </c>
      <c r="J8" s="989"/>
      <c r="K8" s="989"/>
      <c r="L8" s="989"/>
    </row>
    <row r="9" spans="1:30" x14ac:dyDescent="0.2">
      <c r="A9" s="994"/>
      <c r="B9" s="994"/>
      <c r="C9" s="995" t="s">
        <v>22</v>
      </c>
      <c r="D9" s="995"/>
      <c r="E9" s="995"/>
      <c r="F9" s="995"/>
      <c r="G9" s="995"/>
      <c r="H9" s="995"/>
      <c r="I9" s="985"/>
      <c r="J9" s="996" t="s">
        <v>56</v>
      </c>
      <c r="K9" s="996"/>
      <c r="L9" s="996"/>
    </row>
    <row r="10" spans="1:30" ht="14.25" customHeight="1" x14ac:dyDescent="0.2">
      <c r="A10" s="997" t="s">
        <v>251</v>
      </c>
      <c r="B10" s="997"/>
      <c r="C10" s="998" t="s">
        <v>258</v>
      </c>
      <c r="D10" s="998"/>
      <c r="E10" s="998"/>
      <c r="F10" s="998"/>
      <c r="G10" s="998"/>
      <c r="H10" s="998"/>
      <c r="I10" s="990" t="s">
        <v>21</v>
      </c>
      <c r="J10" s="996"/>
      <c r="K10" s="996"/>
      <c r="L10" s="996"/>
    </row>
    <row r="11" spans="1:30" x14ac:dyDescent="0.2">
      <c r="A11" s="997"/>
      <c r="B11" s="997"/>
      <c r="C11" s="995" t="s">
        <v>22</v>
      </c>
      <c r="D11" s="995"/>
      <c r="E11" s="995"/>
      <c r="F11" s="995"/>
      <c r="G11" s="995"/>
      <c r="H11" s="995"/>
      <c r="I11" s="985"/>
      <c r="J11" s="989">
        <v>29478604</v>
      </c>
      <c r="K11" s="989"/>
      <c r="L11" s="989"/>
    </row>
    <row r="12" spans="1:30" ht="14.25" customHeight="1" x14ac:dyDescent="0.2">
      <c r="A12" s="997" t="s">
        <v>259</v>
      </c>
      <c r="B12" s="997"/>
      <c r="C12" s="998" t="s">
        <v>260</v>
      </c>
      <c r="D12" s="998"/>
      <c r="E12" s="998"/>
      <c r="F12" s="998"/>
      <c r="G12" s="998"/>
      <c r="H12" s="998"/>
      <c r="I12" s="990" t="s">
        <v>21</v>
      </c>
      <c r="J12" s="989"/>
      <c r="K12" s="989"/>
      <c r="L12" s="989"/>
    </row>
    <row r="13" spans="1:30" x14ac:dyDescent="0.2">
      <c r="A13" s="997"/>
      <c r="B13" s="997"/>
      <c r="C13" s="995" t="s">
        <v>22</v>
      </c>
      <c r="D13" s="995"/>
      <c r="E13" s="995"/>
      <c r="F13" s="995"/>
      <c r="G13" s="995"/>
      <c r="H13" s="995"/>
      <c r="I13" s="985"/>
      <c r="J13" s="989"/>
      <c r="K13" s="989"/>
      <c r="L13" s="989"/>
    </row>
    <row r="14" spans="1:30" x14ac:dyDescent="0.2">
      <c r="A14" s="994" t="s">
        <v>23</v>
      </c>
      <c r="B14" s="994"/>
      <c r="C14" s="999" t="s">
        <v>261</v>
      </c>
      <c r="D14" s="999"/>
      <c r="E14" s="999"/>
      <c r="F14" s="999"/>
      <c r="G14" s="999"/>
      <c r="H14" s="999"/>
      <c r="I14" s="985"/>
      <c r="J14" s="989"/>
      <c r="K14" s="989"/>
      <c r="L14" s="989"/>
    </row>
    <row r="15" spans="1:30" ht="42.75" customHeight="1" x14ac:dyDescent="0.2">
      <c r="A15" s="994"/>
      <c r="B15" s="994"/>
      <c r="C15" s="995" t="s">
        <v>24</v>
      </c>
      <c r="D15" s="995"/>
      <c r="E15" s="995"/>
      <c r="F15" s="995"/>
      <c r="G15" s="995"/>
      <c r="H15" s="995"/>
      <c r="I15" s="985"/>
      <c r="J15" s="989"/>
      <c r="K15" s="989"/>
      <c r="L15" s="989"/>
      <c r="AD15" s="1000" t="s">
        <v>233</v>
      </c>
    </row>
    <row r="16" spans="1:30" x14ac:dyDescent="0.2">
      <c r="A16" s="994" t="s">
        <v>25</v>
      </c>
      <c r="B16" s="994"/>
      <c r="C16" s="1001" t="s">
        <v>262</v>
      </c>
      <c r="D16" s="1001"/>
      <c r="E16" s="1001"/>
      <c r="F16" s="1001"/>
      <c r="G16" s="1001"/>
      <c r="H16" s="1001"/>
      <c r="I16" s="985"/>
      <c r="J16" s="989"/>
      <c r="K16" s="989"/>
      <c r="L16" s="989"/>
    </row>
    <row r="17" spans="1:30" ht="42.75" customHeight="1" x14ac:dyDescent="0.2">
      <c r="A17" s="994"/>
      <c r="B17" s="994"/>
      <c r="C17" s="995" t="s">
        <v>26</v>
      </c>
      <c r="D17" s="995"/>
      <c r="E17" s="995"/>
      <c r="F17" s="995"/>
      <c r="G17" s="995"/>
      <c r="H17" s="995"/>
      <c r="I17" s="985"/>
      <c r="J17" s="985"/>
      <c r="K17" s="985"/>
      <c r="L17" s="985"/>
      <c r="AD17" s="1002" t="str">
        <f>IF([84]Source!G15&lt;&gt;"Новый объект", [84]Source!G15, "")</f>
        <v>Май, 2020 г., Р.17.98</v>
      </c>
    </row>
    <row r="18" spans="1:30" x14ac:dyDescent="0.2">
      <c r="A18" s="985"/>
      <c r="B18" s="985"/>
      <c r="C18" s="985"/>
      <c r="D18" s="985"/>
      <c r="E18" s="985"/>
      <c r="F18" s="985"/>
      <c r="G18" s="987" t="s">
        <v>27</v>
      </c>
      <c r="H18" s="987"/>
      <c r="I18" s="1003"/>
      <c r="J18" s="989"/>
      <c r="K18" s="989"/>
      <c r="L18" s="989"/>
    </row>
    <row r="19" spans="1:30" x14ac:dyDescent="0.2">
      <c r="A19" s="985"/>
      <c r="B19" s="985"/>
      <c r="C19" s="985"/>
      <c r="D19" s="985"/>
      <c r="E19" s="985"/>
      <c r="F19" s="985"/>
      <c r="G19" s="987" t="s">
        <v>28</v>
      </c>
      <c r="H19" s="1004"/>
      <c r="I19" s="1005" t="s">
        <v>29</v>
      </c>
      <c r="J19" s="989" t="s">
        <v>263</v>
      </c>
      <c r="K19" s="989"/>
      <c r="L19" s="989"/>
    </row>
    <row r="20" spans="1:30" ht="14.25" customHeight="1" x14ac:dyDescent="0.2">
      <c r="A20" s="985"/>
      <c r="B20" s="1006"/>
      <c r="C20" s="1006"/>
      <c r="D20" s="1006"/>
      <c r="E20" s="985"/>
      <c r="F20" s="985"/>
      <c r="G20" s="985"/>
      <c r="H20" s="985"/>
      <c r="I20" s="1007" t="s">
        <v>30</v>
      </c>
      <c r="J20" s="1008">
        <v>43670</v>
      </c>
      <c r="K20" s="1008"/>
      <c r="L20" s="1008"/>
    </row>
    <row r="21" spans="1:30" x14ac:dyDescent="0.2">
      <c r="A21" s="985"/>
      <c r="B21" s="1006"/>
      <c r="C21" s="1006"/>
      <c r="D21" s="1006"/>
      <c r="E21" s="985"/>
      <c r="F21" s="985"/>
      <c r="G21" s="985"/>
      <c r="H21" s="985"/>
      <c r="I21" s="990" t="s">
        <v>248</v>
      </c>
      <c r="J21" s="989"/>
      <c r="K21" s="989"/>
      <c r="L21" s="989"/>
    </row>
    <row r="22" spans="1:30" x14ac:dyDescent="0.2">
      <c r="A22" s="985"/>
      <c r="B22" s="985"/>
      <c r="C22" s="985"/>
      <c r="D22" s="985"/>
      <c r="E22" s="985"/>
      <c r="F22" s="985"/>
      <c r="G22" s="985"/>
      <c r="H22" s="985"/>
      <c r="I22" s="985"/>
      <c r="J22" s="985"/>
      <c r="K22" s="985"/>
      <c r="L22" s="985"/>
    </row>
    <row r="23" spans="1:30" x14ac:dyDescent="0.2">
      <c r="A23" s="985"/>
      <c r="B23" s="985"/>
      <c r="C23" s="985"/>
      <c r="D23" s="985"/>
      <c r="E23" s="985"/>
      <c r="F23" s="985"/>
      <c r="G23" s="1009" t="s">
        <v>31</v>
      </c>
      <c r="H23" s="1010" t="s">
        <v>32</v>
      </c>
      <c r="I23" s="1010" t="s">
        <v>33</v>
      </c>
      <c r="J23" s="1011"/>
      <c r="K23" s="985"/>
      <c r="L23" s="985"/>
    </row>
    <row r="24" spans="1:30" ht="14.25" customHeight="1" x14ac:dyDescent="0.2">
      <c r="A24" s="985"/>
      <c r="B24" s="985"/>
      <c r="C24" s="985"/>
      <c r="D24" s="985"/>
      <c r="E24" s="985"/>
      <c r="F24" s="985"/>
      <c r="G24" s="1012"/>
      <c r="H24" s="1013"/>
      <c r="I24" s="1014" t="s">
        <v>34</v>
      </c>
      <c r="J24" s="1015" t="s">
        <v>35</v>
      </c>
      <c r="K24" s="985"/>
      <c r="L24" s="985"/>
    </row>
    <row r="25" spans="1:30" x14ac:dyDescent="0.2">
      <c r="A25" s="985"/>
      <c r="B25" s="985"/>
      <c r="C25" s="985"/>
      <c r="D25" s="985"/>
      <c r="E25" s="985"/>
      <c r="F25" s="985"/>
      <c r="G25" s="1007">
        <v>9</v>
      </c>
      <c r="H25" s="1016">
        <v>44196</v>
      </c>
      <c r="I25" s="1016">
        <v>44166</v>
      </c>
      <c r="J25" s="1017">
        <f>H25</f>
        <v>44196</v>
      </c>
      <c r="K25" s="985"/>
      <c r="L25" s="985"/>
    </row>
    <row r="26" spans="1:30" x14ac:dyDescent="0.2">
      <c r="A26" s="985"/>
      <c r="B26" s="985"/>
      <c r="C26" s="985"/>
      <c r="D26" s="985"/>
      <c r="E26" s="985"/>
      <c r="F26" s="985"/>
      <c r="G26" s="1018"/>
      <c r="H26" s="1019"/>
      <c r="I26" s="1019"/>
      <c r="J26" s="1019"/>
      <c r="K26" s="985"/>
      <c r="L26" s="985"/>
    </row>
    <row r="27" spans="1:30" x14ac:dyDescent="0.2">
      <c r="A27" s="1020" t="s">
        <v>513</v>
      </c>
      <c r="B27" s="1020"/>
      <c r="C27" s="1020"/>
      <c r="D27" s="1020"/>
      <c r="E27" s="1020"/>
      <c r="F27" s="1020"/>
      <c r="G27" s="1020"/>
      <c r="H27" s="1020"/>
      <c r="I27" s="1020"/>
      <c r="J27" s="1020"/>
      <c r="K27" s="1020"/>
      <c r="L27" s="1020"/>
    </row>
    <row r="28" spans="1:30" hidden="1" x14ac:dyDescent="0.2"/>
    <row r="29" spans="1:30" hidden="1" x14ac:dyDescent="0.2"/>
    <row r="30" spans="1:30" hidden="1" x14ac:dyDescent="0.2"/>
    <row r="31" spans="1:30" hidden="1" x14ac:dyDescent="0.2"/>
    <row r="32" spans="1:30" x14ac:dyDescent="0.2">
      <c r="A32" s="1021"/>
      <c r="B32" s="1021"/>
      <c r="C32" s="1021"/>
      <c r="D32" s="1021"/>
      <c r="E32" s="1021"/>
      <c r="F32" s="1021"/>
      <c r="G32" s="1021"/>
      <c r="H32" s="1021"/>
      <c r="I32" s="1021"/>
      <c r="J32" s="1021"/>
      <c r="K32" s="1021"/>
      <c r="L32" s="1021"/>
    </row>
    <row r="33" spans="1:37" hidden="1" x14ac:dyDescent="0.2">
      <c r="A33" s="1021" t="s">
        <v>66</v>
      </c>
      <c r="B33" s="1021"/>
      <c r="C33" s="1021"/>
      <c r="D33" s="1021"/>
      <c r="E33" s="1021"/>
      <c r="F33" s="1021"/>
      <c r="G33" s="1021"/>
      <c r="H33" s="1022">
        <f>([90]Source!P762/1000)</f>
        <v>208.07</v>
      </c>
      <c r="I33" s="1022"/>
      <c r="J33" s="1021" t="s">
        <v>67</v>
      </c>
      <c r="K33" s="1021"/>
      <c r="L33" s="1021"/>
    </row>
    <row r="34" spans="1:37" x14ac:dyDescent="0.2">
      <c r="A34" s="1023" t="s">
        <v>203</v>
      </c>
      <c r="B34" s="1023"/>
      <c r="C34" s="1023"/>
      <c r="D34" s="1023"/>
      <c r="E34" s="1023"/>
      <c r="F34" s="1023"/>
      <c r="G34" s="1023"/>
      <c r="H34" s="1023"/>
      <c r="I34" s="1023"/>
      <c r="J34" s="1023"/>
      <c r="K34" s="1023"/>
      <c r="L34" s="1023"/>
    </row>
    <row r="35" spans="1:37" x14ac:dyDescent="0.2">
      <c r="A35" s="1024" t="s">
        <v>38</v>
      </c>
      <c r="B35" s="1024"/>
      <c r="C35" s="1024" t="s">
        <v>39</v>
      </c>
      <c r="D35" s="1024" t="s">
        <v>40</v>
      </c>
      <c r="E35" s="1024" t="s">
        <v>126</v>
      </c>
      <c r="F35" s="1024" t="s">
        <v>68</v>
      </c>
      <c r="G35" s="1024" t="s">
        <v>69</v>
      </c>
      <c r="H35" s="1025" t="s">
        <v>127</v>
      </c>
      <c r="I35" s="1025" t="s">
        <v>128</v>
      </c>
      <c r="J35" s="1024" t="s">
        <v>129</v>
      </c>
      <c r="K35" s="1024" t="s">
        <v>130</v>
      </c>
      <c r="L35" s="1024" t="s">
        <v>131</v>
      </c>
    </row>
    <row r="36" spans="1:37" x14ac:dyDescent="0.2">
      <c r="A36" s="1025" t="s">
        <v>41</v>
      </c>
      <c r="B36" s="1025" t="s">
        <v>42</v>
      </c>
      <c r="C36" s="1024"/>
      <c r="D36" s="1024"/>
      <c r="E36" s="1024"/>
      <c r="F36" s="1024"/>
      <c r="G36" s="1024"/>
      <c r="H36" s="1026"/>
      <c r="I36" s="1026"/>
      <c r="J36" s="1024"/>
      <c r="K36" s="1024"/>
      <c r="L36" s="1024"/>
    </row>
    <row r="37" spans="1:37" x14ac:dyDescent="0.2">
      <c r="A37" s="1026"/>
      <c r="B37" s="1026"/>
      <c r="C37" s="1024"/>
      <c r="D37" s="1024"/>
      <c r="E37" s="1024"/>
      <c r="F37" s="1024"/>
      <c r="G37" s="1024"/>
      <c r="H37" s="1026"/>
      <c r="I37" s="1026"/>
      <c r="J37" s="1024"/>
      <c r="K37" s="1024"/>
      <c r="L37" s="1024"/>
    </row>
    <row r="38" spans="1:37" x14ac:dyDescent="0.2">
      <c r="A38" s="1026"/>
      <c r="B38" s="1026"/>
      <c r="C38" s="1024"/>
      <c r="D38" s="1024"/>
      <c r="E38" s="1024"/>
      <c r="F38" s="1024"/>
      <c r="G38" s="1024"/>
      <c r="H38" s="1026"/>
      <c r="I38" s="1026"/>
      <c r="J38" s="1024"/>
      <c r="K38" s="1024"/>
      <c r="L38" s="1024"/>
    </row>
    <row r="39" spans="1:37" x14ac:dyDescent="0.2">
      <c r="A39" s="1026"/>
      <c r="B39" s="1026"/>
      <c r="C39" s="1024"/>
      <c r="D39" s="1024"/>
      <c r="E39" s="1024"/>
      <c r="F39" s="1024"/>
      <c r="G39" s="1024"/>
      <c r="H39" s="1026"/>
      <c r="I39" s="1026"/>
      <c r="J39" s="1024"/>
      <c r="K39" s="1024"/>
      <c r="L39" s="1024"/>
    </row>
    <row r="40" spans="1:37" x14ac:dyDescent="0.2">
      <c r="A40" s="1027"/>
      <c r="B40" s="1027"/>
      <c r="C40" s="1024"/>
      <c r="D40" s="1024"/>
      <c r="E40" s="1024"/>
      <c r="F40" s="1024"/>
      <c r="G40" s="1024"/>
      <c r="H40" s="1027"/>
      <c r="I40" s="1027"/>
      <c r="J40" s="1024"/>
      <c r="K40" s="1024"/>
      <c r="L40" s="1024"/>
    </row>
    <row r="41" spans="1:37" x14ac:dyDescent="0.2">
      <c r="A41" s="1028">
        <v>1</v>
      </c>
      <c r="B41" s="1028">
        <v>2</v>
      </c>
      <c r="C41" s="1028">
        <v>3</v>
      </c>
      <c r="D41" s="1028">
        <v>4</v>
      </c>
      <c r="E41" s="1028">
        <v>5</v>
      </c>
      <c r="F41" s="1028">
        <v>6</v>
      </c>
      <c r="G41" s="1028">
        <v>7</v>
      </c>
      <c r="H41" s="1028">
        <v>8</v>
      </c>
      <c r="I41" s="1028">
        <v>9</v>
      </c>
      <c r="J41" s="1028">
        <v>10</v>
      </c>
      <c r="K41" s="1028">
        <v>11</v>
      </c>
      <c r="L41" s="1028">
        <v>12</v>
      </c>
    </row>
    <row r="43" spans="1:37" x14ac:dyDescent="0.2">
      <c r="A43" s="1029" t="s">
        <v>234</v>
      </c>
      <c r="B43" s="1029"/>
      <c r="C43" s="1029"/>
      <c r="D43" s="1029"/>
      <c r="E43" s="1029"/>
      <c r="F43" s="1029"/>
      <c r="G43" s="1029"/>
      <c r="H43" s="1029"/>
      <c r="I43" s="1029"/>
      <c r="J43" s="1029"/>
      <c r="K43" s="1029"/>
      <c r="L43" s="1029"/>
    </row>
    <row r="44" spans="1:37" ht="19.5" customHeight="1" x14ac:dyDescent="0.2">
      <c r="A44" s="1029" t="s">
        <v>227</v>
      </c>
      <c r="B44" s="1029"/>
      <c r="C44" s="1029"/>
      <c r="D44" s="1029"/>
      <c r="E44" s="1029"/>
      <c r="F44" s="1029"/>
      <c r="G44" s="1029"/>
      <c r="H44" s="1029"/>
      <c r="I44" s="1029"/>
      <c r="J44" s="1029"/>
      <c r="K44" s="1029"/>
      <c r="L44" s="1029"/>
      <c r="AK44" s="1030" t="str">
        <f>CONCATENATE("Локальная смета: ",IF([90]Source!G20&lt;&gt;"Новая локальная смета", [90]Source!G20, ""))</f>
        <v>Локальная смета: Станционный комплекс "Аминьевское шоссе". Инженерные системы ТПП. Электроосвещение</v>
      </c>
    </row>
    <row r="46" spans="1:37" x14ac:dyDescent="0.2">
      <c r="A46" s="1029" t="str">
        <f>CONCATENATE("Раздел: ",IF([90]Source!G27&lt;&gt;"Новый раздел", [90]Source!G27, ""))</f>
        <v>Раздел: Монтажные работы</v>
      </c>
      <c r="B46" s="1029"/>
      <c r="C46" s="1029"/>
      <c r="D46" s="1029"/>
      <c r="E46" s="1029"/>
      <c r="F46" s="1029"/>
      <c r="G46" s="1029"/>
      <c r="H46" s="1029"/>
      <c r="I46" s="1029"/>
      <c r="J46" s="1029"/>
      <c r="K46" s="1029"/>
      <c r="L46" s="1029"/>
    </row>
    <row r="48" spans="1:37" x14ac:dyDescent="0.2">
      <c r="A48" s="1029" t="str">
        <f>CONCATENATE("Подраздел: ",IF([90]Source!G70&lt;&gt;"Новый подраздел", [90]Source!G70, ""))</f>
        <v>Подраздел: Светотехническое оборудование</v>
      </c>
      <c r="B48" s="1029"/>
      <c r="C48" s="1029"/>
      <c r="D48" s="1029"/>
      <c r="E48" s="1029"/>
      <c r="F48" s="1029"/>
      <c r="G48" s="1029"/>
      <c r="H48" s="1029"/>
      <c r="I48" s="1029"/>
      <c r="J48" s="1029"/>
      <c r="K48" s="1029"/>
      <c r="L48" s="1029"/>
    </row>
    <row r="49" spans="1:27" ht="51" x14ac:dyDescent="0.2">
      <c r="A49" s="1031">
        <v>1</v>
      </c>
      <c r="B49" s="1031" t="str">
        <f>[90]Source!E77</f>
        <v>3</v>
      </c>
      <c r="C49" s="1032" t="str">
        <f>[90]Source!F77</f>
        <v>4.8-246-1</v>
      </c>
      <c r="D49" s="1032" t="s">
        <v>204</v>
      </c>
      <c r="E49" s="1033" t="str">
        <f>[90]Source!H77</f>
        <v>100 шт.</v>
      </c>
      <c r="F49" s="1034">
        <f>[90]Source!I77</f>
        <v>0.38</v>
      </c>
      <c r="G49" s="1035"/>
      <c r="H49" s="1036"/>
      <c r="I49" s="1034"/>
      <c r="J49" s="1037"/>
      <c r="K49" s="1034"/>
      <c r="L49" s="1037"/>
      <c r="Q49" s="988">
        <f>ROUND(([90]Source!DN77/100)*ROUND((ROUND(([90]Source!AF77*[90]Source!AV77*[90]Source!I77),2)),2), 2)</f>
        <v>1228.6099999999999</v>
      </c>
      <c r="R49" s="988">
        <f>[90]Source!X77</f>
        <v>23921.62</v>
      </c>
      <c r="S49" s="988">
        <f>ROUND(([90]Source!DO77/100)*ROUND((ROUND(([90]Source!AF77*[90]Source!AV77*[90]Source!I77),2)),2), 2)</f>
        <v>767.88</v>
      </c>
      <c r="T49" s="988">
        <f>[90]Source!Y77</f>
        <v>11429.22</v>
      </c>
      <c r="U49" s="988">
        <f>ROUND((175/100)*ROUND((ROUND(([90]Source!AE77*[90]Source!AV77*[90]Source!I77),2)),2), 2)</f>
        <v>32.46</v>
      </c>
      <c r="V49" s="988">
        <f>ROUND((157/100)*ROUND(ROUND((ROUND(([90]Source!AE77*[90]Source!AV77*[90]Source!I77),2)*[90]Source!BS77),2), 2), 2)</f>
        <v>705.67</v>
      </c>
    </row>
    <row r="50" spans="1:27" x14ac:dyDescent="0.2">
      <c r="A50" s="1031"/>
      <c r="B50" s="1031"/>
      <c r="C50" s="1032"/>
      <c r="D50" s="1032" t="s">
        <v>43</v>
      </c>
      <c r="E50" s="1033"/>
      <c r="F50" s="1034"/>
      <c r="G50" s="1035">
        <f>[90]Source!AO77</f>
        <v>1651</v>
      </c>
      <c r="H50" s="1036" t="str">
        <f>[90]Source!DG77</f>
        <v>)*1,67</v>
      </c>
      <c r="I50" s="1034">
        <f>[90]Source!AV77</f>
        <v>1.0469999999999999</v>
      </c>
      <c r="J50" s="1037">
        <f>ROUND((ROUND(([90]Source!AF77*[90]Source!AV77*[90]Source!I77),2)),2)</f>
        <v>1096.97</v>
      </c>
      <c r="K50" s="1034">
        <f>IF([90]Source!BA77&lt;&gt; 0, [90]Source!BA77, 1)</f>
        <v>24.23</v>
      </c>
      <c r="L50" s="1037">
        <f>[90]Source!S77</f>
        <v>26579.58</v>
      </c>
      <c r="W50" s="988">
        <f>J50</f>
        <v>1096.97</v>
      </c>
    </row>
    <row r="51" spans="1:27" x14ac:dyDescent="0.2">
      <c r="A51" s="1031"/>
      <c r="B51" s="1031"/>
      <c r="C51" s="1032"/>
      <c r="D51" s="1032" t="s">
        <v>44</v>
      </c>
      <c r="E51" s="1033"/>
      <c r="F51" s="1034"/>
      <c r="G51" s="1035">
        <f>[90]Source!AM77</f>
        <v>120.22</v>
      </c>
      <c r="H51" s="1036">
        <f>[90]Source!DE77</f>
        <v>0</v>
      </c>
      <c r="I51" s="1034">
        <f>[90]Source!AV77</f>
        <v>1.0469999999999999</v>
      </c>
      <c r="J51" s="1037">
        <f>(ROUND((ROUND((([90]Source!ET77)*[90]Source!AV77*[90]Source!I77),2)),2)+ROUND((ROUND((([90]Source!AE77-([90]Source!EU77))*[90]Source!AV77*[90]Source!I77),2)),2))-J60</f>
        <v>47.83</v>
      </c>
      <c r="K51" s="1034">
        <f>IF([90]Source!BB77&lt;&gt; 0, [90]Source!BB77, 1)</f>
        <v>9.9</v>
      </c>
      <c r="L51" s="1037">
        <f>[90]Source!Q77-L60</f>
        <v>473.46</v>
      </c>
    </row>
    <row r="52" spans="1:27" x14ac:dyDescent="0.2">
      <c r="A52" s="1031"/>
      <c r="B52" s="1031"/>
      <c r="C52" s="1032"/>
      <c r="D52" s="1032" t="s">
        <v>45</v>
      </c>
      <c r="E52" s="1081"/>
      <c r="F52" s="1034"/>
      <c r="G52" s="1035">
        <f>[90]Source!AN77</f>
        <v>27.92</v>
      </c>
      <c r="H52" s="1036">
        <f>[90]Source!DE77</f>
        <v>0</v>
      </c>
      <c r="I52" s="1034">
        <f>[90]Source!AV77</f>
        <v>1.0469999999999999</v>
      </c>
      <c r="J52" s="1038">
        <f>ROUND((ROUND(([90]Source!AE77*[90]Source!AV77*[90]Source!I77),2)),2)-J61</f>
        <v>11.11</v>
      </c>
      <c r="K52" s="1034">
        <f>IF([90]Source!BS77&lt;&gt; 0, [90]Source!BS77, 1)</f>
        <v>24.23</v>
      </c>
      <c r="L52" s="1038">
        <f>[90]Source!R77-L61</f>
        <v>269.14</v>
      </c>
      <c r="W52" s="988">
        <f>J52</f>
        <v>11.11</v>
      </c>
    </row>
    <row r="53" spans="1:27" x14ac:dyDescent="0.2">
      <c r="A53" s="1031"/>
      <c r="B53" s="1031"/>
      <c r="C53" s="1032"/>
      <c r="D53" s="1032" t="s">
        <v>46</v>
      </c>
      <c r="E53" s="1033"/>
      <c r="F53" s="1034"/>
      <c r="G53" s="1035">
        <f>[90]Source!AL77</f>
        <v>295.39999999999998</v>
      </c>
      <c r="H53" s="1036">
        <f>[90]Source!DD77</f>
        <v>0</v>
      </c>
      <c r="I53" s="1034">
        <f>[90]Source!AW77</f>
        <v>1</v>
      </c>
      <c r="J53" s="1037">
        <f>ROUND((ROUND(([90]Source!AC77*[90]Source!AW77*[90]Source!I77),2)),2)</f>
        <v>112.25</v>
      </c>
      <c r="K53" s="1034">
        <f>IF([90]Source!BC77&lt;&gt; 0, [90]Source!BC77, 1)</f>
        <v>5.58</v>
      </c>
      <c r="L53" s="1037">
        <f>[90]Source!P77</f>
        <v>626.36</v>
      </c>
    </row>
    <row r="54" spans="1:27" x14ac:dyDescent="0.2">
      <c r="A54" s="1031"/>
      <c r="B54" s="1031"/>
      <c r="C54" s="1032"/>
      <c r="D54" s="1032" t="s">
        <v>47</v>
      </c>
      <c r="E54" s="1033" t="s">
        <v>48</v>
      </c>
      <c r="F54" s="1034">
        <f>[90]Source!DN77</f>
        <v>112</v>
      </c>
      <c r="G54" s="1035"/>
      <c r="H54" s="1036"/>
      <c r="I54" s="1034"/>
      <c r="J54" s="1037">
        <f>SUM(Q49:Q53)</f>
        <v>1228.6099999999999</v>
      </c>
      <c r="K54" s="1034">
        <f>[90]Source!BZ77</f>
        <v>90</v>
      </c>
      <c r="L54" s="1037">
        <f>SUM(R49:R53)</f>
        <v>23921.62</v>
      </c>
    </row>
    <row r="55" spans="1:27" x14ac:dyDescent="0.2">
      <c r="A55" s="1031"/>
      <c r="B55" s="1031"/>
      <c r="C55" s="1032"/>
      <c r="D55" s="1032" t="s">
        <v>49</v>
      </c>
      <c r="E55" s="1033" t="s">
        <v>48</v>
      </c>
      <c r="F55" s="1034">
        <f>[90]Source!DO77</f>
        <v>70</v>
      </c>
      <c r="G55" s="1035"/>
      <c r="H55" s="1036"/>
      <c r="I55" s="1034"/>
      <c r="J55" s="1037">
        <f>SUM(S49:S54)</f>
        <v>767.88</v>
      </c>
      <c r="K55" s="1034">
        <f>[90]Source!CA77</f>
        <v>43</v>
      </c>
      <c r="L55" s="1037">
        <f>SUM(T49:T54)</f>
        <v>11429.22</v>
      </c>
    </row>
    <row r="56" spans="1:27" x14ac:dyDescent="0.2">
      <c r="A56" s="1031"/>
      <c r="B56" s="1031"/>
      <c r="C56" s="1032"/>
      <c r="D56" s="1032" t="s">
        <v>50</v>
      </c>
      <c r="E56" s="1033" t="s">
        <v>48</v>
      </c>
      <c r="F56" s="1034">
        <f>175</f>
        <v>175</v>
      </c>
      <c r="G56" s="1035"/>
      <c r="H56" s="1036"/>
      <c r="I56" s="1034"/>
      <c r="J56" s="1037">
        <f>SUM(U49:U55)-J62</f>
        <v>19.440000000000001</v>
      </c>
      <c r="K56" s="1034">
        <f>157</f>
        <v>157</v>
      </c>
      <c r="L56" s="1037">
        <f>SUM(V49:V55)-L62</f>
        <v>422.55</v>
      </c>
    </row>
    <row r="57" spans="1:27" x14ac:dyDescent="0.2">
      <c r="A57" s="1031"/>
      <c r="B57" s="1031"/>
      <c r="C57" s="1032"/>
      <c r="D57" s="1032" t="s">
        <v>51</v>
      </c>
      <c r="E57" s="1033" t="s">
        <v>52</v>
      </c>
      <c r="F57" s="1034">
        <f>[90]Source!AQ77</f>
        <v>127</v>
      </c>
      <c r="G57" s="1035"/>
      <c r="H57" s="1036">
        <f>[90]Source!DI77</f>
        <v>0</v>
      </c>
      <c r="I57" s="1034">
        <f>[90]Source!AV77</f>
        <v>1.0469999999999999</v>
      </c>
      <c r="J57" s="1037">
        <f>[90]Source!U77</f>
        <v>50.53</v>
      </c>
      <c r="K57" s="1034"/>
      <c r="L57" s="1037"/>
    </row>
    <row r="58" spans="1:27" x14ac:dyDescent="0.2">
      <c r="I58" s="1039">
        <f>J50+J51+J53+J54+J55+J56</f>
        <v>3272.98</v>
      </c>
      <c r="J58" s="1039"/>
      <c r="K58" s="1039">
        <f>L50+L51+L53+L54+L55+L56</f>
        <v>63452.79</v>
      </c>
      <c r="L58" s="1039"/>
      <c r="O58" s="1040">
        <f>J50+J51+J53+J54+J55+J56</f>
        <v>3272.98</v>
      </c>
      <c r="P58" s="1040">
        <f>L50+L51+L53+L54+L55+L56</f>
        <v>63452.79</v>
      </c>
      <c r="X58" s="988">
        <f>IF([90]Source!BI77&lt;=1,J50+J51+J53+J54+J55+J56-0, 0)</f>
        <v>0</v>
      </c>
      <c r="Y58" s="988">
        <f>IF([90]Source!BI77=2,J50+J51+J53+J54+J55+J56-0, 0)</f>
        <v>3272.98</v>
      </c>
      <c r="Z58" s="988">
        <f>IF([90]Source!BI77=3,J50+J51+J53+J54+J55+J56-0, 0)</f>
        <v>0</v>
      </c>
      <c r="AA58" s="988">
        <f>IF([90]Source!BI77=4,J50+J51+J53+J54+J55+J56,0)</f>
        <v>0</v>
      </c>
    </row>
    <row r="59" spans="1:27" ht="25.5" x14ac:dyDescent="0.2">
      <c r="A59" s="1041"/>
      <c r="B59" s="1041"/>
      <c r="C59" s="1042"/>
      <c r="D59" s="1042" t="s">
        <v>133</v>
      </c>
      <c r="E59" s="1033"/>
      <c r="F59" s="1043"/>
      <c r="G59" s="1044"/>
      <c r="H59" s="1033"/>
      <c r="I59" s="1043"/>
      <c r="J59" s="1038"/>
      <c r="K59" s="1043"/>
      <c r="L59" s="1038"/>
    </row>
    <row r="60" spans="1:27" x14ac:dyDescent="0.2">
      <c r="A60" s="1041"/>
      <c r="B60" s="1041"/>
      <c r="C60" s="1042"/>
      <c r="D60" s="1042" t="s">
        <v>44</v>
      </c>
      <c r="E60" s="1033"/>
      <c r="F60" s="1043"/>
      <c r="G60" s="1044">
        <f t="shared" ref="G60:L60" si="0">G61</f>
        <v>27.92</v>
      </c>
      <c r="H60" s="1045" t="str">
        <f t="shared" si="0"/>
        <v>)*(1.67-1)</v>
      </c>
      <c r="I60" s="1043">
        <f t="shared" si="0"/>
        <v>1.0469999999999999</v>
      </c>
      <c r="J60" s="1038">
        <f t="shared" si="0"/>
        <v>7.44</v>
      </c>
      <c r="K60" s="1043">
        <f t="shared" si="0"/>
        <v>24.23</v>
      </c>
      <c r="L60" s="1038">
        <f t="shared" si="0"/>
        <v>180.33</v>
      </c>
    </row>
    <row r="61" spans="1:27" x14ac:dyDescent="0.2">
      <c r="A61" s="1041"/>
      <c r="B61" s="1041"/>
      <c r="C61" s="1042"/>
      <c r="D61" s="1042" t="s">
        <v>45</v>
      </c>
      <c r="E61" s="1033"/>
      <c r="F61" s="1043"/>
      <c r="G61" s="1044">
        <f>[90]Source!AN77</f>
        <v>27.92</v>
      </c>
      <c r="H61" s="1045" t="s">
        <v>53</v>
      </c>
      <c r="I61" s="1043">
        <f>[90]Source!AV77</f>
        <v>1.0469999999999999</v>
      </c>
      <c r="J61" s="1038">
        <f>ROUND(F49*G61*I61*(1.67-1), 2)</f>
        <v>7.44</v>
      </c>
      <c r="K61" s="1043">
        <f>IF([90]Source!BS77&lt;&gt; 0, [90]Source!BS77, 1)</f>
        <v>24.23</v>
      </c>
      <c r="L61" s="1038">
        <f>ROUND(F49*G61*I61*(1.67-1)*K61, 2)</f>
        <v>180.33</v>
      </c>
      <c r="W61" s="988">
        <f>J61</f>
        <v>7.44</v>
      </c>
    </row>
    <row r="62" spans="1:27" x14ac:dyDescent="0.2">
      <c r="A62" s="1041"/>
      <c r="B62" s="1041"/>
      <c r="C62" s="1042"/>
      <c r="D62" s="1042" t="s">
        <v>50</v>
      </c>
      <c r="E62" s="1033" t="s">
        <v>48</v>
      </c>
      <c r="F62" s="1043">
        <f>175</f>
        <v>175</v>
      </c>
      <c r="G62" s="1044"/>
      <c r="H62" s="1033"/>
      <c r="I62" s="1043"/>
      <c r="J62" s="1038">
        <f>ROUND(J61*(F62/100), 2)</f>
        <v>13.02</v>
      </c>
      <c r="K62" s="1043">
        <f>157</f>
        <v>157</v>
      </c>
      <c r="L62" s="1038">
        <f>ROUND(L61*(K62/100), 2)</f>
        <v>283.12</v>
      </c>
    </row>
    <row r="63" spans="1:27" x14ac:dyDescent="0.2">
      <c r="I63" s="1039">
        <f>J62+J61</f>
        <v>20.46</v>
      </c>
      <c r="J63" s="1039"/>
      <c r="K63" s="1039">
        <f>L62+L61</f>
        <v>463.45</v>
      </c>
      <c r="L63" s="1039"/>
      <c r="O63" s="1040">
        <f>I63</f>
        <v>20.46</v>
      </c>
      <c r="P63" s="1040">
        <f>K63</f>
        <v>463.45</v>
      </c>
      <c r="X63" s="988">
        <f>IF([90]Source!BI77&lt;=1,I63, 0)</f>
        <v>0</v>
      </c>
      <c r="Y63" s="988">
        <f>IF([90]Source!BI77=2,I63, 0)</f>
        <v>20.46</v>
      </c>
      <c r="Z63" s="988">
        <f>IF([90]Source!BI77=3,I63, 0)</f>
        <v>0</v>
      </c>
      <c r="AA63" s="988">
        <f>IF([90]Source!BI77=4,I63, 0)</f>
        <v>0</v>
      </c>
    </row>
    <row r="65" spans="1:27" x14ac:dyDescent="0.2">
      <c r="A65" s="1046"/>
      <c r="B65" s="1046"/>
      <c r="C65" s="1047"/>
      <c r="D65" s="1047" t="s">
        <v>134</v>
      </c>
      <c r="E65" s="1048"/>
      <c r="F65" s="1049"/>
      <c r="G65" s="1050"/>
      <c r="H65" s="1051"/>
      <c r="I65" s="1039">
        <f>I58+I63</f>
        <v>3293.44</v>
      </c>
      <c r="J65" s="1039"/>
      <c r="K65" s="1039">
        <f>K58+K63</f>
        <v>63916.24</v>
      </c>
      <c r="L65" s="1039"/>
    </row>
    <row r="67" spans="1:27" x14ac:dyDescent="0.2">
      <c r="A67" s="1052" t="str">
        <f>CONCATENATE("Итого по подразделу: ",IF([90]Source!G91&lt;&gt;"Новый подраздел", [90]Source!G91, ""))</f>
        <v>Итого по подразделу: Светотехническое оборудование</v>
      </c>
      <c r="B67" s="1052"/>
      <c r="C67" s="1052"/>
      <c r="D67" s="1052"/>
      <c r="E67" s="1052"/>
      <c r="F67" s="1052"/>
      <c r="G67" s="1052"/>
      <c r="H67" s="1052"/>
      <c r="I67" s="1053">
        <f>SUM(O48:O66)</f>
        <v>3293.44</v>
      </c>
      <c r="J67" s="1054"/>
      <c r="K67" s="1053">
        <f>SUM(P48:P66)</f>
        <v>63916.24</v>
      </c>
      <c r="L67" s="1054"/>
    </row>
    <row r="68" spans="1:27" hidden="1" x14ac:dyDescent="0.2">
      <c r="A68" s="988" t="s">
        <v>54</v>
      </c>
      <c r="I68" s="988">
        <f>SUM(AC48:AC67)</f>
        <v>0</v>
      </c>
      <c r="K68" s="988">
        <f>SUM(AD48:AD67)</f>
        <v>0</v>
      </c>
    </row>
    <row r="69" spans="1:27" hidden="1" x14ac:dyDescent="0.2">
      <c r="A69" s="988" t="s">
        <v>55</v>
      </c>
      <c r="I69" s="988">
        <f>SUM(AE48:AE68)</f>
        <v>0</v>
      </c>
      <c r="K69" s="988">
        <f>SUM(AF48:AF68)</f>
        <v>0</v>
      </c>
    </row>
    <row r="71" spans="1:27" x14ac:dyDescent="0.2">
      <c r="A71" s="1029" t="str">
        <f>CONCATENATE("Подраздел: ",IF([90]Source!G406&lt;&gt;"Новый подраздел", [90]Source!G406, ""))</f>
        <v>Подраздел: Светотехническое оборудование</v>
      </c>
      <c r="B71" s="1029"/>
      <c r="C71" s="1029"/>
      <c r="D71" s="1029"/>
      <c r="E71" s="1029"/>
      <c r="F71" s="1029"/>
      <c r="G71" s="1029"/>
      <c r="H71" s="1029"/>
      <c r="I71" s="1029"/>
      <c r="J71" s="1029"/>
      <c r="K71" s="1029"/>
      <c r="L71" s="1029"/>
    </row>
    <row r="72" spans="1:27" ht="258" customHeight="1" x14ac:dyDescent="0.2">
      <c r="A72" s="1055">
        <v>2</v>
      </c>
      <c r="B72" s="1055" t="str">
        <f>[90]Source!E417</f>
        <v>31</v>
      </c>
      <c r="C72" s="1056" t="str">
        <f>[90]Source!F417</f>
        <v>МКЭ-33-1788/8-2 от 14.11.2018г.</v>
      </c>
      <c r="D72" s="1056" t="s">
        <v>630</v>
      </c>
      <c r="E72" s="1033"/>
      <c r="F72" s="1034"/>
      <c r="G72" s="1035"/>
      <c r="H72" s="1036"/>
      <c r="I72" s="1034"/>
      <c r="J72" s="1037"/>
      <c r="K72" s="1034"/>
      <c r="L72" s="1037"/>
      <c r="Q72" s="988">
        <f>ROUND(([90]Source!DN417/100)*ROUND((ROUND(([90]Source!AF417*[90]Source!AV417*[90]Source!I417),2)),2), 2)</f>
        <v>0</v>
      </c>
      <c r="R72" s="988">
        <f>[90]Source!X417</f>
        <v>0</v>
      </c>
      <c r="S72" s="988">
        <f>ROUND(([90]Source!DO417/100)*ROUND((ROUND(([90]Source!AF417*[90]Source!AV417*[90]Source!I417),2)),2), 2)</f>
        <v>0</v>
      </c>
      <c r="T72" s="988">
        <f>[90]Source!Y417</f>
        <v>0</v>
      </c>
      <c r="U72" s="988">
        <f>ROUND((175/100)*ROUND((ROUND(([90]Source!AE417*[90]Source!AV417*[90]Source!I417),2)),2), 2)</f>
        <v>0</v>
      </c>
      <c r="V72" s="988">
        <f>ROUND((157/100)*ROUND(ROUND((ROUND(([90]Source!AE417*[90]Source!AV417*[90]Source!I417),2)*[90]Source!BS417),2), 2), 2)</f>
        <v>0</v>
      </c>
    </row>
    <row r="73" spans="1:27" ht="102" x14ac:dyDescent="0.2">
      <c r="A73" s="1057"/>
      <c r="B73" s="1057"/>
      <c r="C73" s="1058" t="s">
        <v>268</v>
      </c>
      <c r="D73" s="1058" t="s">
        <v>269</v>
      </c>
      <c r="E73" s="1059" t="s">
        <v>270</v>
      </c>
      <c r="F73" s="1060">
        <v>38</v>
      </c>
      <c r="G73" s="1061">
        <f>J73/F73</f>
        <v>1263.98</v>
      </c>
      <c r="H73" s="1062"/>
      <c r="I73" s="1060"/>
      <c r="J73" s="1061">
        <f>L73/K73</f>
        <v>48031.18</v>
      </c>
      <c r="K73" s="1060">
        <v>5.58</v>
      </c>
      <c r="L73" s="1061">
        <f>7053*F73</f>
        <v>268014</v>
      </c>
    </row>
    <row r="74" spans="1:27" x14ac:dyDescent="0.2">
      <c r="A74" s="1063"/>
      <c r="B74" s="1063"/>
      <c r="C74" s="1063"/>
      <c r="D74" s="1063"/>
      <c r="E74" s="1063"/>
      <c r="F74" s="1063"/>
      <c r="G74" s="1063"/>
      <c r="H74" s="1063"/>
      <c r="I74" s="1039">
        <f>J73</f>
        <v>48031.18</v>
      </c>
      <c r="J74" s="1039"/>
      <c r="K74" s="1039">
        <f>L73</f>
        <v>268014</v>
      </c>
      <c r="L74" s="1039"/>
      <c r="O74" s="1040">
        <f>J72</f>
        <v>0</v>
      </c>
      <c r="P74" s="1040">
        <f>L72</f>
        <v>0</v>
      </c>
      <c r="X74" s="988">
        <f>IF([90]Source!BI417&lt;=1,J72-0, 0)</f>
        <v>0</v>
      </c>
      <c r="Y74" s="988">
        <f>IF([90]Source!BI417=2,J72-0, 0)</f>
        <v>0</v>
      </c>
      <c r="Z74" s="988">
        <f>IF([90]Source!BI417=3,J72-0, 0)</f>
        <v>0</v>
      </c>
      <c r="AA74" s="988">
        <f>IF([90]Source!BI417=4,J72,0)</f>
        <v>0</v>
      </c>
    </row>
    <row r="76" spans="1:27" x14ac:dyDescent="0.2">
      <c r="A76" s="1052" t="str">
        <f>CONCATENATE("Итого по подразделу: ",IF([90]Source!G441&lt;&gt;"Новый подраздел", [90]Source!G441, ""))</f>
        <v>Итого по подразделу: Светотехническое оборудование</v>
      </c>
      <c r="B76" s="1052"/>
      <c r="C76" s="1052"/>
      <c r="D76" s="1052"/>
      <c r="E76" s="1052"/>
      <c r="F76" s="1052"/>
      <c r="G76" s="1052"/>
      <c r="H76" s="1052"/>
      <c r="I76" s="1053">
        <f>I74+I67</f>
        <v>51324.62</v>
      </c>
      <c r="J76" s="1054"/>
      <c r="K76" s="1053">
        <f>K74+K67</f>
        <v>331930.23999999999</v>
      </c>
      <c r="L76" s="1054"/>
    </row>
    <row r="77" spans="1:27" hidden="1" x14ac:dyDescent="0.2">
      <c r="A77" s="988" t="s">
        <v>54</v>
      </c>
      <c r="I77" s="988">
        <f>SUM(AC71:AC76)</f>
        <v>0</v>
      </c>
      <c r="K77" s="988">
        <f>SUM(AD71:AD76)</f>
        <v>0</v>
      </c>
    </row>
    <row r="78" spans="1:27" hidden="1" x14ac:dyDescent="0.2">
      <c r="A78" s="988" t="s">
        <v>55</v>
      </c>
      <c r="I78" s="988">
        <f>SUM(AE71:AE77)</f>
        <v>0</v>
      </c>
      <c r="K78" s="988">
        <f>SUM(AF71:AF77)</f>
        <v>0</v>
      </c>
    </row>
    <row r="80" spans="1:27" x14ac:dyDescent="0.2">
      <c r="A80" s="1029" t="str">
        <f>CONCATENATE("Подраздел: ",IF([90]Source!G627&lt;&gt;"Новый подраздел", [90]Source!G627, ""))</f>
        <v>Подраздел: Металл и металлические изделия</v>
      </c>
      <c r="B80" s="1029"/>
      <c r="C80" s="1029"/>
      <c r="D80" s="1029"/>
      <c r="E80" s="1029"/>
      <c r="F80" s="1029"/>
      <c r="G80" s="1029"/>
      <c r="H80" s="1029"/>
      <c r="I80" s="1029"/>
      <c r="J80" s="1029"/>
      <c r="K80" s="1029"/>
      <c r="L80" s="1029"/>
    </row>
    <row r="81" spans="1:38" ht="25.5" x14ac:dyDescent="0.2">
      <c r="A81" s="1031">
        <v>3</v>
      </c>
      <c r="B81" s="1031" t="str">
        <f>[90]Source!E640</f>
        <v>70</v>
      </c>
      <c r="C81" s="1032" t="str">
        <f>[90]Source!F640</f>
        <v>1.7-5-265</v>
      </c>
      <c r="D81" s="1032" t="s">
        <v>205</v>
      </c>
      <c r="E81" s="1033" t="str">
        <f>[90]Source!H640</f>
        <v>100 шт.</v>
      </c>
      <c r="F81" s="1034">
        <f>[90]Source!I640</f>
        <v>14</v>
      </c>
      <c r="G81" s="1035">
        <f>[90]Source!AL640</f>
        <v>119.96</v>
      </c>
      <c r="H81" s="1036">
        <f>[90]Source!DD640</f>
        <v>0</v>
      </c>
      <c r="I81" s="1034">
        <f>[90]Source!AW640</f>
        <v>1</v>
      </c>
      <c r="J81" s="1037">
        <f>ROUND((ROUND(([90]Source!AC640*[90]Source!AW640*[90]Source!I640),2)),2)</f>
        <v>1679.44</v>
      </c>
      <c r="K81" s="1034">
        <f>IF([90]Source!BC640&lt;&gt; 0, [90]Source!BC640, 1)</f>
        <v>9.17</v>
      </c>
      <c r="L81" s="1037">
        <f>[90]Source!P640</f>
        <v>15400.46</v>
      </c>
      <c r="Q81" s="988">
        <f>ROUND(([90]Source!DN640/100)*ROUND((ROUND(([90]Source!AF640*[90]Source!AV640*[90]Source!I640),2)),2), 2)</f>
        <v>0</v>
      </c>
      <c r="R81" s="988">
        <f>[90]Source!X640</f>
        <v>0</v>
      </c>
      <c r="S81" s="988">
        <f>ROUND(([90]Source!DO640/100)*ROUND((ROUND(([90]Source!AF640*[90]Source!AV640*[90]Source!I640),2)),2), 2)</f>
        <v>0</v>
      </c>
      <c r="T81" s="988">
        <f>[90]Source!Y640</f>
        <v>0</v>
      </c>
      <c r="U81" s="988">
        <f>ROUND((175/100)*ROUND((ROUND(([90]Source!AE640*[90]Source!AV640*[90]Source!I640),2)),2), 2)</f>
        <v>0</v>
      </c>
      <c r="V81" s="988">
        <f>ROUND((157/100)*ROUND(ROUND((ROUND(([90]Source!AE640*[90]Source!AV640*[90]Source!I640),2)*[90]Source!BS640),2), 2), 2)</f>
        <v>0</v>
      </c>
    </row>
    <row r="82" spans="1:38" x14ac:dyDescent="0.2">
      <c r="A82" s="1063"/>
      <c r="B82" s="1063"/>
      <c r="C82" s="1063"/>
      <c r="D82" s="1063"/>
      <c r="E82" s="1063"/>
      <c r="F82" s="1063"/>
      <c r="G82" s="1063"/>
      <c r="H82" s="1063"/>
      <c r="I82" s="1039">
        <f>J81</f>
        <v>1679.44</v>
      </c>
      <c r="J82" s="1039"/>
      <c r="K82" s="1039">
        <f>L81</f>
        <v>15400.46</v>
      </c>
      <c r="L82" s="1039"/>
      <c r="O82" s="1040">
        <f>J81</f>
        <v>1679.44</v>
      </c>
      <c r="P82" s="1040">
        <f>L81</f>
        <v>15400.46</v>
      </c>
      <c r="X82" s="988">
        <f>IF([90]Source!BI640&lt;=1,J81-0, 0)</f>
        <v>0</v>
      </c>
      <c r="Y82" s="988">
        <f>IF([90]Source!BI640=2,J81-0, 0)</f>
        <v>1679.44</v>
      </c>
      <c r="Z82" s="988">
        <f>IF([90]Source!BI640=3,J81-0, 0)</f>
        <v>0</v>
      </c>
      <c r="AA82" s="988">
        <f>IF([90]Source!BI640=4,J81,0)</f>
        <v>0</v>
      </c>
    </row>
    <row r="84" spans="1:38" x14ac:dyDescent="0.2">
      <c r="A84" s="1052" t="str">
        <f>CONCATENATE("Итого по подразделу: ",IF([90]Source!G644&lt;&gt;"Новый подраздел", [90]Source!G644, ""))</f>
        <v>Итого по подразделу: Металл и металлические изделия</v>
      </c>
      <c r="B84" s="1052"/>
      <c r="C84" s="1052"/>
      <c r="D84" s="1052"/>
      <c r="E84" s="1052"/>
      <c r="F84" s="1052"/>
      <c r="G84" s="1052"/>
      <c r="H84" s="1052"/>
      <c r="I84" s="1053">
        <f>SUM(O80:O83)</f>
        <v>1679.44</v>
      </c>
      <c r="J84" s="1054"/>
      <c r="K84" s="1053">
        <f>SUM(P80:P83)</f>
        <v>15400.46</v>
      </c>
      <c r="L84" s="1054"/>
    </row>
    <row r="85" spans="1:38" hidden="1" x14ac:dyDescent="0.2">
      <c r="A85" s="988" t="s">
        <v>54</v>
      </c>
      <c r="I85" s="988">
        <f>SUM(AC80:AC84)</f>
        <v>0</v>
      </c>
      <c r="K85" s="988">
        <f>SUM(AD80:AD84)</f>
        <v>0</v>
      </c>
    </row>
    <row r="86" spans="1:38" hidden="1" x14ac:dyDescent="0.2">
      <c r="A86" s="988" t="s">
        <v>55</v>
      </c>
      <c r="I86" s="988">
        <f>SUM(AE80:AE85)</f>
        <v>0</v>
      </c>
      <c r="K86" s="988">
        <f>SUM(AF80:AF85)</f>
        <v>0</v>
      </c>
    </row>
    <row r="88" spans="1:38" ht="25.5" x14ac:dyDescent="0.2">
      <c r="A88" s="1052" t="s">
        <v>202</v>
      </c>
      <c r="B88" s="1052"/>
      <c r="C88" s="1052"/>
      <c r="D88" s="1052"/>
      <c r="E88" s="1052"/>
      <c r="F88" s="1052"/>
      <c r="G88" s="1052"/>
      <c r="H88" s="1052"/>
      <c r="I88" s="1053">
        <f>I84+I76</f>
        <v>53004.06</v>
      </c>
      <c r="J88" s="1054"/>
      <c r="K88" s="1053">
        <f>K84+K76</f>
        <v>347330.7</v>
      </c>
      <c r="L88" s="1054"/>
      <c r="AL88" s="1064" t="str">
        <f>CONCATENATE("Итого по акту: ",IF([90]Source!G734&lt;&gt;"Новый объект", [90]Source!G734, ""))</f>
        <v>Итого по акту: 49682-12-4017-Л-Р-11.5.6-ЭО-СМ1,Станционный комплекс "Аминьевское шоссе". Инженерные системы ТПП. Электроосвещение.</v>
      </c>
    </row>
    <row r="89" spans="1:38" ht="14.25" customHeight="1" x14ac:dyDescent="0.2"/>
    <row r="90" spans="1:38" x14ac:dyDescent="0.2">
      <c r="D90" s="1065" t="s">
        <v>217</v>
      </c>
      <c r="E90" s="1065"/>
      <c r="F90" s="1065"/>
      <c r="G90" s="1065"/>
      <c r="H90" s="1065"/>
      <c r="I90" s="1066">
        <f>J81+J72+J53</f>
        <v>1791.69</v>
      </c>
      <c r="J90" s="1066"/>
      <c r="K90" s="1066">
        <f>L81+L72+L53</f>
        <v>16026.82</v>
      </c>
      <c r="L90" s="1066"/>
    </row>
    <row r="91" spans="1:38" x14ac:dyDescent="0.2">
      <c r="D91" s="1065" t="s">
        <v>218</v>
      </c>
      <c r="E91" s="1065"/>
      <c r="F91" s="1065"/>
      <c r="G91" s="1065"/>
      <c r="H91" s="1065"/>
      <c r="I91" s="1066">
        <f>J61+J52</f>
        <v>18.55</v>
      </c>
      <c r="J91" s="1066"/>
      <c r="K91" s="1066">
        <f>L61+L52</f>
        <v>449.47</v>
      </c>
      <c r="L91" s="1066"/>
    </row>
    <row r="92" spans="1:38" x14ac:dyDescent="0.2">
      <c r="D92" s="1065" t="s">
        <v>219</v>
      </c>
      <c r="E92" s="1065"/>
      <c r="F92" s="1065"/>
      <c r="G92" s="1065"/>
      <c r="H92" s="1065"/>
      <c r="I92" s="1066">
        <f>J50</f>
        <v>1096.97</v>
      </c>
      <c r="J92" s="1066"/>
      <c r="K92" s="1066">
        <f>L50</f>
        <v>26579.58</v>
      </c>
      <c r="L92" s="1066"/>
    </row>
    <row r="93" spans="1:38" x14ac:dyDescent="0.2">
      <c r="D93" s="1067"/>
      <c r="I93" s="1068"/>
      <c r="J93" s="1068"/>
      <c r="K93" s="1069"/>
      <c r="L93" s="1069"/>
    </row>
    <row r="94" spans="1:38" x14ac:dyDescent="0.2">
      <c r="D94" s="1070" t="s">
        <v>271</v>
      </c>
      <c r="E94" s="1070"/>
      <c r="F94" s="1070"/>
      <c r="G94" s="1070"/>
      <c r="H94" s="1070"/>
      <c r="I94" s="1070"/>
      <c r="J94" s="1071">
        <f>I59</f>
        <v>0</v>
      </c>
      <c r="K94" s="1070"/>
      <c r="L94" s="1071">
        <f>K59</f>
        <v>0</v>
      </c>
    </row>
    <row r="95" spans="1:38" x14ac:dyDescent="0.2">
      <c r="D95" s="1070" t="s">
        <v>272</v>
      </c>
      <c r="E95" s="1070"/>
      <c r="F95" s="1070"/>
      <c r="G95" s="1070"/>
      <c r="H95" s="1070"/>
      <c r="I95" s="1070"/>
      <c r="J95" s="1071">
        <f>I74</f>
        <v>48031.18</v>
      </c>
      <c r="K95" s="1070"/>
      <c r="L95" s="1071">
        <f>K74</f>
        <v>268014</v>
      </c>
    </row>
    <row r="96" spans="1:38" x14ac:dyDescent="0.2">
      <c r="D96" s="1067"/>
      <c r="E96" s="1067"/>
      <c r="F96" s="1067"/>
      <c r="G96" s="1067"/>
      <c r="H96" s="1067"/>
      <c r="I96" s="1072"/>
      <c r="J96" s="1072"/>
      <c r="K96" s="1072"/>
      <c r="L96" s="1072"/>
    </row>
    <row r="97" spans="1:12" x14ac:dyDescent="0.2">
      <c r="D97" s="1067" t="s">
        <v>57</v>
      </c>
      <c r="J97" s="1073">
        <f>I88-J95</f>
        <v>4972.88</v>
      </c>
      <c r="K97" s="1073"/>
      <c r="L97" s="1073">
        <f>K88-L95</f>
        <v>79316.7</v>
      </c>
    </row>
    <row r="98" spans="1:12" x14ac:dyDescent="0.2">
      <c r="D98" s="1067" t="s">
        <v>3</v>
      </c>
      <c r="J98" s="1073">
        <f>J97</f>
        <v>4972.88</v>
      </c>
      <c r="K98" s="1073"/>
      <c r="L98" s="1073">
        <f>L97</f>
        <v>79316.7</v>
      </c>
    </row>
    <row r="99" spans="1:12" x14ac:dyDescent="0.2">
      <c r="D99" s="1067" t="s">
        <v>58</v>
      </c>
      <c r="J99" s="1073">
        <f>I91+I92</f>
        <v>1115.52</v>
      </c>
      <c r="K99" s="1073"/>
      <c r="L99" s="1073">
        <f>K91+K92</f>
        <v>27029.05</v>
      </c>
    </row>
    <row r="100" spans="1:12" x14ac:dyDescent="0.2">
      <c r="D100" s="1067" t="s">
        <v>59</v>
      </c>
      <c r="J100" s="1073">
        <f>I90</f>
        <v>1791.69</v>
      </c>
      <c r="K100" s="1073"/>
      <c r="L100" s="1073">
        <f>K90</f>
        <v>16026.82</v>
      </c>
    </row>
    <row r="101" spans="1:12" ht="14.25" customHeight="1" x14ac:dyDescent="0.2">
      <c r="D101" s="1067" t="s">
        <v>60</v>
      </c>
      <c r="J101" s="1074">
        <v>0</v>
      </c>
      <c r="K101" s="1074"/>
      <c r="L101" s="1074">
        <v>0</v>
      </c>
    </row>
    <row r="102" spans="1:12" ht="14.25" customHeight="1" x14ac:dyDescent="0.2">
      <c r="A102" s="997"/>
      <c r="B102" s="997"/>
      <c r="C102" s="997"/>
      <c r="D102" s="1065" t="s">
        <v>266</v>
      </c>
      <c r="E102" s="1065"/>
      <c r="F102" s="1065"/>
      <c r="G102" s="1065"/>
      <c r="H102" s="1065"/>
      <c r="I102" s="1065"/>
      <c r="J102" s="1075">
        <f>J99*0.15</f>
        <v>167.33</v>
      </c>
      <c r="L102" s="1075">
        <f>L99*0.15</f>
        <v>4054.36</v>
      </c>
    </row>
    <row r="103" spans="1:12" x14ac:dyDescent="0.2">
      <c r="A103" s="1076"/>
      <c r="B103" s="1076"/>
      <c r="C103" s="1076"/>
      <c r="D103" s="1052" t="s">
        <v>265</v>
      </c>
      <c r="E103" s="1052"/>
      <c r="F103" s="1052"/>
      <c r="G103" s="1052"/>
      <c r="H103" s="1052"/>
      <c r="J103" s="1077">
        <f>J97+J102</f>
        <v>5140.21</v>
      </c>
      <c r="L103" s="1077">
        <f>L97+L102</f>
        <v>83371.06</v>
      </c>
    </row>
    <row r="104" spans="1:12" x14ac:dyDescent="0.2">
      <c r="A104" s="997"/>
      <c r="B104" s="997"/>
      <c r="C104" s="997"/>
      <c r="D104" s="1065"/>
      <c r="E104" s="1065"/>
      <c r="F104" s="1065"/>
      <c r="G104" s="1065"/>
      <c r="H104" s="1065"/>
      <c r="I104" s="1078"/>
      <c r="J104" s="1078"/>
      <c r="K104" s="1078"/>
      <c r="L104" s="1078"/>
    </row>
    <row r="105" spans="1:12" ht="15" customHeight="1" x14ac:dyDescent="0.2">
      <c r="A105" s="1076"/>
      <c r="B105" s="1076"/>
      <c r="C105" s="1076"/>
      <c r="D105" s="1052" t="s">
        <v>264</v>
      </c>
      <c r="E105" s="1052"/>
      <c r="F105" s="1052"/>
      <c r="G105" s="1052"/>
      <c r="H105" s="1052"/>
      <c r="I105" s="1076"/>
      <c r="J105" s="1076"/>
      <c r="K105" s="1076"/>
      <c r="L105" s="1079">
        <f>L97*0.925</f>
        <v>73367.95</v>
      </c>
    </row>
    <row r="106" spans="1:12" x14ac:dyDescent="0.2">
      <c r="D106" s="1067" t="s">
        <v>3</v>
      </c>
      <c r="J106" s="1073"/>
      <c r="K106" s="1073"/>
      <c r="L106" s="1073">
        <f>L98*0.925</f>
        <v>73367.95</v>
      </c>
    </row>
    <row r="107" spans="1:12" x14ac:dyDescent="0.2">
      <c r="D107" s="1067" t="s">
        <v>58</v>
      </c>
      <c r="J107" s="1073"/>
      <c r="K107" s="1073"/>
      <c r="L107" s="1073">
        <f>L99*0.925</f>
        <v>25001.87</v>
      </c>
    </row>
    <row r="108" spans="1:12" x14ac:dyDescent="0.2">
      <c r="D108" s="1067" t="s">
        <v>59</v>
      </c>
      <c r="J108" s="1073"/>
      <c r="K108" s="1073"/>
      <c r="L108" s="1073">
        <f>L100*0.925</f>
        <v>14824.81</v>
      </c>
    </row>
    <row r="109" spans="1:12" x14ac:dyDescent="0.2">
      <c r="D109" s="1067" t="s">
        <v>60</v>
      </c>
      <c r="J109" s="1074"/>
      <c r="K109" s="1074"/>
      <c r="L109" s="1074">
        <f>L101*0.925</f>
        <v>0</v>
      </c>
    </row>
    <row r="110" spans="1:12" ht="14.25" customHeight="1" x14ac:dyDescent="0.2">
      <c r="A110" s="997"/>
      <c r="B110" s="997"/>
      <c r="C110" s="997"/>
      <c r="D110" s="1065" t="s">
        <v>266</v>
      </c>
      <c r="E110" s="1065"/>
      <c r="F110" s="1065"/>
      <c r="G110" s="1065"/>
      <c r="H110" s="1065"/>
      <c r="I110" s="1065"/>
      <c r="J110" s="1075"/>
      <c r="L110" s="1075">
        <f t="shared" ref="L110" si="1">L102*0.925</f>
        <v>3750.28</v>
      </c>
    </row>
    <row r="111" spans="1:12" ht="14.25" customHeight="1" x14ac:dyDescent="0.2">
      <c r="A111" s="1076"/>
      <c r="B111" s="1076"/>
      <c r="C111" s="1076"/>
      <c r="D111" s="1052" t="s">
        <v>265</v>
      </c>
      <c r="E111" s="1052"/>
      <c r="F111" s="1052"/>
      <c r="G111" s="1052"/>
      <c r="H111" s="1052"/>
      <c r="J111" s="1080"/>
      <c r="L111" s="1077">
        <f>L105+L110</f>
        <v>77118.23</v>
      </c>
    </row>
  </sheetData>
  <mergeCells count="95">
    <mergeCell ref="K63:L63"/>
    <mergeCell ref="I35:I40"/>
    <mergeCell ref="J35:J40"/>
    <mergeCell ref="K35:K40"/>
    <mergeCell ref="L35:L40"/>
    <mergeCell ref="A43:L43"/>
    <mergeCell ref="A44:L44"/>
    <mergeCell ref="A46:L46"/>
    <mergeCell ref="A48:L48"/>
    <mergeCell ref="I58:J58"/>
    <mergeCell ref="K58:L58"/>
    <mergeCell ref="A36:A40"/>
    <mergeCell ref="F35:F40"/>
    <mergeCell ref="G35:G40"/>
    <mergeCell ref="H35:H40"/>
    <mergeCell ref="I63:J63"/>
    <mergeCell ref="B36:B40"/>
    <mergeCell ref="A35:B35"/>
    <mergeCell ref="C35:C40"/>
    <mergeCell ref="D35:D40"/>
    <mergeCell ref="E35:E40"/>
    <mergeCell ref="A80:L80"/>
    <mergeCell ref="K65:L65"/>
    <mergeCell ref="A67:H67"/>
    <mergeCell ref="I67:J67"/>
    <mergeCell ref="K67:L67"/>
    <mergeCell ref="A71:L71"/>
    <mergeCell ref="I74:J74"/>
    <mergeCell ref="K74:L74"/>
    <mergeCell ref="A76:H76"/>
    <mergeCell ref="I76:J76"/>
    <mergeCell ref="K76:L76"/>
    <mergeCell ref="I65:J65"/>
    <mergeCell ref="B72:B73"/>
    <mergeCell ref="A72:A73"/>
    <mergeCell ref="K92:L92"/>
    <mergeCell ref="D90:H90"/>
    <mergeCell ref="I90:J90"/>
    <mergeCell ref="K90:L90"/>
    <mergeCell ref="I82:J82"/>
    <mergeCell ref="K82:L82"/>
    <mergeCell ref="A84:H84"/>
    <mergeCell ref="I84:J84"/>
    <mergeCell ref="K84:L84"/>
    <mergeCell ref="A88:H88"/>
    <mergeCell ref="I88:J88"/>
    <mergeCell ref="K88:L88"/>
    <mergeCell ref="H33:I33"/>
    <mergeCell ref="A34:L34"/>
    <mergeCell ref="A27:L27"/>
    <mergeCell ref="D111:H111"/>
    <mergeCell ref="D110:I110"/>
    <mergeCell ref="D104:H104"/>
    <mergeCell ref="D105:H105"/>
    <mergeCell ref="I104:J104"/>
    <mergeCell ref="K104:L104"/>
    <mergeCell ref="D103:H103"/>
    <mergeCell ref="D102:I102"/>
    <mergeCell ref="D91:H91"/>
    <mergeCell ref="I91:J91"/>
    <mergeCell ref="K91:L91"/>
    <mergeCell ref="D92:H92"/>
    <mergeCell ref="I92:J92"/>
    <mergeCell ref="I1:L1"/>
    <mergeCell ref="I2:L2"/>
    <mergeCell ref="I3:L3"/>
    <mergeCell ref="J5:L5"/>
    <mergeCell ref="J6:L6"/>
    <mergeCell ref="J7:L8"/>
    <mergeCell ref="A8:B8"/>
    <mergeCell ref="C8:H8"/>
    <mergeCell ref="C9:H9"/>
    <mergeCell ref="J9:L10"/>
    <mergeCell ref="C10:H10"/>
    <mergeCell ref="C11:H11"/>
    <mergeCell ref="J11:L12"/>
    <mergeCell ref="C12:H12"/>
    <mergeCell ref="C13:H13"/>
    <mergeCell ref="J13:L14"/>
    <mergeCell ref="C14:H14"/>
    <mergeCell ref="B20:D20"/>
    <mergeCell ref="J20:L20"/>
    <mergeCell ref="B21:D21"/>
    <mergeCell ref="J21:L21"/>
    <mergeCell ref="C15:H15"/>
    <mergeCell ref="J15:L16"/>
    <mergeCell ref="C16:H16"/>
    <mergeCell ref="C17:H17"/>
    <mergeCell ref="G18:I18"/>
    <mergeCell ref="J18:L18"/>
    <mergeCell ref="G23:G24"/>
    <mergeCell ref="H23:H24"/>
    <mergeCell ref="I23:J23"/>
    <mergeCell ref="G19:H19"/>
    <mergeCell ref="J19:L19"/>
  </mergeCells>
  <pageMargins left="0.39370078740157483" right="0.19685039370078741" top="0.19685039370078741" bottom="0.39370078740157483" header="0.31496062992125984" footer="0.31496062992125984"/>
  <pageSetup paperSize="9" scale="61" firstPageNumber="11" fitToHeight="0" orientation="portrait" blackAndWhite="1" useFirstPageNumber="1" r:id="rId1"/>
  <headerFooter>
    <oddFooter>&amp;R&amp;P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129"/>
  <sheetViews>
    <sheetView view="pageBreakPreview" topLeftCell="A8" zoomScale="70" zoomScaleNormal="100" zoomScaleSheetLayoutView="70" workbookViewId="0">
      <selection activeCell="A90" sqref="A1:XFD1048576"/>
    </sheetView>
  </sheetViews>
  <sheetFormatPr defaultColWidth="9.33203125" defaultRowHeight="11.25" x14ac:dyDescent="0.2"/>
  <cols>
    <col min="1" max="1" width="9.83203125" style="459" customWidth="1"/>
    <col min="2" max="2" width="10.1640625" style="459" customWidth="1"/>
    <col min="3" max="3" width="19" style="459" customWidth="1"/>
    <col min="4" max="4" width="51" style="459" customWidth="1"/>
    <col min="5" max="5" width="13.6640625" style="459" customWidth="1"/>
    <col min="6" max="6" width="9.5" style="459" bestFit="1" customWidth="1"/>
    <col min="7" max="11" width="16.6640625" style="459" customWidth="1"/>
    <col min="12" max="13" width="18.1640625" style="459" customWidth="1"/>
    <col min="14" max="36" width="0" style="459" hidden="1" customWidth="1"/>
    <col min="37" max="37" width="157.1640625" style="459" hidden="1" customWidth="1"/>
    <col min="38" max="38" width="117.83203125" style="459" hidden="1" customWidth="1"/>
    <col min="39" max="39" width="0" style="459" hidden="1" customWidth="1"/>
    <col min="40" max="40" width="115.5" style="459" hidden="1" customWidth="1"/>
    <col min="41" max="42" width="0" style="459" hidden="1" customWidth="1"/>
    <col min="43" max="16384" width="9.33203125" style="459"/>
  </cols>
  <sheetData>
    <row r="1" spans="1:30" ht="15" x14ac:dyDescent="0.25">
      <c r="A1" s="257"/>
      <c r="B1" s="257"/>
      <c r="C1" s="258"/>
      <c r="D1" s="258"/>
      <c r="E1" s="258"/>
      <c r="F1" s="257"/>
      <c r="G1" s="257"/>
      <c r="H1" s="257"/>
      <c r="I1" s="621" t="s">
        <v>247</v>
      </c>
      <c r="J1" s="621"/>
      <c r="K1" s="621"/>
      <c r="L1" s="621"/>
    </row>
    <row r="2" spans="1:30" ht="14.25" x14ac:dyDescent="0.2">
      <c r="A2" s="257"/>
      <c r="B2" s="257"/>
      <c r="C2" s="257"/>
      <c r="D2" s="257"/>
      <c r="E2" s="257"/>
      <c r="F2" s="257"/>
      <c r="G2" s="257"/>
      <c r="H2" s="257"/>
      <c r="I2" s="621" t="s">
        <v>15</v>
      </c>
      <c r="J2" s="621"/>
      <c r="K2" s="621"/>
      <c r="L2" s="621"/>
    </row>
    <row r="3" spans="1:30" ht="14.25" x14ac:dyDescent="0.2">
      <c r="A3" s="257"/>
      <c r="B3" s="257"/>
      <c r="C3" s="257"/>
      <c r="D3" s="257"/>
      <c r="E3" s="257"/>
      <c r="F3" s="257"/>
      <c r="G3" s="257"/>
      <c r="H3" s="257"/>
      <c r="I3" s="621" t="s">
        <v>16</v>
      </c>
      <c r="J3" s="621"/>
      <c r="K3" s="621"/>
      <c r="L3" s="621"/>
    </row>
    <row r="4" spans="1:30" ht="14.25" x14ac:dyDescent="0.2">
      <c r="A4" s="257"/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</row>
    <row r="5" spans="1:30" ht="14.25" x14ac:dyDescent="0.2">
      <c r="A5" s="257"/>
      <c r="B5" s="257"/>
      <c r="C5" s="257"/>
      <c r="D5" s="257"/>
      <c r="E5" s="257"/>
      <c r="F5" s="257"/>
      <c r="G5" s="257"/>
      <c r="H5" s="257"/>
      <c r="I5" s="257"/>
      <c r="J5" s="624" t="s">
        <v>17</v>
      </c>
      <c r="K5" s="624"/>
      <c r="L5" s="624"/>
    </row>
    <row r="6" spans="1:30" ht="31.5" customHeight="1" x14ac:dyDescent="0.2">
      <c r="A6" s="257"/>
      <c r="B6" s="257"/>
      <c r="C6" s="257"/>
      <c r="D6" s="257"/>
      <c r="E6" s="257"/>
      <c r="F6" s="257"/>
      <c r="G6" s="257"/>
      <c r="H6" s="257"/>
      <c r="I6" s="473" t="s">
        <v>18</v>
      </c>
      <c r="J6" s="633" t="s">
        <v>19</v>
      </c>
      <c r="K6" s="633"/>
      <c r="L6" s="633"/>
    </row>
    <row r="7" spans="1:30" ht="14.25" x14ac:dyDescent="0.2">
      <c r="A7" s="257"/>
      <c r="B7" s="257"/>
      <c r="C7" s="257"/>
      <c r="D7" s="257"/>
      <c r="E7" s="257"/>
      <c r="F7" s="257"/>
      <c r="G7" s="257"/>
      <c r="H7" s="257"/>
      <c r="I7" s="257"/>
      <c r="J7" s="624"/>
      <c r="K7" s="624"/>
      <c r="L7" s="624"/>
    </row>
    <row r="8" spans="1:30" ht="33.75" customHeight="1" x14ac:dyDescent="0.2">
      <c r="A8" s="630" t="s">
        <v>86</v>
      </c>
      <c r="B8" s="630"/>
      <c r="C8" s="631" t="s">
        <v>257</v>
      </c>
      <c r="D8" s="631"/>
      <c r="E8" s="631"/>
      <c r="F8" s="631"/>
      <c r="G8" s="631"/>
      <c r="H8" s="631"/>
      <c r="I8" s="473" t="s">
        <v>21</v>
      </c>
      <c r="J8" s="624"/>
      <c r="K8" s="624"/>
      <c r="L8" s="624"/>
    </row>
    <row r="9" spans="1:30" ht="14.25" x14ac:dyDescent="0.2">
      <c r="A9" s="259"/>
      <c r="B9" s="259"/>
      <c r="C9" s="625" t="s">
        <v>22</v>
      </c>
      <c r="D9" s="625"/>
      <c r="E9" s="625"/>
      <c r="F9" s="625"/>
      <c r="G9" s="625"/>
      <c r="H9" s="625"/>
      <c r="I9" s="257"/>
      <c r="J9" s="632" t="s">
        <v>56</v>
      </c>
      <c r="K9" s="632"/>
      <c r="L9" s="632"/>
    </row>
    <row r="10" spans="1:30" ht="14.25" customHeight="1" x14ac:dyDescent="0.2">
      <c r="A10" s="260" t="s">
        <v>251</v>
      </c>
      <c r="B10" s="260"/>
      <c r="C10" s="628" t="s">
        <v>258</v>
      </c>
      <c r="D10" s="628"/>
      <c r="E10" s="628"/>
      <c r="F10" s="628"/>
      <c r="G10" s="628"/>
      <c r="H10" s="628"/>
      <c r="I10" s="473" t="s">
        <v>21</v>
      </c>
      <c r="J10" s="632"/>
      <c r="K10" s="632"/>
      <c r="L10" s="632"/>
    </row>
    <row r="11" spans="1:30" ht="14.25" x14ac:dyDescent="0.2">
      <c r="A11" s="260"/>
      <c r="B11" s="260"/>
      <c r="C11" s="625" t="s">
        <v>22</v>
      </c>
      <c r="D11" s="625"/>
      <c r="E11" s="625"/>
      <c r="F11" s="625"/>
      <c r="G11" s="625"/>
      <c r="H11" s="625"/>
      <c r="I11" s="257"/>
      <c r="J11" s="624">
        <v>29478604</v>
      </c>
      <c r="K11" s="624"/>
      <c r="L11" s="624"/>
    </row>
    <row r="12" spans="1:30" ht="14.25" customHeight="1" x14ac:dyDescent="0.2">
      <c r="A12" s="260" t="s">
        <v>259</v>
      </c>
      <c r="B12" s="260"/>
      <c r="C12" s="628" t="s">
        <v>260</v>
      </c>
      <c r="D12" s="628"/>
      <c r="E12" s="628"/>
      <c r="F12" s="628"/>
      <c r="G12" s="628"/>
      <c r="H12" s="628"/>
      <c r="I12" s="473" t="s">
        <v>21</v>
      </c>
      <c r="J12" s="624"/>
      <c r="K12" s="624"/>
      <c r="L12" s="624"/>
    </row>
    <row r="13" spans="1:30" ht="14.25" x14ac:dyDescent="0.2">
      <c r="A13" s="260"/>
      <c r="B13" s="260"/>
      <c r="C13" s="625" t="s">
        <v>22</v>
      </c>
      <c r="D13" s="625"/>
      <c r="E13" s="625"/>
      <c r="F13" s="625"/>
      <c r="G13" s="625"/>
      <c r="H13" s="625"/>
      <c r="I13" s="257"/>
      <c r="J13" s="624"/>
      <c r="K13" s="624"/>
      <c r="L13" s="624"/>
    </row>
    <row r="14" spans="1:30" ht="14.25" x14ac:dyDescent="0.2">
      <c r="A14" s="259" t="s">
        <v>23</v>
      </c>
      <c r="B14" s="259"/>
      <c r="C14" s="629" t="s">
        <v>261</v>
      </c>
      <c r="D14" s="629"/>
      <c r="E14" s="629"/>
      <c r="F14" s="629"/>
      <c r="G14" s="629"/>
      <c r="H14" s="629"/>
      <c r="I14" s="257"/>
      <c r="J14" s="624"/>
      <c r="K14" s="624"/>
      <c r="L14" s="624"/>
    </row>
    <row r="15" spans="1:30" ht="14.25" customHeight="1" x14ac:dyDescent="0.2">
      <c r="A15" s="259"/>
      <c r="B15" s="259"/>
      <c r="C15" s="625" t="s">
        <v>24</v>
      </c>
      <c r="D15" s="625"/>
      <c r="E15" s="625"/>
      <c r="F15" s="625"/>
      <c r="G15" s="625"/>
      <c r="H15" s="625"/>
      <c r="I15" s="257"/>
      <c r="J15" s="624"/>
      <c r="K15" s="624"/>
      <c r="L15" s="624"/>
      <c r="AD15" s="483" t="s">
        <v>233</v>
      </c>
    </row>
    <row r="16" spans="1:30" ht="14.25" x14ac:dyDescent="0.2">
      <c r="A16" s="259" t="s">
        <v>25</v>
      </c>
      <c r="B16" s="259"/>
      <c r="C16" s="626" t="s">
        <v>262</v>
      </c>
      <c r="D16" s="626"/>
      <c r="E16" s="626"/>
      <c r="F16" s="626"/>
      <c r="G16" s="626"/>
      <c r="H16" s="626"/>
      <c r="I16" s="257"/>
      <c r="J16" s="624"/>
      <c r="K16" s="624"/>
      <c r="L16" s="624"/>
    </row>
    <row r="17" spans="1:30" ht="12.75" customHeight="1" x14ac:dyDescent="0.2">
      <c r="A17" s="259"/>
      <c r="B17" s="259"/>
      <c r="C17" s="625" t="s">
        <v>26</v>
      </c>
      <c r="D17" s="625"/>
      <c r="E17" s="625"/>
      <c r="F17" s="625"/>
      <c r="G17" s="625"/>
      <c r="H17" s="625"/>
      <c r="I17" s="257"/>
      <c r="J17" s="257"/>
      <c r="K17" s="257"/>
      <c r="L17" s="257"/>
      <c r="AD17" s="885" t="str">
        <f>IF([84]Source!G15&lt;&gt;"Новый объект", [84]Source!G15, "")</f>
        <v>Май, 2020 г., Р.17.98</v>
      </c>
    </row>
    <row r="18" spans="1:30" ht="14.25" x14ac:dyDescent="0.2">
      <c r="A18" s="257"/>
      <c r="B18" s="257"/>
      <c r="C18" s="257"/>
      <c r="D18" s="257"/>
      <c r="E18" s="257"/>
      <c r="F18" s="257"/>
      <c r="G18" s="621" t="s">
        <v>27</v>
      </c>
      <c r="H18" s="621"/>
      <c r="I18" s="627"/>
      <c r="J18" s="624"/>
      <c r="K18" s="624"/>
      <c r="L18" s="624"/>
    </row>
    <row r="19" spans="1:30" ht="14.25" x14ac:dyDescent="0.2">
      <c r="A19" s="257"/>
      <c r="B19" s="257"/>
      <c r="C19" s="257"/>
      <c r="D19" s="257"/>
      <c r="E19" s="257"/>
      <c r="F19" s="257"/>
      <c r="G19" s="621" t="s">
        <v>28</v>
      </c>
      <c r="H19" s="622"/>
      <c r="I19" s="261" t="s">
        <v>29</v>
      </c>
      <c r="J19" s="624" t="s">
        <v>263</v>
      </c>
      <c r="K19" s="624"/>
      <c r="L19" s="624"/>
    </row>
    <row r="20" spans="1:30" ht="14.25" customHeight="1" x14ac:dyDescent="0.2">
      <c r="A20" s="257"/>
      <c r="B20" s="623"/>
      <c r="C20" s="623"/>
      <c r="D20" s="623"/>
      <c r="E20" s="257"/>
      <c r="F20" s="257"/>
      <c r="G20" s="257"/>
      <c r="H20" s="257"/>
      <c r="I20" s="262" t="s">
        <v>30</v>
      </c>
      <c r="J20" s="637">
        <v>43670</v>
      </c>
      <c r="K20" s="637"/>
      <c r="L20" s="637"/>
    </row>
    <row r="21" spans="1:30" ht="14.25" x14ac:dyDescent="0.2">
      <c r="A21" s="257"/>
      <c r="B21" s="623"/>
      <c r="C21" s="623"/>
      <c r="D21" s="623"/>
      <c r="E21" s="257"/>
      <c r="F21" s="257"/>
      <c r="G21" s="257"/>
      <c r="H21" s="257"/>
      <c r="I21" s="473" t="s">
        <v>248</v>
      </c>
      <c r="J21" s="624"/>
      <c r="K21" s="624"/>
      <c r="L21" s="624"/>
    </row>
    <row r="22" spans="1:30" ht="14.25" x14ac:dyDescent="0.2">
      <c r="A22" s="257"/>
      <c r="B22" s="257"/>
      <c r="C22" s="257"/>
      <c r="D22" s="257"/>
      <c r="E22" s="257"/>
      <c r="F22" s="257"/>
      <c r="G22" s="257"/>
      <c r="H22" s="257"/>
      <c r="I22" s="257"/>
      <c r="J22" s="257"/>
      <c r="K22" s="257"/>
      <c r="L22" s="257"/>
    </row>
    <row r="23" spans="1:30" ht="14.25" x14ac:dyDescent="0.2">
      <c r="A23" s="257"/>
      <c r="B23" s="257"/>
      <c r="C23" s="257"/>
      <c r="D23" s="257"/>
      <c r="E23" s="257"/>
      <c r="F23" s="257"/>
      <c r="G23" s="616" t="s">
        <v>31</v>
      </c>
      <c r="H23" s="618" t="s">
        <v>32</v>
      </c>
      <c r="I23" s="618" t="s">
        <v>33</v>
      </c>
      <c r="J23" s="620"/>
      <c r="K23" s="257"/>
      <c r="L23" s="257"/>
    </row>
    <row r="24" spans="1:30" ht="14.25" customHeight="1" x14ac:dyDescent="0.2">
      <c r="A24" s="257"/>
      <c r="B24" s="257"/>
      <c r="C24" s="257"/>
      <c r="D24" s="257"/>
      <c r="E24" s="257"/>
      <c r="F24" s="257"/>
      <c r="G24" s="617"/>
      <c r="H24" s="619"/>
      <c r="I24" s="475" t="s">
        <v>34</v>
      </c>
      <c r="J24" s="474" t="s">
        <v>35</v>
      </c>
      <c r="K24" s="257"/>
      <c r="L24" s="257"/>
    </row>
    <row r="25" spans="1:30" ht="14.25" x14ac:dyDescent="0.2">
      <c r="A25" s="257"/>
      <c r="B25" s="257"/>
      <c r="C25" s="257"/>
      <c r="D25" s="257"/>
      <c r="E25" s="257"/>
      <c r="F25" s="257"/>
      <c r="G25" s="262">
        <v>9</v>
      </c>
      <c r="H25" s="263">
        <v>44196</v>
      </c>
      <c r="I25" s="263">
        <v>44166</v>
      </c>
      <c r="J25" s="481">
        <f>H25</f>
        <v>44196</v>
      </c>
      <c r="K25" s="257"/>
      <c r="L25" s="257"/>
    </row>
    <row r="26" spans="1:30" ht="14.25" x14ac:dyDescent="0.2">
      <c r="A26" s="257"/>
      <c r="B26" s="257"/>
      <c r="C26" s="257"/>
      <c r="D26" s="257"/>
      <c r="E26" s="257"/>
      <c r="F26" s="257"/>
      <c r="G26" s="264"/>
      <c r="H26" s="265"/>
      <c r="I26" s="265"/>
      <c r="J26" s="265"/>
      <c r="K26" s="257"/>
      <c r="L26" s="257"/>
    </row>
    <row r="27" spans="1:30" ht="18" x14ac:dyDescent="0.25">
      <c r="A27" s="595" t="s">
        <v>514</v>
      </c>
      <c r="B27" s="595"/>
      <c r="C27" s="595"/>
      <c r="D27" s="595"/>
      <c r="E27" s="595"/>
      <c r="F27" s="595"/>
      <c r="G27" s="595"/>
      <c r="H27" s="595"/>
      <c r="I27" s="595"/>
      <c r="J27" s="595"/>
      <c r="K27" s="595"/>
      <c r="L27" s="595"/>
    </row>
    <row r="28" spans="1:30" hidden="1" x14ac:dyDescent="0.2"/>
    <row r="29" spans="1:30" hidden="1" x14ac:dyDescent="0.2"/>
    <row r="30" spans="1:30" hidden="1" x14ac:dyDescent="0.2"/>
    <row r="31" spans="1:30" hidden="1" x14ac:dyDescent="0.2"/>
    <row r="32" spans="1:30" ht="14.25" x14ac:dyDescent="0.2">
      <c r="A32" s="316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</row>
    <row r="33" spans="1:37" ht="15" hidden="1" x14ac:dyDescent="0.25">
      <c r="A33" s="316" t="s">
        <v>66</v>
      </c>
      <c r="B33" s="316"/>
      <c r="C33" s="316"/>
      <c r="D33" s="316"/>
      <c r="E33" s="316"/>
      <c r="F33" s="316"/>
      <c r="G33" s="316"/>
      <c r="H33" s="786">
        <f>([91]Source!P633/1000)</f>
        <v>4186.58</v>
      </c>
      <c r="I33" s="786"/>
      <c r="J33" s="316" t="s">
        <v>67</v>
      </c>
      <c r="K33" s="316"/>
      <c r="L33" s="316"/>
    </row>
    <row r="34" spans="1:37" ht="14.25" x14ac:dyDescent="0.2">
      <c r="A34" s="645" t="s">
        <v>203</v>
      </c>
      <c r="B34" s="645"/>
      <c r="C34" s="645"/>
      <c r="D34" s="645"/>
      <c r="E34" s="645"/>
      <c r="F34" s="645"/>
      <c r="G34" s="645"/>
      <c r="H34" s="645"/>
      <c r="I34" s="645"/>
      <c r="J34" s="645"/>
      <c r="K34" s="645"/>
      <c r="L34" s="645"/>
    </row>
    <row r="35" spans="1:37" ht="14.25" x14ac:dyDescent="0.2">
      <c r="A35" s="650" t="s">
        <v>38</v>
      </c>
      <c r="B35" s="650"/>
      <c r="C35" s="650" t="s">
        <v>39</v>
      </c>
      <c r="D35" s="650" t="s">
        <v>40</v>
      </c>
      <c r="E35" s="650" t="s">
        <v>126</v>
      </c>
      <c r="F35" s="650" t="s">
        <v>68</v>
      </c>
      <c r="G35" s="650" t="s">
        <v>69</v>
      </c>
      <c r="H35" s="647" t="s">
        <v>127</v>
      </c>
      <c r="I35" s="647" t="s">
        <v>128</v>
      </c>
      <c r="J35" s="650" t="s">
        <v>129</v>
      </c>
      <c r="K35" s="650" t="s">
        <v>130</v>
      </c>
      <c r="L35" s="650" t="s">
        <v>131</v>
      </c>
    </row>
    <row r="36" spans="1:37" x14ac:dyDescent="0.2">
      <c r="A36" s="647" t="s">
        <v>41</v>
      </c>
      <c r="B36" s="647" t="s">
        <v>42</v>
      </c>
      <c r="C36" s="650"/>
      <c r="D36" s="650"/>
      <c r="E36" s="650"/>
      <c r="F36" s="650"/>
      <c r="G36" s="650"/>
      <c r="H36" s="648"/>
      <c r="I36" s="648"/>
      <c r="J36" s="650"/>
      <c r="K36" s="650"/>
      <c r="L36" s="650"/>
    </row>
    <row r="37" spans="1:37" x14ac:dyDescent="0.2">
      <c r="A37" s="648"/>
      <c r="B37" s="648"/>
      <c r="C37" s="650"/>
      <c r="D37" s="650"/>
      <c r="E37" s="650"/>
      <c r="F37" s="650"/>
      <c r="G37" s="650"/>
      <c r="H37" s="648"/>
      <c r="I37" s="648"/>
      <c r="J37" s="650"/>
      <c r="K37" s="650"/>
      <c r="L37" s="650"/>
    </row>
    <row r="38" spans="1:37" x14ac:dyDescent="0.2">
      <c r="A38" s="648"/>
      <c r="B38" s="648"/>
      <c r="C38" s="650"/>
      <c r="D38" s="650"/>
      <c r="E38" s="650"/>
      <c r="F38" s="650"/>
      <c r="G38" s="650"/>
      <c r="H38" s="648"/>
      <c r="I38" s="648"/>
      <c r="J38" s="650"/>
      <c r="K38" s="650"/>
      <c r="L38" s="650"/>
    </row>
    <row r="39" spans="1:37" x14ac:dyDescent="0.2">
      <c r="A39" s="648"/>
      <c r="B39" s="648"/>
      <c r="C39" s="650"/>
      <c r="D39" s="650"/>
      <c r="E39" s="650"/>
      <c r="F39" s="650"/>
      <c r="G39" s="650"/>
      <c r="H39" s="648"/>
      <c r="I39" s="648"/>
      <c r="J39" s="650"/>
      <c r="K39" s="650"/>
      <c r="L39" s="650"/>
    </row>
    <row r="40" spans="1:37" x14ac:dyDescent="0.2">
      <c r="A40" s="649"/>
      <c r="B40" s="649"/>
      <c r="C40" s="650"/>
      <c r="D40" s="650"/>
      <c r="E40" s="650"/>
      <c r="F40" s="650"/>
      <c r="G40" s="650"/>
      <c r="H40" s="649"/>
      <c r="I40" s="649"/>
      <c r="J40" s="650"/>
      <c r="K40" s="650"/>
      <c r="L40" s="650"/>
    </row>
    <row r="41" spans="1:37" ht="14.25" x14ac:dyDescent="0.2">
      <c r="A41" s="482">
        <v>1</v>
      </c>
      <c r="B41" s="482">
        <v>2</v>
      </c>
      <c r="C41" s="482">
        <v>3</v>
      </c>
      <c r="D41" s="482">
        <v>4</v>
      </c>
      <c r="E41" s="482">
        <v>5</v>
      </c>
      <c r="F41" s="482">
        <v>6</v>
      </c>
      <c r="G41" s="482">
        <v>7</v>
      </c>
      <c r="H41" s="482">
        <v>8</v>
      </c>
      <c r="I41" s="482">
        <v>9</v>
      </c>
      <c r="J41" s="482">
        <v>10</v>
      </c>
      <c r="K41" s="482">
        <v>11</v>
      </c>
      <c r="L41" s="482">
        <v>12</v>
      </c>
    </row>
    <row r="43" spans="1:37" ht="15.75" x14ac:dyDescent="0.25">
      <c r="A43" s="1082" t="s">
        <v>220</v>
      </c>
      <c r="B43" s="1082"/>
      <c r="C43" s="1082"/>
      <c r="D43" s="1082"/>
      <c r="E43" s="1082"/>
      <c r="F43" s="1082"/>
      <c r="G43" s="1082"/>
      <c r="H43" s="1082"/>
      <c r="I43" s="1082"/>
      <c r="J43" s="1082"/>
      <c r="K43" s="1082"/>
      <c r="L43" s="1082"/>
    </row>
    <row r="44" spans="1:37" ht="33" customHeight="1" x14ac:dyDescent="0.25">
      <c r="A44" s="642" t="s">
        <v>221</v>
      </c>
      <c r="B44" s="642"/>
      <c r="C44" s="642"/>
      <c r="D44" s="642"/>
      <c r="E44" s="642"/>
      <c r="F44" s="642"/>
      <c r="G44" s="642"/>
      <c r="H44" s="642"/>
      <c r="I44" s="642"/>
      <c r="J44" s="642"/>
      <c r="K44" s="642"/>
      <c r="L44" s="642"/>
      <c r="AK44" s="476" t="str">
        <f>CONCATENATE("Локальная смета: ",IF([91]Source!G20&lt;&gt;"Новая локальная смета", [91]Source!G20, ""))</f>
        <v>Локальная смета: Перегоны от ст. "Мичуринский проспект" до токораздела со ст. "Аминьевское шоссе" (включая монтажный, пл. 2). Инженерные системы. Тоннельное освещение.</v>
      </c>
    </row>
    <row r="46" spans="1:37" ht="16.5" x14ac:dyDescent="0.25">
      <c r="A46" s="642" t="str">
        <f>CONCATENATE("Раздел: ",IF([91]Source!G26&lt;&gt;"Новый раздел", [91]Source!G26, ""))</f>
        <v>Раздел: Монтажные работы</v>
      </c>
      <c r="B46" s="642"/>
      <c r="C46" s="642"/>
      <c r="D46" s="642"/>
      <c r="E46" s="642"/>
      <c r="F46" s="642"/>
      <c r="G46" s="642"/>
      <c r="H46" s="642"/>
      <c r="I46" s="642"/>
      <c r="J46" s="642"/>
      <c r="K46" s="642"/>
      <c r="L46" s="642"/>
    </row>
    <row r="48" spans="1:37" ht="16.5" x14ac:dyDescent="0.25">
      <c r="A48" s="642" t="str">
        <f>CONCATENATE("Подраздел: ",IF([91]Source!G126&lt;&gt;"Новый подраздел", [91]Source!G126, ""))</f>
        <v>Подраздел: Кабели и кабельные изделия</v>
      </c>
      <c r="B48" s="642"/>
      <c r="C48" s="642"/>
      <c r="D48" s="642"/>
      <c r="E48" s="642"/>
      <c r="F48" s="642"/>
      <c r="G48" s="642"/>
      <c r="H48" s="642"/>
      <c r="I48" s="642"/>
      <c r="J48" s="642"/>
      <c r="K48" s="642"/>
      <c r="L48" s="642"/>
    </row>
    <row r="49" spans="1:27" ht="57" x14ac:dyDescent="0.2">
      <c r="A49" s="478">
        <v>1</v>
      </c>
      <c r="B49" s="478" t="str">
        <f>[91]Source!E135</f>
        <v>16</v>
      </c>
      <c r="C49" s="439" t="str">
        <f>[91]Source!F135</f>
        <v>4.8-79-3</v>
      </c>
      <c r="D49" s="439" t="s">
        <v>206</v>
      </c>
      <c r="E49" s="440" t="str">
        <f>[91]Source!H135</f>
        <v>100 М КАБЕЛЯ</v>
      </c>
      <c r="F49" s="270">
        <f>[91]Source!I135</f>
        <v>6.9580000000000002</v>
      </c>
      <c r="G49" s="441"/>
      <c r="H49" s="442"/>
      <c r="I49" s="270"/>
      <c r="J49" s="480"/>
      <c r="K49" s="270"/>
      <c r="L49" s="480"/>
      <c r="Q49" s="459">
        <f>ROUND(([91]Source!DN135/100)*ROUND((ROUND(([91]Source!AF135*[91]Source!AV135*[91]Source!I135),2)),2), 2)</f>
        <v>2756.54</v>
      </c>
      <c r="R49" s="459">
        <f>[91]Source!X135</f>
        <v>53671.39</v>
      </c>
      <c r="S49" s="459">
        <f>ROUND(([91]Source!DO135/100)*ROUND((ROUND(([91]Source!AF135*[91]Source!AV135*[91]Source!I135),2)),2), 2)</f>
        <v>1722.84</v>
      </c>
      <c r="T49" s="459">
        <f>[91]Source!Y135</f>
        <v>25643</v>
      </c>
      <c r="U49" s="459">
        <f>ROUND((175/100)*ROUND((ROUND(([91]Source!AE135*[91]Source!AV135*[91]Source!I135),2)),2), 2)</f>
        <v>1629.02</v>
      </c>
      <c r="V49" s="459">
        <f>ROUND((157/100)*ROUND(ROUND((ROUND(([91]Source!AE135*[91]Source!AV135*[91]Source!I135),2)*[91]Source!BS135),2), 2), 2)</f>
        <v>35411.32</v>
      </c>
    </row>
    <row r="50" spans="1:27" ht="14.25" x14ac:dyDescent="0.2">
      <c r="A50" s="478"/>
      <c r="B50" s="478"/>
      <c r="C50" s="439"/>
      <c r="D50" s="439" t="s">
        <v>43</v>
      </c>
      <c r="E50" s="440"/>
      <c r="F50" s="270"/>
      <c r="G50" s="441">
        <f>[91]Source!AO135</f>
        <v>198.51</v>
      </c>
      <c r="H50" s="442" t="str">
        <f>[91]Source!DG135</f>
        <v>)*1,67</v>
      </c>
      <c r="I50" s="270">
        <f>[91]Source!AV135</f>
        <v>1.0669999999999999</v>
      </c>
      <c r="J50" s="480">
        <f>ROUND((ROUND(([91]Source!AF135*[91]Source!AV135*[91]Source!I135),2)),2)</f>
        <v>2461.1999999999998</v>
      </c>
      <c r="K50" s="270">
        <f>IF([91]Source!BA135&lt;&gt; 0, [91]Source!BA135, 1)</f>
        <v>24.23</v>
      </c>
      <c r="L50" s="480">
        <f>[91]Source!S135</f>
        <v>59634.879999999997</v>
      </c>
      <c r="W50" s="459">
        <f>J50</f>
        <v>2461.1999999999998</v>
      </c>
    </row>
    <row r="51" spans="1:27" ht="14.25" x14ac:dyDescent="0.2">
      <c r="A51" s="478"/>
      <c r="B51" s="478"/>
      <c r="C51" s="439"/>
      <c r="D51" s="439" t="s">
        <v>44</v>
      </c>
      <c r="E51" s="440"/>
      <c r="F51" s="270"/>
      <c r="G51" s="441">
        <f>[91]Source!AM135</f>
        <v>463.73</v>
      </c>
      <c r="H51" s="442">
        <f>[91]Source!DE135</f>
        <v>0</v>
      </c>
      <c r="I51" s="270">
        <f>[91]Source!AV135</f>
        <v>1.0669999999999999</v>
      </c>
      <c r="J51" s="480">
        <f>(ROUND((ROUND((([91]Source!ET135)*[91]Source!AV135*[91]Source!I135),2)),2)+ROUND((ROUND((([91]Source!AE135-([91]Source!EU135))*[91]Source!AV135*[91]Source!I135),2)),2))-J60</f>
        <v>3442.82</v>
      </c>
      <c r="K51" s="270">
        <f>IF([91]Source!BB135&lt;&gt; 0, [91]Source!BB135, 1)</f>
        <v>8.58</v>
      </c>
      <c r="L51" s="480">
        <f>[91]Source!Q135-L60</f>
        <v>29539.32</v>
      </c>
    </row>
    <row r="52" spans="1:27" ht="14.25" x14ac:dyDescent="0.2">
      <c r="A52" s="478"/>
      <c r="B52" s="478"/>
      <c r="C52" s="439"/>
      <c r="D52" s="439" t="s">
        <v>45</v>
      </c>
      <c r="E52" s="440"/>
      <c r="F52" s="270"/>
      <c r="G52" s="441">
        <f>[91]Source!AN135</f>
        <v>75.08</v>
      </c>
      <c r="H52" s="442">
        <f>[91]Source!DE135</f>
        <v>0</v>
      </c>
      <c r="I52" s="270">
        <f>[91]Source!AV135</f>
        <v>1.0669999999999999</v>
      </c>
      <c r="J52" s="443">
        <f>ROUND((ROUND(([91]Source!AE135*[91]Source!AV135*[91]Source!I135),2)),2)-J61</f>
        <v>557.41</v>
      </c>
      <c r="K52" s="270">
        <f>IF([91]Source!BS135&lt;&gt; 0, [91]Source!BS135, 1)</f>
        <v>24.23</v>
      </c>
      <c r="L52" s="443">
        <f>[91]Source!R135-L61</f>
        <v>13505.96</v>
      </c>
      <c r="W52" s="459">
        <f>J52</f>
        <v>557.41</v>
      </c>
    </row>
    <row r="53" spans="1:27" ht="14.25" x14ac:dyDescent="0.2">
      <c r="A53" s="478"/>
      <c r="B53" s="478"/>
      <c r="C53" s="439"/>
      <c r="D53" s="439" t="s">
        <v>46</v>
      </c>
      <c r="E53" s="440"/>
      <c r="F53" s="270"/>
      <c r="G53" s="441">
        <f>[91]Source!AL135</f>
        <v>27.23</v>
      </c>
      <c r="H53" s="442">
        <f>[91]Source!DD135</f>
        <v>0</v>
      </c>
      <c r="I53" s="270">
        <f>[91]Source!AW135</f>
        <v>1.081</v>
      </c>
      <c r="J53" s="480">
        <f>ROUND((ROUND(([91]Source!AC135*[91]Source!AW135*[91]Source!I135),2)),2)</f>
        <v>204.81</v>
      </c>
      <c r="K53" s="270">
        <f>IF([91]Source!BC135&lt;&gt; 0, [91]Source!BC135, 1)</f>
        <v>5.58</v>
      </c>
      <c r="L53" s="480">
        <f>[91]Source!P135</f>
        <v>1142.8399999999999</v>
      </c>
    </row>
    <row r="54" spans="1:27" ht="14.25" x14ac:dyDescent="0.2">
      <c r="A54" s="478"/>
      <c r="B54" s="478"/>
      <c r="C54" s="439"/>
      <c r="D54" s="439" t="s">
        <v>47</v>
      </c>
      <c r="E54" s="440" t="s">
        <v>48</v>
      </c>
      <c r="F54" s="270">
        <f>[91]Source!DN135</f>
        <v>112</v>
      </c>
      <c r="G54" s="441"/>
      <c r="H54" s="442"/>
      <c r="I54" s="270"/>
      <c r="J54" s="480">
        <f>SUM(Q49:Q53)</f>
        <v>2756.54</v>
      </c>
      <c r="K54" s="270">
        <f>[91]Source!BZ135</f>
        <v>90</v>
      </c>
      <c r="L54" s="480">
        <f>SUM(R49:R53)</f>
        <v>53671.39</v>
      </c>
    </row>
    <row r="55" spans="1:27" ht="14.25" x14ac:dyDescent="0.2">
      <c r="A55" s="478"/>
      <c r="B55" s="478"/>
      <c r="C55" s="439"/>
      <c r="D55" s="439" t="s">
        <v>49</v>
      </c>
      <c r="E55" s="440" t="s">
        <v>48</v>
      </c>
      <c r="F55" s="270">
        <f>[91]Source!DO135</f>
        <v>70</v>
      </c>
      <c r="G55" s="441"/>
      <c r="H55" s="442"/>
      <c r="I55" s="270"/>
      <c r="J55" s="480">
        <f>SUM(S49:S54)</f>
        <v>1722.84</v>
      </c>
      <c r="K55" s="270">
        <f>[91]Source!CA135</f>
        <v>43</v>
      </c>
      <c r="L55" s="480">
        <f>SUM(T49:T54)</f>
        <v>25643</v>
      </c>
    </row>
    <row r="56" spans="1:27" ht="14.25" x14ac:dyDescent="0.2">
      <c r="A56" s="478"/>
      <c r="B56" s="478"/>
      <c r="C56" s="439"/>
      <c r="D56" s="439" t="s">
        <v>50</v>
      </c>
      <c r="E56" s="440" t="s">
        <v>48</v>
      </c>
      <c r="F56" s="270">
        <f>175</f>
        <v>175</v>
      </c>
      <c r="G56" s="441"/>
      <c r="H56" s="442"/>
      <c r="I56" s="270"/>
      <c r="J56" s="480">
        <f>SUM(U49:U55)-J62</f>
        <v>975.46</v>
      </c>
      <c r="K56" s="270">
        <f>157</f>
        <v>157</v>
      </c>
      <c r="L56" s="480">
        <f>SUM(V49:V55)-L62</f>
        <v>21204.36</v>
      </c>
    </row>
    <row r="57" spans="1:27" ht="14.25" x14ac:dyDescent="0.2">
      <c r="A57" s="478"/>
      <c r="B57" s="478"/>
      <c r="C57" s="439"/>
      <c r="D57" s="439" t="s">
        <v>51</v>
      </c>
      <c r="E57" s="440" t="s">
        <v>52</v>
      </c>
      <c r="F57" s="270">
        <f>[91]Source!AQ135</f>
        <v>16.100000000000001</v>
      </c>
      <c r="G57" s="441"/>
      <c r="H57" s="442">
        <f>[91]Source!DI135</f>
        <v>0</v>
      </c>
      <c r="I57" s="270">
        <f>[91]Source!AV135</f>
        <v>1.0669999999999999</v>
      </c>
      <c r="J57" s="480">
        <f>[91]Source!U135</f>
        <v>119.53</v>
      </c>
      <c r="K57" s="270"/>
      <c r="L57" s="480"/>
    </row>
    <row r="58" spans="1:27" ht="15" x14ac:dyDescent="0.25">
      <c r="I58" s="639">
        <f>J50+J51+J53+J54+J55+J56</f>
        <v>11563.67</v>
      </c>
      <c r="J58" s="639"/>
      <c r="K58" s="639">
        <f>L50+L51+L53+L54+L55+L56</f>
        <v>190835.79</v>
      </c>
      <c r="L58" s="639"/>
      <c r="O58" s="1083">
        <f>J50+J51+J53+J54+J55+J56</f>
        <v>11563.67</v>
      </c>
      <c r="P58" s="1083">
        <f>L50+L51+L53+L54+L55+L56</f>
        <v>190835.79</v>
      </c>
      <c r="X58" s="459">
        <f>IF([91]Source!BI135&lt;=1,J50+J51+J53+J54+J55+J56-0, 0)</f>
        <v>0</v>
      </c>
      <c r="Y58" s="459">
        <f>IF([91]Source!BI135=2,J50+J51+J53+J54+J55+J56-0, 0)</f>
        <v>11563.67</v>
      </c>
      <c r="Z58" s="459">
        <f>IF([91]Source!BI135=3,J50+J51+J53+J54+J55+J56-0, 0)</f>
        <v>0</v>
      </c>
      <c r="AA58" s="459">
        <f>IF([91]Source!BI135=4,J50+J51+J53+J54+J55+J56,0)</f>
        <v>0</v>
      </c>
    </row>
    <row r="59" spans="1:27" ht="28.5" x14ac:dyDescent="0.2">
      <c r="A59" s="444"/>
      <c r="B59" s="444"/>
      <c r="C59" s="445"/>
      <c r="D59" s="445" t="s">
        <v>133</v>
      </c>
      <c r="E59" s="440"/>
      <c r="F59" s="446"/>
      <c r="G59" s="447"/>
      <c r="H59" s="440"/>
      <c r="I59" s="446"/>
      <c r="J59" s="443"/>
      <c r="K59" s="446"/>
      <c r="L59" s="443"/>
    </row>
    <row r="60" spans="1:27" ht="14.25" x14ac:dyDescent="0.2">
      <c r="A60" s="444"/>
      <c r="B60" s="444"/>
      <c r="C60" s="445"/>
      <c r="D60" s="445" t="s">
        <v>44</v>
      </c>
      <c r="E60" s="440"/>
      <c r="F60" s="446"/>
      <c r="G60" s="447">
        <f t="shared" ref="G60:L60" si="0">G61</f>
        <v>75.08</v>
      </c>
      <c r="H60" s="448" t="str">
        <f t="shared" si="0"/>
        <v>)*(1.67-1)</v>
      </c>
      <c r="I60" s="446">
        <f t="shared" si="0"/>
        <v>1.0669999999999999</v>
      </c>
      <c r="J60" s="443">
        <f t="shared" si="0"/>
        <v>373.46</v>
      </c>
      <c r="K60" s="446">
        <f t="shared" si="0"/>
        <v>24.23</v>
      </c>
      <c r="L60" s="443">
        <f t="shared" si="0"/>
        <v>9049.02</v>
      </c>
    </row>
    <row r="61" spans="1:27" ht="14.25" x14ac:dyDescent="0.2">
      <c r="A61" s="444"/>
      <c r="B61" s="444"/>
      <c r="C61" s="445"/>
      <c r="D61" s="445" t="s">
        <v>45</v>
      </c>
      <c r="E61" s="440"/>
      <c r="F61" s="446"/>
      <c r="G61" s="447">
        <f>[91]Source!AN135</f>
        <v>75.08</v>
      </c>
      <c r="H61" s="448" t="s">
        <v>53</v>
      </c>
      <c r="I61" s="446">
        <f>[91]Source!AV135</f>
        <v>1.0669999999999999</v>
      </c>
      <c r="J61" s="443">
        <f>ROUND(F49*G61*I61*(1.67-1), 2)</f>
        <v>373.46</v>
      </c>
      <c r="K61" s="446">
        <f>IF([91]Source!BS135&lt;&gt; 0, [91]Source!BS135, 1)</f>
        <v>24.23</v>
      </c>
      <c r="L61" s="443">
        <f>ROUND(F49*G61*I61*(1.67-1)*K61, 2)</f>
        <v>9049.02</v>
      </c>
      <c r="W61" s="459">
        <f>J61</f>
        <v>373.46</v>
      </c>
    </row>
    <row r="62" spans="1:27" ht="14.25" x14ac:dyDescent="0.2">
      <c r="A62" s="444"/>
      <c r="B62" s="444"/>
      <c r="C62" s="445"/>
      <c r="D62" s="445" t="s">
        <v>50</v>
      </c>
      <c r="E62" s="440" t="s">
        <v>48</v>
      </c>
      <c r="F62" s="446">
        <f>175</f>
        <v>175</v>
      </c>
      <c r="G62" s="447"/>
      <c r="H62" s="440"/>
      <c r="I62" s="446"/>
      <c r="J62" s="443">
        <f>ROUND(J61*(F62/100), 2)</f>
        <v>653.55999999999995</v>
      </c>
      <c r="K62" s="446">
        <f>157</f>
        <v>157</v>
      </c>
      <c r="L62" s="443">
        <f>ROUND(L61*(K62/100), 2)</f>
        <v>14206.96</v>
      </c>
    </row>
    <row r="63" spans="1:27" ht="15" x14ac:dyDescent="0.25">
      <c r="I63" s="639">
        <f>J62+J61</f>
        <v>1027.02</v>
      </c>
      <c r="J63" s="639"/>
      <c r="K63" s="639">
        <f>L62+L61</f>
        <v>23255.98</v>
      </c>
      <c r="L63" s="639"/>
      <c r="O63" s="1083">
        <f>I63</f>
        <v>1027.02</v>
      </c>
      <c r="P63" s="1083">
        <f>K63</f>
        <v>23255.98</v>
      </c>
      <c r="X63" s="459">
        <f>IF([91]Source!BI135&lt;=1,I63, 0)</f>
        <v>0</v>
      </c>
      <c r="Y63" s="459">
        <f>IF([91]Source!BI135=2,I63, 0)</f>
        <v>1027.02</v>
      </c>
      <c r="Z63" s="459">
        <f>IF([91]Source!BI135=3,I63, 0)</f>
        <v>0</v>
      </c>
      <c r="AA63" s="459">
        <f>IF([91]Source!BI135=4,I63, 0)</f>
        <v>0</v>
      </c>
    </row>
    <row r="65" spans="1:27" ht="15" x14ac:dyDescent="0.25">
      <c r="A65" s="449"/>
      <c r="B65" s="449"/>
      <c r="C65" s="450"/>
      <c r="D65" s="450" t="s">
        <v>134</v>
      </c>
      <c r="E65" s="451"/>
      <c r="F65" s="452"/>
      <c r="G65" s="453"/>
      <c r="H65" s="454"/>
      <c r="I65" s="639">
        <f>I58+I63</f>
        <v>12590.69</v>
      </c>
      <c r="J65" s="639"/>
      <c r="K65" s="639">
        <f>K58+K63</f>
        <v>214091.77</v>
      </c>
      <c r="L65" s="639"/>
    </row>
    <row r="66" spans="1:27" ht="57" x14ac:dyDescent="0.2">
      <c r="A66" s="478">
        <v>2</v>
      </c>
      <c r="B66" s="478" t="str">
        <f>[91]Source!E137</f>
        <v>17</v>
      </c>
      <c r="C66" s="439" t="str">
        <f>[91]Source!F137</f>
        <v>4.8-79-4</v>
      </c>
      <c r="D66" s="439" t="s">
        <v>207</v>
      </c>
      <c r="E66" s="440" t="str">
        <f>[91]Source!H137</f>
        <v>100 М КАБЕЛЯ</v>
      </c>
      <c r="F66" s="270">
        <f>[91]Source!I137</f>
        <v>6.2720000000000002</v>
      </c>
      <c r="G66" s="441"/>
      <c r="H66" s="442"/>
      <c r="I66" s="270"/>
      <c r="J66" s="480"/>
      <c r="K66" s="270"/>
      <c r="L66" s="480"/>
      <c r="Q66" s="459">
        <f>ROUND(([91]Source!DN137/100)*ROUND((ROUND(([91]Source!AF137*[91]Source!AV137*[91]Source!I137),2)),2), 2)</f>
        <v>3364.48</v>
      </c>
      <c r="R66" s="459">
        <f>[91]Source!X137</f>
        <v>65508.23</v>
      </c>
      <c r="S66" s="459">
        <f>ROUND(([91]Source!DO137/100)*ROUND((ROUND(([91]Source!AF137*[91]Source!AV137*[91]Source!I137),2)),2), 2)</f>
        <v>2102.8000000000002</v>
      </c>
      <c r="T66" s="459">
        <f>[91]Source!Y137</f>
        <v>31298.38</v>
      </c>
      <c r="U66" s="459">
        <f>ROUND((175/100)*ROUND((ROUND(([91]Source!AE137*[91]Source!AV137*[91]Source!I137),2)),2), 2)</f>
        <v>2112.85</v>
      </c>
      <c r="V66" s="459">
        <f>ROUND((157/100)*ROUND(ROUND((ROUND(([91]Source!AE137*[91]Source!AV137*[91]Source!I137),2)*[91]Source!BS137),2), 2), 2)</f>
        <v>45928.54</v>
      </c>
    </row>
    <row r="67" spans="1:27" ht="14.25" x14ac:dyDescent="0.2">
      <c r="A67" s="478"/>
      <c r="B67" s="478"/>
      <c r="C67" s="439"/>
      <c r="D67" s="439" t="s">
        <v>43</v>
      </c>
      <c r="E67" s="440"/>
      <c r="F67" s="270"/>
      <c r="G67" s="441">
        <f>[91]Source!AO137</f>
        <v>268.79000000000002</v>
      </c>
      <c r="H67" s="442" t="str">
        <f>[91]Source!DG137</f>
        <v>)*1,67</v>
      </c>
      <c r="I67" s="270">
        <f>[91]Source!AV137</f>
        <v>1.0669999999999999</v>
      </c>
      <c r="J67" s="480">
        <f>ROUND((ROUND(([91]Source!AF137*[91]Source!AV137*[91]Source!I137),2)),2)</f>
        <v>3004</v>
      </c>
      <c r="K67" s="270">
        <f>IF([91]Source!BA137&lt;&gt; 0, [91]Source!BA137, 1)</f>
        <v>24.23</v>
      </c>
      <c r="L67" s="480">
        <f>[91]Source!S137</f>
        <v>72786.92</v>
      </c>
      <c r="W67" s="459">
        <f>J67</f>
        <v>3004</v>
      </c>
    </row>
    <row r="68" spans="1:27" ht="14.25" x14ac:dyDescent="0.2">
      <c r="A68" s="478"/>
      <c r="B68" s="478"/>
      <c r="C68" s="439"/>
      <c r="D68" s="439" t="s">
        <v>44</v>
      </c>
      <c r="E68" s="440"/>
      <c r="F68" s="270"/>
      <c r="G68" s="441">
        <f>[91]Source!AM137</f>
        <v>652.54999999999995</v>
      </c>
      <c r="H68" s="442">
        <f>[91]Source!DE137</f>
        <v>0</v>
      </c>
      <c r="I68" s="270">
        <f>[91]Source!AV137</f>
        <v>1.0669999999999999</v>
      </c>
      <c r="J68" s="480">
        <f>(ROUND((ROUND((([91]Source!ET137)*[91]Source!AV137*[91]Source!I137),2)),2)+ROUND((ROUND((([91]Source!AE137-([91]Source!EU137))*[91]Source!AV137*[91]Source!I137),2)),2))-J77</f>
        <v>4367.01</v>
      </c>
      <c r="K68" s="270">
        <f>IF([91]Source!BB137&lt;&gt; 0, [91]Source!BB137, 1)</f>
        <v>8.65</v>
      </c>
      <c r="L68" s="480">
        <f>[91]Source!Q137-L77</f>
        <v>37774.550000000003</v>
      </c>
    </row>
    <row r="69" spans="1:27" ht="14.25" x14ac:dyDescent="0.2">
      <c r="A69" s="478"/>
      <c r="B69" s="478"/>
      <c r="C69" s="439"/>
      <c r="D69" s="439" t="s">
        <v>45</v>
      </c>
      <c r="E69" s="440"/>
      <c r="F69" s="270"/>
      <c r="G69" s="441">
        <f>[91]Source!AN137</f>
        <v>108.03</v>
      </c>
      <c r="H69" s="442">
        <f>[91]Source!DE137</f>
        <v>0</v>
      </c>
      <c r="I69" s="270">
        <f>[91]Source!AV137</f>
        <v>1.0669999999999999</v>
      </c>
      <c r="J69" s="443">
        <f>ROUND((ROUND(([91]Source!AE137*[91]Source!AV137*[91]Source!I137),2)),2)-J78</f>
        <v>722.96</v>
      </c>
      <c r="K69" s="270">
        <f>IF([91]Source!BS137&lt;&gt; 0, [91]Source!BS137, 1)</f>
        <v>24.23</v>
      </c>
      <c r="L69" s="443">
        <f>[91]Source!R137-L78</f>
        <v>17517.23</v>
      </c>
      <c r="W69" s="459">
        <f>J69</f>
        <v>722.96</v>
      </c>
    </row>
    <row r="70" spans="1:27" ht="14.25" x14ac:dyDescent="0.2">
      <c r="A70" s="478"/>
      <c r="B70" s="478"/>
      <c r="C70" s="439"/>
      <c r="D70" s="439" t="s">
        <v>46</v>
      </c>
      <c r="E70" s="440"/>
      <c r="F70" s="270"/>
      <c r="G70" s="441">
        <f>[91]Source!AL137</f>
        <v>28.07</v>
      </c>
      <c r="H70" s="442">
        <f>[91]Source!DD137</f>
        <v>0</v>
      </c>
      <c r="I70" s="270">
        <f>[91]Source!AW137</f>
        <v>1.081</v>
      </c>
      <c r="J70" s="480">
        <f>ROUND((ROUND(([91]Source!AC137*[91]Source!AW137*[91]Source!I137),2)),2)</f>
        <v>190.32</v>
      </c>
      <c r="K70" s="270">
        <f>IF([91]Source!BC137&lt;&gt; 0, [91]Source!BC137, 1)</f>
        <v>5.58</v>
      </c>
      <c r="L70" s="480">
        <f>[91]Source!P137</f>
        <v>1061.99</v>
      </c>
    </row>
    <row r="71" spans="1:27" ht="14.25" x14ac:dyDescent="0.2">
      <c r="A71" s="478"/>
      <c r="B71" s="478"/>
      <c r="C71" s="439"/>
      <c r="D71" s="439" t="s">
        <v>47</v>
      </c>
      <c r="E71" s="440" t="s">
        <v>48</v>
      </c>
      <c r="F71" s="270">
        <f>[91]Source!DN137</f>
        <v>112</v>
      </c>
      <c r="G71" s="441"/>
      <c r="H71" s="442"/>
      <c r="I71" s="270"/>
      <c r="J71" s="480">
        <f>SUM(Q66:Q70)</f>
        <v>3364.48</v>
      </c>
      <c r="K71" s="270">
        <f>[91]Source!BZ137</f>
        <v>90</v>
      </c>
      <c r="L71" s="480">
        <f>SUM(R66:R70)</f>
        <v>65508.23</v>
      </c>
    </row>
    <row r="72" spans="1:27" ht="14.25" x14ac:dyDescent="0.2">
      <c r="A72" s="478"/>
      <c r="B72" s="478"/>
      <c r="C72" s="439"/>
      <c r="D72" s="439" t="s">
        <v>49</v>
      </c>
      <c r="E72" s="440" t="s">
        <v>48</v>
      </c>
      <c r="F72" s="270">
        <f>[91]Source!DO137</f>
        <v>70</v>
      </c>
      <c r="G72" s="441"/>
      <c r="H72" s="442"/>
      <c r="I72" s="270"/>
      <c r="J72" s="480">
        <f>SUM(S66:S71)</f>
        <v>2102.8000000000002</v>
      </c>
      <c r="K72" s="270">
        <f>[91]Source!CA137</f>
        <v>43</v>
      </c>
      <c r="L72" s="480">
        <f>SUM(T66:T71)</f>
        <v>31298.38</v>
      </c>
    </row>
    <row r="73" spans="1:27" ht="14.25" x14ac:dyDescent="0.2">
      <c r="A73" s="478"/>
      <c r="B73" s="478"/>
      <c r="C73" s="439"/>
      <c r="D73" s="439" t="s">
        <v>50</v>
      </c>
      <c r="E73" s="440" t="s">
        <v>48</v>
      </c>
      <c r="F73" s="270">
        <f>175</f>
        <v>175</v>
      </c>
      <c r="G73" s="441"/>
      <c r="H73" s="442"/>
      <c r="I73" s="270"/>
      <c r="J73" s="480">
        <f>SUM(U66:U72)-J79</f>
        <v>1265.18</v>
      </c>
      <c r="K73" s="270">
        <f>157</f>
        <v>157</v>
      </c>
      <c r="L73" s="480">
        <f>SUM(V66:V72)-L79</f>
        <v>27502.05</v>
      </c>
    </row>
    <row r="74" spans="1:27" ht="14.25" x14ac:dyDescent="0.2">
      <c r="A74" s="478"/>
      <c r="B74" s="478"/>
      <c r="C74" s="439"/>
      <c r="D74" s="439" t="s">
        <v>51</v>
      </c>
      <c r="E74" s="440" t="s">
        <v>52</v>
      </c>
      <c r="F74" s="270">
        <f>[91]Source!AQ137</f>
        <v>21.8</v>
      </c>
      <c r="G74" s="441"/>
      <c r="H74" s="442">
        <f>[91]Source!DI137</f>
        <v>0</v>
      </c>
      <c r="I74" s="270">
        <f>[91]Source!AV137</f>
        <v>1.0669999999999999</v>
      </c>
      <c r="J74" s="480">
        <f>[91]Source!U137</f>
        <v>145.88999999999999</v>
      </c>
      <c r="K74" s="270"/>
      <c r="L74" s="480"/>
    </row>
    <row r="75" spans="1:27" ht="15" x14ac:dyDescent="0.25">
      <c r="I75" s="639">
        <f>J67+J68+J70+J71+J72+J73</f>
        <v>14293.79</v>
      </c>
      <c r="J75" s="639"/>
      <c r="K75" s="639">
        <f>L67+L68+L70+L71+L72+L73</f>
        <v>235932.12</v>
      </c>
      <c r="L75" s="639"/>
      <c r="O75" s="1083">
        <f>J67+J68+J70+J71+J72+J73</f>
        <v>14293.79</v>
      </c>
      <c r="P75" s="1083">
        <f>L67+L68+L70+L71+L72+L73</f>
        <v>235932.12</v>
      </c>
      <c r="X75" s="459">
        <f>IF([91]Source!BI137&lt;=1,J67+J68+J70+J71+J72+J73-0, 0)</f>
        <v>0</v>
      </c>
      <c r="Y75" s="459">
        <f>IF([91]Source!BI137=2,J67+J68+J70+J71+J72+J73-0, 0)</f>
        <v>14293.79</v>
      </c>
      <c r="Z75" s="459">
        <f>IF([91]Source!BI137=3,J67+J68+J70+J71+J72+J73-0, 0)</f>
        <v>0</v>
      </c>
      <c r="AA75" s="459">
        <f>IF([91]Source!BI137=4,J67+J68+J70+J71+J72+J73,0)</f>
        <v>0</v>
      </c>
    </row>
    <row r="76" spans="1:27" ht="28.5" x14ac:dyDescent="0.2">
      <c r="A76" s="444"/>
      <c r="B76" s="444"/>
      <c r="C76" s="445"/>
      <c r="D76" s="445" t="s">
        <v>133</v>
      </c>
      <c r="E76" s="440"/>
      <c r="F76" s="446"/>
      <c r="G76" s="447"/>
      <c r="H76" s="440"/>
      <c r="I76" s="446"/>
      <c r="J76" s="443"/>
      <c r="K76" s="446"/>
      <c r="L76" s="443"/>
    </row>
    <row r="77" spans="1:27" ht="14.25" x14ac:dyDescent="0.2">
      <c r="A77" s="444"/>
      <c r="B77" s="444"/>
      <c r="C77" s="445"/>
      <c r="D77" s="445" t="s">
        <v>44</v>
      </c>
      <c r="E77" s="440"/>
      <c r="F77" s="446"/>
      <c r="G77" s="447">
        <f t="shared" ref="G77:L77" si="1">G78</f>
        <v>108.03</v>
      </c>
      <c r="H77" s="448" t="str">
        <f t="shared" si="1"/>
        <v>)*(1.67-1)</v>
      </c>
      <c r="I77" s="446">
        <f t="shared" si="1"/>
        <v>1.0669999999999999</v>
      </c>
      <c r="J77" s="443">
        <f t="shared" si="1"/>
        <v>484.38</v>
      </c>
      <c r="K77" s="446">
        <f t="shared" si="1"/>
        <v>24.23</v>
      </c>
      <c r="L77" s="443">
        <f t="shared" si="1"/>
        <v>11736.62</v>
      </c>
    </row>
    <row r="78" spans="1:27" ht="14.25" x14ac:dyDescent="0.2">
      <c r="A78" s="444"/>
      <c r="B78" s="444"/>
      <c r="C78" s="445"/>
      <c r="D78" s="445" t="s">
        <v>45</v>
      </c>
      <c r="E78" s="440"/>
      <c r="F78" s="446"/>
      <c r="G78" s="447">
        <f>[91]Source!AN137</f>
        <v>108.03</v>
      </c>
      <c r="H78" s="448" t="s">
        <v>53</v>
      </c>
      <c r="I78" s="446">
        <f>[91]Source!AV137</f>
        <v>1.0669999999999999</v>
      </c>
      <c r="J78" s="443">
        <f>ROUND(F66*G78*I78*(1.67-1), 2)</f>
        <v>484.38</v>
      </c>
      <c r="K78" s="446">
        <f>IF([91]Source!BS137&lt;&gt; 0, [91]Source!BS137, 1)</f>
        <v>24.23</v>
      </c>
      <c r="L78" s="443">
        <f>ROUND(F66*G78*I78*(1.67-1)*K78, 2)</f>
        <v>11736.62</v>
      </c>
      <c r="W78" s="459">
        <f>J78</f>
        <v>484.38</v>
      </c>
    </row>
    <row r="79" spans="1:27" ht="14.25" x14ac:dyDescent="0.2">
      <c r="A79" s="444"/>
      <c r="B79" s="444"/>
      <c r="C79" s="445"/>
      <c r="D79" s="445" t="s">
        <v>50</v>
      </c>
      <c r="E79" s="440" t="s">
        <v>48</v>
      </c>
      <c r="F79" s="446">
        <f>175</f>
        <v>175</v>
      </c>
      <c r="G79" s="447"/>
      <c r="H79" s="440"/>
      <c r="I79" s="446"/>
      <c r="J79" s="443">
        <f>ROUND(J78*(F79/100), 2)</f>
        <v>847.67</v>
      </c>
      <c r="K79" s="446">
        <f>157</f>
        <v>157</v>
      </c>
      <c r="L79" s="443">
        <f>ROUND(L78*(K79/100), 2)</f>
        <v>18426.490000000002</v>
      </c>
    </row>
    <row r="80" spans="1:27" ht="15" x14ac:dyDescent="0.25">
      <c r="I80" s="639">
        <f>J79+J78</f>
        <v>1332.05</v>
      </c>
      <c r="J80" s="639"/>
      <c r="K80" s="639">
        <f>L79+L78</f>
        <v>30163.11</v>
      </c>
      <c r="L80" s="639"/>
      <c r="O80" s="1083">
        <f>I80</f>
        <v>1332.05</v>
      </c>
      <c r="P80" s="1083">
        <f>K80</f>
        <v>30163.11</v>
      </c>
      <c r="X80" s="459">
        <f>IF([91]Source!BI137&lt;=1,I80, 0)</f>
        <v>0</v>
      </c>
      <c r="Y80" s="459">
        <f>IF([91]Source!BI137=2,I80, 0)</f>
        <v>1332.05</v>
      </c>
      <c r="Z80" s="459">
        <f>IF([91]Source!BI137=3,I80, 0)</f>
        <v>0</v>
      </c>
      <c r="AA80" s="459">
        <f>IF([91]Source!BI137=4,I80, 0)</f>
        <v>0</v>
      </c>
    </row>
    <row r="82" spans="1:27" ht="15" x14ac:dyDescent="0.25">
      <c r="A82" s="449"/>
      <c r="B82" s="449"/>
      <c r="C82" s="450"/>
      <c r="D82" s="450" t="s">
        <v>134</v>
      </c>
      <c r="E82" s="451"/>
      <c r="F82" s="452"/>
      <c r="G82" s="453"/>
      <c r="H82" s="454"/>
      <c r="I82" s="639">
        <f>I75+I80</f>
        <v>15625.84</v>
      </c>
      <c r="J82" s="639"/>
      <c r="K82" s="639">
        <f>K75+K80</f>
        <v>266095.23</v>
      </c>
      <c r="L82" s="639"/>
    </row>
    <row r="84" spans="1:27" ht="15" x14ac:dyDescent="0.25">
      <c r="A84" s="634" t="str">
        <f>CONCATENATE("Итого по подразделу: ",IF([91]Source!G163&lt;&gt;"Новый подраздел", [91]Source!G163, ""))</f>
        <v>Итого по подразделу: Кабели и кабельные изделия</v>
      </c>
      <c r="B84" s="634"/>
      <c r="C84" s="634"/>
      <c r="D84" s="634"/>
      <c r="E84" s="634"/>
      <c r="F84" s="634"/>
      <c r="G84" s="634"/>
      <c r="H84" s="634"/>
      <c r="I84" s="640">
        <f>SUM(O48:O83)</f>
        <v>28216.53</v>
      </c>
      <c r="J84" s="641"/>
      <c r="K84" s="640">
        <f>SUM(P48:P83)</f>
        <v>480187</v>
      </c>
      <c r="L84" s="641"/>
    </row>
    <row r="85" spans="1:27" hidden="1" x14ac:dyDescent="0.2">
      <c r="A85" s="459" t="s">
        <v>54</v>
      </c>
      <c r="I85" s="459">
        <f>SUM(AC48:AC84)</f>
        <v>0</v>
      </c>
      <c r="K85" s="459">
        <f>SUM(AD48:AD84)</f>
        <v>0</v>
      </c>
    </row>
    <row r="86" spans="1:27" hidden="1" x14ac:dyDescent="0.2">
      <c r="A86" s="459" t="s">
        <v>55</v>
      </c>
      <c r="I86" s="459">
        <f>SUM(AE48:AE85)</f>
        <v>0</v>
      </c>
      <c r="K86" s="459">
        <f>SUM(AF48:AF85)</f>
        <v>0</v>
      </c>
    </row>
    <row r="88" spans="1:27" hidden="1" x14ac:dyDescent="0.2">
      <c r="A88" s="459" t="s">
        <v>54</v>
      </c>
      <c r="I88" s="459" t="e">
        <f>SUM(#REF!)</f>
        <v>#REF!</v>
      </c>
      <c r="K88" s="459" t="e">
        <f>SUM(#REF!)</f>
        <v>#REF!</v>
      </c>
    </row>
    <row r="89" spans="1:27" hidden="1" x14ac:dyDescent="0.2">
      <c r="A89" s="459" t="s">
        <v>55</v>
      </c>
      <c r="I89" s="459">
        <f>SUM(AE88:AE88)</f>
        <v>0</v>
      </c>
      <c r="K89" s="459">
        <f>SUM(AF88:AF88)</f>
        <v>0</v>
      </c>
    </row>
    <row r="91" spans="1:27" ht="16.5" x14ac:dyDescent="0.25">
      <c r="A91" s="642" t="str">
        <f>CONCATENATE("Подраздел: ",IF([91]Source!G389&lt;&gt;"Новый подраздел", [91]Source!G389, ""))</f>
        <v>Подраздел: Кабели и кабельная продукция</v>
      </c>
      <c r="B91" s="642"/>
      <c r="C91" s="642"/>
      <c r="D91" s="642"/>
      <c r="E91" s="642"/>
      <c r="F91" s="642"/>
      <c r="G91" s="642"/>
      <c r="H91" s="642"/>
      <c r="I91" s="642"/>
      <c r="J91" s="642"/>
      <c r="K91" s="642"/>
      <c r="L91" s="642"/>
    </row>
    <row r="92" spans="1:27" ht="54" x14ac:dyDescent="0.2">
      <c r="A92" s="643">
        <v>3</v>
      </c>
      <c r="B92" s="643" t="str">
        <f>[91]Source!E426</f>
        <v>74</v>
      </c>
      <c r="C92" s="455" t="s">
        <v>589</v>
      </c>
      <c r="D92" s="455" t="s">
        <v>590</v>
      </c>
      <c r="E92" s="440"/>
      <c r="F92" s="270"/>
      <c r="G92" s="480"/>
      <c r="H92" s="442"/>
      <c r="I92" s="270"/>
      <c r="J92" s="480"/>
      <c r="K92" s="270"/>
      <c r="L92" s="480"/>
      <c r="M92" s="1084"/>
      <c r="Q92" s="459">
        <f>ROUND(([91]Source!DN426/100)*ROUND((ROUND(([91]Source!AF426*[91]Source!AV426*[91]Source!I426),2)),2), 2)</f>
        <v>0</v>
      </c>
      <c r="R92" s="459">
        <f>[91]Source!X426</f>
        <v>0</v>
      </c>
      <c r="S92" s="459">
        <f>ROUND(([91]Source!DO426/100)*ROUND((ROUND(([91]Source!AF426*[91]Source!AV426*[91]Source!I426),2)),2), 2)</f>
        <v>0</v>
      </c>
      <c r="T92" s="459">
        <f>[91]Source!Y426</f>
        <v>0</v>
      </c>
      <c r="U92" s="459">
        <f>ROUND((175/100)*ROUND((ROUND(([91]Source!AE426*[91]Source!AV426*[91]Source!I426),2)),2), 2)</f>
        <v>0</v>
      </c>
      <c r="V92" s="459">
        <f>ROUND((157/100)*ROUND(ROUND((ROUND(([91]Source!AE426*[91]Source!AV426*[91]Source!I426),2)*[91]Source!BS426),2), 2), 2)</f>
        <v>0</v>
      </c>
    </row>
    <row r="93" spans="1:27" ht="28.5" x14ac:dyDescent="0.2">
      <c r="A93" s="644"/>
      <c r="B93" s="644"/>
      <c r="C93" s="439" t="s">
        <v>586</v>
      </c>
      <c r="D93" s="439" t="s">
        <v>585</v>
      </c>
      <c r="E93" s="440" t="s">
        <v>290</v>
      </c>
      <c r="F93" s="270">
        <v>0.71</v>
      </c>
      <c r="G93" s="480">
        <f>J93/F93</f>
        <v>323209.84999999998</v>
      </c>
      <c r="H93" s="442"/>
      <c r="I93" s="270"/>
      <c r="J93" s="480">
        <f>L93/K93</f>
        <v>229478.99</v>
      </c>
      <c r="K93" s="270">
        <v>5.58</v>
      </c>
      <c r="L93" s="480">
        <f>1803510.95*F93</f>
        <v>1280492.77</v>
      </c>
      <c r="M93" s="1084"/>
    </row>
    <row r="94" spans="1:27" ht="15" x14ac:dyDescent="0.25">
      <c r="A94" s="458"/>
      <c r="B94" s="458"/>
      <c r="C94" s="458"/>
      <c r="D94" s="458"/>
      <c r="E94" s="458"/>
      <c r="F94" s="458"/>
      <c r="G94" s="458"/>
      <c r="H94" s="458"/>
      <c r="I94" s="639">
        <f>J93</f>
        <v>229478.99</v>
      </c>
      <c r="J94" s="639"/>
      <c r="K94" s="639">
        <f>L93</f>
        <v>1280492.77</v>
      </c>
      <c r="L94" s="639"/>
      <c r="O94" s="1083">
        <f>J92</f>
        <v>0</v>
      </c>
      <c r="P94" s="1083">
        <f>L92</f>
        <v>0</v>
      </c>
      <c r="X94" s="459">
        <f>IF([91]Source!BI426&lt;=1,J92-0, 0)</f>
        <v>0</v>
      </c>
      <c r="Y94" s="459">
        <f>IF([91]Source!BI426=2,J92-0, 0)</f>
        <v>0</v>
      </c>
      <c r="Z94" s="459">
        <f>IF([91]Source!BI426=3,J92-0, 0)</f>
        <v>0</v>
      </c>
      <c r="AA94" s="459">
        <f>IF([91]Source!BI426=4,J92,0)</f>
        <v>0</v>
      </c>
    </row>
    <row r="95" spans="1:27" ht="68.25" x14ac:dyDescent="0.2">
      <c r="A95" s="643">
        <v>4</v>
      </c>
      <c r="B95" s="643" t="str">
        <f>[91]Source!E430</f>
        <v>76</v>
      </c>
      <c r="C95" s="455" t="s">
        <v>589</v>
      </c>
      <c r="D95" s="455" t="s">
        <v>591</v>
      </c>
      <c r="E95" s="440"/>
      <c r="F95" s="270"/>
      <c r="G95" s="480"/>
      <c r="H95" s="442"/>
      <c r="I95" s="270"/>
      <c r="J95" s="480"/>
      <c r="K95" s="270"/>
      <c r="L95" s="480"/>
      <c r="M95" s="1084"/>
      <c r="Q95" s="459">
        <f>ROUND(([91]Source!DN430/100)*ROUND((ROUND(([91]Source!AF430*[91]Source!AV430*[91]Source!I430),2)),2), 2)</f>
        <v>0</v>
      </c>
      <c r="R95" s="459">
        <f>[91]Source!X430</f>
        <v>0</v>
      </c>
      <c r="S95" s="459">
        <f>ROUND(([91]Source!DO430/100)*ROUND((ROUND(([91]Source!AF430*[91]Source!AV430*[91]Source!I430),2)),2), 2)</f>
        <v>0</v>
      </c>
      <c r="T95" s="459">
        <f>[91]Source!Y430</f>
        <v>0</v>
      </c>
      <c r="U95" s="459">
        <f>ROUND((175/100)*ROUND((ROUND(([91]Source!AE430*[91]Source!AV430*[91]Source!I430),2)),2), 2)</f>
        <v>0</v>
      </c>
      <c r="V95" s="459">
        <f>ROUND((157/100)*ROUND(ROUND((ROUND(([91]Source!AE430*[91]Source!AV430*[91]Source!I430),2)*[91]Source!BS430),2), 2), 2)</f>
        <v>0</v>
      </c>
    </row>
    <row r="96" spans="1:27" ht="28.5" x14ac:dyDescent="0.2">
      <c r="A96" s="644"/>
      <c r="B96" s="644"/>
      <c r="C96" s="439" t="s">
        <v>587</v>
      </c>
      <c r="D96" s="439" t="s">
        <v>588</v>
      </c>
      <c r="E96" s="440" t="s">
        <v>290</v>
      </c>
      <c r="F96" s="270">
        <v>0.64</v>
      </c>
      <c r="G96" s="480">
        <f>J96/F96</f>
        <v>460634.44</v>
      </c>
      <c r="H96" s="442"/>
      <c r="I96" s="270"/>
      <c r="J96" s="480">
        <f>L96/K96</f>
        <v>294806.03999999998</v>
      </c>
      <c r="K96" s="270">
        <v>5.58</v>
      </c>
      <c r="L96" s="480">
        <f>2570340.12*F96</f>
        <v>1645017.68</v>
      </c>
      <c r="M96" s="1084"/>
    </row>
    <row r="97" spans="1:27" ht="15" x14ac:dyDescent="0.25">
      <c r="A97" s="458"/>
      <c r="B97" s="458"/>
      <c r="C97" s="458"/>
      <c r="D97" s="458"/>
      <c r="E97" s="458"/>
      <c r="F97" s="458"/>
      <c r="G97" s="458"/>
      <c r="H97" s="458"/>
      <c r="I97" s="639">
        <f>J96</f>
        <v>294806.03999999998</v>
      </c>
      <c r="J97" s="639"/>
      <c r="K97" s="639">
        <f>L96</f>
        <v>1645017.68</v>
      </c>
      <c r="L97" s="639"/>
      <c r="O97" s="1083">
        <f>J95</f>
        <v>0</v>
      </c>
      <c r="P97" s="1083">
        <f>L95</f>
        <v>0</v>
      </c>
      <c r="X97" s="459">
        <f>IF([91]Source!BI430&lt;=1,J95-0, 0)</f>
        <v>0</v>
      </c>
      <c r="Y97" s="459">
        <f>IF([91]Source!BI430=2,J95-0, 0)</f>
        <v>0</v>
      </c>
      <c r="Z97" s="459">
        <f>IF([91]Source!BI430=3,J95-0, 0)</f>
        <v>0</v>
      </c>
      <c r="AA97" s="459">
        <f>IF([91]Source!BI430=4,J95,0)</f>
        <v>0</v>
      </c>
    </row>
    <row r="99" spans="1:27" ht="15" x14ac:dyDescent="0.25">
      <c r="A99" s="634" t="str">
        <f>CONCATENATE("Итого по подразделу: ",IF([91]Source!G468&lt;&gt;"Новый подраздел", [91]Source!G468, ""))</f>
        <v>Итого по подразделу: Кабели и кабельная продукция</v>
      </c>
      <c r="B99" s="634"/>
      <c r="C99" s="634"/>
      <c r="D99" s="634"/>
      <c r="E99" s="634"/>
      <c r="F99" s="634"/>
      <c r="G99" s="634"/>
      <c r="H99" s="634"/>
      <c r="I99" s="640">
        <f>I97+I94</f>
        <v>524285.03</v>
      </c>
      <c r="J99" s="641"/>
      <c r="K99" s="640">
        <f>K97+K94</f>
        <v>2925510.45</v>
      </c>
      <c r="L99" s="641"/>
    </row>
    <row r="100" spans="1:27" hidden="1" x14ac:dyDescent="0.2">
      <c r="A100" s="459" t="s">
        <v>54</v>
      </c>
      <c r="I100" s="459">
        <f>SUM(AC91:AC99)</f>
        <v>0</v>
      </c>
      <c r="K100" s="459">
        <f>SUM(AD91:AD99)</f>
        <v>0</v>
      </c>
    </row>
    <row r="101" spans="1:27" hidden="1" x14ac:dyDescent="0.2">
      <c r="A101" s="459" t="s">
        <v>55</v>
      </c>
      <c r="I101" s="459">
        <f>SUM(AE91:AE100)</f>
        <v>0</v>
      </c>
      <c r="K101" s="459">
        <f>SUM(AF91:AF100)</f>
        <v>0</v>
      </c>
    </row>
    <row r="103" spans="1:27" ht="15" x14ac:dyDescent="0.25">
      <c r="A103" s="634" t="s">
        <v>202</v>
      </c>
      <c r="B103" s="634"/>
      <c r="C103" s="634"/>
      <c r="D103" s="634"/>
      <c r="E103" s="634"/>
      <c r="F103" s="634"/>
      <c r="G103" s="634"/>
      <c r="H103" s="634"/>
      <c r="I103" s="640">
        <f>I99+I84</f>
        <v>552501.56000000006</v>
      </c>
      <c r="J103" s="641"/>
      <c r="K103" s="640">
        <f>K99+K84</f>
        <v>3405697.45</v>
      </c>
      <c r="L103" s="641"/>
    </row>
    <row r="104" spans="1:27" hidden="1" x14ac:dyDescent="0.2">
      <c r="A104" s="459" t="s">
        <v>54</v>
      </c>
      <c r="I104" s="459">
        <f>SUM(AC35:AC103)</f>
        <v>0</v>
      </c>
      <c r="K104" s="459">
        <f>SUM(AD35:AD103)</f>
        <v>0</v>
      </c>
    </row>
    <row r="105" spans="1:27" hidden="1" x14ac:dyDescent="0.2">
      <c r="A105" s="459" t="s">
        <v>55</v>
      </c>
      <c r="I105" s="459">
        <f>SUM(AE35:AE104)</f>
        <v>0</v>
      </c>
      <c r="K105" s="459">
        <f>SUM(AF35:AF104)</f>
        <v>0</v>
      </c>
    </row>
    <row r="107" spans="1:27" ht="14.25" x14ac:dyDescent="0.2">
      <c r="D107" s="635" t="s">
        <v>217</v>
      </c>
      <c r="E107" s="635"/>
      <c r="F107" s="635"/>
      <c r="G107" s="635"/>
      <c r="H107" s="635"/>
      <c r="I107" s="638">
        <f>J95+J92+J70+J53</f>
        <v>395.13</v>
      </c>
      <c r="J107" s="638"/>
      <c r="K107" s="638">
        <f>L95+L92+L70+L53</f>
        <v>2204.83</v>
      </c>
      <c r="L107" s="638"/>
    </row>
    <row r="108" spans="1:27" ht="14.25" x14ac:dyDescent="0.2">
      <c r="D108" s="635" t="s">
        <v>218</v>
      </c>
      <c r="E108" s="635"/>
      <c r="F108" s="635"/>
      <c r="G108" s="635"/>
      <c r="H108" s="635"/>
      <c r="I108" s="638">
        <f>J78+J69+J61+J52</f>
        <v>2138.21</v>
      </c>
      <c r="J108" s="638"/>
      <c r="K108" s="638">
        <f>L78+L69+L61+L52</f>
        <v>51808.83</v>
      </c>
      <c r="L108" s="638"/>
    </row>
    <row r="109" spans="1:27" ht="14.25" x14ac:dyDescent="0.2">
      <c r="D109" s="635" t="s">
        <v>219</v>
      </c>
      <c r="E109" s="635"/>
      <c r="F109" s="635"/>
      <c r="G109" s="635"/>
      <c r="H109" s="635"/>
      <c r="I109" s="638">
        <f>J67+J50</f>
        <v>5465.2</v>
      </c>
      <c r="J109" s="638"/>
      <c r="K109" s="638">
        <f>L67+L50</f>
        <v>132421.79999999999</v>
      </c>
      <c r="L109" s="638"/>
    </row>
    <row r="110" spans="1:27" ht="15" x14ac:dyDescent="0.25">
      <c r="D110" s="472"/>
      <c r="I110" s="477"/>
      <c r="J110" s="477"/>
      <c r="K110" s="456"/>
      <c r="L110" s="456"/>
    </row>
    <row r="111" spans="1:27" ht="14.25" hidden="1" x14ac:dyDescent="0.2">
      <c r="D111" s="472"/>
      <c r="E111" s="472"/>
      <c r="F111" s="472"/>
      <c r="G111" s="472"/>
      <c r="H111" s="472"/>
      <c r="I111" s="1085"/>
      <c r="J111" s="1085"/>
      <c r="K111" s="1085"/>
      <c r="L111" s="1085"/>
    </row>
    <row r="112" spans="1:27" ht="15" x14ac:dyDescent="0.25">
      <c r="D112" s="266" t="s">
        <v>271</v>
      </c>
      <c r="E112" s="266"/>
      <c r="F112" s="266"/>
      <c r="G112" s="266"/>
      <c r="H112" s="266"/>
      <c r="I112" s="267"/>
      <c r="J112" s="268">
        <v>0</v>
      </c>
      <c r="K112" s="267"/>
      <c r="L112" s="268">
        <v>0</v>
      </c>
    </row>
    <row r="113" spans="1:13" ht="15" x14ac:dyDescent="0.25">
      <c r="D113" s="266" t="s">
        <v>272</v>
      </c>
      <c r="E113" s="266"/>
      <c r="F113" s="266"/>
      <c r="G113" s="266"/>
      <c r="H113" s="266"/>
      <c r="I113" s="267"/>
      <c r="J113" s="268">
        <f>J93+J96</f>
        <v>524285.03</v>
      </c>
      <c r="K113" s="267"/>
      <c r="L113" s="268">
        <f>L93+L96</f>
        <v>2925510.45</v>
      </c>
      <c r="M113" s="459" t="s">
        <v>592</v>
      </c>
    </row>
    <row r="114" spans="1:13" ht="14.25" x14ac:dyDescent="0.2">
      <c r="D114" s="472"/>
      <c r="E114" s="472"/>
      <c r="F114" s="472"/>
      <c r="G114" s="472"/>
      <c r="H114" s="472"/>
      <c r="I114" s="1085"/>
      <c r="J114" s="1085"/>
      <c r="K114" s="1085"/>
      <c r="L114" s="1085"/>
    </row>
    <row r="115" spans="1:13" ht="14.25" x14ac:dyDescent="0.2">
      <c r="D115" s="472" t="s">
        <v>57</v>
      </c>
      <c r="J115" s="249">
        <f>I103-J113</f>
        <v>28216.53</v>
      </c>
      <c r="K115" s="249"/>
      <c r="L115" s="249">
        <f>K103-L113</f>
        <v>480187</v>
      </c>
    </row>
    <row r="116" spans="1:13" ht="14.25" x14ac:dyDescent="0.2">
      <c r="D116" s="472" t="s">
        <v>3</v>
      </c>
      <c r="J116" s="249">
        <f>J115</f>
        <v>28216.53</v>
      </c>
      <c r="K116" s="249"/>
      <c r="L116" s="249">
        <f>L115</f>
        <v>480187</v>
      </c>
    </row>
    <row r="117" spans="1:13" ht="14.25" x14ac:dyDescent="0.2">
      <c r="D117" s="472" t="s">
        <v>58</v>
      </c>
      <c r="J117" s="249">
        <f>I108+I109</f>
        <v>7603.41</v>
      </c>
      <c r="K117" s="249"/>
      <c r="L117" s="249">
        <f>K108+K109</f>
        <v>184230.63</v>
      </c>
    </row>
    <row r="118" spans="1:13" ht="14.25" x14ac:dyDescent="0.2">
      <c r="D118" s="472" t="s">
        <v>59</v>
      </c>
      <c r="J118" s="249">
        <f>I107</f>
        <v>395.13</v>
      </c>
      <c r="K118" s="249"/>
      <c r="L118" s="249">
        <f>K107</f>
        <v>2204.83</v>
      </c>
    </row>
    <row r="119" spans="1:13" ht="14.25" x14ac:dyDescent="0.2">
      <c r="D119" s="472" t="s">
        <v>60</v>
      </c>
      <c r="J119" s="250">
        <v>0</v>
      </c>
      <c r="K119" s="250"/>
      <c r="L119" s="250">
        <v>0</v>
      </c>
    </row>
    <row r="120" spans="1:13" ht="14.25" customHeight="1" x14ac:dyDescent="0.2">
      <c r="A120" s="256"/>
      <c r="B120" s="256"/>
      <c r="C120" s="256"/>
      <c r="D120" s="635" t="s">
        <v>266</v>
      </c>
      <c r="E120" s="635"/>
      <c r="F120" s="635"/>
      <c r="G120" s="635"/>
      <c r="H120" s="635"/>
      <c r="I120" s="635"/>
      <c r="J120" s="251">
        <f>J117*0.15</f>
        <v>1140.51</v>
      </c>
      <c r="L120" s="251">
        <f>L117*0.15</f>
        <v>27634.59</v>
      </c>
    </row>
    <row r="121" spans="1:13" ht="15" x14ac:dyDescent="0.25">
      <c r="A121" s="90"/>
      <c r="B121" s="90"/>
      <c r="C121" s="90"/>
      <c r="D121" s="634" t="s">
        <v>265</v>
      </c>
      <c r="E121" s="634"/>
      <c r="F121" s="634"/>
      <c r="G121" s="634"/>
      <c r="H121" s="634"/>
      <c r="J121" s="253">
        <f>J115+J120</f>
        <v>29357.040000000001</v>
      </c>
      <c r="L121" s="253">
        <f>L115+L120</f>
        <v>507821.59</v>
      </c>
    </row>
    <row r="122" spans="1:13" ht="14.25" x14ac:dyDescent="0.2">
      <c r="A122" s="256"/>
      <c r="B122" s="256"/>
      <c r="C122" s="256"/>
      <c r="D122" s="635"/>
      <c r="E122" s="635"/>
      <c r="F122" s="635"/>
      <c r="G122" s="635"/>
      <c r="H122" s="635"/>
      <c r="I122" s="636"/>
      <c r="J122" s="636"/>
      <c r="K122" s="636"/>
      <c r="L122" s="636"/>
    </row>
    <row r="123" spans="1:13" ht="15" x14ac:dyDescent="0.25">
      <c r="A123" s="90"/>
      <c r="B123" s="90"/>
      <c r="C123" s="90"/>
      <c r="D123" s="634" t="s">
        <v>296</v>
      </c>
      <c r="E123" s="634"/>
      <c r="F123" s="634"/>
      <c r="G123" s="634"/>
      <c r="H123" s="634"/>
      <c r="I123" s="90"/>
      <c r="J123" s="90"/>
      <c r="K123" s="90"/>
      <c r="L123" s="254">
        <f>L115*0.925</f>
        <v>444172.98</v>
      </c>
    </row>
    <row r="124" spans="1:13" ht="14.25" x14ac:dyDescent="0.2">
      <c r="D124" s="472" t="s">
        <v>3</v>
      </c>
      <c r="J124" s="249"/>
      <c r="K124" s="249"/>
      <c r="L124" s="249">
        <f>L116*0.925</f>
        <v>444172.98</v>
      </c>
    </row>
    <row r="125" spans="1:13" ht="14.25" x14ac:dyDescent="0.2">
      <c r="D125" s="472" t="s">
        <v>58</v>
      </c>
      <c r="J125" s="249"/>
      <c r="K125" s="249"/>
      <c r="L125" s="249">
        <f>L117*0.925</f>
        <v>170413.33</v>
      </c>
    </row>
    <row r="126" spans="1:13" ht="14.25" x14ac:dyDescent="0.2">
      <c r="D126" s="472" t="s">
        <v>59</v>
      </c>
      <c r="J126" s="249"/>
      <c r="K126" s="249"/>
      <c r="L126" s="249">
        <f>L118*0.925</f>
        <v>2039.47</v>
      </c>
    </row>
    <row r="127" spans="1:13" ht="14.25" x14ac:dyDescent="0.2">
      <c r="D127" s="472" t="s">
        <v>60</v>
      </c>
      <c r="J127" s="250"/>
      <c r="K127" s="250"/>
      <c r="L127" s="250">
        <f>L119*0.925</f>
        <v>0</v>
      </c>
    </row>
    <row r="128" spans="1:13" ht="14.25" customHeight="1" x14ac:dyDescent="0.2">
      <c r="A128" s="256"/>
      <c r="B128" s="256"/>
      <c r="C128" s="256"/>
      <c r="D128" s="635" t="s">
        <v>266</v>
      </c>
      <c r="E128" s="635"/>
      <c r="F128" s="635"/>
      <c r="G128" s="635"/>
      <c r="H128" s="635"/>
      <c r="I128" s="635"/>
      <c r="J128" s="251"/>
      <c r="L128" s="251">
        <f t="shared" ref="L128" si="2">L120*0.925</f>
        <v>25562</v>
      </c>
    </row>
    <row r="129" spans="1:12" ht="14.25" customHeight="1" x14ac:dyDescent="0.25">
      <c r="A129" s="90"/>
      <c r="B129" s="90"/>
      <c r="C129" s="90"/>
      <c r="D129" s="634" t="s">
        <v>265</v>
      </c>
      <c r="E129" s="634"/>
      <c r="F129" s="634"/>
      <c r="G129" s="634"/>
      <c r="H129" s="634"/>
      <c r="J129" s="252"/>
      <c r="L129" s="253">
        <f>L123+L128</f>
        <v>469734.98</v>
      </c>
    </row>
  </sheetData>
  <mergeCells count="99">
    <mergeCell ref="K82:L82"/>
    <mergeCell ref="K80:L80"/>
    <mergeCell ref="A36:A40"/>
    <mergeCell ref="B36:B40"/>
    <mergeCell ref="G35:G40"/>
    <mergeCell ref="H35:H40"/>
    <mergeCell ref="I35:I40"/>
    <mergeCell ref="A35:B35"/>
    <mergeCell ref="C35:C40"/>
    <mergeCell ref="D35:D40"/>
    <mergeCell ref="E35:E40"/>
    <mergeCell ref="I63:J63"/>
    <mergeCell ref="A46:L46"/>
    <mergeCell ref="F35:F40"/>
    <mergeCell ref="D108:H108"/>
    <mergeCell ref="I108:J108"/>
    <mergeCell ref="K108:L108"/>
    <mergeCell ref="K103:L103"/>
    <mergeCell ref="A84:H84"/>
    <mergeCell ref="I84:J84"/>
    <mergeCell ref="K84:L84"/>
    <mergeCell ref="I99:J99"/>
    <mergeCell ref="K99:L99"/>
    <mergeCell ref="D107:H107"/>
    <mergeCell ref="I107:J107"/>
    <mergeCell ref="K107:L107"/>
    <mergeCell ref="I94:J94"/>
    <mergeCell ref="K94:L94"/>
    <mergeCell ref="I97:J97"/>
    <mergeCell ref="K97:L97"/>
    <mergeCell ref="A99:H99"/>
    <mergeCell ref="A103:H103"/>
    <mergeCell ref="I103:J103"/>
    <mergeCell ref="B95:B96"/>
    <mergeCell ref="A95:A96"/>
    <mergeCell ref="A27:L27"/>
    <mergeCell ref="H33:I33"/>
    <mergeCell ref="A34:L34"/>
    <mergeCell ref="A91:L91"/>
    <mergeCell ref="I65:J65"/>
    <mergeCell ref="K65:L65"/>
    <mergeCell ref="I75:J75"/>
    <mergeCell ref="K75:L75"/>
    <mergeCell ref="I80:J80"/>
    <mergeCell ref="A48:L48"/>
    <mergeCell ref="I58:J58"/>
    <mergeCell ref="K58:L58"/>
    <mergeCell ref="L35:L40"/>
    <mergeCell ref="J35:J40"/>
    <mergeCell ref="K35:K40"/>
    <mergeCell ref="A43:L43"/>
    <mergeCell ref="B92:B93"/>
    <mergeCell ref="A92:A93"/>
    <mergeCell ref="K63:L63"/>
    <mergeCell ref="A44:L44"/>
    <mergeCell ref="D129:H129"/>
    <mergeCell ref="D128:I128"/>
    <mergeCell ref="D122:H122"/>
    <mergeCell ref="I122:J122"/>
    <mergeCell ref="K122:L122"/>
    <mergeCell ref="D123:H123"/>
    <mergeCell ref="D121:H121"/>
    <mergeCell ref="D120:I120"/>
    <mergeCell ref="D109:H109"/>
    <mergeCell ref="I109:J109"/>
    <mergeCell ref="K109:L109"/>
    <mergeCell ref="I82:J82"/>
    <mergeCell ref="I1:L1"/>
    <mergeCell ref="I2:L2"/>
    <mergeCell ref="I3:L3"/>
    <mergeCell ref="J5:L5"/>
    <mergeCell ref="J6:L6"/>
    <mergeCell ref="J7:L8"/>
    <mergeCell ref="A8:B8"/>
    <mergeCell ref="C8:H8"/>
    <mergeCell ref="C9:H9"/>
    <mergeCell ref="J9:L10"/>
    <mergeCell ref="C10:H10"/>
    <mergeCell ref="C11:H11"/>
    <mergeCell ref="J11:L12"/>
    <mergeCell ref="C12:H12"/>
    <mergeCell ref="C13:H13"/>
    <mergeCell ref="J13:L14"/>
    <mergeCell ref="C14:H14"/>
    <mergeCell ref="B20:D20"/>
    <mergeCell ref="J20:L20"/>
    <mergeCell ref="B21:D21"/>
    <mergeCell ref="J21:L21"/>
    <mergeCell ref="C15:H15"/>
    <mergeCell ref="J15:L16"/>
    <mergeCell ref="C16:H16"/>
    <mergeCell ref="C17:H17"/>
    <mergeCell ref="G18:I18"/>
    <mergeCell ref="J18:L18"/>
    <mergeCell ref="G23:G24"/>
    <mergeCell ref="H23:H24"/>
    <mergeCell ref="I23:J23"/>
    <mergeCell ref="G19:H19"/>
    <mergeCell ref="J19:L19"/>
  </mergeCells>
  <pageMargins left="0.39370078740157483" right="0.19685039370078741" top="0.19685039370078741" bottom="0.39370078740157483" header="0.31496062992125984" footer="0.31496062992125984"/>
  <pageSetup paperSize="9" scale="57" firstPageNumber="12" fitToHeight="0" orientation="portrait" blackAndWhite="1" useFirstPageNumber="1" r:id="rId1"/>
  <headerFooter>
    <oddFooter>&amp;R&amp;P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98"/>
  <sheetViews>
    <sheetView view="pageBreakPreview" topLeftCell="A159" zoomScale="80" zoomScaleNormal="100" zoomScaleSheetLayoutView="80" workbookViewId="0">
      <selection activeCell="A159" sqref="A1:XFD1048576"/>
    </sheetView>
  </sheetViews>
  <sheetFormatPr defaultColWidth="9.33203125" defaultRowHeight="12.75" x14ac:dyDescent="0.2"/>
  <cols>
    <col min="1" max="2" width="11.6640625" style="902" customWidth="1"/>
    <col min="3" max="3" width="16.1640625" style="902" customWidth="1"/>
    <col min="4" max="4" width="49.5" style="902" customWidth="1"/>
    <col min="5" max="5" width="13.6640625" style="902" customWidth="1"/>
    <col min="6" max="6" width="12" style="902" customWidth="1"/>
    <col min="7" max="7" width="13.83203125" style="902" customWidth="1"/>
    <col min="8" max="8" width="15.1640625" style="902" customWidth="1"/>
    <col min="9" max="9" width="14.33203125" style="902" customWidth="1"/>
    <col min="10" max="10" width="16" style="902" customWidth="1"/>
    <col min="11" max="11" width="10.6640625" style="902" bestFit="1" customWidth="1"/>
    <col min="12" max="12" width="17.83203125" style="902" customWidth="1"/>
    <col min="13" max="13" width="17" style="902" customWidth="1"/>
    <col min="14" max="35" width="0" style="902" hidden="1" customWidth="1"/>
    <col min="36" max="36" width="106.1640625" style="902" hidden="1" customWidth="1"/>
    <col min="37" max="37" width="157.1640625" style="902" hidden="1" customWidth="1"/>
    <col min="38" max="38" width="117.83203125" style="902" hidden="1" customWidth="1"/>
    <col min="39" max="39" width="0" style="902" hidden="1" customWidth="1"/>
    <col min="40" max="40" width="114.1640625" style="902" hidden="1" customWidth="1"/>
    <col min="41" max="42" width="0" style="902" hidden="1" customWidth="1"/>
    <col min="43" max="16384" width="9.33203125" style="902"/>
  </cols>
  <sheetData>
    <row r="1" spans="1:30" x14ac:dyDescent="0.2">
      <c r="A1" s="899"/>
      <c r="B1" s="899"/>
      <c r="C1" s="900"/>
      <c r="D1" s="900"/>
      <c r="E1" s="900"/>
      <c r="F1" s="899"/>
      <c r="G1" s="899"/>
      <c r="H1" s="899"/>
      <c r="I1" s="901" t="s">
        <v>247</v>
      </c>
      <c r="J1" s="901"/>
      <c r="K1" s="901"/>
      <c r="L1" s="901"/>
    </row>
    <row r="2" spans="1:30" x14ac:dyDescent="0.2">
      <c r="A2" s="899"/>
      <c r="B2" s="899"/>
      <c r="C2" s="899"/>
      <c r="D2" s="899"/>
      <c r="E2" s="899"/>
      <c r="F2" s="899"/>
      <c r="G2" s="899"/>
      <c r="H2" s="899"/>
      <c r="I2" s="901" t="s">
        <v>15</v>
      </c>
      <c r="J2" s="901"/>
      <c r="K2" s="901"/>
      <c r="L2" s="901"/>
    </row>
    <row r="3" spans="1:30" x14ac:dyDescent="0.2">
      <c r="A3" s="899"/>
      <c r="B3" s="899"/>
      <c r="C3" s="899"/>
      <c r="D3" s="899"/>
      <c r="E3" s="899"/>
      <c r="F3" s="899"/>
      <c r="G3" s="899"/>
      <c r="H3" s="899"/>
      <c r="I3" s="901" t="s">
        <v>16</v>
      </c>
      <c r="J3" s="901"/>
      <c r="K3" s="901"/>
      <c r="L3" s="901"/>
    </row>
    <row r="4" spans="1:30" x14ac:dyDescent="0.2">
      <c r="A4" s="899"/>
      <c r="B4" s="899"/>
      <c r="C4" s="899"/>
      <c r="D4" s="899"/>
      <c r="E4" s="899"/>
      <c r="F4" s="899"/>
      <c r="G4" s="899"/>
      <c r="H4" s="899"/>
      <c r="I4" s="899"/>
      <c r="J4" s="899"/>
      <c r="K4" s="899"/>
      <c r="L4" s="899"/>
    </row>
    <row r="5" spans="1:30" x14ac:dyDescent="0.2">
      <c r="A5" s="899"/>
      <c r="B5" s="899"/>
      <c r="C5" s="899"/>
      <c r="D5" s="899"/>
      <c r="E5" s="899"/>
      <c r="F5" s="899"/>
      <c r="G5" s="899"/>
      <c r="H5" s="899"/>
      <c r="I5" s="899"/>
      <c r="J5" s="903" t="s">
        <v>17</v>
      </c>
      <c r="K5" s="903"/>
      <c r="L5" s="903"/>
    </row>
    <row r="6" spans="1:30" ht="31.5" customHeight="1" x14ac:dyDescent="0.2">
      <c r="A6" s="899"/>
      <c r="B6" s="899"/>
      <c r="C6" s="899"/>
      <c r="D6" s="899"/>
      <c r="E6" s="899"/>
      <c r="F6" s="899"/>
      <c r="G6" s="899"/>
      <c r="H6" s="899"/>
      <c r="I6" s="904" t="s">
        <v>18</v>
      </c>
      <c r="J6" s="905" t="s">
        <v>19</v>
      </c>
      <c r="K6" s="905"/>
      <c r="L6" s="905"/>
    </row>
    <row r="7" spans="1:30" x14ac:dyDescent="0.2">
      <c r="A7" s="899"/>
      <c r="B7" s="899"/>
      <c r="C7" s="899"/>
      <c r="D7" s="899"/>
      <c r="E7" s="899"/>
      <c r="F7" s="899"/>
      <c r="G7" s="899"/>
      <c r="H7" s="899"/>
      <c r="I7" s="899"/>
      <c r="J7" s="903"/>
      <c r="K7" s="903"/>
      <c r="L7" s="903"/>
    </row>
    <row r="8" spans="1:30" ht="33.75" customHeight="1" x14ac:dyDescent="0.2">
      <c r="A8" s="906" t="s">
        <v>86</v>
      </c>
      <c r="B8" s="906"/>
      <c r="C8" s="907" t="s">
        <v>257</v>
      </c>
      <c r="D8" s="907"/>
      <c r="E8" s="907"/>
      <c r="F8" s="907"/>
      <c r="G8" s="907"/>
      <c r="H8" s="907"/>
      <c r="I8" s="904" t="s">
        <v>21</v>
      </c>
      <c r="J8" s="903"/>
      <c r="K8" s="903"/>
      <c r="L8" s="903"/>
    </row>
    <row r="9" spans="1:30" x14ac:dyDescent="0.2">
      <c r="A9" s="908"/>
      <c r="B9" s="908"/>
      <c r="C9" s="909" t="s">
        <v>22</v>
      </c>
      <c r="D9" s="909"/>
      <c r="E9" s="909"/>
      <c r="F9" s="909"/>
      <c r="G9" s="909"/>
      <c r="H9" s="909"/>
      <c r="I9" s="899"/>
      <c r="J9" s="910" t="s">
        <v>56</v>
      </c>
      <c r="K9" s="910"/>
      <c r="L9" s="910"/>
    </row>
    <row r="10" spans="1:30" ht="14.25" customHeight="1" x14ac:dyDescent="0.2">
      <c r="A10" s="256" t="s">
        <v>251</v>
      </c>
      <c r="B10" s="256"/>
      <c r="C10" s="911" t="s">
        <v>258</v>
      </c>
      <c r="D10" s="911"/>
      <c r="E10" s="911"/>
      <c r="F10" s="911"/>
      <c r="G10" s="911"/>
      <c r="H10" s="911"/>
      <c r="I10" s="904" t="s">
        <v>21</v>
      </c>
      <c r="J10" s="910"/>
      <c r="K10" s="910"/>
      <c r="L10" s="910"/>
    </row>
    <row r="11" spans="1:30" x14ac:dyDescent="0.2">
      <c r="A11" s="256"/>
      <c r="B11" s="256"/>
      <c r="C11" s="909" t="s">
        <v>22</v>
      </c>
      <c r="D11" s="909"/>
      <c r="E11" s="909"/>
      <c r="F11" s="909"/>
      <c r="G11" s="909"/>
      <c r="H11" s="909"/>
      <c r="I11" s="899"/>
      <c r="J11" s="903">
        <v>29478604</v>
      </c>
      <c r="K11" s="903"/>
      <c r="L11" s="903"/>
    </row>
    <row r="12" spans="1:30" ht="14.25" customHeight="1" x14ac:dyDescent="0.2">
      <c r="A12" s="256" t="s">
        <v>259</v>
      </c>
      <c r="B12" s="256"/>
      <c r="C12" s="911" t="s">
        <v>260</v>
      </c>
      <c r="D12" s="911"/>
      <c r="E12" s="911"/>
      <c r="F12" s="911"/>
      <c r="G12" s="911"/>
      <c r="H12" s="911"/>
      <c r="I12" s="904" t="s">
        <v>21</v>
      </c>
      <c r="J12" s="903"/>
      <c r="K12" s="903"/>
      <c r="L12" s="903"/>
    </row>
    <row r="13" spans="1:30" x14ac:dyDescent="0.2">
      <c r="A13" s="256"/>
      <c r="B13" s="256"/>
      <c r="C13" s="909" t="s">
        <v>22</v>
      </c>
      <c r="D13" s="909"/>
      <c r="E13" s="909"/>
      <c r="F13" s="909"/>
      <c r="G13" s="909"/>
      <c r="H13" s="909"/>
      <c r="I13" s="899"/>
      <c r="J13" s="903"/>
      <c r="K13" s="903"/>
      <c r="L13" s="903"/>
    </row>
    <row r="14" spans="1:30" x14ac:dyDescent="0.2">
      <c r="A14" s="908" t="s">
        <v>23</v>
      </c>
      <c r="B14" s="908"/>
      <c r="C14" s="912" t="s">
        <v>261</v>
      </c>
      <c r="D14" s="912"/>
      <c r="E14" s="912"/>
      <c r="F14" s="912"/>
      <c r="G14" s="912"/>
      <c r="H14" s="912"/>
      <c r="I14" s="899"/>
      <c r="J14" s="903"/>
      <c r="K14" s="903"/>
      <c r="L14" s="903"/>
    </row>
    <row r="15" spans="1:30" ht="14.25" customHeight="1" x14ac:dyDescent="0.2">
      <c r="A15" s="908"/>
      <c r="B15" s="908"/>
      <c r="C15" s="909" t="s">
        <v>24</v>
      </c>
      <c r="D15" s="909"/>
      <c r="E15" s="909"/>
      <c r="F15" s="909"/>
      <c r="G15" s="909"/>
      <c r="H15" s="909"/>
      <c r="I15" s="899"/>
      <c r="J15" s="903"/>
      <c r="K15" s="903"/>
      <c r="L15" s="903"/>
      <c r="AD15" s="913" t="s">
        <v>233</v>
      </c>
    </row>
    <row r="16" spans="1:30" x14ac:dyDescent="0.2">
      <c r="A16" s="908" t="s">
        <v>25</v>
      </c>
      <c r="B16" s="908"/>
      <c r="C16" s="914" t="s">
        <v>262</v>
      </c>
      <c r="D16" s="914"/>
      <c r="E16" s="914"/>
      <c r="F16" s="914"/>
      <c r="G16" s="914"/>
      <c r="H16" s="914"/>
      <c r="I16" s="899"/>
      <c r="J16" s="903"/>
      <c r="K16" s="903"/>
      <c r="L16" s="903"/>
    </row>
    <row r="17" spans="1:30" ht="12.75" customHeight="1" x14ac:dyDescent="0.2">
      <c r="A17" s="908"/>
      <c r="B17" s="908"/>
      <c r="C17" s="909" t="s">
        <v>26</v>
      </c>
      <c r="D17" s="909"/>
      <c r="E17" s="909"/>
      <c r="F17" s="909"/>
      <c r="G17" s="909"/>
      <c r="H17" s="909"/>
      <c r="I17" s="899"/>
      <c r="J17" s="899"/>
      <c r="K17" s="899"/>
      <c r="L17" s="899"/>
      <c r="AD17" s="915" t="str">
        <f>IF([84]Source!G15&lt;&gt;"Новый объект", [84]Source!G15, "")</f>
        <v>Май, 2020 г., Р.17.98</v>
      </c>
    </row>
    <row r="18" spans="1:30" x14ac:dyDescent="0.2">
      <c r="A18" s="899"/>
      <c r="B18" s="899"/>
      <c r="C18" s="899"/>
      <c r="D18" s="899"/>
      <c r="E18" s="899"/>
      <c r="F18" s="899"/>
      <c r="G18" s="901" t="s">
        <v>27</v>
      </c>
      <c r="H18" s="901"/>
      <c r="I18" s="916"/>
      <c r="J18" s="903"/>
      <c r="K18" s="903"/>
      <c r="L18" s="903"/>
    </row>
    <row r="19" spans="1:30" x14ac:dyDescent="0.2">
      <c r="A19" s="899"/>
      <c r="B19" s="899"/>
      <c r="C19" s="899"/>
      <c r="D19" s="899"/>
      <c r="E19" s="899"/>
      <c r="F19" s="899"/>
      <c r="G19" s="901" t="s">
        <v>28</v>
      </c>
      <c r="H19" s="917"/>
      <c r="I19" s="918" t="s">
        <v>29</v>
      </c>
      <c r="J19" s="903" t="s">
        <v>263</v>
      </c>
      <c r="K19" s="903"/>
      <c r="L19" s="903"/>
    </row>
    <row r="20" spans="1:30" ht="14.25" customHeight="1" x14ac:dyDescent="0.2">
      <c r="A20" s="899"/>
      <c r="B20" s="919"/>
      <c r="C20" s="919"/>
      <c r="D20" s="919"/>
      <c r="E20" s="899"/>
      <c r="F20" s="899"/>
      <c r="G20" s="899"/>
      <c r="H20" s="899"/>
      <c r="I20" s="920" t="s">
        <v>30</v>
      </c>
      <c r="J20" s="921">
        <v>43670</v>
      </c>
      <c r="K20" s="921"/>
      <c r="L20" s="921"/>
    </row>
    <row r="21" spans="1:30" x14ac:dyDescent="0.2">
      <c r="A21" s="899"/>
      <c r="B21" s="919"/>
      <c r="C21" s="919"/>
      <c r="D21" s="919"/>
      <c r="E21" s="899"/>
      <c r="F21" s="899"/>
      <c r="G21" s="899"/>
      <c r="H21" s="899"/>
      <c r="I21" s="904" t="s">
        <v>248</v>
      </c>
      <c r="J21" s="903"/>
      <c r="K21" s="903"/>
      <c r="L21" s="903"/>
    </row>
    <row r="22" spans="1:30" x14ac:dyDescent="0.2">
      <c r="A22" s="899"/>
      <c r="B22" s="899"/>
      <c r="C22" s="899"/>
      <c r="D22" s="899"/>
      <c r="E22" s="899"/>
      <c r="F22" s="899"/>
      <c r="G22" s="899"/>
      <c r="H22" s="899"/>
      <c r="I22" s="899"/>
      <c r="J22" s="899"/>
      <c r="K22" s="899"/>
      <c r="L22" s="899"/>
    </row>
    <row r="23" spans="1:30" x14ac:dyDescent="0.2">
      <c r="A23" s="899"/>
      <c r="B23" s="899"/>
      <c r="C23" s="899"/>
      <c r="D23" s="899"/>
      <c r="E23" s="899"/>
      <c r="F23" s="899"/>
      <c r="G23" s="922" t="s">
        <v>31</v>
      </c>
      <c r="H23" s="923" t="s">
        <v>32</v>
      </c>
      <c r="I23" s="923" t="s">
        <v>33</v>
      </c>
      <c r="J23" s="924"/>
      <c r="K23" s="899"/>
      <c r="L23" s="899"/>
    </row>
    <row r="24" spans="1:30" ht="14.25" customHeight="1" x14ac:dyDescent="0.2">
      <c r="A24" s="899"/>
      <c r="B24" s="899"/>
      <c r="C24" s="899"/>
      <c r="D24" s="899"/>
      <c r="E24" s="899"/>
      <c r="F24" s="899"/>
      <c r="G24" s="925"/>
      <c r="H24" s="926"/>
      <c r="I24" s="927" t="s">
        <v>34</v>
      </c>
      <c r="J24" s="928" t="s">
        <v>35</v>
      </c>
      <c r="K24" s="899"/>
      <c r="L24" s="899"/>
    </row>
    <row r="25" spans="1:30" x14ac:dyDescent="0.2">
      <c r="A25" s="899"/>
      <c r="B25" s="899"/>
      <c r="C25" s="899"/>
      <c r="D25" s="899"/>
      <c r="E25" s="899"/>
      <c r="F25" s="899"/>
      <c r="G25" s="920">
        <v>9</v>
      </c>
      <c r="H25" s="929">
        <v>44196</v>
      </c>
      <c r="I25" s="929">
        <v>44166</v>
      </c>
      <c r="J25" s="930">
        <f>H25</f>
        <v>44196</v>
      </c>
      <c r="K25" s="899"/>
      <c r="L25" s="899"/>
    </row>
    <row r="26" spans="1:30" x14ac:dyDescent="0.2">
      <c r="A26" s="899"/>
      <c r="B26" s="899"/>
      <c r="C26" s="899"/>
      <c r="D26" s="899"/>
      <c r="E26" s="899"/>
      <c r="F26" s="899"/>
      <c r="G26" s="931"/>
      <c r="H26" s="932"/>
      <c r="I26" s="932"/>
      <c r="J26" s="932"/>
      <c r="K26" s="899"/>
      <c r="L26" s="899"/>
    </row>
    <row r="27" spans="1:30" x14ac:dyDescent="0.2">
      <c r="A27" s="933" t="s">
        <v>515</v>
      </c>
      <c r="B27" s="933"/>
      <c r="C27" s="933"/>
      <c r="D27" s="933"/>
      <c r="E27" s="933"/>
      <c r="F27" s="933"/>
      <c r="G27" s="933"/>
      <c r="H27" s="933"/>
      <c r="I27" s="933"/>
      <c r="J27" s="933"/>
      <c r="K27" s="933"/>
      <c r="L27" s="933"/>
    </row>
    <row r="28" spans="1:30" hidden="1" x14ac:dyDescent="0.2"/>
    <row r="29" spans="1:30" hidden="1" x14ac:dyDescent="0.2"/>
    <row r="30" spans="1:30" hidden="1" x14ac:dyDescent="0.2"/>
    <row r="31" spans="1:30" hidden="1" x14ac:dyDescent="0.2"/>
    <row r="32" spans="1:30" hidden="1" x14ac:dyDescent="0.2"/>
    <row r="34" spans="1:37" x14ac:dyDescent="0.2">
      <c r="A34" s="934" t="s">
        <v>203</v>
      </c>
      <c r="B34" s="934"/>
      <c r="C34" s="934"/>
      <c r="D34" s="934"/>
      <c r="E34" s="934"/>
      <c r="F34" s="934"/>
      <c r="G34" s="934"/>
      <c r="H34" s="934"/>
      <c r="I34" s="934"/>
      <c r="J34" s="934"/>
      <c r="K34" s="934"/>
      <c r="L34" s="934"/>
    </row>
    <row r="35" spans="1:37" x14ac:dyDescent="0.2">
      <c r="A35" s="935" t="s">
        <v>38</v>
      </c>
      <c r="B35" s="935"/>
      <c r="C35" s="935" t="s">
        <v>39</v>
      </c>
      <c r="D35" s="935" t="s">
        <v>40</v>
      </c>
      <c r="E35" s="935" t="s">
        <v>126</v>
      </c>
      <c r="F35" s="935" t="s">
        <v>68</v>
      </c>
      <c r="G35" s="935" t="s">
        <v>69</v>
      </c>
      <c r="H35" s="936" t="s">
        <v>127</v>
      </c>
      <c r="I35" s="936" t="s">
        <v>128</v>
      </c>
      <c r="J35" s="935" t="s">
        <v>129</v>
      </c>
      <c r="K35" s="935" t="s">
        <v>130</v>
      </c>
      <c r="L35" s="935" t="s">
        <v>131</v>
      </c>
    </row>
    <row r="36" spans="1:37" x14ac:dyDescent="0.2">
      <c r="A36" s="936" t="s">
        <v>41</v>
      </c>
      <c r="B36" s="936" t="s">
        <v>42</v>
      </c>
      <c r="C36" s="935"/>
      <c r="D36" s="935"/>
      <c r="E36" s="935"/>
      <c r="F36" s="935"/>
      <c r="G36" s="935"/>
      <c r="H36" s="937"/>
      <c r="I36" s="937"/>
      <c r="J36" s="935"/>
      <c r="K36" s="935"/>
      <c r="L36" s="935"/>
    </row>
    <row r="37" spans="1:37" x14ac:dyDescent="0.2">
      <c r="A37" s="937"/>
      <c r="B37" s="937"/>
      <c r="C37" s="935"/>
      <c r="D37" s="935"/>
      <c r="E37" s="935"/>
      <c r="F37" s="935"/>
      <c r="G37" s="935"/>
      <c r="H37" s="937"/>
      <c r="I37" s="937"/>
      <c r="J37" s="935"/>
      <c r="K37" s="935"/>
      <c r="L37" s="935"/>
    </row>
    <row r="38" spans="1:37" x14ac:dyDescent="0.2">
      <c r="A38" s="937"/>
      <c r="B38" s="937"/>
      <c r="C38" s="935"/>
      <c r="D38" s="935"/>
      <c r="E38" s="935"/>
      <c r="F38" s="935"/>
      <c r="G38" s="935"/>
      <c r="H38" s="937"/>
      <c r="I38" s="937"/>
      <c r="J38" s="935"/>
      <c r="K38" s="935"/>
      <c r="L38" s="935"/>
    </row>
    <row r="39" spans="1:37" x14ac:dyDescent="0.2">
      <c r="A39" s="937"/>
      <c r="B39" s="937"/>
      <c r="C39" s="935"/>
      <c r="D39" s="935"/>
      <c r="E39" s="935"/>
      <c r="F39" s="935"/>
      <c r="G39" s="935"/>
      <c r="H39" s="937"/>
      <c r="I39" s="937"/>
      <c r="J39" s="935"/>
      <c r="K39" s="935"/>
      <c r="L39" s="935"/>
    </row>
    <row r="40" spans="1:37" x14ac:dyDescent="0.2">
      <c r="A40" s="938"/>
      <c r="B40" s="938"/>
      <c r="C40" s="935"/>
      <c r="D40" s="935"/>
      <c r="E40" s="935"/>
      <c r="F40" s="935"/>
      <c r="G40" s="935"/>
      <c r="H40" s="938"/>
      <c r="I40" s="938"/>
      <c r="J40" s="935"/>
      <c r="K40" s="935"/>
      <c r="L40" s="935"/>
    </row>
    <row r="41" spans="1:37" x14ac:dyDescent="0.2">
      <c r="A41" s="939">
        <v>1</v>
      </c>
      <c r="B41" s="939">
        <v>2</v>
      </c>
      <c r="C41" s="939">
        <v>3</v>
      </c>
      <c r="D41" s="939">
        <v>4</v>
      </c>
      <c r="E41" s="939">
        <v>5</v>
      </c>
      <c r="F41" s="939">
        <v>6</v>
      </c>
      <c r="G41" s="939">
        <v>7</v>
      </c>
      <c r="H41" s="939">
        <v>8</v>
      </c>
      <c r="I41" s="939">
        <v>9</v>
      </c>
      <c r="J41" s="939">
        <v>10</v>
      </c>
      <c r="K41" s="939">
        <v>11</v>
      </c>
      <c r="L41" s="939">
        <v>12</v>
      </c>
    </row>
    <row r="43" spans="1:37" x14ac:dyDescent="0.2">
      <c r="A43" s="1086" t="s">
        <v>235</v>
      </c>
      <c r="B43" s="1086"/>
      <c r="C43" s="1086"/>
      <c r="D43" s="1086"/>
      <c r="E43" s="1086"/>
      <c r="F43" s="1086"/>
      <c r="G43" s="1086"/>
      <c r="H43" s="1086"/>
      <c r="I43" s="1086"/>
      <c r="J43" s="1086"/>
      <c r="K43" s="1086"/>
      <c r="L43" s="1086"/>
    </row>
    <row r="44" spans="1:37" ht="33" customHeight="1" x14ac:dyDescent="0.2">
      <c r="A44" s="940" t="s">
        <v>227</v>
      </c>
      <c r="B44" s="940"/>
      <c r="C44" s="940"/>
      <c r="D44" s="940"/>
      <c r="E44" s="940"/>
      <c r="F44" s="940"/>
      <c r="G44" s="940"/>
      <c r="H44" s="940"/>
      <c r="I44" s="940"/>
      <c r="J44" s="940"/>
      <c r="K44" s="940"/>
      <c r="L44" s="940"/>
      <c r="AK44" s="941" t="str">
        <f>CONCATENATE("Локальная смета: ",IF([92]Source!G20&lt;&gt;"Новая локальная смета", [92]Source!G20, ""))</f>
        <v>Локальная смета: Станционный комплекс "Аминьевское шоссе". Инженерные системы ТПП. Электроосвещение</v>
      </c>
    </row>
    <row r="46" spans="1:37" x14ac:dyDescent="0.2">
      <c r="A46" s="940" t="str">
        <f>CONCATENATE("Раздел: ",IF([92]Source!G27&lt;&gt;"Новый раздел", [92]Source!G27, ""))</f>
        <v>Раздел: Монтажные работы</v>
      </c>
      <c r="B46" s="940"/>
      <c r="C46" s="940"/>
      <c r="D46" s="940"/>
      <c r="E46" s="940"/>
      <c r="F46" s="940"/>
      <c r="G46" s="940"/>
      <c r="H46" s="940"/>
      <c r="I46" s="940"/>
      <c r="J46" s="940"/>
      <c r="K46" s="940"/>
      <c r="L46" s="940"/>
    </row>
    <row r="47" spans="1:37" x14ac:dyDescent="0.2">
      <c r="A47" s="940" t="str">
        <f>CONCATENATE("Подраздел: ",IF([92]Source!G70&lt;&gt;"Новый подраздел", [92]Source!G70, ""))</f>
        <v>Подраздел: Светотехническое оборудование</v>
      </c>
      <c r="B47" s="940"/>
      <c r="C47" s="940"/>
      <c r="D47" s="940"/>
      <c r="E47" s="940"/>
      <c r="F47" s="940"/>
      <c r="G47" s="940"/>
      <c r="H47" s="940"/>
      <c r="I47" s="940"/>
      <c r="J47" s="940"/>
      <c r="K47" s="940"/>
      <c r="L47" s="940"/>
    </row>
    <row r="48" spans="1:37" ht="51" x14ac:dyDescent="0.2">
      <c r="A48" s="942">
        <v>1</v>
      </c>
      <c r="B48" s="942" t="str">
        <f>[92]Source!E77</f>
        <v>3</v>
      </c>
      <c r="C48" s="943" t="str">
        <f>[92]Source!F77</f>
        <v>4.8-246-1</v>
      </c>
      <c r="D48" s="943" t="s">
        <v>204</v>
      </c>
      <c r="E48" s="944" t="str">
        <f>[92]Source!H77</f>
        <v>100 шт.</v>
      </c>
      <c r="F48" s="945">
        <f>[92]Source!I77</f>
        <v>1</v>
      </c>
      <c r="G48" s="946"/>
      <c r="H48" s="947"/>
      <c r="I48" s="945"/>
      <c r="J48" s="948"/>
      <c r="K48" s="945"/>
      <c r="L48" s="948"/>
      <c r="Q48" s="902">
        <f>ROUND(([92]Source!DN77/100)*ROUND((ROUND(([92]Source!AF77*[92]Source!AV77*[92]Source!I77),2)),2), 2)</f>
        <v>3233.17</v>
      </c>
      <c r="R48" s="902">
        <f>[92]Source!X77</f>
        <v>62951.57</v>
      </c>
      <c r="S48" s="902">
        <f>ROUND(([92]Source!DO77/100)*ROUND((ROUND(([92]Source!AF77*[92]Source!AV77*[92]Source!I77),2)),2), 2)</f>
        <v>2020.73</v>
      </c>
      <c r="T48" s="902">
        <f>[92]Source!Y77</f>
        <v>30076.86</v>
      </c>
      <c r="U48" s="902">
        <f>ROUND((175/100)*ROUND((ROUND(([92]Source!AE77*[92]Source!AV77*[92]Source!I77),2)),2), 2)</f>
        <v>85.44</v>
      </c>
      <c r="V48" s="902">
        <f>ROUND((157/100)*ROUND(ROUND((ROUND(([92]Source!AE77*[92]Source!AV77*[92]Source!I77),2)*[92]Source!BS77),2), 2), 2)</f>
        <v>1857.17</v>
      </c>
    </row>
    <row r="49" spans="1:27" x14ac:dyDescent="0.2">
      <c r="A49" s="942"/>
      <c r="B49" s="942"/>
      <c r="C49" s="943"/>
      <c r="D49" s="943" t="s">
        <v>43</v>
      </c>
      <c r="E49" s="944"/>
      <c r="F49" s="945"/>
      <c r="G49" s="946">
        <f>[92]Source!AO77</f>
        <v>1651</v>
      </c>
      <c r="H49" s="947" t="str">
        <f>[92]Source!DG77</f>
        <v>)*1,67</v>
      </c>
      <c r="I49" s="945">
        <f>[92]Source!AV77</f>
        <v>1.0469999999999999</v>
      </c>
      <c r="J49" s="948">
        <f>ROUND((ROUND(([92]Source!AF77*[92]Source!AV77*[92]Source!I77),2)),2)</f>
        <v>2886.76</v>
      </c>
      <c r="K49" s="945">
        <f>IF([92]Source!BA77&lt;&gt; 0, [92]Source!BA77, 1)</f>
        <v>24.23</v>
      </c>
      <c r="L49" s="948">
        <f>[92]Source!S77</f>
        <v>69946.19</v>
      </c>
      <c r="W49" s="902">
        <f>J49</f>
        <v>2886.76</v>
      </c>
    </row>
    <row r="50" spans="1:27" x14ac:dyDescent="0.2">
      <c r="A50" s="942"/>
      <c r="B50" s="942"/>
      <c r="C50" s="943"/>
      <c r="D50" s="943" t="s">
        <v>44</v>
      </c>
      <c r="E50" s="944"/>
      <c r="F50" s="945"/>
      <c r="G50" s="946">
        <f>[92]Source!AM77</f>
        <v>120.22</v>
      </c>
      <c r="H50" s="947">
        <f>[92]Source!DE77</f>
        <v>0</v>
      </c>
      <c r="I50" s="945">
        <f>[92]Source!AV77</f>
        <v>1.0469999999999999</v>
      </c>
      <c r="J50" s="948">
        <f>(ROUND((ROUND((([92]Source!ET77)*[92]Source!AV77*[92]Source!I77),2)),2)+ROUND((ROUND((([92]Source!AE77-([92]Source!EU77))*[92]Source!AV77*[92]Source!I77),2)),2))-J59</f>
        <v>125.87</v>
      </c>
      <c r="K50" s="945">
        <f>IF([92]Source!BB77&lt;&gt; 0, [92]Source!BB77, 1)</f>
        <v>9.9</v>
      </c>
      <c r="L50" s="948">
        <f>[92]Source!Q77-L59</f>
        <v>1246.22</v>
      </c>
    </row>
    <row r="51" spans="1:27" x14ac:dyDescent="0.2">
      <c r="A51" s="942"/>
      <c r="B51" s="942"/>
      <c r="C51" s="943"/>
      <c r="D51" s="943" t="s">
        <v>45</v>
      </c>
      <c r="E51" s="944"/>
      <c r="F51" s="945"/>
      <c r="G51" s="946">
        <f>[92]Source!AN77</f>
        <v>27.92</v>
      </c>
      <c r="H51" s="947">
        <f>[92]Source!DE77</f>
        <v>0</v>
      </c>
      <c r="I51" s="945">
        <f>[92]Source!AV77</f>
        <v>1.0469999999999999</v>
      </c>
      <c r="J51" s="949">
        <f>ROUND((ROUND(([92]Source!AE77*[92]Source!AV77*[92]Source!I77),2)),2)-J60</f>
        <v>29.23</v>
      </c>
      <c r="K51" s="945">
        <f>IF([92]Source!BS77&lt;&gt; 0, [92]Source!BS77, 1)</f>
        <v>24.23</v>
      </c>
      <c r="L51" s="949">
        <f>[92]Source!R77-L60</f>
        <v>708.35</v>
      </c>
      <c r="W51" s="902">
        <f>J51</f>
        <v>29.23</v>
      </c>
    </row>
    <row r="52" spans="1:27" x14ac:dyDescent="0.2">
      <c r="A52" s="942"/>
      <c r="B52" s="942"/>
      <c r="C52" s="943"/>
      <c r="D52" s="943" t="s">
        <v>46</v>
      </c>
      <c r="E52" s="944"/>
      <c r="F52" s="945"/>
      <c r="G52" s="946">
        <f>[92]Source!AL77</f>
        <v>295.39999999999998</v>
      </c>
      <c r="H52" s="947">
        <f>[92]Source!DD77</f>
        <v>0</v>
      </c>
      <c r="I52" s="945">
        <f>[92]Source!AW77</f>
        <v>1</v>
      </c>
      <c r="J52" s="948">
        <f>ROUND((ROUND(([92]Source!AC77*[92]Source!AW77*[92]Source!I77),2)),2)</f>
        <v>295.39999999999998</v>
      </c>
      <c r="K52" s="945">
        <f>IF([92]Source!BC77&lt;&gt; 0, [92]Source!BC77, 1)</f>
        <v>5.58</v>
      </c>
      <c r="L52" s="948">
        <f>[92]Source!P77</f>
        <v>1648.33</v>
      </c>
    </row>
    <row r="53" spans="1:27" x14ac:dyDescent="0.2">
      <c r="A53" s="942"/>
      <c r="B53" s="942"/>
      <c r="C53" s="943"/>
      <c r="D53" s="943" t="s">
        <v>47</v>
      </c>
      <c r="E53" s="944" t="s">
        <v>48</v>
      </c>
      <c r="F53" s="945">
        <f>[92]Source!DN77</f>
        <v>112</v>
      </c>
      <c r="G53" s="946"/>
      <c r="H53" s="947"/>
      <c r="I53" s="945"/>
      <c r="J53" s="948">
        <f>SUM(Q48:Q52)</f>
        <v>3233.17</v>
      </c>
      <c r="K53" s="945">
        <f>[92]Source!BZ77</f>
        <v>90</v>
      </c>
      <c r="L53" s="948">
        <f>SUM(R48:R52)</f>
        <v>62951.57</v>
      </c>
    </row>
    <row r="54" spans="1:27" x14ac:dyDescent="0.2">
      <c r="A54" s="942"/>
      <c r="B54" s="942"/>
      <c r="C54" s="943"/>
      <c r="D54" s="943" t="s">
        <v>49</v>
      </c>
      <c r="E54" s="944" t="s">
        <v>48</v>
      </c>
      <c r="F54" s="945">
        <f>[92]Source!DO77</f>
        <v>70</v>
      </c>
      <c r="G54" s="946"/>
      <c r="H54" s="947"/>
      <c r="I54" s="945"/>
      <c r="J54" s="948">
        <f>SUM(S48:S53)</f>
        <v>2020.73</v>
      </c>
      <c r="K54" s="945">
        <f>[92]Source!CA77</f>
        <v>43</v>
      </c>
      <c r="L54" s="948">
        <f>SUM(T48:T53)</f>
        <v>30076.86</v>
      </c>
    </row>
    <row r="55" spans="1:27" x14ac:dyDescent="0.2">
      <c r="A55" s="942"/>
      <c r="B55" s="942"/>
      <c r="C55" s="943"/>
      <c r="D55" s="943" t="s">
        <v>50</v>
      </c>
      <c r="E55" s="944" t="s">
        <v>48</v>
      </c>
      <c r="F55" s="945">
        <f>175</f>
        <v>175</v>
      </c>
      <c r="G55" s="946"/>
      <c r="H55" s="947"/>
      <c r="I55" s="945"/>
      <c r="J55" s="948">
        <f>SUM(U48:U54)-J61</f>
        <v>51.16</v>
      </c>
      <c r="K55" s="945">
        <f>157</f>
        <v>157</v>
      </c>
      <c r="L55" s="948">
        <f>SUM(V48:V54)-L61</f>
        <v>1112.1099999999999</v>
      </c>
    </row>
    <row r="56" spans="1:27" x14ac:dyDescent="0.2">
      <c r="A56" s="942"/>
      <c r="B56" s="942"/>
      <c r="C56" s="943"/>
      <c r="D56" s="943" t="s">
        <v>51</v>
      </c>
      <c r="E56" s="944" t="s">
        <v>52</v>
      </c>
      <c r="F56" s="945">
        <f>[92]Source!AQ77</f>
        <v>127</v>
      </c>
      <c r="G56" s="946"/>
      <c r="H56" s="947">
        <f>[92]Source!DI77</f>
        <v>0</v>
      </c>
      <c r="I56" s="945">
        <f>[92]Source!AV77</f>
        <v>1.0469999999999999</v>
      </c>
      <c r="J56" s="948">
        <f>[92]Source!U77</f>
        <v>132.97</v>
      </c>
      <c r="K56" s="945"/>
      <c r="L56" s="948"/>
    </row>
    <row r="57" spans="1:27" x14ac:dyDescent="0.2">
      <c r="I57" s="950">
        <f>J49+J50+J52+J53+J54+J55</f>
        <v>8613.09</v>
      </c>
      <c r="J57" s="950"/>
      <c r="K57" s="950">
        <f>L49+L50+L52+L53+L54+L55</f>
        <v>166981.28</v>
      </c>
      <c r="L57" s="950"/>
      <c r="O57" s="951">
        <f>J49+J50+J52+J53+J54+J55</f>
        <v>8613.09</v>
      </c>
      <c r="P57" s="951">
        <f>L49+L50+L52+L53+L54+L55</f>
        <v>166981.28</v>
      </c>
      <c r="X57" s="902">
        <f>IF([92]Source!BI77&lt;=1,J49+J50+J52+J53+J54+J55-0, 0)</f>
        <v>0</v>
      </c>
      <c r="Y57" s="902">
        <f>IF([92]Source!BI77=2,J49+J50+J52+J53+J54+J55-0, 0)</f>
        <v>8613.09</v>
      </c>
      <c r="Z57" s="902">
        <f>IF([92]Source!BI77=3,J49+J50+J52+J53+J54+J55-0, 0)</f>
        <v>0</v>
      </c>
      <c r="AA57" s="902">
        <f>IF([92]Source!BI77=4,J49+J50+J52+J53+J54+J55,0)</f>
        <v>0</v>
      </c>
    </row>
    <row r="58" spans="1:27" ht="25.5" x14ac:dyDescent="0.2">
      <c r="A58" s="952"/>
      <c r="B58" s="952"/>
      <c r="C58" s="953"/>
      <c r="D58" s="953" t="s">
        <v>133</v>
      </c>
      <c r="E58" s="944"/>
      <c r="F58" s="954"/>
      <c r="G58" s="955"/>
      <c r="H58" s="944"/>
      <c r="I58" s="954"/>
      <c r="J58" s="949"/>
      <c r="K58" s="954"/>
      <c r="L58" s="949"/>
    </row>
    <row r="59" spans="1:27" x14ac:dyDescent="0.2">
      <c r="A59" s="952"/>
      <c r="B59" s="952"/>
      <c r="C59" s="953"/>
      <c r="D59" s="953" t="s">
        <v>44</v>
      </c>
      <c r="E59" s="944"/>
      <c r="F59" s="954"/>
      <c r="G59" s="955">
        <f t="shared" ref="G59:L59" si="0">G60</f>
        <v>27.92</v>
      </c>
      <c r="H59" s="956" t="str">
        <f t="shared" si="0"/>
        <v>)*(1.67-1)</v>
      </c>
      <c r="I59" s="954">
        <f t="shared" si="0"/>
        <v>1.0469999999999999</v>
      </c>
      <c r="J59" s="949">
        <f t="shared" si="0"/>
        <v>19.59</v>
      </c>
      <c r="K59" s="954">
        <f t="shared" si="0"/>
        <v>24.23</v>
      </c>
      <c r="L59" s="949">
        <f t="shared" si="0"/>
        <v>474.56</v>
      </c>
    </row>
    <row r="60" spans="1:27" x14ac:dyDescent="0.2">
      <c r="A60" s="952"/>
      <c r="B60" s="952"/>
      <c r="C60" s="953"/>
      <c r="D60" s="953" t="s">
        <v>45</v>
      </c>
      <c r="E60" s="944"/>
      <c r="F60" s="954"/>
      <c r="G60" s="955">
        <f>[92]Source!AN77</f>
        <v>27.92</v>
      </c>
      <c r="H60" s="956" t="s">
        <v>53</v>
      </c>
      <c r="I60" s="954">
        <f>[92]Source!AV77</f>
        <v>1.0469999999999999</v>
      </c>
      <c r="J60" s="949">
        <f>ROUND(F48*G60*I60*(1.67-1), 2)</f>
        <v>19.59</v>
      </c>
      <c r="K60" s="954">
        <f>IF([92]Source!BS77&lt;&gt; 0, [92]Source!BS77, 1)</f>
        <v>24.23</v>
      </c>
      <c r="L60" s="949">
        <f>ROUND(F48*G60*I60*(1.67-1)*K60, 2)</f>
        <v>474.56</v>
      </c>
      <c r="W60" s="902">
        <f>J60</f>
        <v>19.59</v>
      </c>
    </row>
    <row r="61" spans="1:27" x14ac:dyDescent="0.2">
      <c r="A61" s="952"/>
      <c r="B61" s="952"/>
      <c r="C61" s="953"/>
      <c r="D61" s="953" t="s">
        <v>50</v>
      </c>
      <c r="E61" s="944" t="s">
        <v>48</v>
      </c>
      <c r="F61" s="954">
        <f>175</f>
        <v>175</v>
      </c>
      <c r="G61" s="955"/>
      <c r="H61" s="944"/>
      <c r="I61" s="954"/>
      <c r="J61" s="949">
        <f>ROUND(J60*(F61/100), 2)</f>
        <v>34.28</v>
      </c>
      <c r="K61" s="954">
        <f>157</f>
        <v>157</v>
      </c>
      <c r="L61" s="949">
        <f>ROUND(L60*(K61/100), 2)</f>
        <v>745.06</v>
      </c>
    </row>
    <row r="62" spans="1:27" x14ac:dyDescent="0.2">
      <c r="I62" s="950">
        <f>J61+J60</f>
        <v>53.87</v>
      </c>
      <c r="J62" s="950"/>
      <c r="K62" s="950">
        <f>L61+L60</f>
        <v>1219.6199999999999</v>
      </c>
      <c r="L62" s="950"/>
      <c r="O62" s="951">
        <f>I62</f>
        <v>53.87</v>
      </c>
      <c r="P62" s="951">
        <f>K62</f>
        <v>1219.6199999999999</v>
      </c>
      <c r="X62" s="902">
        <f>IF([92]Source!BI77&lt;=1,I62, 0)</f>
        <v>0</v>
      </c>
      <c r="Y62" s="902">
        <f>IF([92]Source!BI77=2,I62, 0)</f>
        <v>53.87</v>
      </c>
      <c r="Z62" s="902">
        <f>IF([92]Source!BI77=3,I62, 0)</f>
        <v>0</v>
      </c>
      <c r="AA62" s="902">
        <f>IF([92]Source!BI77=4,I62, 0)</f>
        <v>0</v>
      </c>
    </row>
    <row r="64" spans="1:27" x14ac:dyDescent="0.2">
      <c r="A64" s="957"/>
      <c r="B64" s="957"/>
      <c r="C64" s="958"/>
      <c r="D64" s="958" t="s">
        <v>134</v>
      </c>
      <c r="E64" s="959"/>
      <c r="F64" s="960"/>
      <c r="G64" s="961"/>
      <c r="H64" s="962"/>
      <c r="I64" s="950">
        <f>I57+I62</f>
        <v>8666.9599999999991</v>
      </c>
      <c r="J64" s="950"/>
      <c r="K64" s="950">
        <f>K57+K62</f>
        <v>168200.9</v>
      </c>
      <c r="L64" s="950"/>
    </row>
    <row r="66" spans="1:27" x14ac:dyDescent="0.2">
      <c r="A66" s="963" t="str">
        <f>CONCATENATE("Итого по подразделу: ",IF([92]Source!G91&lt;&gt;"Новый подраздел", [92]Source!G91, ""))</f>
        <v>Итого по подразделу: Светотехническое оборудование</v>
      </c>
      <c r="B66" s="963"/>
      <c r="C66" s="963"/>
      <c r="D66" s="963"/>
      <c r="E66" s="963"/>
      <c r="F66" s="963"/>
      <c r="G66" s="963"/>
      <c r="H66" s="963"/>
      <c r="I66" s="964">
        <f>SUM(O47:O65)</f>
        <v>8666.9599999999991</v>
      </c>
      <c r="J66" s="965"/>
      <c r="K66" s="964">
        <f>SUM(P47:P65)</f>
        <v>168200.9</v>
      </c>
      <c r="L66" s="965"/>
    </row>
    <row r="67" spans="1:27" hidden="1" x14ac:dyDescent="0.2">
      <c r="A67" s="902" t="s">
        <v>54</v>
      </c>
      <c r="I67" s="902">
        <f>SUM(AC47:AC66)</f>
        <v>0</v>
      </c>
      <c r="K67" s="902">
        <f>SUM(AD47:AD66)</f>
        <v>0</v>
      </c>
    </row>
    <row r="68" spans="1:27" hidden="1" x14ac:dyDescent="0.2">
      <c r="A68" s="902" t="s">
        <v>55</v>
      </c>
      <c r="I68" s="902">
        <f>SUM(AE47:AE67)</f>
        <v>0</v>
      </c>
      <c r="K68" s="902">
        <f>SUM(AF47:AF67)</f>
        <v>0</v>
      </c>
    </row>
    <row r="70" spans="1:27" x14ac:dyDescent="0.2">
      <c r="A70" s="940" t="str">
        <f>CONCATENATE("Подраздел: ",IF([92]Source!G180&lt;&gt;"Новый подраздел", [92]Source!G180, ""))</f>
        <v>Подраздел: Кабели и кабельные изделия</v>
      </c>
      <c r="B70" s="940"/>
      <c r="C70" s="940"/>
      <c r="D70" s="940"/>
      <c r="E70" s="940"/>
      <c r="F70" s="940"/>
      <c r="G70" s="940"/>
      <c r="H70" s="940"/>
      <c r="I70" s="940"/>
      <c r="J70" s="940"/>
      <c r="K70" s="940"/>
      <c r="L70" s="940"/>
    </row>
    <row r="71" spans="1:27" ht="51" x14ac:dyDescent="0.2">
      <c r="A71" s="942">
        <v>2</v>
      </c>
      <c r="B71" s="942" t="str">
        <f>[92]Source!E187</f>
        <v>13</v>
      </c>
      <c r="C71" s="943" t="str">
        <f>[92]Source!F187</f>
        <v>4.8-165-1</v>
      </c>
      <c r="D71" s="943" t="s">
        <v>208</v>
      </c>
      <c r="E71" s="944" t="str">
        <f>[92]Source!H187</f>
        <v>100 М КАБЕЛЯ</v>
      </c>
      <c r="F71" s="945">
        <f>[92]Source!I187</f>
        <v>11.074</v>
      </c>
      <c r="G71" s="946"/>
      <c r="H71" s="947"/>
      <c r="I71" s="945"/>
      <c r="J71" s="948"/>
      <c r="K71" s="945"/>
      <c r="L71" s="948"/>
      <c r="Q71" s="902">
        <f>ROUND(([92]Source!DN187/100)*ROUND((ROUND(([92]Source!AF187*[92]Source!AV187*[92]Source!I187),2)),2), 2)</f>
        <v>5428.08</v>
      </c>
      <c r="R71" s="902">
        <f>[92]Source!X187</f>
        <v>105687.63</v>
      </c>
      <c r="S71" s="902">
        <f>ROUND(([92]Source!DO187/100)*ROUND((ROUND(([92]Source!AF187*[92]Source!AV187*[92]Source!I187),2)),2), 2)</f>
        <v>3392.55</v>
      </c>
      <c r="T71" s="902">
        <f>[92]Source!Y187</f>
        <v>50495.199999999997</v>
      </c>
      <c r="U71" s="902">
        <f>ROUND((175/100)*ROUND((ROUND(([92]Source!AE187*[92]Source!AV187*[92]Source!I187),2)),2), 2)</f>
        <v>1373.02</v>
      </c>
      <c r="V71" s="902">
        <f>ROUND((157/100)*ROUND(ROUND((ROUND(([92]Source!AE187*[92]Source!AV187*[92]Source!I187),2)*[92]Source!BS187),2), 2), 2)</f>
        <v>29846.28</v>
      </c>
    </row>
    <row r="72" spans="1:27" x14ac:dyDescent="0.2">
      <c r="A72" s="942"/>
      <c r="B72" s="942"/>
      <c r="C72" s="943"/>
      <c r="D72" s="943" t="s">
        <v>43</v>
      </c>
      <c r="E72" s="944"/>
      <c r="F72" s="945"/>
      <c r="G72" s="946">
        <f>[92]Source!AO187</f>
        <v>250.3</v>
      </c>
      <c r="H72" s="947" t="str">
        <f>[92]Source!DG187</f>
        <v>)*1,67</v>
      </c>
      <c r="I72" s="945">
        <f>[92]Source!AV187</f>
        <v>1.0469999999999999</v>
      </c>
      <c r="J72" s="948">
        <f>ROUND((ROUND(([92]Source!AF187*[92]Source!AV187*[92]Source!I187),2)),2)</f>
        <v>4846.5</v>
      </c>
      <c r="K72" s="945">
        <f>IF([92]Source!BA187&lt;&gt; 0, [92]Source!BA187, 1)</f>
        <v>24.23</v>
      </c>
      <c r="L72" s="948">
        <f>[92]Source!S187</f>
        <v>117430.7</v>
      </c>
      <c r="W72" s="902">
        <f>J72</f>
        <v>4846.5</v>
      </c>
    </row>
    <row r="73" spans="1:27" x14ac:dyDescent="0.2">
      <c r="A73" s="942"/>
      <c r="B73" s="942"/>
      <c r="C73" s="943"/>
      <c r="D73" s="943" t="s">
        <v>44</v>
      </c>
      <c r="E73" s="944"/>
      <c r="F73" s="945"/>
      <c r="G73" s="946">
        <f>[92]Source!AM187</f>
        <v>252.31</v>
      </c>
      <c r="H73" s="947">
        <f>[92]Source!DE187</f>
        <v>0</v>
      </c>
      <c r="I73" s="945">
        <f>[92]Source!AV187</f>
        <v>1.0469999999999999</v>
      </c>
      <c r="J73" s="948">
        <f>(ROUND((ROUND((([92]Source!ET187)*[92]Source!AV187*[92]Source!I187),2)),2)+ROUND((ROUND((([92]Source!AE187-([92]Source!EU187))*[92]Source!AV187*[92]Source!I187),2)),2))-J82</f>
        <v>2925.4</v>
      </c>
      <c r="K73" s="945">
        <f>IF([92]Source!BB187&lt;&gt; 0, [92]Source!BB187, 1)</f>
        <v>8.56</v>
      </c>
      <c r="L73" s="948">
        <f>[92]Source!Q187-L82</f>
        <v>25041.39</v>
      </c>
    </row>
    <row r="74" spans="1:27" x14ac:dyDescent="0.2">
      <c r="A74" s="942"/>
      <c r="B74" s="942"/>
      <c r="C74" s="943"/>
      <c r="D74" s="943" t="s">
        <v>45</v>
      </c>
      <c r="E74" s="944"/>
      <c r="F74" s="945"/>
      <c r="G74" s="946">
        <f>[92]Source!AN187</f>
        <v>40.520000000000003</v>
      </c>
      <c r="H74" s="947">
        <f>[92]Source!DE187</f>
        <v>0</v>
      </c>
      <c r="I74" s="945">
        <f>[92]Source!AV187</f>
        <v>1.0469999999999999</v>
      </c>
      <c r="J74" s="949">
        <f>ROUND((ROUND(([92]Source!AE187*[92]Source!AV187*[92]Source!I187),2)),2)-J83</f>
        <v>469.81</v>
      </c>
      <c r="K74" s="945">
        <f>IF([92]Source!BS187&lt;&gt; 0, [92]Source!BS187, 1)</f>
        <v>24.23</v>
      </c>
      <c r="L74" s="949">
        <f>[92]Source!R187-L83</f>
        <v>11383.46</v>
      </c>
      <c r="W74" s="902">
        <f>J74</f>
        <v>469.81</v>
      </c>
    </row>
    <row r="75" spans="1:27" x14ac:dyDescent="0.2">
      <c r="A75" s="942"/>
      <c r="B75" s="942"/>
      <c r="C75" s="943"/>
      <c r="D75" s="943" t="s">
        <v>46</v>
      </c>
      <c r="E75" s="944"/>
      <c r="F75" s="945"/>
      <c r="G75" s="946">
        <f>[92]Source!AL187</f>
        <v>31.36</v>
      </c>
      <c r="H75" s="947">
        <f>[92]Source!DD187</f>
        <v>0</v>
      </c>
      <c r="I75" s="945">
        <f>[92]Source!AW187</f>
        <v>1</v>
      </c>
      <c r="J75" s="948">
        <f>ROUND((ROUND(([92]Source!AC187*[92]Source!AW187*[92]Source!I187),2)),2)</f>
        <v>347.28</v>
      </c>
      <c r="K75" s="945">
        <f>IF([92]Source!BC187&lt;&gt; 0, [92]Source!BC187, 1)</f>
        <v>5.58</v>
      </c>
      <c r="L75" s="948">
        <f>[92]Source!P187</f>
        <v>1937.82</v>
      </c>
    </row>
    <row r="76" spans="1:27" x14ac:dyDescent="0.2">
      <c r="A76" s="942"/>
      <c r="B76" s="942"/>
      <c r="C76" s="943"/>
      <c r="D76" s="943" t="s">
        <v>47</v>
      </c>
      <c r="E76" s="944" t="s">
        <v>48</v>
      </c>
      <c r="F76" s="945">
        <f>[92]Source!DN187</f>
        <v>112</v>
      </c>
      <c r="G76" s="946"/>
      <c r="H76" s="947"/>
      <c r="I76" s="945"/>
      <c r="J76" s="948">
        <f>SUM(Q71:Q75)</f>
        <v>5428.08</v>
      </c>
      <c r="K76" s="945">
        <f>[92]Source!BZ187</f>
        <v>90</v>
      </c>
      <c r="L76" s="948">
        <f>SUM(R71:R75)</f>
        <v>105687.63</v>
      </c>
    </row>
    <row r="77" spans="1:27" x14ac:dyDescent="0.2">
      <c r="A77" s="942"/>
      <c r="B77" s="942"/>
      <c r="C77" s="943"/>
      <c r="D77" s="943" t="s">
        <v>49</v>
      </c>
      <c r="E77" s="944" t="s">
        <v>48</v>
      </c>
      <c r="F77" s="945">
        <f>[92]Source!DO187</f>
        <v>70</v>
      </c>
      <c r="G77" s="946"/>
      <c r="H77" s="947"/>
      <c r="I77" s="945"/>
      <c r="J77" s="948">
        <f>SUM(S71:S76)</f>
        <v>3392.55</v>
      </c>
      <c r="K77" s="945">
        <f>[92]Source!CA187</f>
        <v>43</v>
      </c>
      <c r="L77" s="948">
        <f>SUM(T71:T76)</f>
        <v>50495.199999999997</v>
      </c>
    </row>
    <row r="78" spans="1:27" x14ac:dyDescent="0.2">
      <c r="A78" s="942"/>
      <c r="B78" s="942"/>
      <c r="C78" s="943"/>
      <c r="D78" s="943" t="s">
        <v>50</v>
      </c>
      <c r="E78" s="944" t="s">
        <v>48</v>
      </c>
      <c r="F78" s="945">
        <f>175</f>
        <v>175</v>
      </c>
      <c r="G78" s="946"/>
      <c r="H78" s="947"/>
      <c r="I78" s="945"/>
      <c r="J78" s="948">
        <f>SUM(U71:U77)-J84</f>
        <v>822.17</v>
      </c>
      <c r="K78" s="945">
        <f>157</f>
        <v>157</v>
      </c>
      <c r="L78" s="948">
        <f>SUM(V71:V77)-L84</f>
        <v>17872.03</v>
      </c>
    </row>
    <row r="79" spans="1:27" x14ac:dyDescent="0.2">
      <c r="A79" s="942"/>
      <c r="B79" s="942"/>
      <c r="C79" s="943"/>
      <c r="D79" s="943" t="s">
        <v>51</v>
      </c>
      <c r="E79" s="944" t="s">
        <v>52</v>
      </c>
      <c r="F79" s="945">
        <f>[92]Source!AQ187</f>
        <v>20.3</v>
      </c>
      <c r="G79" s="946"/>
      <c r="H79" s="947">
        <f>[92]Source!DI187</f>
        <v>0</v>
      </c>
      <c r="I79" s="945">
        <f>[92]Source!AV187</f>
        <v>1.0469999999999999</v>
      </c>
      <c r="J79" s="948">
        <f>[92]Source!U187</f>
        <v>235.37</v>
      </c>
      <c r="K79" s="945"/>
      <c r="L79" s="948"/>
    </row>
    <row r="80" spans="1:27" x14ac:dyDescent="0.2">
      <c r="I80" s="950">
        <f>J72+J73+J75+J76+J77+J78</f>
        <v>17761.98</v>
      </c>
      <c r="J80" s="950"/>
      <c r="K80" s="950">
        <f>L72+L73+L75+L76+L77+L78</f>
        <v>318464.77</v>
      </c>
      <c r="L80" s="950"/>
      <c r="O80" s="951">
        <f>J72+J73+J75+J76+J77+J78</f>
        <v>17761.98</v>
      </c>
      <c r="P80" s="951">
        <f>L72+L73+L75+L76+L77+L78</f>
        <v>318464.77</v>
      </c>
      <c r="X80" s="902">
        <f>IF([92]Source!BI187&lt;=1,J72+J73+J75+J76+J77+J78-0, 0)</f>
        <v>0</v>
      </c>
      <c r="Y80" s="902">
        <f>IF([92]Source!BI187=2,J72+J73+J75+J76+J77+J78-0, 0)</f>
        <v>17761.98</v>
      </c>
      <c r="Z80" s="902">
        <f>IF([92]Source!BI187=3,J72+J73+J75+J76+J77+J78-0, 0)</f>
        <v>0</v>
      </c>
      <c r="AA80" s="902">
        <f>IF([92]Source!BI187=4,J72+J73+J75+J76+J77+J78,0)</f>
        <v>0</v>
      </c>
    </row>
    <row r="81" spans="1:27" ht="25.5" x14ac:dyDescent="0.2">
      <c r="A81" s="952"/>
      <c r="B81" s="952"/>
      <c r="C81" s="953"/>
      <c r="D81" s="953" t="s">
        <v>133</v>
      </c>
      <c r="E81" s="944"/>
      <c r="F81" s="954"/>
      <c r="G81" s="955"/>
      <c r="H81" s="944"/>
      <c r="I81" s="954"/>
      <c r="J81" s="949"/>
      <c r="K81" s="954"/>
      <c r="L81" s="949"/>
    </row>
    <row r="82" spans="1:27" x14ac:dyDescent="0.2">
      <c r="A82" s="952"/>
      <c r="B82" s="952"/>
      <c r="C82" s="953"/>
      <c r="D82" s="953" t="s">
        <v>44</v>
      </c>
      <c r="E82" s="944"/>
      <c r="F82" s="954"/>
      <c r="G82" s="955">
        <f t="shared" ref="G82:L82" si="1">G83</f>
        <v>40.520000000000003</v>
      </c>
      <c r="H82" s="956" t="str">
        <f t="shared" si="1"/>
        <v>)*(1.67-1)</v>
      </c>
      <c r="I82" s="954">
        <f t="shared" si="1"/>
        <v>1.0469999999999999</v>
      </c>
      <c r="J82" s="949">
        <f t="shared" si="1"/>
        <v>314.77</v>
      </c>
      <c r="K82" s="954">
        <f t="shared" si="1"/>
        <v>24.23</v>
      </c>
      <c r="L82" s="949">
        <f t="shared" si="1"/>
        <v>7626.91</v>
      </c>
    </row>
    <row r="83" spans="1:27" x14ac:dyDescent="0.2">
      <c r="A83" s="952"/>
      <c r="B83" s="952"/>
      <c r="C83" s="953"/>
      <c r="D83" s="953" t="s">
        <v>45</v>
      </c>
      <c r="E83" s="944"/>
      <c r="F83" s="954"/>
      <c r="G83" s="955">
        <f>[92]Source!AN187</f>
        <v>40.520000000000003</v>
      </c>
      <c r="H83" s="956" t="s">
        <v>53</v>
      </c>
      <c r="I83" s="954">
        <f>[92]Source!AV187</f>
        <v>1.0469999999999999</v>
      </c>
      <c r="J83" s="949">
        <f>ROUND(F71*G83*I83*(1.67-1), 2)</f>
        <v>314.77</v>
      </c>
      <c r="K83" s="954">
        <f>IF([92]Source!BS187&lt;&gt; 0, [92]Source!BS187, 1)</f>
        <v>24.23</v>
      </c>
      <c r="L83" s="949">
        <f>ROUND(F71*G83*I83*(1.67-1)*K83, 2)</f>
        <v>7626.91</v>
      </c>
      <c r="W83" s="902">
        <f>J83</f>
        <v>314.77</v>
      </c>
    </row>
    <row r="84" spans="1:27" x14ac:dyDescent="0.2">
      <c r="A84" s="952"/>
      <c r="B84" s="952"/>
      <c r="C84" s="953"/>
      <c r="D84" s="953" t="s">
        <v>50</v>
      </c>
      <c r="E84" s="944" t="s">
        <v>48</v>
      </c>
      <c r="F84" s="954">
        <f>175</f>
        <v>175</v>
      </c>
      <c r="G84" s="955"/>
      <c r="H84" s="944"/>
      <c r="I84" s="954"/>
      <c r="J84" s="949">
        <f>ROUND(J83*(F84/100), 2)</f>
        <v>550.85</v>
      </c>
      <c r="K84" s="954">
        <f>157</f>
        <v>157</v>
      </c>
      <c r="L84" s="949">
        <f>ROUND(L83*(K84/100), 2)</f>
        <v>11974.25</v>
      </c>
    </row>
    <row r="85" spans="1:27" x14ac:dyDescent="0.2">
      <c r="I85" s="950">
        <f>J84+J83</f>
        <v>865.62</v>
      </c>
      <c r="J85" s="950"/>
      <c r="K85" s="950">
        <f>L84+L83</f>
        <v>19601.16</v>
      </c>
      <c r="L85" s="950"/>
      <c r="O85" s="951">
        <f>I85</f>
        <v>865.62</v>
      </c>
      <c r="P85" s="951">
        <f>K85</f>
        <v>19601.16</v>
      </c>
      <c r="X85" s="902">
        <f>IF([92]Source!BI187&lt;=1,I85, 0)</f>
        <v>0</v>
      </c>
      <c r="Y85" s="902">
        <f>IF([92]Source!BI187=2,I85, 0)</f>
        <v>865.62</v>
      </c>
      <c r="Z85" s="902">
        <f>IF([92]Source!BI187=3,I85, 0)</f>
        <v>0</v>
      </c>
      <c r="AA85" s="902">
        <f>IF([92]Source!BI187=4,I85, 0)</f>
        <v>0</v>
      </c>
    </row>
    <row r="87" spans="1:27" x14ac:dyDescent="0.2">
      <c r="A87" s="957"/>
      <c r="B87" s="957"/>
      <c r="C87" s="958"/>
      <c r="D87" s="958" t="s">
        <v>134</v>
      </c>
      <c r="E87" s="959"/>
      <c r="F87" s="960"/>
      <c r="G87" s="961"/>
      <c r="H87" s="962"/>
      <c r="I87" s="950">
        <f>I80+I85</f>
        <v>18627.599999999999</v>
      </c>
      <c r="J87" s="950"/>
      <c r="K87" s="950">
        <f>K80+K85</f>
        <v>338065.93</v>
      </c>
      <c r="L87" s="950"/>
    </row>
    <row r="88" spans="1:27" ht="51" x14ac:dyDescent="0.2">
      <c r="A88" s="942">
        <v>3</v>
      </c>
      <c r="B88" s="942" t="str">
        <f>[92]Source!E195</f>
        <v>15</v>
      </c>
      <c r="C88" s="943" t="str">
        <f>[92]Source!F195</f>
        <v>4.8-79-10</v>
      </c>
      <c r="D88" s="943" t="s">
        <v>209</v>
      </c>
      <c r="E88" s="944" t="str">
        <f>[92]Source!H195</f>
        <v>100 М КАБЕЛЯ</v>
      </c>
      <c r="F88" s="945">
        <f>[92]Source!I195</f>
        <v>2.6459999999999999</v>
      </c>
      <c r="G88" s="946"/>
      <c r="H88" s="947"/>
      <c r="I88" s="945"/>
      <c r="J88" s="948"/>
      <c r="K88" s="945"/>
      <c r="L88" s="948"/>
      <c r="Q88" s="902">
        <f>ROUND(([92]Source!DN195/100)*ROUND((ROUND(([92]Source!AF195*[92]Source!AV195*[92]Source!I195),2)),2), 2)</f>
        <v>989.7</v>
      </c>
      <c r="R88" s="902">
        <f>[92]Source!X195</f>
        <v>19269.97</v>
      </c>
      <c r="S88" s="902">
        <f>ROUND(([92]Source!DO195/100)*ROUND((ROUND(([92]Source!AF195*[92]Source!AV195*[92]Source!I195),2)),2), 2)</f>
        <v>618.55999999999995</v>
      </c>
      <c r="T88" s="902">
        <f>[92]Source!Y195</f>
        <v>9206.76</v>
      </c>
      <c r="U88" s="902">
        <f>ROUND((175/100)*ROUND((ROUND(([92]Source!AE195*[92]Source!AV195*[92]Source!I195),2)),2), 2)</f>
        <v>545.23</v>
      </c>
      <c r="V88" s="902">
        <f>ROUND((157/100)*ROUND(ROUND((ROUND(([92]Source!AE195*[92]Source!AV195*[92]Source!I195),2)*[92]Source!BS195),2), 2), 2)</f>
        <v>11852.09</v>
      </c>
    </row>
    <row r="89" spans="1:27" x14ac:dyDescent="0.2">
      <c r="A89" s="942"/>
      <c r="B89" s="942"/>
      <c r="C89" s="943"/>
      <c r="D89" s="943" t="s">
        <v>43</v>
      </c>
      <c r="E89" s="944"/>
      <c r="F89" s="945"/>
      <c r="G89" s="946">
        <f>[92]Source!AO195</f>
        <v>187.42</v>
      </c>
      <c r="H89" s="947" t="str">
        <f>[92]Source!DG195</f>
        <v>)*1,67</v>
      </c>
      <c r="I89" s="945">
        <f>[92]Source!AV195</f>
        <v>1.0669999999999999</v>
      </c>
      <c r="J89" s="948">
        <f>ROUND((ROUND(([92]Source!AF195*[92]Source!AV195*[92]Source!I195),2)),2)</f>
        <v>883.66</v>
      </c>
      <c r="K89" s="945">
        <f>IF([92]Source!BA195&lt;&gt; 0, [92]Source!BA195, 1)</f>
        <v>24.23</v>
      </c>
      <c r="L89" s="948">
        <f>[92]Source!S195</f>
        <v>21411.08</v>
      </c>
      <c r="W89" s="902">
        <f>J89</f>
        <v>883.66</v>
      </c>
    </row>
    <row r="90" spans="1:27" x14ac:dyDescent="0.2">
      <c r="A90" s="942"/>
      <c r="B90" s="942"/>
      <c r="C90" s="943"/>
      <c r="D90" s="943" t="s">
        <v>44</v>
      </c>
      <c r="E90" s="944"/>
      <c r="F90" s="945"/>
      <c r="G90" s="946">
        <f>[92]Source!AM195</f>
        <v>418.64</v>
      </c>
      <c r="H90" s="947">
        <f>[92]Source!DE195</f>
        <v>0</v>
      </c>
      <c r="I90" s="945">
        <f>[92]Source!AV195</f>
        <v>1.0669999999999999</v>
      </c>
      <c r="J90" s="948">
        <f>(ROUND((ROUND((([92]Source!ET195)*[92]Source!AV195*[92]Source!I195),2)),2)+ROUND((ROUND((([92]Source!AE195-([92]Source!EU195))*[92]Source!AV195*[92]Source!I195),2)),2))-J99</f>
        <v>1181.94</v>
      </c>
      <c r="K90" s="945">
        <f>IF([92]Source!BB195&lt;&gt; 0, [92]Source!BB195, 1)</f>
        <v>8.51</v>
      </c>
      <c r="L90" s="948">
        <f>[92]Source!Q195-L99</f>
        <v>10058.39</v>
      </c>
    </row>
    <row r="91" spans="1:27" x14ac:dyDescent="0.2">
      <c r="A91" s="942"/>
      <c r="B91" s="942"/>
      <c r="C91" s="943"/>
      <c r="D91" s="943" t="s">
        <v>45</v>
      </c>
      <c r="E91" s="944"/>
      <c r="F91" s="945"/>
      <c r="G91" s="946">
        <f>[92]Source!AN195</f>
        <v>66.08</v>
      </c>
      <c r="H91" s="947">
        <f>[92]Source!DE195</f>
        <v>0</v>
      </c>
      <c r="I91" s="945">
        <f>[92]Source!AV195</f>
        <v>1.0669999999999999</v>
      </c>
      <c r="J91" s="949">
        <f>ROUND((ROUND(([92]Source!AE195*[92]Source!AV195*[92]Source!I195),2)),2)-J100</f>
        <v>186.56</v>
      </c>
      <c r="K91" s="945">
        <f>IF([92]Source!BS195&lt;&gt; 0, [92]Source!BS195, 1)</f>
        <v>24.23</v>
      </c>
      <c r="L91" s="949">
        <f>[92]Source!R195-L100</f>
        <v>4520.43</v>
      </c>
      <c r="W91" s="902">
        <f>J91</f>
        <v>186.56</v>
      </c>
    </row>
    <row r="92" spans="1:27" x14ac:dyDescent="0.2">
      <c r="A92" s="942"/>
      <c r="B92" s="942"/>
      <c r="C92" s="943"/>
      <c r="D92" s="943" t="s">
        <v>46</v>
      </c>
      <c r="E92" s="944"/>
      <c r="F92" s="945"/>
      <c r="G92" s="946">
        <f>[92]Source!AL195</f>
        <v>37.659999999999997</v>
      </c>
      <c r="H92" s="947">
        <f>[92]Source!DD195</f>
        <v>0</v>
      </c>
      <c r="I92" s="945">
        <f>[92]Source!AW195</f>
        <v>1.081</v>
      </c>
      <c r="J92" s="948">
        <f>ROUND((ROUND(([92]Source!AC195*[92]Source!AW195*[92]Source!I195),2)),2)</f>
        <v>107.72</v>
      </c>
      <c r="K92" s="945">
        <f>IF([92]Source!BC195&lt;&gt; 0, [92]Source!BC195, 1)</f>
        <v>5.58</v>
      </c>
      <c r="L92" s="948">
        <f>[92]Source!P195</f>
        <v>601.08000000000004</v>
      </c>
    </row>
    <row r="93" spans="1:27" x14ac:dyDescent="0.2">
      <c r="A93" s="942"/>
      <c r="B93" s="942"/>
      <c r="C93" s="943"/>
      <c r="D93" s="943" t="s">
        <v>47</v>
      </c>
      <c r="E93" s="944" t="s">
        <v>48</v>
      </c>
      <c r="F93" s="945">
        <f>[92]Source!DN195</f>
        <v>112</v>
      </c>
      <c r="G93" s="946"/>
      <c r="H93" s="947"/>
      <c r="I93" s="945"/>
      <c r="J93" s="948">
        <f>SUM(Q88:Q92)</f>
        <v>989.7</v>
      </c>
      <c r="K93" s="945">
        <f>[92]Source!BZ195</f>
        <v>90</v>
      </c>
      <c r="L93" s="948">
        <f>SUM(R88:R92)</f>
        <v>19269.97</v>
      </c>
    </row>
    <row r="94" spans="1:27" x14ac:dyDescent="0.2">
      <c r="A94" s="942"/>
      <c r="B94" s="942"/>
      <c r="C94" s="943"/>
      <c r="D94" s="943" t="s">
        <v>49</v>
      </c>
      <c r="E94" s="944" t="s">
        <v>48</v>
      </c>
      <c r="F94" s="945">
        <f>[92]Source!DO195</f>
        <v>70</v>
      </c>
      <c r="G94" s="946"/>
      <c r="H94" s="947"/>
      <c r="I94" s="945"/>
      <c r="J94" s="948">
        <f>SUM(S88:S93)</f>
        <v>618.55999999999995</v>
      </c>
      <c r="K94" s="945">
        <f>[92]Source!CA195</f>
        <v>43</v>
      </c>
      <c r="L94" s="948">
        <f>SUM(T88:T93)</f>
        <v>9206.76</v>
      </c>
    </row>
    <row r="95" spans="1:27" x14ac:dyDescent="0.2">
      <c r="A95" s="942"/>
      <c r="B95" s="942"/>
      <c r="C95" s="943"/>
      <c r="D95" s="943" t="s">
        <v>50</v>
      </c>
      <c r="E95" s="944" t="s">
        <v>48</v>
      </c>
      <c r="F95" s="945">
        <f>175</f>
        <v>175</v>
      </c>
      <c r="G95" s="946"/>
      <c r="H95" s="947"/>
      <c r="I95" s="945"/>
      <c r="J95" s="948">
        <f>SUM(U88:U94)-J101</f>
        <v>326.48</v>
      </c>
      <c r="K95" s="945">
        <f>157</f>
        <v>157</v>
      </c>
      <c r="L95" s="948">
        <f>SUM(V88:V94)-L101</f>
        <v>7097.08</v>
      </c>
    </row>
    <row r="96" spans="1:27" x14ac:dyDescent="0.2">
      <c r="A96" s="942"/>
      <c r="B96" s="942"/>
      <c r="C96" s="943"/>
      <c r="D96" s="943" t="s">
        <v>51</v>
      </c>
      <c r="E96" s="944" t="s">
        <v>52</v>
      </c>
      <c r="F96" s="945">
        <f>[92]Source!AQ195</f>
        <v>15.2</v>
      </c>
      <c r="G96" s="946"/>
      <c r="H96" s="947">
        <f>[92]Source!DI195</f>
        <v>0</v>
      </c>
      <c r="I96" s="945">
        <f>[92]Source!AV195</f>
        <v>1.0669999999999999</v>
      </c>
      <c r="J96" s="948">
        <f>[92]Source!U195</f>
        <v>42.91</v>
      </c>
      <c r="K96" s="945"/>
      <c r="L96" s="948"/>
    </row>
    <row r="97" spans="1:27" x14ac:dyDescent="0.2">
      <c r="I97" s="950">
        <f>J89+J90+J92+J93+J94+J95</f>
        <v>4108.0600000000004</v>
      </c>
      <c r="J97" s="950"/>
      <c r="K97" s="950">
        <f>L89+L90+L92+L93+L94+L95</f>
        <v>67644.36</v>
      </c>
      <c r="L97" s="950"/>
      <c r="O97" s="951">
        <f>J89+J90+J92+J93+J94+J95</f>
        <v>4108.0600000000004</v>
      </c>
      <c r="P97" s="951">
        <f>L89+L90+L92+L93+L94+L95</f>
        <v>67644.36</v>
      </c>
      <c r="X97" s="902">
        <f>IF([92]Source!BI195&lt;=1,J89+J90+J92+J93+J94+J95-0, 0)</f>
        <v>0</v>
      </c>
      <c r="Y97" s="902">
        <f>IF([92]Source!BI195=2,J89+J90+J92+J93+J94+J95-0, 0)</f>
        <v>4108.0600000000004</v>
      </c>
      <c r="Z97" s="902">
        <f>IF([92]Source!BI195=3,J89+J90+J92+J93+J94+J95-0, 0)</f>
        <v>0</v>
      </c>
      <c r="AA97" s="902">
        <f>IF([92]Source!BI195=4,J89+J90+J92+J93+J94+J95,0)</f>
        <v>0</v>
      </c>
    </row>
    <row r="98" spans="1:27" ht="25.5" x14ac:dyDescent="0.2">
      <c r="A98" s="952"/>
      <c r="B98" s="952"/>
      <c r="C98" s="953"/>
      <c r="D98" s="953" t="s">
        <v>133</v>
      </c>
      <c r="E98" s="944"/>
      <c r="F98" s="954"/>
      <c r="G98" s="955"/>
      <c r="H98" s="944"/>
      <c r="I98" s="954"/>
      <c r="J98" s="949"/>
      <c r="K98" s="954"/>
      <c r="L98" s="949"/>
    </row>
    <row r="99" spans="1:27" x14ac:dyDescent="0.2">
      <c r="A99" s="952"/>
      <c r="B99" s="952"/>
      <c r="C99" s="953"/>
      <c r="D99" s="953" t="s">
        <v>44</v>
      </c>
      <c r="E99" s="944"/>
      <c r="F99" s="954"/>
      <c r="G99" s="955">
        <f t="shared" ref="G99:L99" si="2">G100</f>
        <v>66.08</v>
      </c>
      <c r="H99" s="956" t="str">
        <f t="shared" si="2"/>
        <v>)*(1.67-1)</v>
      </c>
      <c r="I99" s="954">
        <f t="shared" si="2"/>
        <v>1.0669999999999999</v>
      </c>
      <c r="J99" s="949">
        <f t="shared" si="2"/>
        <v>125</v>
      </c>
      <c r="K99" s="954">
        <f t="shared" si="2"/>
        <v>24.23</v>
      </c>
      <c r="L99" s="949">
        <f t="shared" si="2"/>
        <v>3028.67</v>
      </c>
    </row>
    <row r="100" spans="1:27" x14ac:dyDescent="0.2">
      <c r="A100" s="952"/>
      <c r="B100" s="952"/>
      <c r="C100" s="953"/>
      <c r="D100" s="953" t="s">
        <v>45</v>
      </c>
      <c r="E100" s="944"/>
      <c r="F100" s="954"/>
      <c r="G100" s="955">
        <f>[92]Source!AN195</f>
        <v>66.08</v>
      </c>
      <c r="H100" s="956" t="s">
        <v>53</v>
      </c>
      <c r="I100" s="954">
        <f>[92]Source!AV195</f>
        <v>1.0669999999999999</v>
      </c>
      <c r="J100" s="949">
        <f>ROUND(F88*G100*I100*(1.67-1), 2)</f>
        <v>125</v>
      </c>
      <c r="K100" s="954">
        <f>IF([92]Source!BS195&lt;&gt; 0, [92]Source!BS195, 1)</f>
        <v>24.23</v>
      </c>
      <c r="L100" s="949">
        <f>ROUND(F88*G100*I100*(1.67-1)*K100, 2)</f>
        <v>3028.67</v>
      </c>
      <c r="W100" s="902">
        <f>J100</f>
        <v>125</v>
      </c>
    </row>
    <row r="101" spans="1:27" x14ac:dyDescent="0.2">
      <c r="A101" s="952"/>
      <c r="B101" s="952"/>
      <c r="C101" s="953"/>
      <c r="D101" s="953" t="s">
        <v>50</v>
      </c>
      <c r="E101" s="944" t="s">
        <v>48</v>
      </c>
      <c r="F101" s="954">
        <f>175</f>
        <v>175</v>
      </c>
      <c r="G101" s="955"/>
      <c r="H101" s="944"/>
      <c r="I101" s="954"/>
      <c r="J101" s="949">
        <f>ROUND(J100*(F101/100), 2)</f>
        <v>218.75</v>
      </c>
      <c r="K101" s="954">
        <f>157</f>
        <v>157</v>
      </c>
      <c r="L101" s="949">
        <f>ROUND(L100*(K101/100), 2)</f>
        <v>4755.01</v>
      </c>
    </row>
    <row r="102" spans="1:27" x14ac:dyDescent="0.2">
      <c r="I102" s="950">
        <f>J101+J100</f>
        <v>343.75</v>
      </c>
      <c r="J102" s="950"/>
      <c r="K102" s="950">
        <f>L101+L100</f>
        <v>7783.68</v>
      </c>
      <c r="L102" s="950"/>
      <c r="O102" s="951">
        <f>I102</f>
        <v>343.75</v>
      </c>
      <c r="P102" s="951">
        <f>K102</f>
        <v>7783.68</v>
      </c>
      <c r="X102" s="902">
        <f>IF([92]Source!BI195&lt;=1,I102, 0)</f>
        <v>0</v>
      </c>
      <c r="Y102" s="902">
        <f>IF([92]Source!BI195=2,I102, 0)</f>
        <v>343.75</v>
      </c>
      <c r="Z102" s="902">
        <f>IF([92]Source!BI195=3,I102, 0)</f>
        <v>0</v>
      </c>
      <c r="AA102" s="902">
        <f>IF([92]Source!BI195=4,I102, 0)</f>
        <v>0</v>
      </c>
    </row>
    <row r="104" spans="1:27" x14ac:dyDescent="0.2">
      <c r="A104" s="957"/>
      <c r="B104" s="957"/>
      <c r="C104" s="958"/>
      <c r="D104" s="958" t="s">
        <v>134</v>
      </c>
      <c r="E104" s="959"/>
      <c r="F104" s="960"/>
      <c r="G104" s="961"/>
      <c r="H104" s="962"/>
      <c r="I104" s="950">
        <f>I97+I102</f>
        <v>4451.8100000000004</v>
      </c>
      <c r="J104" s="950"/>
      <c r="K104" s="950">
        <f>K97+K102</f>
        <v>75428.039999999994</v>
      </c>
      <c r="L104" s="950"/>
    </row>
    <row r="106" spans="1:27" x14ac:dyDescent="0.2">
      <c r="A106" s="963" t="str">
        <f>CONCATENATE("Итого по подразделу: ",IF([92]Source!G207&lt;&gt;"Новый подраздел", [92]Source!G207, ""))</f>
        <v>Итого по подразделу: Кабели и кабельные изделия</v>
      </c>
      <c r="B106" s="963"/>
      <c r="C106" s="963"/>
      <c r="D106" s="963"/>
      <c r="E106" s="963"/>
      <c r="F106" s="963"/>
      <c r="G106" s="963"/>
      <c r="H106" s="963"/>
      <c r="I106" s="964">
        <f>SUM(O70:O105)</f>
        <v>23079.41</v>
      </c>
      <c r="J106" s="965"/>
      <c r="K106" s="964">
        <f>SUM(P70:P105)</f>
        <v>413493.97</v>
      </c>
      <c r="L106" s="965"/>
    </row>
    <row r="107" spans="1:27" hidden="1" x14ac:dyDescent="0.2">
      <c r="A107" s="902" t="s">
        <v>54</v>
      </c>
      <c r="I107" s="902">
        <f>SUM(AC70:AC106)</f>
        <v>0</v>
      </c>
      <c r="K107" s="902">
        <f>SUM(AD70:AD106)</f>
        <v>0</v>
      </c>
    </row>
    <row r="108" spans="1:27" hidden="1" x14ac:dyDescent="0.2">
      <c r="A108" s="902" t="s">
        <v>55</v>
      </c>
      <c r="I108" s="902">
        <f>SUM(AE70:AE107)</f>
        <v>0</v>
      </c>
      <c r="K108" s="902">
        <f>SUM(AF70:AF107)</f>
        <v>0</v>
      </c>
    </row>
    <row r="110" spans="1:27" x14ac:dyDescent="0.2">
      <c r="A110" s="940" t="str">
        <f>CONCATENATE("Подраздел: ",IF([92]Source!G237&lt;&gt;"Новый подраздел", [92]Source!G237, ""))</f>
        <v>Подраздел: Металл и металлические изделия</v>
      </c>
      <c r="B110" s="940"/>
      <c r="C110" s="940"/>
      <c r="D110" s="940"/>
      <c r="E110" s="940"/>
      <c r="F110" s="940"/>
      <c r="G110" s="940"/>
      <c r="H110" s="940"/>
      <c r="I110" s="940"/>
      <c r="J110" s="940"/>
      <c r="K110" s="940"/>
      <c r="L110" s="940"/>
    </row>
    <row r="111" spans="1:27" ht="25.5" x14ac:dyDescent="0.2">
      <c r="A111" s="942">
        <v>4</v>
      </c>
      <c r="B111" s="942" t="str">
        <f>[92]Source!E242</f>
        <v>20</v>
      </c>
      <c r="C111" s="943" t="str">
        <f>[92]Source!F242</f>
        <v>4.8-83-3</v>
      </c>
      <c r="D111" s="943" t="s">
        <v>210</v>
      </c>
      <c r="E111" s="944" t="str">
        <f>[92]Source!H242</f>
        <v>1 Т</v>
      </c>
      <c r="F111" s="945">
        <f>[92]Source!I242</f>
        <v>0.7</v>
      </c>
      <c r="G111" s="946"/>
      <c r="H111" s="947"/>
      <c r="I111" s="945"/>
      <c r="J111" s="948"/>
      <c r="K111" s="945"/>
      <c r="L111" s="948"/>
      <c r="Q111" s="902">
        <f>ROUND(([92]Source!DN242/100)*ROUND((ROUND(([92]Source!AF242*[92]Source!AV242*[92]Source!I242),2)),2), 2)</f>
        <v>686.12</v>
      </c>
      <c r="R111" s="902">
        <f>[92]Source!X242</f>
        <v>13359.19</v>
      </c>
      <c r="S111" s="902">
        <f>ROUND(([92]Source!DO242/100)*ROUND((ROUND(([92]Source!AF242*[92]Source!AV242*[92]Source!I242),2)),2), 2)</f>
        <v>428.83</v>
      </c>
      <c r="T111" s="902">
        <f>[92]Source!Y242</f>
        <v>6382.72</v>
      </c>
      <c r="U111" s="902">
        <f>ROUND((175/100)*ROUND((ROUND(([92]Source!AE242*[92]Source!AV242*[92]Source!I242),2)),2), 2)</f>
        <v>160.41999999999999</v>
      </c>
      <c r="V111" s="902">
        <f>ROUND((157/100)*ROUND(ROUND((ROUND(([92]Source!AE242*[92]Source!AV242*[92]Source!I242),2)*[92]Source!BS242),2), 2), 2)</f>
        <v>3487.22</v>
      </c>
    </row>
    <row r="112" spans="1:27" x14ac:dyDescent="0.2">
      <c r="A112" s="942"/>
      <c r="B112" s="942"/>
      <c r="C112" s="943"/>
      <c r="D112" s="943" t="s">
        <v>43</v>
      </c>
      <c r="E112" s="944"/>
      <c r="F112" s="945"/>
      <c r="G112" s="946">
        <f>[92]Source!AO242</f>
        <v>482.1</v>
      </c>
      <c r="H112" s="947" t="str">
        <f>[92]Source!DG242</f>
        <v>)*1,67</v>
      </c>
      <c r="I112" s="945">
        <f>[92]Source!AV242</f>
        <v>1.087</v>
      </c>
      <c r="J112" s="948">
        <f>ROUND((ROUND(([92]Source!AF242*[92]Source!AV242*[92]Source!I242),2)),2)</f>
        <v>612.61</v>
      </c>
      <c r="K112" s="945">
        <f>IF([92]Source!BA242&lt;&gt; 0, [92]Source!BA242, 1)</f>
        <v>24.23</v>
      </c>
      <c r="L112" s="948">
        <f>[92]Source!S242</f>
        <v>14843.54</v>
      </c>
      <c r="W112" s="902">
        <f>J112</f>
        <v>612.61</v>
      </c>
    </row>
    <row r="113" spans="1:27" x14ac:dyDescent="0.2">
      <c r="A113" s="942"/>
      <c r="B113" s="942"/>
      <c r="C113" s="943"/>
      <c r="D113" s="943" t="s">
        <v>44</v>
      </c>
      <c r="E113" s="944"/>
      <c r="F113" s="945"/>
      <c r="G113" s="946">
        <f>[92]Source!AM242</f>
        <v>731.19</v>
      </c>
      <c r="H113" s="947">
        <f>[92]Source!DE242</f>
        <v>0</v>
      </c>
      <c r="I113" s="945">
        <f>[92]Source!AV242</f>
        <v>1.087</v>
      </c>
      <c r="J113" s="948">
        <f>(ROUND((ROUND((([92]Source!ET242)*[92]Source!AV242*[92]Source!I242),2)),2)+ROUND((ROUND((([92]Source!AE242-([92]Source!EU242))*[92]Source!AV242*[92]Source!I242),2)),2))-J122</f>
        <v>556.36</v>
      </c>
      <c r="K113" s="945">
        <f>IF([92]Source!BB242&lt;&gt; 0, [92]Source!BB242, 1)</f>
        <v>7.4</v>
      </c>
      <c r="L113" s="948">
        <f>[92]Source!Q242-L122</f>
        <v>4117.13</v>
      </c>
    </row>
    <row r="114" spans="1:27" x14ac:dyDescent="0.2">
      <c r="A114" s="942"/>
      <c r="B114" s="942"/>
      <c r="C114" s="943"/>
      <c r="D114" s="943" t="s">
        <v>45</v>
      </c>
      <c r="E114" s="944"/>
      <c r="F114" s="945"/>
      <c r="G114" s="946">
        <f>[92]Source!AN242</f>
        <v>72.14</v>
      </c>
      <c r="H114" s="947">
        <f>[92]Source!DE242</f>
        <v>0</v>
      </c>
      <c r="I114" s="945">
        <f>[92]Source!AV242</f>
        <v>1.087</v>
      </c>
      <c r="J114" s="949">
        <f>ROUND((ROUND(([92]Source!AE242*[92]Source!AV242*[92]Source!I242),2)),2)-J123</f>
        <v>54.89</v>
      </c>
      <c r="K114" s="945">
        <f>IF([92]Source!BS242&lt;&gt; 0, [92]Source!BS242, 1)</f>
        <v>24.23</v>
      </c>
      <c r="L114" s="949">
        <f>[92]Source!R242-L123</f>
        <v>1330.05</v>
      </c>
      <c r="W114" s="902">
        <f>J114</f>
        <v>54.89</v>
      </c>
    </row>
    <row r="115" spans="1:27" x14ac:dyDescent="0.2">
      <c r="A115" s="942"/>
      <c r="B115" s="942"/>
      <c r="C115" s="943"/>
      <c r="D115" s="943" t="s">
        <v>46</v>
      </c>
      <c r="E115" s="944"/>
      <c r="F115" s="945"/>
      <c r="G115" s="946">
        <f>[92]Source!AL242</f>
        <v>4382</v>
      </c>
      <c r="H115" s="947">
        <f>[92]Source!DD242</f>
        <v>0</v>
      </c>
      <c r="I115" s="945">
        <f>[92]Source!AW242</f>
        <v>1</v>
      </c>
      <c r="J115" s="948">
        <f>ROUND((ROUND(([92]Source!AC242*[92]Source!AW242*[92]Source!I242),2)),2)</f>
        <v>3067.4</v>
      </c>
      <c r="K115" s="945">
        <f>IF([92]Source!BC242&lt;&gt; 0, [92]Source!BC242, 1)</f>
        <v>5.58</v>
      </c>
      <c r="L115" s="948">
        <f>[92]Source!P242</f>
        <v>17116.09</v>
      </c>
    </row>
    <row r="116" spans="1:27" x14ac:dyDescent="0.2">
      <c r="A116" s="942"/>
      <c r="B116" s="942"/>
      <c r="C116" s="943"/>
      <c r="D116" s="943" t="s">
        <v>47</v>
      </c>
      <c r="E116" s="944" t="s">
        <v>48</v>
      </c>
      <c r="F116" s="945">
        <f>[92]Source!DN242</f>
        <v>112</v>
      </c>
      <c r="G116" s="946"/>
      <c r="H116" s="947"/>
      <c r="I116" s="945"/>
      <c r="J116" s="948">
        <f>SUM(Q111:Q115)</f>
        <v>686.12</v>
      </c>
      <c r="K116" s="945">
        <f>[92]Source!BZ242</f>
        <v>90</v>
      </c>
      <c r="L116" s="948">
        <f>SUM(R111:R115)</f>
        <v>13359.19</v>
      </c>
    </row>
    <row r="117" spans="1:27" x14ac:dyDescent="0.2">
      <c r="A117" s="942"/>
      <c r="B117" s="942"/>
      <c r="C117" s="943"/>
      <c r="D117" s="943" t="s">
        <v>49</v>
      </c>
      <c r="E117" s="944" t="s">
        <v>48</v>
      </c>
      <c r="F117" s="945">
        <f>[92]Source!DO242</f>
        <v>70</v>
      </c>
      <c r="G117" s="946"/>
      <c r="H117" s="947"/>
      <c r="I117" s="945"/>
      <c r="J117" s="948">
        <f>SUM(S111:S116)</f>
        <v>428.83</v>
      </c>
      <c r="K117" s="945">
        <f>[92]Source!CA242</f>
        <v>43</v>
      </c>
      <c r="L117" s="948">
        <f>SUM(T111:T116)</f>
        <v>6382.72</v>
      </c>
    </row>
    <row r="118" spans="1:27" x14ac:dyDescent="0.2">
      <c r="A118" s="942"/>
      <c r="B118" s="942"/>
      <c r="C118" s="943"/>
      <c r="D118" s="943" t="s">
        <v>50</v>
      </c>
      <c r="E118" s="944" t="s">
        <v>48</v>
      </c>
      <c r="F118" s="945">
        <f>175</f>
        <v>175</v>
      </c>
      <c r="G118" s="946"/>
      <c r="H118" s="947"/>
      <c r="I118" s="945"/>
      <c r="J118" s="948">
        <f>SUM(U111:U117)-J124</f>
        <v>96.05</v>
      </c>
      <c r="K118" s="945">
        <f>157</f>
        <v>157</v>
      </c>
      <c r="L118" s="948">
        <f>SUM(V111:V117)-L124</f>
        <v>2088.1799999999998</v>
      </c>
    </row>
    <row r="119" spans="1:27" x14ac:dyDescent="0.2">
      <c r="A119" s="942"/>
      <c r="B119" s="942"/>
      <c r="C119" s="943"/>
      <c r="D119" s="943" t="s">
        <v>51</v>
      </c>
      <c r="E119" s="944" t="s">
        <v>52</v>
      </c>
      <c r="F119" s="945">
        <f>[92]Source!AQ242</f>
        <v>39.1</v>
      </c>
      <c r="G119" s="946"/>
      <c r="H119" s="947">
        <f>[92]Source!DI242</f>
        <v>0</v>
      </c>
      <c r="I119" s="945">
        <f>[92]Source!AV242</f>
        <v>1.087</v>
      </c>
      <c r="J119" s="948">
        <f>[92]Source!U242</f>
        <v>29.75</v>
      </c>
      <c r="K119" s="945"/>
      <c r="L119" s="948"/>
    </row>
    <row r="120" spans="1:27" x14ac:dyDescent="0.2">
      <c r="I120" s="950">
        <f>J112+J113+J115+J116+J117+J118</f>
        <v>5447.37</v>
      </c>
      <c r="J120" s="950"/>
      <c r="K120" s="950">
        <f>L112+L113+L115+L116+L117+L118</f>
        <v>57906.85</v>
      </c>
      <c r="L120" s="950"/>
      <c r="O120" s="951">
        <f>J112+J113+J115+J116+J117+J118</f>
        <v>5447.37</v>
      </c>
      <c r="P120" s="951">
        <f>L112+L113+L115+L116+L117+L118</f>
        <v>57906.85</v>
      </c>
      <c r="X120" s="902">
        <f>IF([92]Source!BI242&lt;=1,J112+J113+J115+J116+J117+J118-0, 0)</f>
        <v>0</v>
      </c>
      <c r="Y120" s="902">
        <f>IF([92]Source!BI242=2,J112+J113+J115+J116+J117+J118-0, 0)</f>
        <v>5447.37</v>
      </c>
      <c r="Z120" s="902">
        <f>IF([92]Source!BI242=3,J112+J113+J115+J116+J117+J118-0, 0)</f>
        <v>0</v>
      </c>
      <c r="AA120" s="902">
        <f>IF([92]Source!BI242=4,J112+J113+J115+J116+J117+J118,0)</f>
        <v>0</v>
      </c>
    </row>
    <row r="121" spans="1:27" ht="25.5" x14ac:dyDescent="0.2">
      <c r="A121" s="952"/>
      <c r="B121" s="952"/>
      <c r="C121" s="953"/>
      <c r="D121" s="953" t="s">
        <v>133</v>
      </c>
      <c r="E121" s="944"/>
      <c r="F121" s="954"/>
      <c r="G121" s="955"/>
      <c r="H121" s="944"/>
      <c r="I121" s="954"/>
      <c r="J121" s="949"/>
      <c r="K121" s="954"/>
      <c r="L121" s="949"/>
    </row>
    <row r="122" spans="1:27" x14ac:dyDescent="0.2">
      <c r="A122" s="952"/>
      <c r="B122" s="952"/>
      <c r="C122" s="953"/>
      <c r="D122" s="953" t="s">
        <v>44</v>
      </c>
      <c r="E122" s="944"/>
      <c r="F122" s="954"/>
      <c r="G122" s="955">
        <f t="shared" ref="G122:L122" si="3">G123</f>
        <v>72.14</v>
      </c>
      <c r="H122" s="956" t="str">
        <f t="shared" si="3"/>
        <v>)*(1.67-1)</v>
      </c>
      <c r="I122" s="954">
        <f t="shared" si="3"/>
        <v>1.087</v>
      </c>
      <c r="J122" s="949">
        <f t="shared" si="3"/>
        <v>36.78</v>
      </c>
      <c r="K122" s="954">
        <f t="shared" si="3"/>
        <v>24.23</v>
      </c>
      <c r="L122" s="949">
        <f t="shared" si="3"/>
        <v>891.11</v>
      </c>
    </row>
    <row r="123" spans="1:27" x14ac:dyDescent="0.2">
      <c r="A123" s="952"/>
      <c r="B123" s="952"/>
      <c r="C123" s="953"/>
      <c r="D123" s="953" t="s">
        <v>45</v>
      </c>
      <c r="E123" s="944"/>
      <c r="F123" s="954"/>
      <c r="G123" s="955">
        <f>[92]Source!AN242</f>
        <v>72.14</v>
      </c>
      <c r="H123" s="956" t="s">
        <v>53</v>
      </c>
      <c r="I123" s="954">
        <f>[92]Source!AV242</f>
        <v>1.087</v>
      </c>
      <c r="J123" s="949">
        <f>ROUND(F111*G123*I123*(1.67-1), 2)</f>
        <v>36.78</v>
      </c>
      <c r="K123" s="954">
        <f>IF([92]Source!BS242&lt;&gt; 0, [92]Source!BS242, 1)</f>
        <v>24.23</v>
      </c>
      <c r="L123" s="949">
        <f>ROUND(F111*G123*I123*(1.67-1)*K123, 2)</f>
        <v>891.11</v>
      </c>
      <c r="W123" s="902">
        <f>J123</f>
        <v>36.78</v>
      </c>
    </row>
    <row r="124" spans="1:27" x14ac:dyDescent="0.2">
      <c r="A124" s="952"/>
      <c r="B124" s="952"/>
      <c r="C124" s="953"/>
      <c r="D124" s="953" t="s">
        <v>50</v>
      </c>
      <c r="E124" s="944" t="s">
        <v>48</v>
      </c>
      <c r="F124" s="954">
        <f>175</f>
        <v>175</v>
      </c>
      <c r="G124" s="955"/>
      <c r="H124" s="944"/>
      <c r="I124" s="954"/>
      <c r="J124" s="949">
        <f>ROUND(J123*(F124/100), 2)</f>
        <v>64.37</v>
      </c>
      <c r="K124" s="954">
        <f>157</f>
        <v>157</v>
      </c>
      <c r="L124" s="949">
        <f>ROUND(L123*(K124/100), 2)</f>
        <v>1399.04</v>
      </c>
    </row>
    <row r="125" spans="1:27" x14ac:dyDescent="0.2">
      <c r="I125" s="950">
        <f>J124+J123</f>
        <v>101.15</v>
      </c>
      <c r="J125" s="950"/>
      <c r="K125" s="950">
        <f>L124+L123</f>
        <v>2290.15</v>
      </c>
      <c r="L125" s="950"/>
      <c r="O125" s="951">
        <f>I125</f>
        <v>101.15</v>
      </c>
      <c r="P125" s="951">
        <f>K125</f>
        <v>2290.15</v>
      </c>
      <c r="X125" s="902">
        <f>IF([92]Source!BI242&lt;=1,I125, 0)</f>
        <v>0</v>
      </c>
      <c r="Y125" s="902">
        <f>IF([92]Source!BI242=2,I125, 0)</f>
        <v>101.15</v>
      </c>
      <c r="Z125" s="902">
        <f>IF([92]Source!BI242=3,I125, 0)</f>
        <v>0</v>
      </c>
      <c r="AA125" s="902">
        <f>IF([92]Source!BI242=4,I125, 0)</f>
        <v>0</v>
      </c>
    </row>
    <row r="127" spans="1:27" x14ac:dyDescent="0.2">
      <c r="A127" s="957"/>
      <c r="B127" s="957"/>
      <c r="C127" s="958"/>
      <c r="D127" s="958" t="s">
        <v>134</v>
      </c>
      <c r="E127" s="959"/>
      <c r="F127" s="960"/>
      <c r="G127" s="961"/>
      <c r="H127" s="962"/>
      <c r="I127" s="950">
        <f>I120+I125</f>
        <v>5548.52</v>
      </c>
      <c r="J127" s="950"/>
      <c r="K127" s="950">
        <f>K120+K125</f>
        <v>60197</v>
      </c>
      <c r="L127" s="950"/>
    </row>
    <row r="128" spans="1:27" ht="89.25" x14ac:dyDescent="0.2">
      <c r="A128" s="942">
        <v>5</v>
      </c>
      <c r="B128" s="942" t="str">
        <f>[92]Source!E256</f>
        <v>24</v>
      </c>
      <c r="C128" s="943" t="str">
        <f>[92]Source!F256</f>
        <v>1.7-5-154</v>
      </c>
      <c r="D128" s="943" t="s">
        <v>211</v>
      </c>
      <c r="E128" s="944" t="s">
        <v>270</v>
      </c>
      <c r="F128" s="945">
        <v>16</v>
      </c>
      <c r="G128" s="945">
        <v>23.45</v>
      </c>
      <c r="H128" s="947"/>
      <c r="I128" s="945">
        <v>1</v>
      </c>
      <c r="J128" s="945">
        <v>375.2</v>
      </c>
      <c r="K128" s="945">
        <v>5.82</v>
      </c>
      <c r="L128" s="1087">
        <v>2183.66</v>
      </c>
      <c r="Q128" s="902">
        <f>ROUND(([92]Source!DN256/100)*ROUND((ROUND(([92]Source!AF256*[92]Source!AV256*[92]Source!I256),2)),2), 2)</f>
        <v>0</v>
      </c>
      <c r="R128" s="902">
        <f>[92]Source!X256</f>
        <v>0</v>
      </c>
      <c r="S128" s="902">
        <f>ROUND(([92]Source!DO256/100)*ROUND((ROUND(([92]Source!AF256*[92]Source!AV256*[92]Source!I256),2)),2), 2)</f>
        <v>0</v>
      </c>
      <c r="T128" s="902">
        <f>[92]Source!Y256</f>
        <v>0</v>
      </c>
      <c r="U128" s="902">
        <f>ROUND((175/100)*ROUND((ROUND(([92]Source!AE256*[92]Source!AV256*[92]Source!I256),2)),2), 2)</f>
        <v>0</v>
      </c>
      <c r="V128" s="902">
        <f>ROUND((157/100)*ROUND(ROUND((ROUND(([92]Source!AE256*[92]Source!AV256*[92]Source!I256),2)*[92]Source!BS256),2), 2), 2)</f>
        <v>0</v>
      </c>
    </row>
    <row r="129" spans="1:27" x14ac:dyDescent="0.2">
      <c r="A129" s="969"/>
      <c r="B129" s="969"/>
      <c r="C129" s="969"/>
      <c r="D129" s="969"/>
      <c r="E129" s="969"/>
      <c r="F129" s="969"/>
      <c r="G129" s="969"/>
      <c r="H129" s="969"/>
      <c r="I129" s="950">
        <f>J128</f>
        <v>375.2</v>
      </c>
      <c r="J129" s="950"/>
      <c r="K129" s="950">
        <f>L128</f>
        <v>2183.66</v>
      </c>
      <c r="L129" s="950"/>
      <c r="O129" s="951">
        <f>J128</f>
        <v>375.2</v>
      </c>
      <c r="P129" s="951">
        <f>L128</f>
        <v>2183.66</v>
      </c>
      <c r="X129" s="902">
        <f>IF([92]Source!BI256&lt;=1,J128-0, 0)</f>
        <v>0</v>
      </c>
      <c r="Y129" s="902">
        <f>IF([92]Source!BI256=2,J128-0, 0)</f>
        <v>375.2</v>
      </c>
      <c r="Z129" s="902">
        <f>IF([92]Source!BI256=3,J128-0, 0)</f>
        <v>0</v>
      </c>
      <c r="AA129" s="902">
        <f>IF([92]Source!BI256=4,J128,0)</f>
        <v>0</v>
      </c>
    </row>
    <row r="131" spans="1:27" x14ac:dyDescent="0.2">
      <c r="A131" s="963" t="str">
        <f>CONCATENATE("Итого по подразделу: ",IF([92]Source!G262&lt;&gt;"Новый подраздел", [92]Source!G262, ""))</f>
        <v>Итого по подразделу: Металл и металлические изделия</v>
      </c>
      <c r="B131" s="963"/>
      <c r="C131" s="963"/>
      <c r="D131" s="963"/>
      <c r="E131" s="963"/>
      <c r="F131" s="963"/>
      <c r="G131" s="963"/>
      <c r="H131" s="963"/>
      <c r="I131" s="964">
        <f>SUM(O110:O130)</f>
        <v>5923.72</v>
      </c>
      <c r="J131" s="965"/>
      <c r="K131" s="964">
        <f>SUM(P110:P130)</f>
        <v>62380.66</v>
      </c>
      <c r="L131" s="965"/>
    </row>
    <row r="132" spans="1:27" hidden="1" x14ac:dyDescent="0.2">
      <c r="A132" s="902" t="s">
        <v>54</v>
      </c>
      <c r="I132" s="902">
        <f>SUM(AC110:AC131)</f>
        <v>0</v>
      </c>
      <c r="K132" s="902">
        <f>SUM(AD110:AD131)</f>
        <v>0</v>
      </c>
    </row>
    <row r="133" spans="1:27" hidden="1" x14ac:dyDescent="0.2">
      <c r="A133" s="902" t="s">
        <v>55</v>
      </c>
      <c r="I133" s="902">
        <f>SUM(AE110:AE132)</f>
        <v>0</v>
      </c>
      <c r="K133" s="902">
        <f>SUM(AF110:AF132)</f>
        <v>0</v>
      </c>
    </row>
    <row r="135" spans="1:27" x14ac:dyDescent="0.2">
      <c r="A135" s="963" t="str">
        <f>CONCATENATE("Итого по разделу: ",IF([92]Source!G292&lt;&gt;"Новый раздел", [92]Source!G292, ""))</f>
        <v>Итого по разделу: Монтажные работы</v>
      </c>
      <c r="B135" s="963"/>
      <c r="C135" s="963"/>
      <c r="D135" s="963"/>
      <c r="E135" s="963"/>
      <c r="F135" s="963"/>
      <c r="G135" s="963"/>
      <c r="H135" s="963"/>
      <c r="I135" s="964">
        <f>SUM(O46:O134)</f>
        <v>37670.089999999997</v>
      </c>
      <c r="J135" s="965"/>
      <c r="K135" s="964">
        <f>SUM(P46:P134)</f>
        <v>644075.53</v>
      </c>
      <c r="L135" s="965"/>
    </row>
    <row r="136" spans="1:27" hidden="1" x14ac:dyDescent="0.2">
      <c r="A136" s="902" t="s">
        <v>54</v>
      </c>
      <c r="I136" s="902">
        <f>SUM(AC46:AC135)</f>
        <v>0</v>
      </c>
      <c r="K136" s="902">
        <f>SUM(AD46:AD135)</f>
        <v>0</v>
      </c>
    </row>
    <row r="137" spans="1:27" hidden="1" x14ac:dyDescent="0.2">
      <c r="A137" s="902" t="s">
        <v>55</v>
      </c>
      <c r="I137" s="902">
        <f>SUM(AE46:AE136)</f>
        <v>0</v>
      </c>
      <c r="K137" s="902">
        <f>SUM(AF46:AF136)</f>
        <v>0</v>
      </c>
    </row>
    <row r="139" spans="1:27" x14ac:dyDescent="0.2">
      <c r="A139" s="940" t="str">
        <f>CONCATENATE("Подраздел: ",IF([92]Source!G406&lt;&gt;"Новый подраздел", [92]Source!G406, ""))</f>
        <v>Подраздел: Светотехническое оборудование</v>
      </c>
      <c r="B139" s="940"/>
      <c r="C139" s="940"/>
      <c r="D139" s="940"/>
      <c r="E139" s="940"/>
      <c r="F139" s="940"/>
      <c r="G139" s="940"/>
      <c r="H139" s="940"/>
      <c r="I139" s="940"/>
      <c r="J139" s="940"/>
      <c r="K139" s="940"/>
      <c r="L139" s="940"/>
    </row>
    <row r="140" spans="1:27" ht="153" x14ac:dyDescent="0.2">
      <c r="A140" s="966">
        <v>6</v>
      </c>
      <c r="B140" s="966" t="str">
        <f>[92]Source!E413</f>
        <v>30</v>
      </c>
      <c r="C140" s="967" t="s">
        <v>273</v>
      </c>
      <c r="D140" s="967" t="s">
        <v>274</v>
      </c>
      <c r="E140" s="944"/>
      <c r="F140" s="945"/>
      <c r="G140" s="948"/>
      <c r="H140" s="947"/>
      <c r="I140" s="945"/>
      <c r="J140" s="948"/>
      <c r="K140" s="945"/>
      <c r="L140" s="948"/>
      <c r="Q140" s="902">
        <f>ROUND(([92]Source!DN413/100)*ROUND((ROUND(([92]Source!AF413*[92]Source!AV413*[92]Source!I413),2)),2), 2)</f>
        <v>0</v>
      </c>
      <c r="R140" s="902">
        <f>[92]Source!X413</f>
        <v>0</v>
      </c>
      <c r="S140" s="902">
        <f>ROUND(([92]Source!DO413/100)*ROUND((ROUND(([92]Source!AF413*[92]Source!AV413*[92]Source!I413),2)),2), 2)</f>
        <v>0</v>
      </c>
      <c r="T140" s="902">
        <f>[92]Source!Y413</f>
        <v>0</v>
      </c>
      <c r="U140" s="902">
        <f>ROUND((175/100)*ROUND((ROUND(([92]Source!AE413*[92]Source!AV413*[92]Source!I413),2)),2), 2)</f>
        <v>0</v>
      </c>
      <c r="V140" s="902">
        <f>ROUND((157/100)*ROUND(ROUND((ROUND(([92]Source!AE413*[92]Source!AV413*[92]Source!I413),2)*[92]Source!BS413),2), 2), 2)</f>
        <v>0</v>
      </c>
    </row>
    <row r="141" spans="1:27" ht="102" x14ac:dyDescent="0.2">
      <c r="A141" s="968"/>
      <c r="B141" s="968"/>
      <c r="C141" s="943" t="s">
        <v>275</v>
      </c>
      <c r="D141" s="943" t="s">
        <v>276</v>
      </c>
      <c r="E141" s="1088" t="s">
        <v>270</v>
      </c>
      <c r="F141" s="1089">
        <v>100</v>
      </c>
      <c r="G141" s="1090">
        <f>J141/F141</f>
        <v>1608.6</v>
      </c>
      <c r="H141" s="1091"/>
      <c r="I141" s="1089">
        <v>1</v>
      </c>
      <c r="J141" s="1090">
        <f>L141/K141</f>
        <v>160860.22</v>
      </c>
      <c r="K141" s="1089">
        <v>5.58</v>
      </c>
      <c r="L141" s="1090">
        <f>8976*F141</f>
        <v>897600</v>
      </c>
      <c r="M141" s="1092"/>
    </row>
    <row r="142" spans="1:27" x14ac:dyDescent="0.2">
      <c r="A142" s="969"/>
      <c r="B142" s="969"/>
      <c r="C142" s="969"/>
      <c r="D142" s="969"/>
      <c r="E142" s="969"/>
      <c r="F142" s="969"/>
      <c r="G142" s="969"/>
      <c r="H142" s="969"/>
      <c r="I142" s="950">
        <f>J141</f>
        <v>160860.22</v>
      </c>
      <c r="J142" s="950"/>
      <c r="K142" s="950">
        <f>L141</f>
        <v>897600</v>
      </c>
      <c r="L142" s="950"/>
      <c r="O142" s="951">
        <f>J140</f>
        <v>0</v>
      </c>
      <c r="P142" s="951">
        <f>L140</f>
        <v>0</v>
      </c>
      <c r="X142" s="902">
        <f>IF([92]Source!BI413&lt;=1,J140-0, 0)</f>
        <v>0</v>
      </c>
      <c r="Y142" s="902">
        <f>IF([92]Source!BI413=2,J140-0, 0)</f>
        <v>0</v>
      </c>
      <c r="Z142" s="902">
        <f>IF([92]Source!BI413=3,J140-0, 0)</f>
        <v>0</v>
      </c>
      <c r="AA142" s="902">
        <f>IF([92]Source!BI413=4,J140,0)</f>
        <v>0</v>
      </c>
    </row>
    <row r="144" spans="1:27" x14ac:dyDescent="0.2">
      <c r="A144" s="963" t="str">
        <f>CONCATENATE("Итого по подразделу: ",IF([92]Source!G441&lt;&gt;"Новый подраздел", [92]Source!G441, ""))</f>
        <v>Итого по подразделу: Светотехническое оборудование</v>
      </c>
      <c r="B144" s="963"/>
      <c r="C144" s="963"/>
      <c r="D144" s="963"/>
      <c r="E144" s="963"/>
      <c r="F144" s="963"/>
      <c r="G144" s="963"/>
      <c r="H144" s="963"/>
      <c r="I144" s="964">
        <f>J141</f>
        <v>160860.22</v>
      </c>
      <c r="J144" s="964"/>
      <c r="K144" s="964">
        <f>K142</f>
        <v>897600</v>
      </c>
      <c r="L144" s="965"/>
    </row>
    <row r="145" spans="1:27" hidden="1" x14ac:dyDescent="0.2">
      <c r="A145" s="902" t="s">
        <v>54</v>
      </c>
      <c r="I145" s="902">
        <f>SUM(AC139:AC144)</f>
        <v>0</v>
      </c>
      <c r="K145" s="902">
        <f>SUM(AD139:AD144)</f>
        <v>0</v>
      </c>
    </row>
    <row r="146" spans="1:27" hidden="1" x14ac:dyDescent="0.2">
      <c r="A146" s="902" t="s">
        <v>55</v>
      </c>
      <c r="I146" s="902">
        <f>SUM(AE139:AE145)</f>
        <v>0</v>
      </c>
      <c r="K146" s="902">
        <f>SUM(AF139:AF145)</f>
        <v>0</v>
      </c>
    </row>
    <row r="148" spans="1:27" x14ac:dyDescent="0.2">
      <c r="A148" s="940" t="str">
        <f>CONCATENATE("Подраздел: ",IF([92]Source!G538&lt;&gt;"Новый подраздел", [92]Source!G538, ""))</f>
        <v>Подраздел: Кабели и кабельные изделия</v>
      </c>
      <c r="B148" s="940"/>
      <c r="C148" s="940"/>
      <c r="D148" s="940"/>
      <c r="E148" s="940"/>
      <c r="F148" s="940"/>
      <c r="G148" s="940"/>
      <c r="H148" s="940"/>
      <c r="I148" s="940"/>
      <c r="J148" s="940"/>
      <c r="K148" s="940"/>
      <c r="L148" s="940"/>
    </row>
    <row r="149" spans="1:27" ht="51" x14ac:dyDescent="0.2">
      <c r="A149" s="942">
        <v>7</v>
      </c>
      <c r="B149" s="942" t="str">
        <f>[92]Source!E545</f>
        <v>51</v>
      </c>
      <c r="C149" s="1093" t="s">
        <v>277</v>
      </c>
      <c r="D149" s="1093" t="s">
        <v>278</v>
      </c>
      <c r="E149" s="944"/>
      <c r="F149" s="945"/>
      <c r="G149" s="946"/>
      <c r="H149" s="947"/>
      <c r="I149" s="945"/>
      <c r="J149" s="948"/>
      <c r="K149" s="945"/>
      <c r="L149" s="948"/>
      <c r="Q149" s="902">
        <f>ROUND(([92]Source!DN545/100)*ROUND((ROUND(([92]Source!AF545*[92]Source!AV545*[92]Source!I545),2)),2), 2)</f>
        <v>0</v>
      </c>
      <c r="R149" s="902">
        <f>[92]Source!X545</f>
        <v>0</v>
      </c>
      <c r="S149" s="902">
        <f>ROUND(([92]Source!DO545/100)*ROUND((ROUND(([92]Source!AF545*[92]Source!AV545*[92]Source!I545),2)),2), 2)</f>
        <v>0</v>
      </c>
      <c r="T149" s="902">
        <f>[92]Source!Y545</f>
        <v>0</v>
      </c>
      <c r="U149" s="902">
        <f>ROUND((175/100)*ROUND((ROUND(([92]Source!AE545*[92]Source!AV545*[92]Source!I545),2)),2), 2)</f>
        <v>0</v>
      </c>
      <c r="V149" s="902">
        <f>ROUND((157/100)*ROUND(ROUND((ROUND(([92]Source!AE545*[92]Source!AV545*[92]Source!I545),2)*[92]Source!BS545),2), 2), 2)</f>
        <v>0</v>
      </c>
    </row>
    <row r="150" spans="1:27" ht="25.5" x14ac:dyDescent="0.2">
      <c r="A150" s="942"/>
      <c r="B150" s="942"/>
      <c r="C150" s="1094" t="s">
        <v>279</v>
      </c>
      <c r="D150" s="1094" t="s">
        <v>280</v>
      </c>
      <c r="E150" s="1088" t="s">
        <v>290</v>
      </c>
      <c r="F150" s="1089">
        <v>0.215</v>
      </c>
      <c r="G150" s="1090">
        <f>J150/F150</f>
        <v>5933.07</v>
      </c>
      <c r="H150" s="1091"/>
      <c r="I150" s="1089">
        <v>1</v>
      </c>
      <c r="J150" s="1090">
        <f>L150/K150</f>
        <v>1275.6099999999999</v>
      </c>
      <c r="K150" s="1089">
        <v>5.58</v>
      </c>
      <c r="L150" s="1090">
        <f>33106.46*F150</f>
        <v>7117.89</v>
      </c>
    </row>
    <row r="151" spans="1:27" x14ac:dyDescent="0.2">
      <c r="A151" s="969"/>
      <c r="B151" s="969"/>
      <c r="C151" s="969"/>
      <c r="D151" s="969"/>
      <c r="E151" s="969"/>
      <c r="F151" s="969"/>
      <c r="G151" s="969"/>
      <c r="H151" s="969"/>
      <c r="I151" s="950">
        <f>J150</f>
        <v>1275.6099999999999</v>
      </c>
      <c r="J151" s="950"/>
      <c r="K151" s="950">
        <f>L150</f>
        <v>7117.89</v>
      </c>
      <c r="L151" s="950"/>
      <c r="O151" s="951">
        <f>J149</f>
        <v>0</v>
      </c>
      <c r="P151" s="951">
        <f>L149</f>
        <v>0</v>
      </c>
      <c r="X151" s="902">
        <f>IF([92]Source!BI545&lt;=1,J149-0, 0)</f>
        <v>0</v>
      </c>
      <c r="Y151" s="902">
        <f>IF([92]Source!BI545=2,J149-0, 0)</f>
        <v>0</v>
      </c>
      <c r="Z151" s="902">
        <f>IF([92]Source!BI545=3,J149-0, 0)</f>
        <v>0</v>
      </c>
      <c r="AA151" s="902">
        <f>IF([92]Source!BI545=4,J149,0)</f>
        <v>0</v>
      </c>
    </row>
    <row r="152" spans="1:27" ht="51" x14ac:dyDescent="0.2">
      <c r="A152" s="942">
        <v>8</v>
      </c>
      <c r="B152" s="942" t="str">
        <f>[92]Source!E553</f>
        <v>53</v>
      </c>
      <c r="C152" s="1093" t="s">
        <v>283</v>
      </c>
      <c r="D152" s="1093" t="s">
        <v>281</v>
      </c>
      <c r="E152" s="944"/>
      <c r="F152" s="945"/>
      <c r="G152" s="946"/>
      <c r="H152" s="947"/>
      <c r="I152" s="945"/>
      <c r="J152" s="948"/>
      <c r="K152" s="945"/>
      <c r="L152" s="948"/>
      <c r="Q152" s="902">
        <f>ROUND(([92]Source!DN553/100)*ROUND((ROUND(([92]Source!AF553*[92]Source!AV553*[92]Source!I553),2)),2), 2)</f>
        <v>0</v>
      </c>
      <c r="R152" s="902">
        <f>[92]Source!X553</f>
        <v>0</v>
      </c>
      <c r="S152" s="902">
        <f>ROUND(([92]Source!DO553/100)*ROUND((ROUND(([92]Source!AF553*[92]Source!AV553*[92]Source!I553),2)),2), 2)</f>
        <v>0</v>
      </c>
      <c r="T152" s="902">
        <f>[92]Source!Y553</f>
        <v>0</v>
      </c>
      <c r="U152" s="902">
        <f>ROUND((175/100)*ROUND((ROUND(([92]Source!AE553*[92]Source!AV553*[92]Source!I553),2)),2), 2)</f>
        <v>0</v>
      </c>
      <c r="V152" s="902">
        <f>ROUND((157/100)*ROUND(ROUND((ROUND(([92]Source!AE553*[92]Source!AV553*[92]Source!I553),2)*[92]Source!BS553),2), 2), 2)</f>
        <v>0</v>
      </c>
    </row>
    <row r="153" spans="1:27" ht="25.5" x14ac:dyDescent="0.2">
      <c r="A153" s="942"/>
      <c r="B153" s="942"/>
      <c r="C153" s="1094" t="s">
        <v>279</v>
      </c>
      <c r="D153" s="1094" t="s">
        <v>282</v>
      </c>
      <c r="E153" s="1088" t="s">
        <v>290</v>
      </c>
      <c r="F153" s="1089">
        <v>0.83</v>
      </c>
      <c r="G153" s="1090">
        <f>J153/F153</f>
        <v>12809.23</v>
      </c>
      <c r="H153" s="1091"/>
      <c r="I153" s="1089">
        <v>1</v>
      </c>
      <c r="J153" s="1090">
        <f>L153/K153</f>
        <v>10631.66</v>
      </c>
      <c r="K153" s="1089">
        <v>5.58</v>
      </c>
      <c r="L153" s="1090">
        <f>71475.5*F153</f>
        <v>59324.67</v>
      </c>
    </row>
    <row r="154" spans="1:27" x14ac:dyDescent="0.2">
      <c r="A154" s="969"/>
      <c r="B154" s="969"/>
      <c r="C154" s="969"/>
      <c r="D154" s="969"/>
      <c r="E154" s="1095"/>
      <c r="F154" s="1095"/>
      <c r="G154" s="1095"/>
      <c r="H154" s="1095"/>
      <c r="I154" s="1096">
        <f>J153</f>
        <v>10631.66</v>
      </c>
      <c r="J154" s="1096"/>
      <c r="K154" s="1096">
        <f>L153</f>
        <v>59324.67</v>
      </c>
      <c r="L154" s="1096"/>
      <c r="O154" s="951">
        <f>J152</f>
        <v>0</v>
      </c>
      <c r="P154" s="951">
        <f>L152</f>
        <v>0</v>
      </c>
      <c r="X154" s="902">
        <f>IF([92]Source!BI553&lt;=1,J152-0, 0)</f>
        <v>0</v>
      </c>
      <c r="Y154" s="902">
        <f>IF([92]Source!BI553=2,J152-0, 0)</f>
        <v>0</v>
      </c>
      <c r="Z154" s="902">
        <f>IF([92]Source!BI553=3,J152-0, 0)</f>
        <v>0</v>
      </c>
      <c r="AA154" s="902">
        <f>IF([92]Source!BI553=4,J152,0)</f>
        <v>0</v>
      </c>
    </row>
    <row r="155" spans="1:27" ht="51" x14ac:dyDescent="0.2">
      <c r="A155" s="942">
        <v>9</v>
      </c>
      <c r="B155" s="942" t="str">
        <f>[92]Source!E557</f>
        <v>54</v>
      </c>
      <c r="C155" s="1093" t="s">
        <v>286</v>
      </c>
      <c r="D155" s="1093" t="s">
        <v>284</v>
      </c>
      <c r="E155" s="944"/>
      <c r="F155" s="945"/>
      <c r="G155" s="946"/>
      <c r="H155" s="947"/>
      <c r="I155" s="945"/>
      <c r="J155" s="948"/>
      <c r="K155" s="945"/>
      <c r="L155" s="948"/>
      <c r="Q155" s="902">
        <f>ROUND(([92]Source!DN557/100)*ROUND((ROUND(([92]Source!AF557*[92]Source!AV557*[92]Source!I557),2)),2), 2)</f>
        <v>0</v>
      </c>
      <c r="R155" s="902">
        <f>[92]Source!X557</f>
        <v>0</v>
      </c>
      <c r="S155" s="902">
        <f>ROUND(([92]Source!DO557/100)*ROUND((ROUND(([92]Source!AF557*[92]Source!AV557*[92]Source!I557),2)),2), 2)</f>
        <v>0</v>
      </c>
      <c r="T155" s="902">
        <f>[92]Source!Y557</f>
        <v>0</v>
      </c>
      <c r="U155" s="902">
        <f>ROUND((175/100)*ROUND((ROUND(([92]Source!AE557*[92]Source!AV557*[92]Source!I557),2)),2), 2)</f>
        <v>0</v>
      </c>
      <c r="V155" s="902">
        <f>ROUND((157/100)*ROUND(ROUND((ROUND(([92]Source!AE557*[92]Source!AV557*[92]Source!I557),2)*[92]Source!BS557),2), 2), 2)</f>
        <v>0</v>
      </c>
    </row>
    <row r="156" spans="1:27" ht="25.5" x14ac:dyDescent="0.2">
      <c r="A156" s="942"/>
      <c r="B156" s="942"/>
      <c r="C156" s="1094" t="s">
        <v>279</v>
      </c>
      <c r="D156" s="1094" t="s">
        <v>285</v>
      </c>
      <c r="E156" s="1088" t="s">
        <v>290</v>
      </c>
      <c r="F156" s="1089">
        <v>5.5E-2</v>
      </c>
      <c r="G156" s="1090">
        <f>J156/F156</f>
        <v>7403.82</v>
      </c>
      <c r="H156" s="1091"/>
      <c r="I156" s="1089">
        <v>1</v>
      </c>
      <c r="J156" s="1090">
        <f>L156/K156</f>
        <v>407.21</v>
      </c>
      <c r="K156" s="1089">
        <v>5.58</v>
      </c>
      <c r="L156" s="1090">
        <f>41313.52*F156</f>
        <v>2272.2399999999998</v>
      </c>
    </row>
    <row r="157" spans="1:27" x14ac:dyDescent="0.2">
      <c r="A157" s="969"/>
      <c r="B157" s="969"/>
      <c r="C157" s="969"/>
      <c r="D157" s="969"/>
      <c r="E157" s="1095"/>
      <c r="F157" s="1095"/>
      <c r="G157" s="1095"/>
      <c r="H157" s="1095"/>
      <c r="I157" s="1096">
        <f>J156</f>
        <v>407.21</v>
      </c>
      <c r="J157" s="1096"/>
      <c r="K157" s="1096">
        <f>L156</f>
        <v>2272.2399999999998</v>
      </c>
      <c r="L157" s="1096"/>
      <c r="O157" s="951">
        <f>J155</f>
        <v>0</v>
      </c>
      <c r="P157" s="951">
        <f>L155</f>
        <v>0</v>
      </c>
      <c r="X157" s="902">
        <f>IF([92]Source!BI557&lt;=1,J155-0, 0)</f>
        <v>0</v>
      </c>
      <c r="Y157" s="902">
        <f>IF([92]Source!BI557=2,J155-0, 0)</f>
        <v>0</v>
      </c>
      <c r="Z157" s="902">
        <f>IF([92]Source!BI557=3,J155-0, 0)</f>
        <v>0</v>
      </c>
      <c r="AA157" s="902">
        <f>IF([92]Source!BI557=4,J155,0)</f>
        <v>0</v>
      </c>
    </row>
    <row r="158" spans="1:27" ht="38.25" x14ac:dyDescent="0.2">
      <c r="A158" s="942">
        <v>10</v>
      </c>
      <c r="B158" s="942" t="str">
        <f>[92]Source!E565</f>
        <v>56</v>
      </c>
      <c r="C158" s="1093" t="s">
        <v>289</v>
      </c>
      <c r="D158" s="1093" t="s">
        <v>287</v>
      </c>
      <c r="E158" s="944"/>
      <c r="F158" s="945"/>
      <c r="G158" s="946"/>
      <c r="H158" s="947"/>
      <c r="I158" s="945"/>
      <c r="J158" s="948"/>
      <c r="K158" s="945"/>
      <c r="L158" s="948"/>
      <c r="Q158" s="902">
        <f>ROUND(([92]Source!DN565/100)*ROUND((ROUND(([92]Source!AF565*[92]Source!AV565*[92]Source!I565),2)),2), 2)</f>
        <v>0</v>
      </c>
      <c r="R158" s="902">
        <f>[92]Source!X565</f>
        <v>0</v>
      </c>
      <c r="S158" s="902">
        <f>ROUND(([92]Source!DO565/100)*ROUND((ROUND(([92]Source!AF565*[92]Source!AV565*[92]Source!I565),2)),2), 2)</f>
        <v>0</v>
      </c>
      <c r="T158" s="902">
        <f>[92]Source!Y565</f>
        <v>0</v>
      </c>
      <c r="U158" s="902">
        <f>ROUND((175/100)*ROUND((ROUND(([92]Source!AE565*[92]Source!AV565*[92]Source!I565),2)),2), 2)</f>
        <v>0</v>
      </c>
      <c r="V158" s="902">
        <f>ROUND((157/100)*ROUND(ROUND((ROUND(([92]Source!AE565*[92]Source!AV565*[92]Source!I565),2)*[92]Source!BS565),2), 2), 2)</f>
        <v>0</v>
      </c>
    </row>
    <row r="159" spans="1:27" ht="25.5" x14ac:dyDescent="0.2">
      <c r="A159" s="942"/>
      <c r="B159" s="942"/>
      <c r="C159" s="1094" t="s">
        <v>279</v>
      </c>
      <c r="D159" s="1094" t="s">
        <v>288</v>
      </c>
      <c r="E159" s="1088" t="s">
        <v>290</v>
      </c>
      <c r="F159" s="1089">
        <v>0.3</v>
      </c>
      <c r="G159" s="1090">
        <f>J159/F159</f>
        <v>14830.1</v>
      </c>
      <c r="H159" s="1091"/>
      <c r="I159" s="1089">
        <v>1</v>
      </c>
      <c r="J159" s="1090">
        <f>L159/K159</f>
        <v>4449.03</v>
      </c>
      <c r="K159" s="1089">
        <v>5.58</v>
      </c>
      <c r="L159" s="1090">
        <f>82751.89*F159</f>
        <v>24825.57</v>
      </c>
    </row>
    <row r="160" spans="1:27" x14ac:dyDescent="0.2">
      <c r="A160" s="969"/>
      <c r="B160" s="969"/>
      <c r="C160" s="969"/>
      <c r="D160" s="969"/>
      <c r="E160" s="1095"/>
      <c r="F160" s="1095"/>
      <c r="G160" s="1095"/>
      <c r="H160" s="1095"/>
      <c r="I160" s="1096">
        <f>J159</f>
        <v>4449.03</v>
      </c>
      <c r="J160" s="1096"/>
      <c r="K160" s="1096">
        <f>L159</f>
        <v>24825.57</v>
      </c>
      <c r="L160" s="1096"/>
      <c r="O160" s="951">
        <f>J158</f>
        <v>0</v>
      </c>
      <c r="P160" s="951">
        <f>L158</f>
        <v>0</v>
      </c>
      <c r="X160" s="902">
        <f>IF([92]Source!BI565&lt;=1,J158-0, 0)</f>
        <v>0</v>
      </c>
      <c r="Y160" s="902">
        <f>IF([92]Source!BI565=2,J158-0, 0)</f>
        <v>0</v>
      </c>
      <c r="Z160" s="902">
        <f>IF([92]Source!BI565=3,J158-0, 0)</f>
        <v>0</v>
      </c>
      <c r="AA160" s="902">
        <f>IF([92]Source!BI565=4,J158,0)</f>
        <v>0</v>
      </c>
    </row>
    <row r="162" spans="1:38" x14ac:dyDescent="0.2">
      <c r="A162" s="963" t="str">
        <f>CONCATENATE("Итого по подразделу: ",IF([92]Source!G597&lt;&gt;"Новый подраздел", [92]Source!G597, ""))</f>
        <v>Итого по подразделу: Кабели и кабельные изделия</v>
      </c>
      <c r="B162" s="963"/>
      <c r="C162" s="963"/>
      <c r="D162" s="963"/>
      <c r="E162" s="963"/>
      <c r="F162" s="963"/>
      <c r="G162" s="963"/>
      <c r="H162" s="963"/>
      <c r="I162" s="1097">
        <f>I160+I157+I154+I151</f>
        <v>16763.509999999998</v>
      </c>
      <c r="J162" s="1097"/>
      <c r="K162" s="1097">
        <f>K160+K157+K154+K151</f>
        <v>93540.37</v>
      </c>
      <c r="L162" s="1097"/>
    </row>
    <row r="163" spans="1:38" hidden="1" x14ac:dyDescent="0.2">
      <c r="A163" s="902" t="s">
        <v>54</v>
      </c>
      <c r="I163" s="902">
        <f>SUM(AC148:AC162)</f>
        <v>0</v>
      </c>
      <c r="K163" s="902">
        <f>SUM(AD148:AD162)</f>
        <v>0</v>
      </c>
    </row>
    <row r="164" spans="1:38" hidden="1" x14ac:dyDescent="0.2">
      <c r="A164" s="902" t="s">
        <v>55</v>
      </c>
      <c r="I164" s="902">
        <f>SUM(AE148:AE163)</f>
        <v>0</v>
      </c>
      <c r="K164" s="902">
        <f>SUM(AF148:AF163)</f>
        <v>0</v>
      </c>
    </row>
    <row r="166" spans="1:38" x14ac:dyDescent="0.2">
      <c r="A166" s="940" t="str">
        <f>CONCATENATE("Подраздел: ",IF([92]Source!G627&lt;&gt;"Новый подраздел", [92]Source!G627, ""))</f>
        <v>Подраздел: Металл и металлические изделия</v>
      </c>
      <c r="B166" s="940"/>
      <c r="C166" s="940"/>
      <c r="D166" s="940"/>
      <c r="E166" s="940"/>
      <c r="F166" s="940"/>
      <c r="G166" s="940"/>
      <c r="H166" s="940"/>
      <c r="I166" s="940"/>
      <c r="J166" s="940"/>
      <c r="K166" s="940"/>
      <c r="L166" s="940"/>
    </row>
    <row r="167" spans="1:38" ht="25.5" x14ac:dyDescent="0.2">
      <c r="A167" s="942">
        <v>11</v>
      </c>
      <c r="B167" s="942" t="str">
        <f>[92]Source!E640</f>
        <v>70</v>
      </c>
      <c r="C167" s="943" t="str">
        <f>[92]Source!F640</f>
        <v>1.7-5-265</v>
      </c>
      <c r="D167" s="943" t="s">
        <v>205</v>
      </c>
      <c r="E167" s="944" t="str">
        <f>[92]Source!H640</f>
        <v>100 шт.</v>
      </c>
      <c r="F167" s="945">
        <f>[92]Source!I640</f>
        <v>14</v>
      </c>
      <c r="G167" s="946">
        <f>[92]Source!AL640</f>
        <v>119.96</v>
      </c>
      <c r="H167" s="947">
        <f>[92]Source!DD640</f>
        <v>0</v>
      </c>
      <c r="I167" s="945">
        <f>[92]Source!AW640</f>
        <v>1</v>
      </c>
      <c r="J167" s="948">
        <f>ROUND((ROUND(([92]Source!AC640*[92]Source!AW640*[92]Source!I640),2)),2)</f>
        <v>1679.44</v>
      </c>
      <c r="K167" s="945">
        <f>IF([92]Source!BC640&lt;&gt; 0, [92]Source!BC640, 1)</f>
        <v>9.17</v>
      </c>
      <c r="L167" s="948">
        <f>[92]Source!P640</f>
        <v>15400.46</v>
      </c>
      <c r="Q167" s="902">
        <f>ROUND(([92]Source!DN640/100)*ROUND((ROUND(([92]Source!AF640*[92]Source!AV640*[92]Source!I640),2)),2), 2)</f>
        <v>0</v>
      </c>
      <c r="R167" s="902">
        <f>[92]Source!X640</f>
        <v>0</v>
      </c>
      <c r="S167" s="902">
        <f>ROUND(([92]Source!DO640/100)*ROUND((ROUND(([92]Source!AF640*[92]Source!AV640*[92]Source!I640),2)),2), 2)</f>
        <v>0</v>
      </c>
      <c r="T167" s="902">
        <f>[92]Source!Y640</f>
        <v>0</v>
      </c>
      <c r="U167" s="902">
        <f>ROUND((175/100)*ROUND((ROUND(([92]Source!AE640*[92]Source!AV640*[92]Source!I640),2)),2), 2)</f>
        <v>0</v>
      </c>
      <c r="V167" s="902">
        <f>ROUND((157/100)*ROUND(ROUND((ROUND(([92]Source!AE640*[92]Source!AV640*[92]Source!I640),2)*[92]Source!BS640),2), 2), 2)</f>
        <v>0</v>
      </c>
    </row>
    <row r="168" spans="1:38" x14ac:dyDescent="0.2">
      <c r="A168" s="969"/>
      <c r="B168" s="969"/>
      <c r="C168" s="969"/>
      <c r="D168" s="969"/>
      <c r="E168" s="969"/>
      <c r="F168" s="969"/>
      <c r="G168" s="969"/>
      <c r="H168" s="969"/>
      <c r="I168" s="950">
        <f>J167</f>
        <v>1679.44</v>
      </c>
      <c r="J168" s="950"/>
      <c r="K168" s="950">
        <f>L167</f>
        <v>15400.46</v>
      </c>
      <c r="L168" s="950"/>
      <c r="O168" s="951">
        <f>J167</f>
        <v>1679.44</v>
      </c>
      <c r="P168" s="951">
        <f>L167</f>
        <v>15400.46</v>
      </c>
      <c r="X168" s="902">
        <f>IF([92]Source!BI640&lt;=1,J167-0, 0)</f>
        <v>0</v>
      </c>
      <c r="Y168" s="902">
        <f>IF([92]Source!BI640=2,J167-0, 0)</f>
        <v>1679.44</v>
      </c>
      <c r="Z168" s="902">
        <f>IF([92]Source!BI640=3,J167-0, 0)</f>
        <v>0</v>
      </c>
      <c r="AA168" s="902">
        <f>IF([92]Source!BI640=4,J167,0)</f>
        <v>0</v>
      </c>
    </row>
    <row r="170" spans="1:38" x14ac:dyDescent="0.2">
      <c r="A170" s="963" t="str">
        <f>CONCATENATE("Итого по подразделу: ",IF([92]Source!G644&lt;&gt;"Новый подраздел", [92]Source!G644, ""))</f>
        <v>Итого по подразделу: Металл и металлические изделия</v>
      </c>
      <c r="B170" s="963"/>
      <c r="C170" s="963"/>
      <c r="D170" s="963"/>
      <c r="E170" s="963"/>
      <c r="F170" s="963"/>
      <c r="G170" s="963"/>
      <c r="H170" s="963"/>
      <c r="I170" s="964">
        <f>SUM(O166:O169)</f>
        <v>1679.44</v>
      </c>
      <c r="J170" s="965"/>
      <c r="K170" s="964">
        <f>SUM(P166:P169)</f>
        <v>15400.46</v>
      </c>
      <c r="L170" s="965"/>
    </row>
    <row r="171" spans="1:38" hidden="1" x14ac:dyDescent="0.2">
      <c r="A171" s="902" t="s">
        <v>54</v>
      </c>
      <c r="I171" s="902">
        <f>SUM(AC166:AC170)</f>
        <v>0</v>
      </c>
      <c r="K171" s="902">
        <f>SUM(AD166:AD170)</f>
        <v>0</v>
      </c>
    </row>
    <row r="172" spans="1:38" hidden="1" x14ac:dyDescent="0.2">
      <c r="A172" s="902" t="s">
        <v>55</v>
      </c>
      <c r="I172" s="902">
        <f>SUM(AE166:AE171)</f>
        <v>0</v>
      </c>
      <c r="K172" s="902">
        <f>SUM(AF166:AF171)</f>
        <v>0</v>
      </c>
    </row>
    <row r="174" spans="1:38" ht="25.5" x14ac:dyDescent="0.2">
      <c r="A174" s="963" t="s">
        <v>202</v>
      </c>
      <c r="B174" s="963"/>
      <c r="C174" s="963"/>
      <c r="D174" s="963"/>
      <c r="E174" s="963"/>
      <c r="F174" s="963"/>
      <c r="G174" s="963"/>
      <c r="H174" s="963"/>
      <c r="I174" s="964">
        <f>I170+I162+I144+I135</f>
        <v>216973.26</v>
      </c>
      <c r="J174" s="965"/>
      <c r="K174" s="964">
        <f>K170+K162+K144+K135</f>
        <v>1650616.36</v>
      </c>
      <c r="L174" s="965"/>
      <c r="AL174" s="970" t="str">
        <f>CONCATENATE("Итого по акту: ",IF([92]Source!G734&lt;&gt;"Новый объект", [92]Source!G734, ""))</f>
        <v>Итого по акту: 49682-12-4017-Л-Р-11.5.6-ЭО-СМ1,Станционный комплекс "Аминьевское шоссе". Инженерные системы ТПП. Электроосвещение.</v>
      </c>
    </row>
    <row r="175" spans="1:38" hidden="1" x14ac:dyDescent="0.2"/>
    <row r="176" spans="1:38" x14ac:dyDescent="0.2">
      <c r="D176" s="971" t="s">
        <v>217</v>
      </c>
      <c r="E176" s="971"/>
      <c r="F176" s="971"/>
      <c r="G176" s="971"/>
      <c r="H176" s="971"/>
      <c r="I176" s="972">
        <f>J167+J158+J155+J152+J149+J140+J128+J115+J92+J75+J52</f>
        <v>5872.44</v>
      </c>
      <c r="J176" s="972"/>
      <c r="K176" s="972">
        <f>L167+L158+L155+L152+L149+L140+L128+L115+L92+L75+L52</f>
        <v>38887.440000000002</v>
      </c>
      <c r="L176" s="972"/>
    </row>
    <row r="177" spans="1:12" x14ac:dyDescent="0.2">
      <c r="D177" s="971" t="s">
        <v>218</v>
      </c>
      <c r="E177" s="971"/>
      <c r="F177" s="971"/>
      <c r="G177" s="971"/>
      <c r="H177" s="971"/>
      <c r="I177" s="972">
        <f>J123+J114+J100+J91+J83+J74+J60+J51</f>
        <v>1236.6300000000001</v>
      </c>
      <c r="J177" s="972"/>
      <c r="K177" s="972">
        <f>L123+L114+L100+L91+L83+L74+L60+L51</f>
        <v>29963.54</v>
      </c>
      <c r="L177" s="972"/>
    </row>
    <row r="178" spans="1:12" x14ac:dyDescent="0.2">
      <c r="D178" s="971" t="s">
        <v>219</v>
      </c>
      <c r="E178" s="971"/>
      <c r="F178" s="971"/>
      <c r="G178" s="971"/>
      <c r="H178" s="971"/>
      <c r="I178" s="972">
        <f>J112+J89+J72+J49</f>
        <v>9229.5300000000007</v>
      </c>
      <c r="J178" s="972"/>
      <c r="K178" s="972">
        <f>L112+L89+L72+L49</f>
        <v>223631.51</v>
      </c>
      <c r="L178" s="972"/>
    </row>
    <row r="179" spans="1:12" x14ac:dyDescent="0.2">
      <c r="D179" s="973"/>
      <c r="I179" s="974"/>
      <c r="J179" s="974"/>
      <c r="K179" s="975"/>
      <c r="L179" s="975"/>
    </row>
    <row r="180" spans="1:12" hidden="1" x14ac:dyDescent="0.2">
      <c r="D180" s="973"/>
      <c r="E180" s="973"/>
      <c r="F180" s="973"/>
      <c r="G180" s="973"/>
      <c r="H180" s="973"/>
      <c r="I180" s="977"/>
      <c r="J180" s="977"/>
      <c r="K180" s="977"/>
      <c r="L180" s="977"/>
    </row>
    <row r="181" spans="1:12" x14ac:dyDescent="0.2">
      <c r="D181" s="266" t="s">
        <v>271</v>
      </c>
      <c r="E181" s="266"/>
      <c r="F181" s="266"/>
      <c r="G181" s="266"/>
      <c r="H181" s="266"/>
      <c r="I181" s="266"/>
      <c r="J181" s="976">
        <f>I146</f>
        <v>0</v>
      </c>
      <c r="K181" s="266"/>
      <c r="L181" s="976">
        <f>K146</f>
        <v>0</v>
      </c>
    </row>
    <row r="182" spans="1:12" x14ac:dyDescent="0.2">
      <c r="D182" s="266" t="s">
        <v>272</v>
      </c>
      <c r="E182" s="266"/>
      <c r="F182" s="266"/>
      <c r="G182" s="266"/>
      <c r="H182" s="266"/>
      <c r="I182" s="266"/>
      <c r="J182" s="976">
        <f>I162+I144</f>
        <v>177623.73</v>
      </c>
      <c r="K182" s="266"/>
      <c r="L182" s="976">
        <f>K162+K144</f>
        <v>991140.37</v>
      </c>
    </row>
    <row r="183" spans="1:12" x14ac:dyDescent="0.2">
      <c r="D183" s="266"/>
      <c r="E183" s="266"/>
      <c r="F183" s="266"/>
      <c r="G183" s="266"/>
      <c r="H183" s="266"/>
      <c r="I183" s="266"/>
      <c r="J183" s="976"/>
      <c r="K183" s="266"/>
      <c r="L183" s="976"/>
    </row>
    <row r="184" spans="1:12" x14ac:dyDescent="0.2">
      <c r="D184" s="973" t="s">
        <v>57</v>
      </c>
      <c r="J184" s="978">
        <f>I174-J182</f>
        <v>39349.53</v>
      </c>
      <c r="K184" s="978"/>
      <c r="L184" s="978">
        <f>K174-L182</f>
        <v>659475.99</v>
      </c>
    </row>
    <row r="185" spans="1:12" x14ac:dyDescent="0.2">
      <c r="D185" s="973" t="s">
        <v>3</v>
      </c>
      <c r="J185" s="978">
        <f>J184</f>
        <v>39349.53</v>
      </c>
      <c r="K185" s="978"/>
      <c r="L185" s="978">
        <f>L184</f>
        <v>659475.99</v>
      </c>
    </row>
    <row r="186" spans="1:12" x14ac:dyDescent="0.2">
      <c r="D186" s="973" t="s">
        <v>58</v>
      </c>
      <c r="J186" s="978">
        <f>I177+I178</f>
        <v>10466.16</v>
      </c>
      <c r="K186" s="978"/>
      <c r="L186" s="978">
        <f>K177+K178</f>
        <v>253595.05</v>
      </c>
    </row>
    <row r="187" spans="1:12" x14ac:dyDescent="0.2">
      <c r="D187" s="973" t="s">
        <v>59</v>
      </c>
      <c r="J187" s="978">
        <f>I176</f>
        <v>5872.44</v>
      </c>
      <c r="K187" s="978"/>
      <c r="L187" s="978">
        <f>K176</f>
        <v>38887.440000000002</v>
      </c>
    </row>
    <row r="188" spans="1:12" x14ac:dyDescent="0.2">
      <c r="D188" s="973" t="s">
        <v>60</v>
      </c>
      <c r="J188" s="979">
        <v>0</v>
      </c>
      <c r="K188" s="979"/>
      <c r="L188" s="979">
        <v>0</v>
      </c>
    </row>
    <row r="189" spans="1:12" ht="14.25" customHeight="1" x14ac:dyDescent="0.2">
      <c r="A189" s="256"/>
      <c r="B189" s="256"/>
      <c r="C189" s="256"/>
      <c r="D189" s="971" t="s">
        <v>266</v>
      </c>
      <c r="E189" s="971"/>
      <c r="F189" s="971"/>
      <c r="G189" s="971"/>
      <c r="H189" s="971"/>
      <c r="I189" s="971"/>
      <c r="J189" s="980">
        <f>J186*0.15</f>
        <v>1569.92</v>
      </c>
      <c r="L189" s="980">
        <f>L186*0.15</f>
        <v>38039.26</v>
      </c>
    </row>
    <row r="190" spans="1:12" x14ac:dyDescent="0.2">
      <c r="A190" s="90"/>
      <c r="B190" s="90"/>
      <c r="C190" s="90"/>
      <c r="D190" s="963" t="s">
        <v>265</v>
      </c>
      <c r="E190" s="963"/>
      <c r="F190" s="963"/>
      <c r="G190" s="963"/>
      <c r="H190" s="963"/>
      <c r="J190" s="981">
        <f>J184+J189</f>
        <v>40919.449999999997</v>
      </c>
      <c r="L190" s="981">
        <f>L184+L189</f>
        <v>697515.25</v>
      </c>
    </row>
    <row r="191" spans="1:12" x14ac:dyDescent="0.2">
      <c r="A191" s="256"/>
      <c r="B191" s="256"/>
      <c r="C191" s="256"/>
      <c r="D191" s="971"/>
      <c r="E191" s="971"/>
      <c r="F191" s="971"/>
      <c r="G191" s="971"/>
      <c r="H191" s="971"/>
      <c r="I191" s="982"/>
      <c r="J191" s="982"/>
      <c r="K191" s="982"/>
      <c r="L191" s="982"/>
    </row>
    <row r="192" spans="1:12" ht="15" customHeight="1" x14ac:dyDescent="0.2">
      <c r="A192" s="90"/>
      <c r="B192" s="90"/>
      <c r="C192" s="90"/>
      <c r="D192" s="963" t="s">
        <v>264</v>
      </c>
      <c r="E192" s="963"/>
      <c r="F192" s="963"/>
      <c r="G192" s="963"/>
      <c r="H192" s="963"/>
      <c r="I192" s="90"/>
      <c r="J192" s="90"/>
      <c r="K192" s="90"/>
      <c r="L192" s="983">
        <f>L184*0.925</f>
        <v>610015.29</v>
      </c>
    </row>
    <row r="193" spans="1:12" x14ac:dyDescent="0.2">
      <c r="D193" s="973" t="s">
        <v>3</v>
      </c>
      <c r="J193" s="978"/>
      <c r="K193" s="978"/>
      <c r="L193" s="978">
        <f>L185*0.925</f>
        <v>610015.29</v>
      </c>
    </row>
    <row r="194" spans="1:12" x14ac:dyDescent="0.2">
      <c r="D194" s="973" t="s">
        <v>58</v>
      </c>
      <c r="J194" s="978"/>
      <c r="K194" s="978"/>
      <c r="L194" s="978">
        <f>L186*0.925</f>
        <v>234575.42</v>
      </c>
    </row>
    <row r="195" spans="1:12" x14ac:dyDescent="0.2">
      <c r="D195" s="973" t="s">
        <v>59</v>
      </c>
      <c r="J195" s="978"/>
      <c r="K195" s="978"/>
      <c r="L195" s="978">
        <f>L187*0.925</f>
        <v>35970.879999999997</v>
      </c>
    </row>
    <row r="196" spans="1:12" x14ac:dyDescent="0.2">
      <c r="D196" s="973" t="s">
        <v>60</v>
      </c>
      <c r="J196" s="979"/>
      <c r="K196" s="979"/>
      <c r="L196" s="979">
        <f>L188*0.925</f>
        <v>0</v>
      </c>
    </row>
    <row r="197" spans="1:12" ht="14.25" customHeight="1" x14ac:dyDescent="0.2">
      <c r="A197" s="256"/>
      <c r="B197" s="256"/>
      <c r="C197" s="256"/>
      <c r="D197" s="971" t="s">
        <v>266</v>
      </c>
      <c r="E197" s="971"/>
      <c r="F197" s="971"/>
      <c r="G197" s="971"/>
      <c r="H197" s="971"/>
      <c r="I197" s="971"/>
      <c r="J197" s="980"/>
      <c r="L197" s="980">
        <f t="shared" ref="L197" si="4">L189*0.925</f>
        <v>35186.32</v>
      </c>
    </row>
    <row r="198" spans="1:12" ht="14.25" customHeight="1" x14ac:dyDescent="0.2">
      <c r="A198" s="90"/>
      <c r="B198" s="90"/>
      <c r="C198" s="90"/>
      <c r="D198" s="963" t="s">
        <v>265</v>
      </c>
      <c r="E198" s="963"/>
      <c r="F198" s="963"/>
      <c r="G198" s="963"/>
      <c r="H198" s="963"/>
      <c r="J198" s="984"/>
      <c r="L198" s="981">
        <f>L192+L197</f>
        <v>645201.61</v>
      </c>
    </row>
  </sheetData>
  <mergeCells count="137">
    <mergeCell ref="I35:I40"/>
    <mergeCell ref="J35:J40"/>
    <mergeCell ref="K35:K40"/>
    <mergeCell ref="L35:L40"/>
    <mergeCell ref="A36:A40"/>
    <mergeCell ref="B36:B40"/>
    <mergeCell ref="A35:B35"/>
    <mergeCell ref="C35:C40"/>
    <mergeCell ref="D35:D40"/>
    <mergeCell ref="E35:E40"/>
    <mergeCell ref="F35:F40"/>
    <mergeCell ref="G35:G40"/>
    <mergeCell ref="H35:H40"/>
    <mergeCell ref="A44:L44"/>
    <mergeCell ref="I80:J80"/>
    <mergeCell ref="K80:L80"/>
    <mergeCell ref="I85:J85"/>
    <mergeCell ref="K85:L85"/>
    <mergeCell ref="I87:J87"/>
    <mergeCell ref="K87:L87"/>
    <mergeCell ref="I64:J64"/>
    <mergeCell ref="K64:L64"/>
    <mergeCell ref="A66:H66"/>
    <mergeCell ref="I66:J66"/>
    <mergeCell ref="K66:L66"/>
    <mergeCell ref="A70:L70"/>
    <mergeCell ref="A46:L46"/>
    <mergeCell ref="A47:L47"/>
    <mergeCell ref="I57:J57"/>
    <mergeCell ref="K57:L57"/>
    <mergeCell ref="I62:J62"/>
    <mergeCell ref="K62:L62"/>
    <mergeCell ref="A106:H106"/>
    <mergeCell ref="I106:J106"/>
    <mergeCell ref="K106:L106"/>
    <mergeCell ref="A110:L110"/>
    <mergeCell ref="I120:J120"/>
    <mergeCell ref="K120:L120"/>
    <mergeCell ref="I97:J97"/>
    <mergeCell ref="K97:L97"/>
    <mergeCell ref="I102:J102"/>
    <mergeCell ref="K102:L102"/>
    <mergeCell ref="I104:J104"/>
    <mergeCell ref="K104:L104"/>
    <mergeCell ref="A131:H131"/>
    <mergeCell ref="I131:J131"/>
    <mergeCell ref="K131:L131"/>
    <mergeCell ref="A135:H135"/>
    <mergeCell ref="I135:J135"/>
    <mergeCell ref="K135:L135"/>
    <mergeCell ref="I125:J125"/>
    <mergeCell ref="K125:L125"/>
    <mergeCell ref="I127:J127"/>
    <mergeCell ref="K127:L127"/>
    <mergeCell ref="I129:J129"/>
    <mergeCell ref="K129:L129"/>
    <mergeCell ref="A148:L148"/>
    <mergeCell ref="I151:J151"/>
    <mergeCell ref="K151:L151"/>
    <mergeCell ref="I154:J154"/>
    <mergeCell ref="K154:L154"/>
    <mergeCell ref="I157:J157"/>
    <mergeCell ref="K157:L157"/>
    <mergeCell ref="A139:L139"/>
    <mergeCell ref="I142:J142"/>
    <mergeCell ref="K142:L142"/>
    <mergeCell ref="A144:H144"/>
    <mergeCell ref="I144:J144"/>
    <mergeCell ref="K144:L144"/>
    <mergeCell ref="B140:B141"/>
    <mergeCell ref="A140:A141"/>
    <mergeCell ref="K170:L170"/>
    <mergeCell ref="A174:H174"/>
    <mergeCell ref="I174:J174"/>
    <mergeCell ref="K174:L174"/>
    <mergeCell ref="I160:J160"/>
    <mergeCell ref="K160:L160"/>
    <mergeCell ref="A162:H162"/>
    <mergeCell ref="I162:J162"/>
    <mergeCell ref="K162:L162"/>
    <mergeCell ref="A166:L166"/>
    <mergeCell ref="A27:L27"/>
    <mergeCell ref="A34:L34"/>
    <mergeCell ref="D198:H198"/>
    <mergeCell ref="D197:I197"/>
    <mergeCell ref="D192:H192"/>
    <mergeCell ref="D190:H190"/>
    <mergeCell ref="D191:H191"/>
    <mergeCell ref="I191:J191"/>
    <mergeCell ref="K191:L191"/>
    <mergeCell ref="D178:H178"/>
    <mergeCell ref="I178:J178"/>
    <mergeCell ref="K178:L178"/>
    <mergeCell ref="D189:I189"/>
    <mergeCell ref="A43:L43"/>
    <mergeCell ref="D176:H176"/>
    <mergeCell ref="I176:J176"/>
    <mergeCell ref="K176:L176"/>
    <mergeCell ref="D177:H177"/>
    <mergeCell ref="I177:J177"/>
    <mergeCell ref="K177:L177"/>
    <mergeCell ref="I168:J168"/>
    <mergeCell ref="K168:L168"/>
    <mergeCell ref="A170:H170"/>
    <mergeCell ref="I170:J170"/>
    <mergeCell ref="I1:L1"/>
    <mergeCell ref="I2:L2"/>
    <mergeCell ref="I3:L3"/>
    <mergeCell ref="J5:L5"/>
    <mergeCell ref="J6:L6"/>
    <mergeCell ref="J7:L8"/>
    <mergeCell ref="A8:B8"/>
    <mergeCell ref="C8:H8"/>
    <mergeCell ref="C9:H9"/>
    <mergeCell ref="J9:L10"/>
    <mergeCell ref="C10:H10"/>
    <mergeCell ref="C11:H11"/>
    <mergeCell ref="J11:L12"/>
    <mergeCell ref="C12:H12"/>
    <mergeCell ref="C13:H13"/>
    <mergeCell ref="J13:L14"/>
    <mergeCell ref="C14:H14"/>
    <mergeCell ref="C15:H15"/>
    <mergeCell ref="J15:L16"/>
    <mergeCell ref="C16:H16"/>
    <mergeCell ref="G23:G24"/>
    <mergeCell ref="H23:H24"/>
    <mergeCell ref="I23:J23"/>
    <mergeCell ref="C17:H17"/>
    <mergeCell ref="G18:I18"/>
    <mergeCell ref="J18:L18"/>
    <mergeCell ref="G19:H19"/>
    <mergeCell ref="J19:L19"/>
    <mergeCell ref="B20:D20"/>
    <mergeCell ref="J20:L20"/>
    <mergeCell ref="B21:D21"/>
    <mergeCell ref="J21:L21"/>
  </mergeCells>
  <pageMargins left="0.39370078740157483" right="0.19685039370078741" top="0.19685039370078741" bottom="0.39370078740157483" header="0.31496062992125984" footer="0.31496062992125984"/>
  <pageSetup paperSize="9" scale="61" firstPageNumber="13" fitToHeight="0" orientation="portrait" blackAndWhite="1" useFirstPageNumber="1" r:id="rId1"/>
  <headerFooter>
    <oddFooter>&amp;R&amp;P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N143"/>
  <sheetViews>
    <sheetView topLeftCell="A25" workbookViewId="0"/>
  </sheetViews>
  <sheetFormatPr defaultColWidth="9.33203125" defaultRowHeight="11.25" x14ac:dyDescent="0.2"/>
  <cols>
    <col min="1" max="2" width="9.6640625" style="49" customWidth="1"/>
    <col min="3" max="3" width="17.83203125" style="49" customWidth="1"/>
    <col min="4" max="4" width="47.5" style="49" customWidth="1"/>
    <col min="5" max="5" width="13.6640625" style="49" customWidth="1"/>
    <col min="6" max="6" width="11.33203125" style="49" customWidth="1"/>
    <col min="7" max="7" width="15.6640625" style="49" customWidth="1"/>
    <col min="8" max="8" width="16.33203125" style="49" customWidth="1"/>
    <col min="9" max="9" width="14.83203125" style="49" customWidth="1"/>
    <col min="10" max="10" width="17.83203125" style="49" customWidth="1"/>
    <col min="11" max="11" width="10.6640625" style="49" bestFit="1" customWidth="1"/>
    <col min="12" max="12" width="18.1640625" style="49" customWidth="1"/>
    <col min="13" max="13" width="26.6640625" style="49" customWidth="1"/>
    <col min="14" max="35" width="0" style="49" hidden="1" customWidth="1"/>
    <col min="36" max="36" width="106.1640625" style="49" hidden="1" customWidth="1"/>
    <col min="37" max="37" width="157.1640625" style="49" hidden="1" customWidth="1"/>
    <col min="38" max="38" width="117.83203125" style="49" hidden="1" customWidth="1"/>
    <col min="39" max="39" width="0" style="49" hidden="1" customWidth="1"/>
    <col min="40" max="40" width="118.83203125" style="49" hidden="1" customWidth="1"/>
    <col min="41" max="42" width="0" style="49" hidden="1" customWidth="1"/>
    <col min="43" max="16384" width="9.33203125" style="49"/>
  </cols>
  <sheetData>
    <row r="1" spans="1:30" hidden="1" x14ac:dyDescent="0.2">
      <c r="A1"/>
      <c r="B1"/>
      <c r="C1"/>
      <c r="D1"/>
      <c r="E1"/>
      <c r="F1"/>
      <c r="G1"/>
      <c r="H1"/>
      <c r="I1"/>
      <c r="J1"/>
      <c r="K1"/>
      <c r="L1"/>
    </row>
    <row r="2" spans="1:30" hidden="1" x14ac:dyDescent="0.2">
      <c r="A2"/>
      <c r="B2"/>
      <c r="C2"/>
      <c r="D2"/>
      <c r="E2"/>
      <c r="F2"/>
      <c r="G2"/>
      <c r="H2"/>
      <c r="I2"/>
      <c r="J2"/>
      <c r="K2"/>
      <c r="L2"/>
    </row>
    <row r="3" spans="1:30" hidden="1" x14ac:dyDescent="0.2">
      <c r="A3"/>
      <c r="B3"/>
      <c r="C3"/>
      <c r="D3"/>
      <c r="E3"/>
      <c r="F3"/>
      <c r="G3"/>
      <c r="H3"/>
      <c r="I3"/>
      <c r="J3"/>
      <c r="K3"/>
      <c r="L3"/>
    </row>
    <row r="4" spans="1:30" hidden="1" x14ac:dyDescent="0.2">
      <c r="A4"/>
      <c r="B4"/>
      <c r="C4"/>
      <c r="D4"/>
      <c r="E4"/>
      <c r="F4"/>
      <c r="G4"/>
      <c r="H4"/>
      <c r="I4"/>
      <c r="J4"/>
      <c r="K4"/>
      <c r="L4"/>
    </row>
    <row r="5" spans="1:30" hidden="1" x14ac:dyDescent="0.2">
      <c r="A5"/>
      <c r="B5"/>
      <c r="C5"/>
      <c r="D5"/>
      <c r="E5"/>
      <c r="F5"/>
      <c r="G5"/>
      <c r="H5"/>
      <c r="I5"/>
      <c r="J5"/>
      <c r="K5"/>
      <c r="L5"/>
    </row>
    <row r="6" spans="1:30" ht="31.5" hidden="1" customHeight="1" x14ac:dyDescent="0.2">
      <c r="A6"/>
      <c r="B6"/>
      <c r="C6"/>
      <c r="D6"/>
      <c r="E6"/>
      <c r="F6"/>
      <c r="G6"/>
      <c r="H6"/>
      <c r="I6"/>
      <c r="J6"/>
      <c r="K6"/>
      <c r="L6"/>
    </row>
    <row r="7" spans="1:30" hidden="1" x14ac:dyDescent="0.2">
      <c r="A7"/>
      <c r="B7"/>
      <c r="C7"/>
      <c r="D7"/>
      <c r="E7"/>
      <c r="F7"/>
      <c r="G7"/>
      <c r="H7"/>
      <c r="I7"/>
      <c r="J7"/>
      <c r="K7"/>
      <c r="L7"/>
    </row>
    <row r="8" spans="1:30" ht="33.75" hidden="1" customHeight="1" x14ac:dyDescent="0.2">
      <c r="A8"/>
      <c r="B8"/>
      <c r="C8"/>
      <c r="D8"/>
      <c r="E8"/>
      <c r="F8"/>
      <c r="G8"/>
      <c r="H8"/>
      <c r="I8"/>
      <c r="J8"/>
      <c r="K8"/>
      <c r="L8"/>
    </row>
    <row r="9" spans="1:30" hidden="1" x14ac:dyDescent="0.2">
      <c r="A9"/>
      <c r="B9"/>
      <c r="C9"/>
      <c r="D9"/>
      <c r="E9"/>
      <c r="F9"/>
      <c r="G9"/>
      <c r="H9"/>
      <c r="I9"/>
      <c r="J9"/>
      <c r="K9"/>
      <c r="L9"/>
    </row>
    <row r="10" spans="1:30" ht="14.25" hidden="1" customHeight="1" x14ac:dyDescent="0.2">
      <c r="A10"/>
      <c r="B10"/>
      <c r="C10"/>
      <c r="D10"/>
      <c r="E10"/>
      <c r="F10"/>
      <c r="G10"/>
      <c r="H10"/>
      <c r="I10"/>
      <c r="J10"/>
      <c r="K10"/>
      <c r="L10"/>
    </row>
    <row r="11" spans="1:30" hidden="1" x14ac:dyDescent="0.2">
      <c r="A11"/>
      <c r="B11"/>
      <c r="C11"/>
      <c r="D11"/>
      <c r="E11"/>
      <c r="F11"/>
      <c r="G11"/>
      <c r="H11"/>
      <c r="I11"/>
      <c r="J11"/>
      <c r="K11"/>
      <c r="L11"/>
    </row>
    <row r="12" spans="1:30" ht="14.25" hidden="1" customHeight="1" x14ac:dyDescent="0.2">
      <c r="A12"/>
      <c r="B12"/>
      <c r="C12"/>
      <c r="D12"/>
      <c r="E12"/>
      <c r="F12"/>
      <c r="G12"/>
      <c r="H12"/>
      <c r="I12"/>
      <c r="J12"/>
      <c r="K12"/>
      <c r="L12"/>
    </row>
    <row r="13" spans="1:30" hidden="1" x14ac:dyDescent="0.2">
      <c r="A13"/>
      <c r="B13"/>
      <c r="C13"/>
      <c r="D13"/>
      <c r="E13"/>
      <c r="F13"/>
      <c r="G13"/>
      <c r="H13"/>
      <c r="I13"/>
      <c r="J13"/>
      <c r="K13"/>
      <c r="L13"/>
    </row>
    <row r="14" spans="1:30" hidden="1" x14ac:dyDescent="0.2">
      <c r="A14"/>
      <c r="B14"/>
      <c r="C14"/>
      <c r="D14"/>
      <c r="E14"/>
      <c r="F14"/>
      <c r="G14"/>
      <c r="H14"/>
      <c r="I14"/>
      <c r="J14"/>
      <c r="K14"/>
      <c r="L14"/>
    </row>
    <row r="15" spans="1:30" ht="14.25" hidden="1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AD15" s="244" t="s">
        <v>233</v>
      </c>
    </row>
    <row r="16" spans="1:30" hidden="1" x14ac:dyDescent="0.2">
      <c r="A16"/>
      <c r="B16"/>
      <c r="C16"/>
      <c r="D16"/>
      <c r="E16"/>
      <c r="F16"/>
      <c r="G16"/>
      <c r="H16"/>
      <c r="I16"/>
      <c r="J16"/>
      <c r="K16"/>
      <c r="L16"/>
    </row>
    <row r="17" spans="1:30" ht="12.75" hidden="1" customHeight="1" x14ac:dyDescent="0.2">
      <c r="A17"/>
      <c r="B17"/>
      <c r="C17"/>
      <c r="D17"/>
      <c r="E17"/>
      <c r="F17"/>
      <c r="G17"/>
      <c r="H17"/>
      <c r="I17"/>
      <c r="J17"/>
      <c r="K17"/>
      <c r="L17"/>
      <c r="AD17" s="204">
        <f>IF([84]Source!G19&lt;&gt;"Новый объект", [84]Source!G19, "")</f>
        <v>0</v>
      </c>
    </row>
    <row r="18" spans="1:30" hidden="1" x14ac:dyDescent="0.2">
      <c r="A18"/>
      <c r="B18"/>
      <c r="C18"/>
      <c r="D18"/>
      <c r="E18"/>
      <c r="F18"/>
      <c r="G18"/>
      <c r="H18"/>
      <c r="I18"/>
      <c r="J18"/>
      <c r="K18"/>
      <c r="L18"/>
    </row>
    <row r="19" spans="1:30" hidden="1" x14ac:dyDescent="0.2">
      <c r="A19"/>
      <c r="B19"/>
      <c r="C19"/>
      <c r="D19"/>
      <c r="E19"/>
      <c r="F19"/>
      <c r="G19"/>
      <c r="H19"/>
      <c r="I19"/>
      <c r="J19"/>
      <c r="K19"/>
      <c r="L19"/>
    </row>
    <row r="20" spans="1:30" ht="14.25" hidden="1" customHeight="1" x14ac:dyDescent="0.2">
      <c r="A20"/>
      <c r="B20"/>
      <c r="C20"/>
      <c r="D20"/>
      <c r="E20"/>
      <c r="F20"/>
      <c r="G20"/>
      <c r="H20"/>
      <c r="I20"/>
      <c r="J20"/>
      <c r="K20"/>
      <c r="L20"/>
    </row>
    <row r="21" spans="1:30" hidden="1" x14ac:dyDescent="0.2">
      <c r="A21"/>
      <c r="B21"/>
      <c r="C21"/>
      <c r="D21"/>
      <c r="E21"/>
      <c r="F21"/>
      <c r="G21"/>
      <c r="H21"/>
      <c r="I21"/>
      <c r="J21"/>
      <c r="K21"/>
      <c r="L21"/>
    </row>
    <row r="22" spans="1:30" hidden="1" x14ac:dyDescent="0.2">
      <c r="A22"/>
      <c r="B22"/>
      <c r="C22"/>
      <c r="D22"/>
      <c r="E22"/>
      <c r="F22"/>
      <c r="G22"/>
      <c r="H22"/>
      <c r="I22"/>
      <c r="J22"/>
      <c r="K22"/>
      <c r="L22"/>
    </row>
    <row r="23" spans="1:30" hidden="1" x14ac:dyDescent="0.2">
      <c r="A23"/>
      <c r="B23"/>
      <c r="C23"/>
      <c r="D23"/>
      <c r="E23"/>
      <c r="F23"/>
      <c r="G23"/>
      <c r="H23"/>
      <c r="I23"/>
      <c r="J23"/>
      <c r="K23"/>
      <c r="L23"/>
    </row>
    <row r="24" spans="1:30" ht="14.25" hidden="1" customHeight="1" x14ac:dyDescent="0.2">
      <c r="A24"/>
      <c r="B24"/>
      <c r="C24"/>
      <c r="D24"/>
      <c r="E24"/>
      <c r="F24"/>
      <c r="G24"/>
      <c r="H24"/>
      <c r="I24"/>
      <c r="J24"/>
      <c r="K24"/>
      <c r="L24"/>
    </row>
    <row r="25" spans="1:30" x14ac:dyDescent="0.2">
      <c r="A25"/>
      <c r="B25"/>
      <c r="C25"/>
      <c r="D25"/>
      <c r="E25"/>
      <c r="F25"/>
      <c r="G25"/>
      <c r="H25"/>
      <c r="I25"/>
      <c r="J25"/>
      <c r="K25"/>
      <c r="L25"/>
    </row>
    <row r="26" spans="1:30" ht="18" x14ac:dyDescent="0.25">
      <c r="A26" s="525" t="s">
        <v>252</v>
      </c>
      <c r="B26" s="525"/>
      <c r="C26" s="525"/>
      <c r="D26" s="525"/>
      <c r="E26" s="525"/>
      <c r="F26" s="525"/>
      <c r="G26" s="525"/>
      <c r="H26" s="525"/>
      <c r="I26" s="525"/>
      <c r="J26" s="525"/>
      <c r="K26" s="525"/>
      <c r="L26" s="525"/>
    </row>
    <row r="27" spans="1:30" hidden="1" x14ac:dyDescent="0.2"/>
    <row r="28" spans="1:30" hidden="1" x14ac:dyDescent="0.2"/>
    <row r="29" spans="1:30" hidden="1" x14ac:dyDescent="0.2"/>
    <row r="30" spans="1:30" hidden="1" x14ac:dyDescent="0.2"/>
    <row r="31" spans="1:30" hidden="1" x14ac:dyDescent="0.2"/>
    <row r="33" spans="1:37" ht="14.25" x14ac:dyDescent="0.2">
      <c r="A33" s="526" t="s">
        <v>200</v>
      </c>
      <c r="B33" s="526"/>
      <c r="C33" s="526"/>
      <c r="D33" s="526"/>
      <c r="E33" s="526"/>
      <c r="F33" s="526"/>
      <c r="G33" s="526"/>
      <c r="H33" s="526"/>
      <c r="I33" s="526"/>
      <c r="J33" s="526"/>
      <c r="K33" s="526"/>
      <c r="L33" s="526"/>
    </row>
    <row r="34" spans="1:37" ht="14.25" x14ac:dyDescent="0.2">
      <c r="A34" s="553" t="s">
        <v>38</v>
      </c>
      <c r="B34" s="553"/>
      <c r="C34" s="553" t="s">
        <v>39</v>
      </c>
      <c r="D34" s="553" t="s">
        <v>40</v>
      </c>
      <c r="E34" s="553" t="s">
        <v>126</v>
      </c>
      <c r="F34" s="553" t="s">
        <v>68</v>
      </c>
      <c r="G34" s="553" t="s">
        <v>69</v>
      </c>
      <c r="H34" s="518" t="s">
        <v>127</v>
      </c>
      <c r="I34" s="518" t="s">
        <v>128</v>
      </c>
      <c r="J34" s="553" t="s">
        <v>129</v>
      </c>
      <c r="K34" s="553" t="s">
        <v>130</v>
      </c>
      <c r="L34" s="553" t="s">
        <v>131</v>
      </c>
    </row>
    <row r="35" spans="1:37" x14ac:dyDescent="0.2">
      <c r="A35" s="518" t="s">
        <v>41</v>
      </c>
      <c r="B35" s="518" t="s">
        <v>42</v>
      </c>
      <c r="C35" s="553"/>
      <c r="D35" s="553"/>
      <c r="E35" s="553"/>
      <c r="F35" s="553"/>
      <c r="G35" s="553"/>
      <c r="H35" s="519"/>
      <c r="I35" s="519"/>
      <c r="J35" s="553"/>
      <c r="K35" s="553"/>
      <c r="L35" s="553"/>
    </row>
    <row r="36" spans="1:37" x14ac:dyDescent="0.2">
      <c r="A36" s="519"/>
      <c r="B36" s="519"/>
      <c r="C36" s="553"/>
      <c r="D36" s="553"/>
      <c r="E36" s="553"/>
      <c r="F36" s="553"/>
      <c r="G36" s="553"/>
      <c r="H36" s="519"/>
      <c r="I36" s="519"/>
      <c r="J36" s="553"/>
      <c r="K36" s="553"/>
      <c r="L36" s="553"/>
    </row>
    <row r="37" spans="1:37" x14ac:dyDescent="0.2">
      <c r="A37" s="519"/>
      <c r="B37" s="519"/>
      <c r="C37" s="553"/>
      <c r="D37" s="553"/>
      <c r="E37" s="553"/>
      <c r="F37" s="553"/>
      <c r="G37" s="553"/>
      <c r="H37" s="519"/>
      <c r="I37" s="519"/>
      <c r="J37" s="553"/>
      <c r="K37" s="553"/>
      <c r="L37" s="553"/>
    </row>
    <row r="38" spans="1:37" x14ac:dyDescent="0.2">
      <c r="A38" s="519"/>
      <c r="B38" s="519"/>
      <c r="C38" s="553"/>
      <c r="D38" s="553"/>
      <c r="E38" s="553"/>
      <c r="F38" s="553"/>
      <c r="G38" s="553"/>
      <c r="H38" s="519"/>
      <c r="I38" s="519"/>
      <c r="J38" s="553"/>
      <c r="K38" s="553"/>
      <c r="L38" s="553"/>
    </row>
    <row r="39" spans="1:37" x14ac:dyDescent="0.2">
      <c r="A39" s="520"/>
      <c r="B39" s="520"/>
      <c r="C39" s="553"/>
      <c r="D39" s="553"/>
      <c r="E39" s="553"/>
      <c r="F39" s="553"/>
      <c r="G39" s="553"/>
      <c r="H39" s="520"/>
      <c r="I39" s="520"/>
      <c r="J39" s="553"/>
      <c r="K39" s="553"/>
      <c r="L39" s="553"/>
    </row>
    <row r="40" spans="1:37" ht="14.25" x14ac:dyDescent="0.2">
      <c r="A40" s="193">
        <v>1</v>
      </c>
      <c r="B40" s="193">
        <v>2</v>
      </c>
      <c r="C40" s="193">
        <v>3</v>
      </c>
      <c r="D40" s="193">
        <v>4</v>
      </c>
      <c r="E40" s="193">
        <v>5</v>
      </c>
      <c r="F40" s="193">
        <v>6</v>
      </c>
      <c r="G40" s="193">
        <v>7</v>
      </c>
      <c r="H40" s="193">
        <v>8</v>
      </c>
      <c r="I40" s="193">
        <v>9</v>
      </c>
      <c r="J40" s="193">
        <v>10</v>
      </c>
      <c r="K40" s="193">
        <v>11</v>
      </c>
      <c r="L40" s="193">
        <v>12</v>
      </c>
    </row>
    <row r="42" spans="1:37" ht="16.5" x14ac:dyDescent="0.25">
      <c r="A42" s="571" t="s">
        <v>231</v>
      </c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</row>
    <row r="43" spans="1:37" ht="16.5" x14ac:dyDescent="0.25">
      <c r="A43" s="571" t="s">
        <v>230</v>
      </c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AK43" s="196" t="str">
        <f>CONCATENATE("Локальная смета: ",IF([93]Source!G20&lt;&gt;"Новая локальная смета", [93]Source!G20, ""))</f>
        <v>Локальная смета: Перегоны от ст. "Аминьевское шоссе" до токораздела со ст. "Мичуринский проспект".</v>
      </c>
    </row>
    <row r="45" spans="1:37" ht="16.5" x14ac:dyDescent="0.25">
      <c r="A45" s="571" t="str">
        <f>CONCATENATE("Подраздел: ",IF([93]Source!G132&lt;&gt;"Новый подраздел", [93]Source!G132, ""))</f>
        <v>Подраздел: Кабели и кабельные изделия</v>
      </c>
      <c r="B45" s="571"/>
      <c r="C45" s="571"/>
      <c r="D45" s="571"/>
      <c r="E45" s="571"/>
      <c r="F45" s="571"/>
      <c r="G45" s="571"/>
      <c r="H45" s="571"/>
      <c r="I45" s="571"/>
      <c r="J45" s="571"/>
      <c r="K45" s="571"/>
      <c r="L45" s="571"/>
    </row>
    <row r="46" spans="1:37" ht="71.25" x14ac:dyDescent="0.2">
      <c r="A46" s="108">
        <v>1</v>
      </c>
      <c r="B46" s="108" t="str">
        <f>[93]Source!E143</f>
        <v>15</v>
      </c>
      <c r="C46" s="109" t="str">
        <f>[93]Source!F143</f>
        <v>4.8-79-3</v>
      </c>
      <c r="D46" s="109" t="s">
        <v>206</v>
      </c>
      <c r="E46" s="110" t="str">
        <f>[93]Source!H143</f>
        <v>100 М КАБЕЛЯ</v>
      </c>
      <c r="F46" s="255">
        <f>[93]Source!I143</f>
        <v>17.003</v>
      </c>
      <c r="G46" s="112"/>
      <c r="H46" s="113"/>
      <c r="I46" s="111"/>
      <c r="J46" s="198"/>
      <c r="K46" s="111"/>
      <c r="L46" s="198"/>
      <c r="M46" s="49" t="s">
        <v>255</v>
      </c>
      <c r="Q46" s="49">
        <f>ROUND(([93]Source!DN143/100)*ROUND((ROUND(([93]Source!AF143*[93]Source!AV143*[93]Source!I143),2)),2), 2)</f>
        <v>6736.07</v>
      </c>
      <c r="R46" s="49">
        <f>[93]Source!X143</f>
        <v>129585.19</v>
      </c>
      <c r="S46" s="49">
        <f>ROUND(([93]Source!DO143/100)*ROUND((ROUND(([93]Source!AF143*[93]Source!AV143*[93]Source!I143),2)),2), 2)</f>
        <v>4210.05</v>
      </c>
      <c r="T46" s="49">
        <f>[93]Source!Y143</f>
        <v>61912.92</v>
      </c>
      <c r="U46" s="49">
        <f>ROUND((175/100)*ROUND((ROUND(([93]Source!AE143*[93]Source!AV143*[93]Source!I143),2)),2), 2)</f>
        <v>3980.78</v>
      </c>
      <c r="V46" s="49">
        <f>ROUND((157/100)*ROUND(ROUND((ROUND(([93]Source!AE143*[93]Source!AV143*[93]Source!I143),2)*[93]Source!BS143),2), 2), 2)</f>
        <v>85497.55</v>
      </c>
    </row>
    <row r="47" spans="1:37" ht="14.25" x14ac:dyDescent="0.2">
      <c r="A47" s="108"/>
      <c r="B47" s="108"/>
      <c r="C47" s="109"/>
      <c r="D47" s="109" t="s">
        <v>43</v>
      </c>
      <c r="E47" s="110"/>
      <c r="F47" s="111"/>
      <c r="G47" s="112">
        <f>[93]Source!AO143</f>
        <v>198.51</v>
      </c>
      <c r="H47" s="113" t="str">
        <f>[93]Source!DG143</f>
        <v>)*1,67</v>
      </c>
      <c r="I47" s="111">
        <f>[93]Source!AV143</f>
        <v>1.0669999999999999</v>
      </c>
      <c r="J47" s="198">
        <f>ROUND((ROUND(([93]Source!AF143*[93]Source!AV143*[93]Source!I143),2)),2)</f>
        <v>6014.35</v>
      </c>
      <c r="K47" s="111">
        <f>IF([93]Source!BA143&lt;&gt; 0, [93]Source!BA143, 1)</f>
        <v>23.94</v>
      </c>
      <c r="L47" s="198">
        <f>[93]Source!S143</f>
        <v>143983.54</v>
      </c>
      <c r="W47" s="49">
        <f>J47</f>
        <v>6014.35</v>
      </c>
    </row>
    <row r="48" spans="1:37" ht="14.25" x14ac:dyDescent="0.2">
      <c r="A48" s="108"/>
      <c r="B48" s="108"/>
      <c r="C48" s="109"/>
      <c r="D48" s="109" t="s">
        <v>44</v>
      </c>
      <c r="E48" s="110"/>
      <c r="F48" s="111"/>
      <c r="G48" s="112">
        <f>[93]Source!AM143</f>
        <v>463.73</v>
      </c>
      <c r="H48" s="113" t="str">
        <f>[93]Source!DE143</f>
        <v/>
      </c>
      <c r="I48" s="111">
        <f>[93]Source!AV143</f>
        <v>1.0669999999999999</v>
      </c>
      <c r="J48" s="198">
        <f>(ROUND((ROUND((([93]Source!ET143)*[93]Source!AV143*[93]Source!I143),2)),2)+ROUND((ROUND((([93]Source!AE143-([93]Source!EU143))*[93]Source!AV143*[93]Source!I143),2)),2))-J57</f>
        <v>8413.08</v>
      </c>
      <c r="K48" s="111">
        <f>IF([93]Source!BB143&lt;&gt; 0, [93]Source!BB143, 1)</f>
        <v>8.36</v>
      </c>
      <c r="L48" s="198">
        <f>[93]Source!Q143-L57</f>
        <v>70333.39</v>
      </c>
    </row>
    <row r="49" spans="1:27" ht="14.25" x14ac:dyDescent="0.2">
      <c r="A49" s="108"/>
      <c r="B49" s="108"/>
      <c r="C49" s="109"/>
      <c r="D49" s="109" t="s">
        <v>45</v>
      </c>
      <c r="E49" s="110"/>
      <c r="F49" s="111"/>
      <c r="G49" s="112">
        <f>[93]Source!AN143</f>
        <v>75.08</v>
      </c>
      <c r="H49" s="113" t="str">
        <f>[93]Source!DE143</f>
        <v/>
      </c>
      <c r="I49" s="111">
        <f>[93]Source!AV143</f>
        <v>1.0669999999999999</v>
      </c>
      <c r="J49" s="115">
        <f>ROUND((ROUND(([93]Source!AE143*[93]Source!AV143*[93]Source!I143),2)),2)-J58</f>
        <v>1362.11</v>
      </c>
      <c r="K49" s="111">
        <f>IF([93]Source!BS143&lt;&gt; 0, [93]Source!BS143, 1)</f>
        <v>23.94</v>
      </c>
      <c r="L49" s="115">
        <f>[93]Source!R143-L58</f>
        <v>32608.959999999999</v>
      </c>
      <c r="W49" s="49">
        <f>J49</f>
        <v>1362.11</v>
      </c>
    </row>
    <row r="50" spans="1:27" ht="14.25" x14ac:dyDescent="0.2">
      <c r="A50" s="108"/>
      <c r="B50" s="108"/>
      <c r="C50" s="109"/>
      <c r="D50" s="109" t="s">
        <v>46</v>
      </c>
      <c r="E50" s="110"/>
      <c r="F50" s="111"/>
      <c r="G50" s="112">
        <f>[93]Source!AL143</f>
        <v>27.23</v>
      </c>
      <c r="H50" s="113" t="str">
        <f>[93]Source!DD143</f>
        <v/>
      </c>
      <c r="I50" s="111">
        <f>[93]Source!AW143</f>
        <v>1.081</v>
      </c>
      <c r="J50" s="198">
        <f>ROUND((ROUND(([93]Source!AC143*[93]Source!AW143*[93]Source!I143),2)),2)</f>
        <v>500.49</v>
      </c>
      <c r="K50" s="111">
        <f>IF([93]Source!BC143&lt;&gt; 0, [93]Source!BC143, 1)</f>
        <v>5.56</v>
      </c>
      <c r="L50" s="198">
        <f>[93]Source!P143</f>
        <v>2782.72</v>
      </c>
    </row>
    <row r="51" spans="1:27" ht="14.25" x14ac:dyDescent="0.2">
      <c r="A51" s="108"/>
      <c r="B51" s="108"/>
      <c r="C51" s="109"/>
      <c r="D51" s="109" t="s">
        <v>47</v>
      </c>
      <c r="E51" s="110" t="s">
        <v>48</v>
      </c>
      <c r="F51" s="111">
        <f>[93]Source!DN143</f>
        <v>112</v>
      </c>
      <c r="G51" s="112"/>
      <c r="H51" s="113"/>
      <c r="I51" s="111"/>
      <c r="J51" s="198">
        <f>SUM(Q46:Q50)</f>
        <v>6736.07</v>
      </c>
      <c r="K51" s="111">
        <f>[93]Source!BZ143</f>
        <v>90</v>
      </c>
      <c r="L51" s="198">
        <f>SUM(R46:R50)</f>
        <v>129585.19</v>
      </c>
    </row>
    <row r="52" spans="1:27" ht="14.25" x14ac:dyDescent="0.2">
      <c r="A52" s="108"/>
      <c r="B52" s="108"/>
      <c r="C52" s="109"/>
      <c r="D52" s="109" t="s">
        <v>49</v>
      </c>
      <c r="E52" s="110" t="s">
        <v>48</v>
      </c>
      <c r="F52" s="111">
        <f>[93]Source!DO143</f>
        <v>70</v>
      </c>
      <c r="G52" s="112"/>
      <c r="H52" s="113"/>
      <c r="I52" s="111"/>
      <c r="J52" s="198">
        <f>SUM(S46:S51)</f>
        <v>4210.05</v>
      </c>
      <c r="K52" s="111">
        <f>[93]Source!CA143</f>
        <v>43</v>
      </c>
      <c r="L52" s="198">
        <f>SUM(T46:T51)</f>
        <v>61912.92</v>
      </c>
    </row>
    <row r="53" spans="1:27" ht="14.25" x14ac:dyDescent="0.2">
      <c r="A53" s="108"/>
      <c r="B53" s="108"/>
      <c r="C53" s="109"/>
      <c r="D53" s="109" t="s">
        <v>50</v>
      </c>
      <c r="E53" s="110" t="s">
        <v>48</v>
      </c>
      <c r="F53" s="111">
        <f>175</f>
        <v>175</v>
      </c>
      <c r="G53" s="112"/>
      <c r="H53" s="113"/>
      <c r="I53" s="111"/>
      <c r="J53" s="198">
        <f>SUM(U46:U52)-J59</f>
        <v>2383.69</v>
      </c>
      <c r="K53" s="111">
        <f>157</f>
        <v>157</v>
      </c>
      <c r="L53" s="198">
        <f>SUM(V46:V52)-L59</f>
        <v>51196.06</v>
      </c>
    </row>
    <row r="54" spans="1:27" ht="14.25" x14ac:dyDescent="0.2">
      <c r="A54" s="108"/>
      <c r="B54" s="108"/>
      <c r="C54" s="109"/>
      <c r="D54" s="109" t="s">
        <v>51</v>
      </c>
      <c r="E54" s="110" t="s">
        <v>52</v>
      </c>
      <c r="F54" s="111">
        <f>[93]Source!AQ143</f>
        <v>16.100000000000001</v>
      </c>
      <c r="G54" s="112"/>
      <c r="H54" s="113" t="str">
        <f>[93]Source!DI143</f>
        <v/>
      </c>
      <c r="I54" s="111">
        <f>[93]Source!AV143</f>
        <v>1.0669999999999999</v>
      </c>
      <c r="J54" s="198">
        <f>[93]Source!U143</f>
        <v>292.08999999999997</v>
      </c>
      <c r="K54" s="111"/>
      <c r="L54" s="198"/>
    </row>
    <row r="55" spans="1:27" ht="15" x14ac:dyDescent="0.25">
      <c r="I55" s="567">
        <f>J47+J48+J50+J51+J52+J53</f>
        <v>28257.73</v>
      </c>
      <c r="J55" s="567"/>
      <c r="K55" s="567">
        <f>L47+L48+L50+L51+L52+L53</f>
        <v>459793.82</v>
      </c>
      <c r="L55" s="567"/>
      <c r="O55" s="117">
        <f>J47+J48+J50+J51+J52+J53</f>
        <v>28257.73</v>
      </c>
      <c r="P55" s="117">
        <f>L47+L48+L50+L51+L52+L53</f>
        <v>459793.82</v>
      </c>
      <c r="X55" s="49">
        <f>IF([93]Source!BI143&lt;=1,J47+J48+J50+J51+J52+J53-0, 0)</f>
        <v>0</v>
      </c>
      <c r="Y55" s="49">
        <f>IF([93]Source!BI143=2,J47+J48+J50+J51+J52+J53-0, 0)</f>
        <v>28257.73</v>
      </c>
      <c r="Z55" s="49">
        <f>IF([93]Source!BI143=3,J47+J48+J50+J51+J52+J53-0, 0)</f>
        <v>0</v>
      </c>
      <c r="AA55" s="49">
        <f>IF([93]Source!BI143=4,J47+J48+J50+J51+J52+J53,0)</f>
        <v>0</v>
      </c>
    </row>
    <row r="56" spans="1:27" ht="28.5" x14ac:dyDescent="0.2">
      <c r="A56" s="158"/>
      <c r="B56" s="158"/>
      <c r="C56" s="159"/>
      <c r="D56" s="159" t="s">
        <v>133</v>
      </c>
      <c r="E56" s="110"/>
      <c r="F56" s="160"/>
      <c r="G56" s="161"/>
      <c r="H56" s="110"/>
      <c r="I56" s="160"/>
      <c r="J56" s="115"/>
      <c r="K56" s="160"/>
      <c r="L56" s="115"/>
    </row>
    <row r="57" spans="1:27" ht="14.25" x14ac:dyDescent="0.2">
      <c r="A57" s="158"/>
      <c r="B57" s="158"/>
      <c r="C57" s="159"/>
      <c r="D57" s="159" t="s">
        <v>44</v>
      </c>
      <c r="E57" s="110"/>
      <c r="F57" s="160"/>
      <c r="G57" s="161">
        <f t="shared" ref="G57:L57" si="0">G58</f>
        <v>75.08</v>
      </c>
      <c r="H57" s="162" t="str">
        <f t="shared" si="0"/>
        <v>)*(1.67-1)</v>
      </c>
      <c r="I57" s="160">
        <f t="shared" si="0"/>
        <v>1.0669999999999999</v>
      </c>
      <c r="J57" s="115">
        <f t="shared" si="0"/>
        <v>912.62</v>
      </c>
      <c r="K57" s="160">
        <f t="shared" si="0"/>
        <v>23.94</v>
      </c>
      <c r="L57" s="115">
        <f t="shared" si="0"/>
        <v>21848.080000000002</v>
      </c>
    </row>
    <row r="58" spans="1:27" ht="14.25" x14ac:dyDescent="0.2">
      <c r="A58" s="158"/>
      <c r="B58" s="158"/>
      <c r="C58" s="159"/>
      <c r="D58" s="159" t="s">
        <v>45</v>
      </c>
      <c r="E58" s="110"/>
      <c r="F58" s="160"/>
      <c r="G58" s="161">
        <f>[93]Source!AN143</f>
        <v>75.08</v>
      </c>
      <c r="H58" s="162" t="s">
        <v>53</v>
      </c>
      <c r="I58" s="160">
        <f>[93]Source!AV143</f>
        <v>1.0669999999999999</v>
      </c>
      <c r="J58" s="115">
        <f>ROUND(F46*G58*I58*(1.67-1), 2)</f>
        <v>912.62</v>
      </c>
      <c r="K58" s="160">
        <f>IF([93]Source!BS143&lt;&gt; 0, [93]Source!BS143, 1)</f>
        <v>23.94</v>
      </c>
      <c r="L58" s="115">
        <f>ROUND(F46*G58*I58*(1.67-1)*K58, 2)</f>
        <v>21848.080000000002</v>
      </c>
      <c r="W58" s="49">
        <f>J58</f>
        <v>912.62</v>
      </c>
    </row>
    <row r="59" spans="1:27" ht="14.25" x14ac:dyDescent="0.2">
      <c r="A59" s="158"/>
      <c r="B59" s="158"/>
      <c r="C59" s="159"/>
      <c r="D59" s="159" t="s">
        <v>50</v>
      </c>
      <c r="E59" s="110" t="s">
        <v>48</v>
      </c>
      <c r="F59" s="160">
        <f>175</f>
        <v>175</v>
      </c>
      <c r="G59" s="161"/>
      <c r="H59" s="110"/>
      <c r="I59" s="160"/>
      <c r="J59" s="115">
        <f>ROUND(J58*(F59/100), 2)</f>
        <v>1597.09</v>
      </c>
      <c r="K59" s="160">
        <f>157</f>
        <v>157</v>
      </c>
      <c r="L59" s="115">
        <f>ROUND(L58*(K59/100), 2)</f>
        <v>34301.49</v>
      </c>
    </row>
    <row r="60" spans="1:27" ht="15" x14ac:dyDescent="0.25">
      <c r="I60" s="567">
        <f>J59+J58</f>
        <v>2509.71</v>
      </c>
      <c r="J60" s="567"/>
      <c r="K60" s="567">
        <f>L59+L58</f>
        <v>56149.57</v>
      </c>
      <c r="L60" s="567"/>
      <c r="O60" s="117">
        <f>I60</f>
        <v>2509.71</v>
      </c>
      <c r="P60" s="117">
        <f>K60</f>
        <v>56149.57</v>
      </c>
      <c r="X60" s="49">
        <f>IF([93]Source!BI143&lt;=1,I60, 0)</f>
        <v>0</v>
      </c>
      <c r="Y60" s="49">
        <f>IF([93]Source!BI143=2,I60, 0)</f>
        <v>2509.71</v>
      </c>
      <c r="Z60" s="49">
        <f>IF([93]Source!BI143=3,I60, 0)</f>
        <v>0</v>
      </c>
      <c r="AA60" s="49">
        <f>IF([93]Source!BI143=4,I60, 0)</f>
        <v>0</v>
      </c>
    </row>
    <row r="62" spans="1:27" ht="15" x14ac:dyDescent="0.25">
      <c r="A62" s="163"/>
      <c r="B62" s="163"/>
      <c r="C62" s="164"/>
      <c r="D62" s="164" t="s">
        <v>134</v>
      </c>
      <c r="E62" s="165"/>
      <c r="F62" s="166"/>
      <c r="G62" s="167"/>
      <c r="H62" s="168"/>
      <c r="I62" s="567">
        <f>I55+I60</f>
        <v>30767.439999999999</v>
      </c>
      <c r="J62" s="567"/>
      <c r="K62" s="567">
        <f>K55+K60</f>
        <v>515943.39</v>
      </c>
      <c r="L62" s="567"/>
    </row>
    <row r="63" spans="1:27" ht="71.25" x14ac:dyDescent="0.2">
      <c r="A63" s="108">
        <v>2</v>
      </c>
      <c r="B63" s="108" t="str">
        <f>[93]Source!E145</f>
        <v>16</v>
      </c>
      <c r="C63" s="109" t="str">
        <f>[93]Source!F145</f>
        <v>4.8-79-4</v>
      </c>
      <c r="D63" s="109" t="s">
        <v>207</v>
      </c>
      <c r="E63" s="110" t="str">
        <f>[93]Source!H145</f>
        <v>100 М КАБЕЛЯ</v>
      </c>
      <c r="F63" s="255">
        <f>[93]Source!I145</f>
        <v>24.666599999999999</v>
      </c>
      <c r="G63" s="112"/>
      <c r="H63" s="113"/>
      <c r="I63" s="111"/>
      <c r="J63" s="198"/>
      <c r="K63" s="111"/>
      <c r="L63" s="198"/>
      <c r="Q63" s="49">
        <f>ROUND(([93]Source!DN145/100)*ROUND((ROUND(([93]Source!AF145*[93]Source!AV145*[93]Source!I145),2)),2), 2)</f>
        <v>13231.87</v>
      </c>
      <c r="R63" s="49">
        <f>[93]Source!X145</f>
        <v>254548.11</v>
      </c>
      <c r="S63" s="49">
        <f>ROUND(([93]Source!DO145/100)*ROUND((ROUND(([93]Source!AF145*[93]Source!AV145*[93]Source!I145),2)),2), 2)</f>
        <v>8269.92</v>
      </c>
      <c r="T63" s="49">
        <f>[93]Source!Y145</f>
        <v>121617.43</v>
      </c>
      <c r="U63" s="49">
        <f>ROUND((175/100)*ROUND((ROUND(([93]Source!AE145*[93]Source!AV145*[93]Source!I145),2)),2), 2)</f>
        <v>8309.4599999999991</v>
      </c>
      <c r="V63" s="49">
        <f>ROUND((157/100)*ROUND(ROUND((ROUND(([93]Source!AE145*[93]Source!AV145*[93]Source!I145),2)*[93]Source!BS145),2), 2), 2)</f>
        <v>178467.14</v>
      </c>
    </row>
    <row r="64" spans="1:27" ht="14.25" x14ac:dyDescent="0.2">
      <c r="A64" s="108"/>
      <c r="B64" s="108"/>
      <c r="C64" s="109"/>
      <c r="D64" s="109" t="s">
        <v>43</v>
      </c>
      <c r="E64" s="110"/>
      <c r="F64" s="111"/>
      <c r="G64" s="112">
        <f>[93]Source!AO145</f>
        <v>268.79000000000002</v>
      </c>
      <c r="H64" s="113" t="str">
        <f>[93]Source!DG145</f>
        <v>)*1,67</v>
      </c>
      <c r="I64" s="111">
        <f>[93]Source!AV145</f>
        <v>1.0669999999999999</v>
      </c>
      <c r="J64" s="198">
        <f>ROUND((ROUND(([93]Source!AF145*[93]Source!AV145*[93]Source!I145),2)),2)</f>
        <v>11814.17</v>
      </c>
      <c r="K64" s="111">
        <f>IF([93]Source!BA145&lt;&gt; 0, [93]Source!BA145, 1)</f>
        <v>23.94</v>
      </c>
      <c r="L64" s="198">
        <f>[93]Source!S145</f>
        <v>282831.23</v>
      </c>
      <c r="W64" s="49">
        <f>J64</f>
        <v>11814.17</v>
      </c>
    </row>
    <row r="65" spans="1:27" ht="14.25" x14ac:dyDescent="0.2">
      <c r="A65" s="108"/>
      <c r="B65" s="108"/>
      <c r="C65" s="109"/>
      <c r="D65" s="109" t="s">
        <v>44</v>
      </c>
      <c r="E65" s="110"/>
      <c r="F65" s="111"/>
      <c r="G65" s="112">
        <f>[93]Source!AM145</f>
        <v>652.54999999999995</v>
      </c>
      <c r="H65" s="113" t="str">
        <f>[93]Source!DE145</f>
        <v/>
      </c>
      <c r="I65" s="111">
        <f>[93]Source!AV145</f>
        <v>1.0669999999999999</v>
      </c>
      <c r="J65" s="198">
        <f>(ROUND((ROUND((([93]Source!ET145)*[93]Source!AV145*[93]Source!I145),2)),2)+ROUND((ROUND((([93]Source!AE145-([93]Source!EU145))*[93]Source!AV145*[93]Source!I145),2)),2))-J74</f>
        <v>17174.63</v>
      </c>
      <c r="K65" s="111">
        <f>IF([93]Source!BB145&lt;&gt; 0, [93]Source!BB145, 1)</f>
        <v>8.43</v>
      </c>
      <c r="L65" s="198">
        <f>[93]Source!Q145-L74</f>
        <v>144782.10999999999</v>
      </c>
    </row>
    <row r="66" spans="1:27" ht="14.25" x14ac:dyDescent="0.2">
      <c r="A66" s="108"/>
      <c r="B66" s="108"/>
      <c r="C66" s="109"/>
      <c r="D66" s="109" t="s">
        <v>45</v>
      </c>
      <c r="E66" s="110"/>
      <c r="F66" s="111"/>
      <c r="G66" s="112">
        <f>[93]Source!AN145</f>
        <v>108.03</v>
      </c>
      <c r="H66" s="113" t="str">
        <f>[93]Source!DE145</f>
        <v/>
      </c>
      <c r="I66" s="111">
        <f>[93]Source!AV145</f>
        <v>1.0669999999999999</v>
      </c>
      <c r="J66" s="115">
        <f>ROUND((ROUND(([93]Source!AE145*[93]Source!AV145*[93]Source!I145),2)),2)-J75</f>
        <v>2843.27</v>
      </c>
      <c r="K66" s="111">
        <f>IF([93]Source!BS145&lt;&gt; 0, [93]Source!BS145, 1)</f>
        <v>23.94</v>
      </c>
      <c r="L66" s="115">
        <f>[93]Source!R145-L75</f>
        <v>68067.86</v>
      </c>
      <c r="W66" s="49">
        <f>J66</f>
        <v>2843.27</v>
      </c>
    </row>
    <row r="67" spans="1:27" ht="14.25" x14ac:dyDescent="0.2">
      <c r="A67" s="108"/>
      <c r="B67" s="108"/>
      <c r="C67" s="109"/>
      <c r="D67" s="109" t="s">
        <v>46</v>
      </c>
      <c r="E67" s="110"/>
      <c r="F67" s="111"/>
      <c r="G67" s="112">
        <f>[93]Source!AL145</f>
        <v>28.07</v>
      </c>
      <c r="H67" s="113" t="str">
        <f>[93]Source!DD145</f>
        <v/>
      </c>
      <c r="I67" s="111">
        <f>[93]Source!AW145</f>
        <v>1.081</v>
      </c>
      <c r="J67" s="198">
        <f>ROUND((ROUND(([93]Source!AC145*[93]Source!AW145*[93]Source!I145),2)),2)</f>
        <v>748.48</v>
      </c>
      <c r="K67" s="111">
        <f>IF([93]Source!BC145&lt;&gt; 0, [93]Source!BC145, 1)</f>
        <v>5.56</v>
      </c>
      <c r="L67" s="198">
        <f>[93]Source!P145</f>
        <v>4161.55</v>
      </c>
    </row>
    <row r="68" spans="1:27" ht="14.25" x14ac:dyDescent="0.2">
      <c r="A68" s="108"/>
      <c r="B68" s="108"/>
      <c r="C68" s="109"/>
      <c r="D68" s="109" t="s">
        <v>47</v>
      </c>
      <c r="E68" s="110" t="s">
        <v>48</v>
      </c>
      <c r="F68" s="111">
        <f>[93]Source!DN145</f>
        <v>112</v>
      </c>
      <c r="G68" s="112"/>
      <c r="H68" s="113"/>
      <c r="I68" s="111"/>
      <c r="J68" s="198">
        <f>SUM(Q63:Q67)</f>
        <v>13231.87</v>
      </c>
      <c r="K68" s="111">
        <f>[93]Source!BZ145</f>
        <v>90</v>
      </c>
      <c r="L68" s="198">
        <f>SUM(R63:R67)</f>
        <v>254548.11</v>
      </c>
    </row>
    <row r="69" spans="1:27" ht="14.25" x14ac:dyDescent="0.2">
      <c r="A69" s="108"/>
      <c r="B69" s="108"/>
      <c r="C69" s="109"/>
      <c r="D69" s="109" t="s">
        <v>49</v>
      </c>
      <c r="E69" s="110" t="s">
        <v>48</v>
      </c>
      <c r="F69" s="111">
        <f>[93]Source!DO145</f>
        <v>70</v>
      </c>
      <c r="G69" s="112"/>
      <c r="H69" s="113"/>
      <c r="I69" s="111"/>
      <c r="J69" s="198">
        <f>SUM(S63:S68)</f>
        <v>8269.92</v>
      </c>
      <c r="K69" s="111">
        <f>[93]Source!CA145</f>
        <v>43</v>
      </c>
      <c r="L69" s="198">
        <f>SUM(T63:T68)</f>
        <v>121617.43</v>
      </c>
    </row>
    <row r="70" spans="1:27" ht="14.25" x14ac:dyDescent="0.2">
      <c r="A70" s="108"/>
      <c r="B70" s="108"/>
      <c r="C70" s="109"/>
      <c r="D70" s="109" t="s">
        <v>50</v>
      </c>
      <c r="E70" s="110" t="s">
        <v>48</v>
      </c>
      <c r="F70" s="111">
        <f>175</f>
        <v>175</v>
      </c>
      <c r="G70" s="112"/>
      <c r="H70" s="113"/>
      <c r="I70" s="111"/>
      <c r="J70" s="198">
        <f>SUM(U63:U69)-J76</f>
        <v>4975.7299999999996</v>
      </c>
      <c r="K70" s="111">
        <f>157</f>
        <v>157</v>
      </c>
      <c r="L70" s="198">
        <f>SUM(V63:V69)-L76</f>
        <v>106866.54</v>
      </c>
    </row>
    <row r="71" spans="1:27" ht="14.25" x14ac:dyDescent="0.2">
      <c r="A71" s="108"/>
      <c r="B71" s="108"/>
      <c r="C71" s="109"/>
      <c r="D71" s="109" t="s">
        <v>51</v>
      </c>
      <c r="E71" s="110" t="s">
        <v>52</v>
      </c>
      <c r="F71" s="111">
        <f>[93]Source!AQ145</f>
        <v>21.8</v>
      </c>
      <c r="G71" s="112"/>
      <c r="H71" s="113" t="str">
        <f>[93]Source!DI145</f>
        <v/>
      </c>
      <c r="I71" s="111">
        <f>[93]Source!AV145</f>
        <v>1.0669999999999999</v>
      </c>
      <c r="J71" s="198">
        <f>[93]Source!U145</f>
        <v>573.76</v>
      </c>
      <c r="K71" s="111"/>
      <c r="L71" s="198"/>
    </row>
    <row r="72" spans="1:27" ht="15" x14ac:dyDescent="0.25">
      <c r="I72" s="567">
        <f>J64+J65+J67+J68+J69+J70</f>
        <v>56214.8</v>
      </c>
      <c r="J72" s="567"/>
      <c r="K72" s="567">
        <f>L64+L65+L67+L68+L69+L70</f>
        <v>914806.97</v>
      </c>
      <c r="L72" s="567"/>
      <c r="O72" s="117">
        <f>J64+J65+J67+J68+J69+J70</f>
        <v>56214.8</v>
      </c>
      <c r="P72" s="117">
        <f>L64+L65+L67+L68+L69+L70</f>
        <v>914806.97</v>
      </c>
      <c r="X72" s="49">
        <f>IF([93]Source!BI145&lt;=1,J64+J65+J67+J68+J69+J70-0, 0)</f>
        <v>0</v>
      </c>
      <c r="Y72" s="49">
        <f>IF([93]Source!BI145=2,J64+J65+J67+J68+J69+J70-0, 0)</f>
        <v>56214.8</v>
      </c>
      <c r="Z72" s="49">
        <f>IF([93]Source!BI145=3,J64+J65+J67+J68+J69+J70-0, 0)</f>
        <v>0</v>
      </c>
      <c r="AA72" s="49">
        <f>IF([93]Source!BI145=4,J64+J65+J67+J68+J69+J70,0)</f>
        <v>0</v>
      </c>
    </row>
    <row r="73" spans="1:27" ht="28.5" x14ac:dyDescent="0.2">
      <c r="A73" s="158"/>
      <c r="B73" s="158"/>
      <c r="C73" s="159"/>
      <c r="D73" s="159" t="s">
        <v>133</v>
      </c>
      <c r="E73" s="110"/>
      <c r="F73" s="160"/>
      <c r="G73" s="161"/>
      <c r="H73" s="110"/>
      <c r="I73" s="160"/>
      <c r="J73" s="115"/>
      <c r="K73" s="160"/>
      <c r="L73" s="115"/>
    </row>
    <row r="74" spans="1:27" ht="14.25" x14ac:dyDescent="0.2">
      <c r="A74" s="158"/>
      <c r="B74" s="158"/>
      <c r="C74" s="159"/>
      <c r="D74" s="159" t="s">
        <v>44</v>
      </c>
      <c r="E74" s="110"/>
      <c r="F74" s="160"/>
      <c r="G74" s="161">
        <f t="shared" ref="G74:L74" si="1">G75</f>
        <v>108.03</v>
      </c>
      <c r="H74" s="162" t="str">
        <f t="shared" si="1"/>
        <v>)*(1.67-1)</v>
      </c>
      <c r="I74" s="160">
        <f t="shared" si="1"/>
        <v>1.0669999999999999</v>
      </c>
      <c r="J74" s="115">
        <f t="shared" si="1"/>
        <v>1904.99</v>
      </c>
      <c r="K74" s="160">
        <f t="shared" si="1"/>
        <v>23.94</v>
      </c>
      <c r="L74" s="115">
        <f t="shared" si="1"/>
        <v>45605.48</v>
      </c>
    </row>
    <row r="75" spans="1:27" ht="14.25" x14ac:dyDescent="0.2">
      <c r="A75" s="158"/>
      <c r="B75" s="158"/>
      <c r="C75" s="159"/>
      <c r="D75" s="159" t="s">
        <v>45</v>
      </c>
      <c r="E75" s="110"/>
      <c r="F75" s="160"/>
      <c r="G75" s="161">
        <f>[93]Source!AN145</f>
        <v>108.03</v>
      </c>
      <c r="H75" s="162" t="s">
        <v>53</v>
      </c>
      <c r="I75" s="160">
        <f>[93]Source!AV145</f>
        <v>1.0669999999999999</v>
      </c>
      <c r="J75" s="115">
        <f>ROUND(F63*G75*I75*(1.67-1), 2)</f>
        <v>1904.99</v>
      </c>
      <c r="K75" s="160">
        <f>IF([93]Source!BS145&lt;&gt; 0, [93]Source!BS145, 1)</f>
        <v>23.94</v>
      </c>
      <c r="L75" s="115">
        <f>ROUND(F63*G75*I75*(1.67-1)*K75, 2)</f>
        <v>45605.48</v>
      </c>
      <c r="W75" s="49">
        <f>J75</f>
        <v>1904.99</v>
      </c>
    </row>
    <row r="76" spans="1:27" ht="14.25" x14ac:dyDescent="0.2">
      <c r="A76" s="158"/>
      <c r="B76" s="158"/>
      <c r="C76" s="159"/>
      <c r="D76" s="159" t="s">
        <v>50</v>
      </c>
      <c r="E76" s="110" t="s">
        <v>48</v>
      </c>
      <c r="F76" s="160">
        <f>175</f>
        <v>175</v>
      </c>
      <c r="G76" s="161"/>
      <c r="H76" s="110"/>
      <c r="I76" s="160"/>
      <c r="J76" s="115">
        <f>ROUND(J75*(F76/100), 2)</f>
        <v>3333.73</v>
      </c>
      <c r="K76" s="160">
        <f>157</f>
        <v>157</v>
      </c>
      <c r="L76" s="115">
        <f>ROUND(L75*(K76/100), 2)</f>
        <v>71600.600000000006</v>
      </c>
    </row>
    <row r="77" spans="1:27" ht="15" x14ac:dyDescent="0.25">
      <c r="I77" s="567">
        <f>J76+J75</f>
        <v>5238.72</v>
      </c>
      <c r="J77" s="567"/>
      <c r="K77" s="567">
        <f>L76+L75</f>
        <v>117206.08</v>
      </c>
      <c r="L77" s="567"/>
      <c r="O77" s="117">
        <f>I77</f>
        <v>5238.72</v>
      </c>
      <c r="P77" s="117">
        <f>K77</f>
        <v>117206.08</v>
      </c>
      <c r="X77" s="49">
        <f>IF([93]Source!BI145&lt;=1,I77, 0)</f>
        <v>0</v>
      </c>
      <c r="Y77" s="49">
        <f>IF([93]Source!BI145=2,I77, 0)</f>
        <v>5238.72</v>
      </c>
      <c r="Z77" s="49">
        <f>IF([93]Source!BI145=3,I77, 0)</f>
        <v>0</v>
      </c>
      <c r="AA77" s="49">
        <f>IF([93]Source!BI145=4,I77, 0)</f>
        <v>0</v>
      </c>
    </row>
    <row r="79" spans="1:27" ht="15" x14ac:dyDescent="0.25">
      <c r="A79" s="163"/>
      <c r="B79" s="163"/>
      <c r="C79" s="164"/>
      <c r="D79" s="164" t="s">
        <v>134</v>
      </c>
      <c r="E79" s="165"/>
      <c r="F79" s="166"/>
      <c r="G79" s="167"/>
      <c r="H79" s="168"/>
      <c r="I79" s="567">
        <f>I72+I77</f>
        <v>61453.52</v>
      </c>
      <c r="J79" s="567"/>
      <c r="K79" s="567">
        <f>K72+K77</f>
        <v>1032013.05</v>
      </c>
      <c r="L79" s="567"/>
    </row>
    <row r="80" spans="1:27" ht="71.25" x14ac:dyDescent="0.2">
      <c r="A80" s="108">
        <v>3</v>
      </c>
      <c r="B80" s="108" t="str">
        <f>[93]Source!E147</f>
        <v>17</v>
      </c>
      <c r="C80" s="109" t="str">
        <f>[93]Source!F147</f>
        <v>4.8-79-5</v>
      </c>
      <c r="D80" s="109" t="s">
        <v>212</v>
      </c>
      <c r="E80" s="110" t="str">
        <f>[93]Source!H147</f>
        <v>100 М КАБЕЛЯ</v>
      </c>
      <c r="F80" s="255">
        <f>[93]Source!I147</f>
        <v>9.2119999999999997</v>
      </c>
      <c r="G80" s="112"/>
      <c r="H80" s="113"/>
      <c r="I80" s="111"/>
      <c r="J80" s="198"/>
      <c r="K80" s="111"/>
      <c r="L80" s="198"/>
      <c r="Q80" s="49">
        <f>ROUND(([93]Source!DN147/100)*ROUND((ROUND(([93]Source!AF147*[93]Source!AV147*[93]Source!I147),2)),2), 2)</f>
        <v>6052.38</v>
      </c>
      <c r="R80" s="49">
        <f>[93]Source!X147</f>
        <v>116432.65</v>
      </c>
      <c r="S80" s="49">
        <f>ROUND(([93]Source!DO147/100)*ROUND((ROUND(([93]Source!AF147*[93]Source!AV147*[93]Source!I147),2)),2), 2)</f>
        <v>3782.74</v>
      </c>
      <c r="T80" s="49">
        <f>[93]Source!Y147</f>
        <v>55628.93</v>
      </c>
      <c r="U80" s="49">
        <f>ROUND((175/100)*ROUND((ROUND(([93]Source!AE147*[93]Source!AV147*[93]Source!I147),2)),2), 2)</f>
        <v>3886.61</v>
      </c>
      <c r="V80" s="49">
        <f>ROUND((157/100)*ROUND(ROUND((ROUND(([93]Source!AE147*[93]Source!AV147*[93]Source!I147),2)*[93]Source!BS147),2), 2), 2)</f>
        <v>83475.05</v>
      </c>
    </row>
    <row r="81" spans="1:27" ht="14.25" x14ac:dyDescent="0.2">
      <c r="A81" s="108"/>
      <c r="B81" s="108"/>
      <c r="C81" s="109"/>
      <c r="D81" s="109" t="s">
        <v>43</v>
      </c>
      <c r="E81" s="110"/>
      <c r="F81" s="111"/>
      <c r="G81" s="112">
        <f>[93]Source!AO147</f>
        <v>329.21</v>
      </c>
      <c r="H81" s="113" t="str">
        <f>[93]Source!DG147</f>
        <v>)*1,67</v>
      </c>
      <c r="I81" s="111">
        <f>[93]Source!AV147</f>
        <v>1.0669999999999999</v>
      </c>
      <c r="J81" s="198">
        <f>ROUND((ROUND(([93]Source!AF147*[93]Source!AV147*[93]Source!I147),2)),2)</f>
        <v>5403.91</v>
      </c>
      <c r="K81" s="111">
        <f>IF([93]Source!BA147&lt;&gt; 0, [93]Source!BA147, 1)</f>
        <v>23.94</v>
      </c>
      <c r="L81" s="198">
        <f>[93]Source!S147</f>
        <v>129369.61</v>
      </c>
      <c r="W81" s="49">
        <f>J81</f>
        <v>5403.91</v>
      </c>
    </row>
    <row r="82" spans="1:27" ht="14.25" x14ac:dyDescent="0.2">
      <c r="A82" s="108"/>
      <c r="B82" s="108"/>
      <c r="C82" s="109"/>
      <c r="D82" s="109" t="s">
        <v>44</v>
      </c>
      <c r="E82" s="110"/>
      <c r="F82" s="111"/>
      <c r="G82" s="112">
        <f>[93]Source!AM147</f>
        <v>810.92</v>
      </c>
      <c r="H82" s="113" t="str">
        <f>[93]Source!DE147</f>
        <v/>
      </c>
      <c r="I82" s="111">
        <f>[93]Source!AV147</f>
        <v>1.0669999999999999</v>
      </c>
      <c r="J82" s="198">
        <f>(ROUND((ROUND((([93]Source!ET147)*[93]Source!AV147*[93]Source!I147),2)),2)+ROUND((ROUND((([93]Source!AE147-([93]Source!EU147))*[93]Source!AV147*[93]Source!I147),2)),2))-J91</f>
        <v>7970.7</v>
      </c>
      <c r="K82" s="111">
        <f>IF([93]Source!BB147&lt;&gt; 0, [93]Source!BB147, 1)</f>
        <v>8.4499999999999993</v>
      </c>
      <c r="L82" s="198">
        <f>[93]Source!Q147-L91</f>
        <v>67352.490000000005</v>
      </c>
    </row>
    <row r="83" spans="1:27" ht="14.25" x14ac:dyDescent="0.2">
      <c r="A83" s="108"/>
      <c r="B83" s="108"/>
      <c r="C83" s="109"/>
      <c r="D83" s="109" t="s">
        <v>45</v>
      </c>
      <c r="E83" s="110"/>
      <c r="F83" s="111"/>
      <c r="G83" s="112">
        <f>[93]Source!AN147</f>
        <v>135.30000000000001</v>
      </c>
      <c r="H83" s="113" t="str">
        <f>[93]Source!DE147</f>
        <v/>
      </c>
      <c r="I83" s="111">
        <f>[93]Source!AV147</f>
        <v>1.0669999999999999</v>
      </c>
      <c r="J83" s="115">
        <f>ROUND((ROUND(([93]Source!AE147*[93]Source!AV147*[93]Source!I147),2)),2)-J92</f>
        <v>1329.89</v>
      </c>
      <c r="K83" s="111">
        <f>IF([93]Source!BS147&lt;&gt; 0, [93]Source!BS147, 1)</f>
        <v>23.94</v>
      </c>
      <c r="L83" s="115">
        <f>[93]Source!R147-L92</f>
        <v>31837.63</v>
      </c>
      <c r="W83" s="49">
        <f>J83</f>
        <v>1329.89</v>
      </c>
    </row>
    <row r="84" spans="1:27" ht="14.25" x14ac:dyDescent="0.2">
      <c r="A84" s="108"/>
      <c r="B84" s="108"/>
      <c r="C84" s="109"/>
      <c r="D84" s="109" t="s">
        <v>46</v>
      </c>
      <c r="E84" s="110"/>
      <c r="F84" s="111"/>
      <c r="G84" s="112">
        <f>[93]Source!AL147</f>
        <v>30.24</v>
      </c>
      <c r="H84" s="113" t="str">
        <f>[93]Source!DD147</f>
        <v/>
      </c>
      <c r="I84" s="111">
        <f>[93]Source!AW147</f>
        <v>1.081</v>
      </c>
      <c r="J84" s="198">
        <f>ROUND((ROUND(([93]Source!AC147*[93]Source!AW147*[93]Source!I147),2)),2)</f>
        <v>301.14</v>
      </c>
      <c r="K84" s="111">
        <f>IF([93]Source!BC147&lt;&gt; 0, [93]Source!BC147, 1)</f>
        <v>5.56</v>
      </c>
      <c r="L84" s="198">
        <f>[93]Source!P147</f>
        <v>1674.34</v>
      </c>
    </row>
    <row r="85" spans="1:27" ht="14.25" x14ac:dyDescent="0.2">
      <c r="A85" s="108"/>
      <c r="B85" s="108"/>
      <c r="C85" s="109"/>
      <c r="D85" s="109" t="s">
        <v>47</v>
      </c>
      <c r="E85" s="110" t="s">
        <v>48</v>
      </c>
      <c r="F85" s="111">
        <f>[93]Source!DN147</f>
        <v>112</v>
      </c>
      <c r="G85" s="112"/>
      <c r="H85" s="113"/>
      <c r="I85" s="111"/>
      <c r="J85" s="198">
        <f>SUM(Q80:Q84)</f>
        <v>6052.38</v>
      </c>
      <c r="K85" s="111">
        <f>[93]Source!BZ147</f>
        <v>90</v>
      </c>
      <c r="L85" s="198">
        <f>SUM(R80:R84)</f>
        <v>116432.65</v>
      </c>
    </row>
    <row r="86" spans="1:27" ht="14.25" x14ac:dyDescent="0.2">
      <c r="A86" s="108"/>
      <c r="B86" s="108"/>
      <c r="C86" s="109"/>
      <c r="D86" s="109" t="s">
        <v>49</v>
      </c>
      <c r="E86" s="110" t="s">
        <v>48</v>
      </c>
      <c r="F86" s="111">
        <f>[93]Source!DO147</f>
        <v>70</v>
      </c>
      <c r="G86" s="112"/>
      <c r="H86" s="113"/>
      <c r="I86" s="111"/>
      <c r="J86" s="198">
        <f>SUM(S80:S85)</f>
        <v>3782.74</v>
      </c>
      <c r="K86" s="111">
        <f>[93]Source!CA147</f>
        <v>43</v>
      </c>
      <c r="L86" s="198">
        <f>SUM(T80:T85)</f>
        <v>55628.93</v>
      </c>
    </row>
    <row r="87" spans="1:27" ht="14.25" x14ac:dyDescent="0.2">
      <c r="A87" s="108"/>
      <c r="B87" s="108"/>
      <c r="C87" s="109"/>
      <c r="D87" s="109" t="s">
        <v>50</v>
      </c>
      <c r="E87" s="110" t="s">
        <v>48</v>
      </c>
      <c r="F87" s="111">
        <f>175</f>
        <v>175</v>
      </c>
      <c r="G87" s="112"/>
      <c r="H87" s="113"/>
      <c r="I87" s="111"/>
      <c r="J87" s="198">
        <f>SUM(U80:U86)-J93</f>
        <v>2327.31</v>
      </c>
      <c r="K87" s="111">
        <f>157</f>
        <v>157</v>
      </c>
      <c r="L87" s="198">
        <f>SUM(V80:V86)-L93</f>
        <v>49985.08</v>
      </c>
    </row>
    <row r="88" spans="1:27" ht="14.25" x14ac:dyDescent="0.2">
      <c r="A88" s="108"/>
      <c r="B88" s="108"/>
      <c r="C88" s="109"/>
      <c r="D88" s="109" t="s">
        <v>51</v>
      </c>
      <c r="E88" s="110" t="s">
        <v>52</v>
      </c>
      <c r="F88" s="111">
        <f>[93]Source!AQ147</f>
        <v>26.7</v>
      </c>
      <c r="G88" s="112"/>
      <c r="H88" s="113" t="str">
        <f>[93]Source!DI147</f>
        <v/>
      </c>
      <c r="I88" s="111">
        <f>[93]Source!AV147</f>
        <v>1.0669999999999999</v>
      </c>
      <c r="J88" s="198">
        <f>[93]Source!U147</f>
        <v>262.44</v>
      </c>
      <c r="K88" s="111"/>
      <c r="L88" s="198"/>
    </row>
    <row r="89" spans="1:27" ht="15" x14ac:dyDescent="0.25">
      <c r="I89" s="567">
        <f>J81+J82+J84+J85+J86+J87</f>
        <v>25838.18</v>
      </c>
      <c r="J89" s="567"/>
      <c r="K89" s="567">
        <f>L81+L82+L84+L85+L86+L87</f>
        <v>420443.1</v>
      </c>
      <c r="L89" s="567"/>
      <c r="O89" s="117">
        <f>J81+J82+J84+J85+J86+J87</f>
        <v>25838.18</v>
      </c>
      <c r="P89" s="117">
        <f>L81+L82+L84+L85+L86+L87</f>
        <v>420443.1</v>
      </c>
      <c r="X89" s="49">
        <f>IF([93]Source!BI147&lt;=1,J81+J82+J84+J85+J86+J87-0, 0)</f>
        <v>0</v>
      </c>
      <c r="Y89" s="49">
        <f>IF([93]Source!BI147=2,J81+J82+J84+J85+J86+J87-0, 0)</f>
        <v>25838.18</v>
      </c>
      <c r="Z89" s="49">
        <f>IF([93]Source!BI147=3,J81+J82+J84+J85+J86+J87-0, 0)</f>
        <v>0</v>
      </c>
      <c r="AA89" s="49">
        <f>IF([93]Source!BI147=4,J81+J82+J84+J85+J86+J87,0)</f>
        <v>0</v>
      </c>
    </row>
    <row r="90" spans="1:27" ht="28.5" x14ac:dyDescent="0.2">
      <c r="A90" s="158"/>
      <c r="B90" s="158"/>
      <c r="C90" s="159"/>
      <c r="D90" s="159" t="s">
        <v>133</v>
      </c>
      <c r="E90" s="110"/>
      <c r="F90" s="160"/>
      <c r="G90" s="161"/>
      <c r="H90" s="110"/>
      <c r="I90" s="160"/>
      <c r="J90" s="115"/>
      <c r="K90" s="160"/>
      <c r="L90" s="115"/>
    </row>
    <row r="91" spans="1:27" ht="14.25" x14ac:dyDescent="0.2">
      <c r="A91" s="158"/>
      <c r="B91" s="158"/>
      <c r="C91" s="159"/>
      <c r="D91" s="159" t="s">
        <v>44</v>
      </c>
      <c r="E91" s="110"/>
      <c r="F91" s="160"/>
      <c r="G91" s="161">
        <f t="shared" ref="G91:L91" si="2">G92</f>
        <v>135.30000000000001</v>
      </c>
      <c r="H91" s="162" t="str">
        <f t="shared" si="2"/>
        <v>)*(1.67-1)</v>
      </c>
      <c r="I91" s="160">
        <f t="shared" si="2"/>
        <v>1.0669999999999999</v>
      </c>
      <c r="J91" s="115">
        <f t="shared" si="2"/>
        <v>891.03</v>
      </c>
      <c r="K91" s="160">
        <f t="shared" si="2"/>
        <v>23.94</v>
      </c>
      <c r="L91" s="115">
        <f t="shared" si="2"/>
        <v>21331.19</v>
      </c>
    </row>
    <row r="92" spans="1:27" ht="14.25" x14ac:dyDescent="0.2">
      <c r="A92" s="158"/>
      <c r="B92" s="158"/>
      <c r="C92" s="159"/>
      <c r="D92" s="159" t="s">
        <v>45</v>
      </c>
      <c r="E92" s="110"/>
      <c r="F92" s="160"/>
      <c r="G92" s="161">
        <f>[93]Source!AN147</f>
        <v>135.30000000000001</v>
      </c>
      <c r="H92" s="162" t="s">
        <v>53</v>
      </c>
      <c r="I92" s="160">
        <f>[93]Source!AV147</f>
        <v>1.0669999999999999</v>
      </c>
      <c r="J92" s="115">
        <f>ROUND(F80*G92*I92*(1.67-1), 2)</f>
        <v>891.03</v>
      </c>
      <c r="K92" s="160">
        <f>IF([93]Source!BS147&lt;&gt; 0, [93]Source!BS147, 1)</f>
        <v>23.94</v>
      </c>
      <c r="L92" s="115">
        <f>ROUND(F80*G92*I92*(1.67-1)*K92, 2)</f>
        <v>21331.19</v>
      </c>
      <c r="W92" s="49">
        <f>J92</f>
        <v>891.03</v>
      </c>
    </row>
    <row r="93" spans="1:27" ht="14.25" x14ac:dyDescent="0.2">
      <c r="A93" s="158"/>
      <c r="B93" s="158"/>
      <c r="C93" s="159"/>
      <c r="D93" s="159" t="s">
        <v>50</v>
      </c>
      <c r="E93" s="110" t="s">
        <v>48</v>
      </c>
      <c r="F93" s="160">
        <f>175</f>
        <v>175</v>
      </c>
      <c r="G93" s="161"/>
      <c r="H93" s="110"/>
      <c r="I93" s="160"/>
      <c r="J93" s="115">
        <f>ROUND(J92*(F93/100), 2)</f>
        <v>1559.3</v>
      </c>
      <c r="K93" s="160">
        <f>157</f>
        <v>157</v>
      </c>
      <c r="L93" s="115">
        <f>ROUND(L92*(K93/100), 2)</f>
        <v>33489.97</v>
      </c>
    </row>
    <row r="94" spans="1:27" ht="15" x14ac:dyDescent="0.25">
      <c r="I94" s="567">
        <f>J93+J92</f>
        <v>2450.33</v>
      </c>
      <c r="J94" s="567"/>
      <c r="K94" s="567">
        <f>L93+L92</f>
        <v>54821.16</v>
      </c>
      <c r="L94" s="567"/>
      <c r="O94" s="117">
        <f>I94</f>
        <v>2450.33</v>
      </c>
      <c r="P94" s="117">
        <f>K94</f>
        <v>54821.16</v>
      </c>
      <c r="X94" s="49">
        <f>IF([93]Source!BI147&lt;=1,I94, 0)</f>
        <v>0</v>
      </c>
      <c r="Y94" s="49">
        <f>IF([93]Source!BI147=2,I94, 0)</f>
        <v>2450.33</v>
      </c>
      <c r="Z94" s="49">
        <f>IF([93]Source!BI147=3,I94, 0)</f>
        <v>0</v>
      </c>
      <c r="AA94" s="49">
        <f>IF([93]Source!BI147=4,I94, 0)</f>
        <v>0</v>
      </c>
    </row>
    <row r="96" spans="1:27" ht="15" x14ac:dyDescent="0.25">
      <c r="A96" s="163"/>
      <c r="B96" s="163"/>
      <c r="C96" s="164"/>
      <c r="D96" s="164" t="s">
        <v>134</v>
      </c>
      <c r="E96" s="165"/>
      <c r="F96" s="166"/>
      <c r="G96" s="167"/>
      <c r="H96" s="168"/>
      <c r="I96" s="567">
        <f>I89+I94</f>
        <v>28288.51</v>
      </c>
      <c r="J96" s="567"/>
      <c r="K96" s="567">
        <f>K89+K94</f>
        <v>475264.26</v>
      </c>
      <c r="L96" s="567"/>
    </row>
    <row r="98" spans="1:27" ht="15" x14ac:dyDescent="0.25">
      <c r="A98" s="572" t="str">
        <f>CONCATENATE("Итого по подразделу: ",IF([93]Source!G169&lt;&gt;"Новый подраздел", [93]Source!G169, ""))</f>
        <v>Итого по подразделу: Кабели и кабельные изделия</v>
      </c>
      <c r="B98" s="572"/>
      <c r="C98" s="572"/>
      <c r="D98" s="572"/>
      <c r="E98" s="572"/>
      <c r="F98" s="572"/>
      <c r="G98" s="572"/>
      <c r="H98" s="572"/>
      <c r="I98" s="573">
        <f>SUM(O45:O97)</f>
        <v>120509.47</v>
      </c>
      <c r="J98" s="574"/>
      <c r="K98" s="573">
        <f>SUM(P45:P97)</f>
        <v>2023220.7</v>
      </c>
      <c r="L98" s="574"/>
    </row>
    <row r="99" spans="1:27" hidden="1" x14ac:dyDescent="0.2">
      <c r="A99" s="49" t="s">
        <v>54</v>
      </c>
      <c r="I99" s="49">
        <f>SUM(AC45:AC98)</f>
        <v>0</v>
      </c>
      <c r="K99" s="49">
        <f>SUM(AD45:AD98)</f>
        <v>0</v>
      </c>
    </row>
    <row r="100" spans="1:27" hidden="1" x14ac:dyDescent="0.2">
      <c r="A100" s="49" t="s">
        <v>55</v>
      </c>
      <c r="I100" s="49">
        <f>SUM(AE45:AE99)</f>
        <v>0</v>
      </c>
      <c r="K100" s="49">
        <f>SUM(AF45:AF99)</f>
        <v>0</v>
      </c>
    </row>
    <row r="102" spans="1:27" ht="16.5" x14ac:dyDescent="0.25">
      <c r="A102" s="571" t="str">
        <f>CONCATENATE("Подраздел: ",IF([93]Source!G395&lt;&gt;"Новый подраздел", [93]Source!G395, ""))</f>
        <v>Подраздел: Кабели и кабельная продукция</v>
      </c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</row>
    <row r="103" spans="1:27" ht="42.75" x14ac:dyDescent="0.2">
      <c r="A103" s="108">
        <v>4</v>
      </c>
      <c r="B103" s="108" t="str">
        <f>[93]Source!E406</f>
        <v>56</v>
      </c>
      <c r="C103" s="109" t="str">
        <f>[93]Source!F406</f>
        <v>1.23-8-1300</v>
      </c>
      <c r="D103" s="109" t="s">
        <v>213</v>
      </c>
      <c r="E103" s="110" t="str">
        <f>[93]Source!H406</f>
        <v>км</v>
      </c>
      <c r="F103" s="111">
        <f>[93]Source!I406</f>
        <v>0.5</v>
      </c>
      <c r="G103" s="112">
        <f>[93]Source!AL406</f>
        <v>383642.44</v>
      </c>
      <c r="H103" s="113" t="str">
        <f>[93]Source!DD406</f>
        <v/>
      </c>
      <c r="I103" s="111">
        <f>[93]Source!AW406</f>
        <v>1</v>
      </c>
      <c r="J103" s="198">
        <f>ROUND((ROUND(([93]Source!AC406*[93]Source!AW406*[93]Source!I406),2)),2)</f>
        <v>191821.22</v>
      </c>
      <c r="K103" s="111">
        <f>IF([93]Source!BC406&lt;&gt; 0, [93]Source!BC406, 1)</f>
        <v>2.84</v>
      </c>
      <c r="L103" s="198">
        <f>[93]Source!P406</f>
        <v>544772.26</v>
      </c>
      <c r="Q103" s="49">
        <f>ROUND(([93]Source!DN406/100)*ROUND((ROUND(([93]Source!AF406*[93]Source!AV406*[93]Source!I406),2)),2), 2)</f>
        <v>0</v>
      </c>
      <c r="R103" s="49">
        <f>[93]Source!X406</f>
        <v>0</v>
      </c>
      <c r="S103" s="49">
        <f>ROUND(([93]Source!DO406/100)*ROUND((ROUND(([93]Source!AF406*[93]Source!AV406*[93]Source!I406),2)),2), 2)</f>
        <v>0</v>
      </c>
      <c r="T103" s="49">
        <f>[93]Source!Y406</f>
        <v>0</v>
      </c>
      <c r="U103" s="49">
        <f>ROUND((175/100)*ROUND((ROUND(([93]Source!AE406*[93]Source!AV406*[93]Source!I406),2)),2), 2)</f>
        <v>0</v>
      </c>
      <c r="V103" s="49">
        <f>ROUND((157/100)*ROUND(ROUND((ROUND(([93]Source!AE406*[93]Source!AV406*[93]Source!I406),2)*[93]Source!BS406),2), 2), 2)</f>
        <v>0</v>
      </c>
    </row>
    <row r="104" spans="1:27" ht="15" x14ac:dyDescent="0.25">
      <c r="A104" s="118"/>
      <c r="B104" s="118"/>
      <c r="C104" s="118"/>
      <c r="D104" s="118"/>
      <c r="E104" s="118"/>
      <c r="F104" s="118"/>
      <c r="G104" s="118"/>
      <c r="H104" s="118"/>
      <c r="I104" s="567">
        <f>J103</f>
        <v>191821.22</v>
      </c>
      <c r="J104" s="567"/>
      <c r="K104" s="567">
        <f>L103</f>
        <v>544772.26</v>
      </c>
      <c r="L104" s="567"/>
      <c r="O104" s="117">
        <f>J103</f>
        <v>191821.22</v>
      </c>
      <c r="P104" s="117">
        <f>L103</f>
        <v>544772.26</v>
      </c>
      <c r="X104" s="49">
        <f>IF([93]Source!BI406&lt;=1,J103-0, 0)</f>
        <v>0</v>
      </c>
      <c r="Y104" s="49">
        <f>IF([93]Source!BI406=2,J103-0, 0)</f>
        <v>191821.22</v>
      </c>
      <c r="Z104" s="49">
        <f>IF([93]Source!BI406=3,J103-0, 0)</f>
        <v>0</v>
      </c>
      <c r="AA104" s="49">
        <f>IF([93]Source!BI406=4,J103,0)</f>
        <v>0</v>
      </c>
    </row>
    <row r="105" spans="1:27" ht="42.75" x14ac:dyDescent="0.2">
      <c r="A105" s="108">
        <v>5</v>
      </c>
      <c r="B105" s="108" t="str">
        <f>[93]Source!E410</f>
        <v>58</v>
      </c>
      <c r="C105" s="109" t="str">
        <f>[93]Source!F410</f>
        <v>1.23-8-815</v>
      </c>
      <c r="D105" s="109" t="s">
        <v>214</v>
      </c>
      <c r="E105" s="110" t="str">
        <f>[93]Source!H410</f>
        <v>км</v>
      </c>
      <c r="F105" s="111">
        <f>[93]Source!I410</f>
        <v>0.78</v>
      </c>
      <c r="G105" s="112">
        <f>[93]Source!AL410</f>
        <v>878064.94</v>
      </c>
      <c r="H105" s="113" t="str">
        <f>[93]Source!DD410</f>
        <v/>
      </c>
      <c r="I105" s="111">
        <f>[93]Source!AW410</f>
        <v>1</v>
      </c>
      <c r="J105" s="198">
        <f>ROUND((ROUND(([93]Source!AC410*[93]Source!AW410*[93]Source!I410),2)),2)</f>
        <v>684890.65</v>
      </c>
      <c r="K105" s="111">
        <f>IF([93]Source!BC410&lt;&gt; 0, [93]Source!BC410, 1)</f>
        <v>2.8</v>
      </c>
      <c r="L105" s="198">
        <f>[93]Source!P410</f>
        <v>1917693.82</v>
      </c>
      <c r="Q105" s="49">
        <f>ROUND(([93]Source!DN410/100)*ROUND((ROUND(([93]Source!AF410*[93]Source!AV410*[93]Source!I410),2)),2), 2)</f>
        <v>0</v>
      </c>
      <c r="R105" s="49">
        <f>[93]Source!X410</f>
        <v>0</v>
      </c>
      <c r="S105" s="49">
        <f>ROUND(([93]Source!DO410/100)*ROUND((ROUND(([93]Source!AF410*[93]Source!AV410*[93]Source!I410),2)),2), 2)</f>
        <v>0</v>
      </c>
      <c r="T105" s="49">
        <f>[93]Source!Y410</f>
        <v>0</v>
      </c>
      <c r="U105" s="49">
        <f>ROUND((175/100)*ROUND((ROUND(([93]Source!AE410*[93]Source!AV410*[93]Source!I410),2)),2), 2)</f>
        <v>0</v>
      </c>
      <c r="V105" s="49">
        <f>ROUND((157/100)*ROUND(ROUND((ROUND(([93]Source!AE410*[93]Source!AV410*[93]Source!I410),2)*[93]Source!BS410),2), 2), 2)</f>
        <v>0</v>
      </c>
    </row>
    <row r="106" spans="1:27" ht="15" x14ac:dyDescent="0.25">
      <c r="A106" s="118"/>
      <c r="B106" s="118"/>
      <c r="C106" s="118"/>
      <c r="D106" s="118"/>
      <c r="E106" s="118"/>
      <c r="F106" s="118"/>
      <c r="G106" s="118"/>
      <c r="H106" s="118"/>
      <c r="I106" s="567">
        <f>J105</f>
        <v>684890.65</v>
      </c>
      <c r="J106" s="567"/>
      <c r="K106" s="567">
        <f>L105</f>
        <v>1917693.82</v>
      </c>
      <c r="L106" s="567"/>
      <c r="O106" s="117">
        <f>J105</f>
        <v>684890.65</v>
      </c>
      <c r="P106" s="117">
        <f>L105</f>
        <v>1917693.82</v>
      </c>
      <c r="X106" s="49">
        <f>IF([93]Source!BI410&lt;=1,J105-0, 0)</f>
        <v>0</v>
      </c>
      <c r="Y106" s="49">
        <f>IF([93]Source!BI410=2,J105-0, 0)</f>
        <v>684890.65</v>
      </c>
      <c r="Z106" s="49">
        <f>IF([93]Source!BI410=3,J105-0, 0)</f>
        <v>0</v>
      </c>
      <c r="AA106" s="49">
        <f>IF([93]Source!BI410=4,J105,0)</f>
        <v>0</v>
      </c>
    </row>
    <row r="107" spans="1:27" ht="54" x14ac:dyDescent="0.2">
      <c r="A107" s="108">
        <v>6</v>
      </c>
      <c r="B107" s="108" t="str">
        <f>[93]Source!E428</f>
        <v>67</v>
      </c>
      <c r="C107" s="109" t="str">
        <f>[93]Source!F428</f>
        <v>МКЭ-33-902/7-1 16.05.2017</v>
      </c>
      <c r="D107" s="109" t="s">
        <v>237</v>
      </c>
      <c r="E107" s="110" t="str">
        <f>[93]Source!H428</f>
        <v>км</v>
      </c>
      <c r="F107" s="111">
        <f>[93]Source!I428</f>
        <v>1.7350000000000001</v>
      </c>
      <c r="G107" s="198">
        <f>J107/F107</f>
        <v>409482.11</v>
      </c>
      <c r="H107" s="113"/>
      <c r="I107" s="111">
        <f>[93]Source!AW428</f>
        <v>1</v>
      </c>
      <c r="J107" s="198">
        <f>L107/K107</f>
        <v>710451.46</v>
      </c>
      <c r="K107" s="111">
        <v>5.58</v>
      </c>
      <c r="L107" s="198">
        <f>2240108*1.02*F107</f>
        <v>3964319.13</v>
      </c>
      <c r="Q107" s="49">
        <f>ROUND(([93]Source!DN428/100)*ROUND((ROUND(([93]Source!AF428*[93]Source!AV428*[93]Source!I428),2)),2), 2)</f>
        <v>0</v>
      </c>
      <c r="R107" s="49">
        <f>[93]Source!X428</f>
        <v>0</v>
      </c>
      <c r="S107" s="49">
        <f>ROUND(([93]Source!DO428/100)*ROUND((ROUND(([93]Source!AF428*[93]Source!AV428*[93]Source!I428),2)),2), 2)</f>
        <v>0</v>
      </c>
      <c r="T107" s="49">
        <f>[93]Source!Y428</f>
        <v>0</v>
      </c>
      <c r="U107" s="49">
        <f>ROUND((175/100)*ROUND((ROUND(([93]Source!AE428*[93]Source!AV428*[93]Source!I428),2)),2), 2)</f>
        <v>0</v>
      </c>
      <c r="V107" s="49">
        <f>ROUND((157/100)*ROUND(ROUND((ROUND(([93]Source!AE428*[93]Source!AV428*[93]Source!I428),2)*[93]Source!BS428),2), 2), 2)</f>
        <v>0</v>
      </c>
    </row>
    <row r="108" spans="1:27" ht="15" x14ac:dyDescent="0.25">
      <c r="A108" s="118"/>
      <c r="B108" s="118"/>
      <c r="C108" s="118"/>
      <c r="D108" s="118"/>
      <c r="E108" s="118"/>
      <c r="F108" s="118"/>
      <c r="G108" s="118"/>
      <c r="H108" s="118"/>
      <c r="I108" s="567">
        <f>J107</f>
        <v>710451.46</v>
      </c>
      <c r="J108" s="567"/>
      <c r="K108" s="567">
        <f>L107</f>
        <v>3964319.13</v>
      </c>
      <c r="L108" s="567"/>
      <c r="O108" s="117">
        <f>J107</f>
        <v>710451.46</v>
      </c>
      <c r="P108" s="117">
        <f>L107</f>
        <v>3964319.13</v>
      </c>
      <c r="X108" s="49">
        <f>IF([93]Source!BI428&lt;=1,J107-0, 0)</f>
        <v>0</v>
      </c>
      <c r="Y108" s="49">
        <f>IF([93]Source!BI428=2,J107-0, 0)</f>
        <v>710451.46</v>
      </c>
      <c r="Z108" s="49">
        <f>IF([93]Source!BI428=3,J107-0, 0)</f>
        <v>0</v>
      </c>
      <c r="AA108" s="49">
        <f>IF([93]Source!BI428=4,J107,0)</f>
        <v>0</v>
      </c>
    </row>
    <row r="109" spans="1:27" ht="68.25" x14ac:dyDescent="0.2">
      <c r="A109" s="108">
        <v>7</v>
      </c>
      <c r="B109" s="108" t="str">
        <f>[93]Source!E432</f>
        <v>69</v>
      </c>
      <c r="C109" s="109" t="str">
        <f>[93]Source!F432</f>
        <v>МКЭ-33-902/7-1 16.05.2017</v>
      </c>
      <c r="D109" s="109" t="s">
        <v>236</v>
      </c>
      <c r="E109" s="110" t="str">
        <f>[93]Source!H432</f>
        <v>км</v>
      </c>
      <c r="F109" s="111">
        <f>[93]Source!I432</f>
        <v>1.96</v>
      </c>
      <c r="G109" s="198">
        <f>J109/F109</f>
        <v>583588.52</v>
      </c>
      <c r="H109" s="113"/>
      <c r="I109" s="111">
        <f>[93]Source!AW430</f>
        <v>1</v>
      </c>
      <c r="J109" s="198">
        <f>L109/K109</f>
        <v>1143833.5</v>
      </c>
      <c r="K109" s="111">
        <v>5.58</v>
      </c>
      <c r="L109" s="198">
        <f>3192572.5*1.02*F109</f>
        <v>6382590.9400000004</v>
      </c>
      <c r="Q109" s="49">
        <f>ROUND(([93]Source!DN432/100)*ROUND((ROUND(([93]Source!AF432*[93]Source!AV432*[93]Source!I432),2)),2), 2)</f>
        <v>0</v>
      </c>
      <c r="R109" s="49">
        <f>[93]Source!X432</f>
        <v>0</v>
      </c>
      <c r="S109" s="49">
        <f>ROUND(([93]Source!DO432/100)*ROUND((ROUND(([93]Source!AF432*[93]Source!AV432*[93]Source!I432),2)),2), 2)</f>
        <v>0</v>
      </c>
      <c r="T109" s="49">
        <f>[93]Source!Y432</f>
        <v>0</v>
      </c>
      <c r="U109" s="49">
        <f>ROUND((175/100)*ROUND((ROUND(([93]Source!AE432*[93]Source!AV432*[93]Source!I432),2)),2), 2)</f>
        <v>0</v>
      </c>
      <c r="V109" s="49">
        <f>ROUND((157/100)*ROUND(ROUND((ROUND(([93]Source!AE432*[93]Source!AV432*[93]Source!I432),2)*[93]Source!BS432),2), 2), 2)</f>
        <v>0</v>
      </c>
    </row>
    <row r="110" spans="1:27" ht="15" x14ac:dyDescent="0.25">
      <c r="A110" s="118"/>
      <c r="B110" s="118"/>
      <c r="C110" s="118"/>
      <c r="D110" s="118"/>
      <c r="E110" s="118"/>
      <c r="F110" s="118"/>
      <c r="G110" s="118"/>
      <c r="H110" s="118"/>
      <c r="I110" s="567">
        <f>J109</f>
        <v>1143833.5</v>
      </c>
      <c r="J110" s="567"/>
      <c r="K110" s="567">
        <f>L109</f>
        <v>6382590.9400000004</v>
      </c>
      <c r="L110" s="567"/>
      <c r="O110" s="117">
        <f>J109</f>
        <v>1143833.5</v>
      </c>
      <c r="P110" s="117">
        <f>L109</f>
        <v>6382590.9400000004</v>
      </c>
      <c r="X110" s="49">
        <f>IF([93]Source!BI432&lt;=1,J109-0, 0)</f>
        <v>0</v>
      </c>
      <c r="Y110" s="49">
        <f>IF([93]Source!BI432=2,J109-0, 0)</f>
        <v>1143833.5</v>
      </c>
      <c r="Z110" s="49">
        <f>IF([93]Source!BI432=3,J109-0, 0)</f>
        <v>0</v>
      </c>
      <c r="AA110" s="49">
        <f>IF([93]Source!BI432=4,J109,0)</f>
        <v>0</v>
      </c>
    </row>
    <row r="112" spans="1:27" ht="15" x14ac:dyDescent="0.25">
      <c r="A112" s="572" t="str">
        <f>CONCATENATE("Итого по подразделу: ",IF([93]Source!G466&lt;&gt;"Новый подраздел", [93]Source!G466, ""))</f>
        <v>Итого по подразделу: Кабели и кабельная продукция</v>
      </c>
      <c r="B112" s="572"/>
      <c r="C112" s="572"/>
      <c r="D112" s="572"/>
      <c r="E112" s="572"/>
      <c r="F112" s="572"/>
      <c r="G112" s="572"/>
      <c r="H112" s="572"/>
      <c r="I112" s="573">
        <f>SUM(O102:O111)</f>
        <v>2730996.83</v>
      </c>
      <c r="J112" s="574"/>
      <c r="K112" s="573">
        <f>SUM(P102:P111)</f>
        <v>12809376.15</v>
      </c>
      <c r="L112" s="574"/>
    </row>
    <row r="113" spans="1:38" hidden="1" x14ac:dyDescent="0.2">
      <c r="A113" s="49" t="s">
        <v>54</v>
      </c>
      <c r="I113" s="49">
        <f>SUM(AC102:AC112)</f>
        <v>0</v>
      </c>
      <c r="K113" s="49">
        <f>SUM(AD102:AD112)</f>
        <v>0</v>
      </c>
    </row>
    <row r="114" spans="1:38" hidden="1" x14ac:dyDescent="0.2">
      <c r="A114" s="49" t="s">
        <v>55</v>
      </c>
      <c r="I114" s="49">
        <f>SUM(AE102:AE113)</f>
        <v>0</v>
      </c>
      <c r="K114" s="49">
        <f>SUM(AF102:AF113)</f>
        <v>0</v>
      </c>
    </row>
    <row r="116" spans="1:38" ht="30" customHeight="1" x14ac:dyDescent="0.25">
      <c r="A116" s="572" t="s">
        <v>222</v>
      </c>
      <c r="B116" s="572"/>
      <c r="C116" s="572"/>
      <c r="D116" s="572"/>
      <c r="E116" s="572"/>
      <c r="F116" s="572"/>
      <c r="G116" s="572"/>
      <c r="H116" s="572"/>
      <c r="I116" s="573">
        <f>SUM(O1:O115)</f>
        <v>2851506.3</v>
      </c>
      <c r="J116" s="574"/>
      <c r="K116" s="573">
        <f>SUM(P1:P115)</f>
        <v>14832596.85</v>
      </c>
      <c r="L116" s="574"/>
      <c r="AL116" s="194" t="str">
        <f>CONCATENATE("Итого по акту: ",IF([93]Source!G603&lt;&gt;"Новый объект", [93]Source!G603, ""))</f>
        <v>Итого по акту: № 48957-ТПК_5-0782-Р-ССР2-изм1.1/12-4017-Л-Р-8.3.2-ЭО2-СМ1К, Инженерные системы. Тоннельное освещение</v>
      </c>
    </row>
    <row r="117" spans="1:38" hidden="1" x14ac:dyDescent="0.2">
      <c r="A117" s="49" t="s">
        <v>54</v>
      </c>
      <c r="I117" s="49">
        <f>SUM(AC1:AC116)</f>
        <v>0</v>
      </c>
      <c r="K117" s="49">
        <f>SUM(AD1:AD116)</f>
        <v>0</v>
      </c>
    </row>
    <row r="118" spans="1:38" hidden="1" x14ac:dyDescent="0.2">
      <c r="A118" s="49" t="s">
        <v>55</v>
      </c>
      <c r="I118" s="49">
        <f>SUM(AE1:AE117)</f>
        <v>0</v>
      </c>
      <c r="K118" s="49">
        <f>SUM(AF1:AF117)</f>
        <v>0</v>
      </c>
    </row>
    <row r="119" spans="1:38" hidden="1" x14ac:dyDescent="0.2"/>
    <row r="120" spans="1:38" ht="14.25" x14ac:dyDescent="0.2">
      <c r="D120" s="558" t="s">
        <v>217</v>
      </c>
      <c r="E120" s="558"/>
      <c r="F120" s="558"/>
      <c r="G120" s="558"/>
      <c r="H120" s="558"/>
      <c r="I120" s="559">
        <f>J109+J107+J105+J103+J84+J67+J50</f>
        <v>2732546.94</v>
      </c>
      <c r="J120" s="559"/>
      <c r="K120" s="559">
        <f>L109+L107+L105+L103+L84+L67+L50</f>
        <v>12817994.76</v>
      </c>
      <c r="L120" s="559"/>
    </row>
    <row r="121" spans="1:38" ht="14.25" x14ac:dyDescent="0.2">
      <c r="D121" s="558" t="s">
        <v>218</v>
      </c>
      <c r="E121" s="558"/>
      <c r="F121" s="558"/>
      <c r="G121" s="558"/>
      <c r="H121" s="558"/>
      <c r="I121" s="559">
        <f>J92+J83+J75+J66+J58+J49</f>
        <v>9243.91</v>
      </c>
      <c r="J121" s="559"/>
      <c r="K121" s="559">
        <f>L92+L83+L75+L66+L58+L49</f>
        <v>221299.20000000001</v>
      </c>
      <c r="L121" s="559"/>
    </row>
    <row r="122" spans="1:38" ht="14.25" x14ac:dyDescent="0.2">
      <c r="D122" s="558" t="s">
        <v>219</v>
      </c>
      <c r="E122" s="558"/>
      <c r="F122" s="558"/>
      <c r="G122" s="558"/>
      <c r="H122" s="558"/>
      <c r="I122" s="559">
        <f>J81+J64+J47</f>
        <v>23232.43</v>
      </c>
      <c r="J122" s="559"/>
      <c r="K122" s="559">
        <f>L81+L64+L47</f>
        <v>556184.38</v>
      </c>
      <c r="L122" s="559"/>
    </row>
    <row r="123" spans="1:38" ht="15" x14ac:dyDescent="0.25">
      <c r="D123" s="197"/>
      <c r="I123" s="195"/>
      <c r="J123" s="195"/>
      <c r="K123" s="169"/>
      <c r="L123" s="169"/>
    </row>
    <row r="124" spans="1:38" ht="14.25" x14ac:dyDescent="0.2">
      <c r="D124" s="246"/>
      <c r="E124" s="246"/>
      <c r="F124" s="246"/>
      <c r="G124" s="246"/>
      <c r="H124" s="246"/>
      <c r="I124" s="124"/>
      <c r="J124" s="124"/>
      <c r="K124" s="124"/>
      <c r="L124" s="124"/>
    </row>
    <row r="125" spans="1:38" ht="14.25" x14ac:dyDescent="0.2">
      <c r="A125" s="178"/>
      <c r="B125" s="178"/>
      <c r="C125" s="178"/>
      <c r="D125" s="248" t="s">
        <v>57</v>
      </c>
      <c r="E125" s="178"/>
      <c r="F125" s="178"/>
      <c r="G125" s="178"/>
      <c r="H125" s="178"/>
      <c r="I125" s="178"/>
      <c r="J125" s="249">
        <f>I120</f>
        <v>2732546.94</v>
      </c>
      <c r="K125" s="249"/>
      <c r="L125" s="249">
        <f>K120</f>
        <v>12817994.76</v>
      </c>
    </row>
    <row r="126" spans="1:38" ht="14.25" x14ac:dyDescent="0.2">
      <c r="A126" s="178"/>
      <c r="B126" s="178"/>
      <c r="C126" s="178"/>
      <c r="D126" s="248" t="s">
        <v>3</v>
      </c>
      <c r="E126" s="178"/>
      <c r="F126" s="178"/>
      <c r="G126" s="178"/>
      <c r="H126" s="178"/>
      <c r="I126" s="178"/>
      <c r="J126" s="249">
        <f>J125</f>
        <v>2732546.94</v>
      </c>
      <c r="K126" s="249"/>
      <c r="L126" s="249">
        <f>L125</f>
        <v>12817994.76</v>
      </c>
    </row>
    <row r="127" spans="1:38" ht="14.25" x14ac:dyDescent="0.2">
      <c r="A127" s="178"/>
      <c r="B127" s="178"/>
      <c r="C127" s="178"/>
      <c r="D127" s="248" t="s">
        <v>58</v>
      </c>
      <c r="E127" s="178"/>
      <c r="F127" s="178"/>
      <c r="G127" s="178"/>
      <c r="H127" s="178"/>
      <c r="I127" s="178"/>
      <c r="J127" s="249">
        <f>I121+I122</f>
        <v>32476.34</v>
      </c>
      <c r="K127" s="249"/>
      <c r="L127" s="249">
        <f>K121+K122</f>
        <v>777483.58</v>
      </c>
    </row>
    <row r="128" spans="1:38" ht="14.25" x14ac:dyDescent="0.2">
      <c r="A128" s="178"/>
      <c r="B128" s="178"/>
      <c r="C128" s="178"/>
      <c r="D128" s="248" t="s">
        <v>59</v>
      </c>
      <c r="E128" s="178"/>
      <c r="F128" s="178"/>
      <c r="G128" s="178"/>
      <c r="H128" s="178"/>
      <c r="I128" s="178"/>
      <c r="J128" s="249">
        <f>I120</f>
        <v>2732546.94</v>
      </c>
      <c r="K128" s="249"/>
      <c r="L128" s="249">
        <f>K120</f>
        <v>12817994.76</v>
      </c>
    </row>
    <row r="129" spans="1:12" ht="14.25" x14ac:dyDescent="0.2">
      <c r="A129" s="178"/>
      <c r="B129" s="178"/>
      <c r="C129" s="178"/>
      <c r="D129" s="248" t="s">
        <v>60</v>
      </c>
      <c r="E129" s="178"/>
      <c r="F129" s="178"/>
      <c r="G129" s="178"/>
      <c r="H129" s="178"/>
      <c r="I129" s="178"/>
      <c r="J129" s="250">
        <v>0</v>
      </c>
      <c r="K129" s="250"/>
      <c r="L129" s="250">
        <v>0</v>
      </c>
    </row>
    <row r="130" spans="1:12" ht="14.25" customHeight="1" x14ac:dyDescent="0.25">
      <c r="A130" s="89"/>
      <c r="B130" s="89"/>
      <c r="C130" s="89"/>
      <c r="D130" s="635" t="s">
        <v>249</v>
      </c>
      <c r="E130" s="635"/>
      <c r="F130" s="635"/>
      <c r="G130" s="635"/>
      <c r="H130" s="635"/>
      <c r="I130" s="178"/>
      <c r="J130" s="251">
        <f>J126*5.61%</f>
        <v>153295.88</v>
      </c>
      <c r="K130" s="178"/>
      <c r="L130" s="251">
        <f>L126*5.61%</f>
        <v>719089.51</v>
      </c>
    </row>
    <row r="131" spans="1:12" ht="15" x14ac:dyDescent="0.25">
      <c r="A131" s="89"/>
      <c r="B131" s="89"/>
      <c r="C131" s="89"/>
      <c r="D131" s="635" t="s">
        <v>70</v>
      </c>
      <c r="E131" s="635"/>
      <c r="F131" s="635"/>
      <c r="G131" s="635"/>
      <c r="H131" s="635"/>
      <c r="I131" s="178"/>
      <c r="J131" s="251">
        <f>J126+J130</f>
        <v>2885842.82</v>
      </c>
      <c r="K131" s="178"/>
      <c r="L131" s="251">
        <f>L126+L130</f>
        <v>13537084.27</v>
      </c>
    </row>
    <row r="132" spans="1:12" ht="14.25" customHeight="1" x14ac:dyDescent="0.2">
      <c r="A132" s="179"/>
      <c r="B132" s="179"/>
      <c r="C132" s="179"/>
      <c r="D132" s="635" t="s">
        <v>71</v>
      </c>
      <c r="E132" s="635"/>
      <c r="F132" s="635"/>
      <c r="G132" s="635"/>
      <c r="H132" s="635"/>
      <c r="I132" s="635"/>
      <c r="J132" s="251">
        <f>J127*0.15</f>
        <v>4871.45</v>
      </c>
      <c r="K132" s="178"/>
      <c r="L132" s="251">
        <f>L127*0.15</f>
        <v>116622.54</v>
      </c>
    </row>
    <row r="133" spans="1:12" ht="15" x14ac:dyDescent="0.25">
      <c r="A133" s="90"/>
      <c r="B133" s="90"/>
      <c r="C133" s="90"/>
      <c r="D133" s="634" t="s">
        <v>72</v>
      </c>
      <c r="E133" s="634"/>
      <c r="F133" s="634"/>
      <c r="G133" s="634"/>
      <c r="H133" s="634"/>
      <c r="I133" s="178"/>
      <c r="J133" s="252">
        <f>J131+J132</f>
        <v>2890714.27</v>
      </c>
      <c r="K133" s="178"/>
      <c r="L133" s="253">
        <f>L131+L132</f>
        <v>13653706.810000001</v>
      </c>
    </row>
    <row r="134" spans="1:12" ht="14.25" x14ac:dyDescent="0.2">
      <c r="A134" s="179"/>
      <c r="B134" s="179"/>
      <c r="C134" s="179"/>
      <c r="D134" s="635"/>
      <c r="E134" s="635"/>
      <c r="F134" s="635"/>
      <c r="G134" s="635"/>
      <c r="H134" s="635"/>
      <c r="I134" s="636"/>
      <c r="J134" s="636"/>
      <c r="K134" s="636"/>
      <c r="L134" s="636"/>
    </row>
    <row r="135" spans="1:12" ht="15" x14ac:dyDescent="0.25">
      <c r="A135" s="90"/>
      <c r="B135" s="90"/>
      <c r="C135" s="90"/>
      <c r="D135" s="634" t="s">
        <v>250</v>
      </c>
      <c r="E135" s="634"/>
      <c r="F135" s="634"/>
      <c r="G135" s="634"/>
      <c r="H135" s="634"/>
      <c r="I135" s="90"/>
      <c r="J135" s="90"/>
      <c r="K135" s="90"/>
      <c r="L135" s="254">
        <f>L125*0.975*0.998999999999673</f>
        <v>12485047.35</v>
      </c>
    </row>
    <row r="136" spans="1:12" ht="14.25" x14ac:dyDescent="0.2">
      <c r="A136" s="178"/>
      <c r="B136" s="178"/>
      <c r="C136" s="178"/>
      <c r="D136" s="248" t="s">
        <v>3</v>
      </c>
      <c r="E136" s="178"/>
      <c r="F136" s="178"/>
      <c r="G136" s="178"/>
      <c r="H136" s="178"/>
      <c r="I136" s="178"/>
      <c r="J136" s="249"/>
      <c r="K136" s="249"/>
      <c r="L136" s="249">
        <f>L126*0.975*0.998999999999673</f>
        <v>12485047.35</v>
      </c>
    </row>
    <row r="137" spans="1:12" ht="14.25" x14ac:dyDescent="0.2">
      <c r="A137" s="178"/>
      <c r="B137" s="178"/>
      <c r="C137" s="178"/>
      <c r="D137" s="248" t="s">
        <v>58</v>
      </c>
      <c r="E137" s="178"/>
      <c r="F137" s="178"/>
      <c r="G137" s="178"/>
      <c r="H137" s="178"/>
      <c r="I137" s="178"/>
      <c r="J137" s="249"/>
      <c r="K137" s="249"/>
      <c r="L137" s="249">
        <f>L127*0.975*0.998999999999673</f>
        <v>757288.44</v>
      </c>
    </row>
    <row r="138" spans="1:12" ht="14.25" x14ac:dyDescent="0.2">
      <c r="A138" s="178"/>
      <c r="B138" s="178"/>
      <c r="C138" s="178"/>
      <c r="D138" s="248" t="s">
        <v>59</v>
      </c>
      <c r="E138" s="178"/>
      <c r="F138" s="178"/>
      <c r="G138" s="178"/>
      <c r="H138" s="178"/>
      <c r="I138" s="178"/>
      <c r="J138" s="249"/>
      <c r="K138" s="249"/>
      <c r="L138" s="249">
        <f>L128*0.975*0.998999999999673</f>
        <v>12485047.35</v>
      </c>
    </row>
    <row r="139" spans="1:12" ht="14.25" x14ac:dyDescent="0.2">
      <c r="A139" s="178"/>
      <c r="B139" s="178"/>
      <c r="C139" s="178"/>
      <c r="D139" s="248" t="s">
        <v>60</v>
      </c>
      <c r="E139" s="178"/>
      <c r="F139" s="178"/>
      <c r="G139" s="178"/>
      <c r="H139" s="178"/>
      <c r="I139" s="178"/>
      <c r="J139" s="250"/>
      <c r="K139" s="250"/>
      <c r="L139" s="250">
        <f>L129*0.975*0.998999999999673</f>
        <v>0</v>
      </c>
    </row>
    <row r="140" spans="1:12" ht="15" x14ac:dyDescent="0.25">
      <c r="A140" s="89"/>
      <c r="B140" s="89"/>
      <c r="C140" s="89"/>
      <c r="D140" s="635" t="s">
        <v>249</v>
      </c>
      <c r="E140" s="635"/>
      <c r="F140" s="635"/>
      <c r="G140" s="635"/>
      <c r="H140" s="635"/>
      <c r="I140" s="178"/>
      <c r="J140" s="251"/>
      <c r="K140" s="178"/>
      <c r="L140" s="251">
        <f t="shared" ref="L140:L142" si="3">L130*0.975*0.998999999999673</f>
        <v>700411.16</v>
      </c>
    </row>
    <row r="141" spans="1:12" ht="14.25" customHeight="1" x14ac:dyDescent="0.25">
      <c r="A141" s="89"/>
      <c r="B141" s="89"/>
      <c r="C141" s="89"/>
      <c r="D141" s="635" t="s">
        <v>70</v>
      </c>
      <c r="E141" s="635"/>
      <c r="F141" s="635"/>
      <c r="G141" s="635"/>
      <c r="H141" s="635"/>
      <c r="I141" s="178"/>
      <c r="J141" s="251"/>
      <c r="K141" s="178"/>
      <c r="L141" s="251">
        <f>L140+L136</f>
        <v>13185458.51</v>
      </c>
    </row>
    <row r="142" spans="1:12" ht="14.25" x14ac:dyDescent="0.2">
      <c r="A142" s="179"/>
      <c r="B142" s="179"/>
      <c r="C142" s="179"/>
      <c r="D142" s="635" t="s">
        <v>71</v>
      </c>
      <c r="E142" s="635"/>
      <c r="F142" s="635"/>
      <c r="G142" s="635"/>
      <c r="H142" s="635"/>
      <c r="I142" s="635"/>
      <c r="J142" s="251"/>
      <c r="K142" s="178"/>
      <c r="L142" s="251">
        <f t="shared" si="3"/>
        <v>113593.27</v>
      </c>
    </row>
    <row r="143" spans="1:12" ht="14.25" customHeight="1" x14ac:dyDescent="0.25">
      <c r="A143" s="90"/>
      <c r="B143" s="90"/>
      <c r="C143" s="90"/>
      <c r="D143" s="634" t="s">
        <v>72</v>
      </c>
      <c r="E143" s="634"/>
      <c r="F143" s="634"/>
      <c r="G143" s="634"/>
      <c r="H143" s="634"/>
      <c r="I143" s="178"/>
      <c r="J143" s="252"/>
      <c r="K143" s="178"/>
      <c r="L143" s="253">
        <f>L142+L141</f>
        <v>13299051.779999999</v>
      </c>
    </row>
  </sheetData>
  <mergeCells count="75">
    <mergeCell ref="A45:L45"/>
    <mergeCell ref="A35:A39"/>
    <mergeCell ref="I72:J72"/>
    <mergeCell ref="A43:L43"/>
    <mergeCell ref="A42:L42"/>
    <mergeCell ref="I55:J55"/>
    <mergeCell ref="K55:L55"/>
    <mergeCell ref="G34:G39"/>
    <mergeCell ref="H34:H39"/>
    <mergeCell ref="I34:I39"/>
    <mergeCell ref="B35:B39"/>
    <mergeCell ref="D34:D39"/>
    <mergeCell ref="E34:E39"/>
    <mergeCell ref="F34:F39"/>
    <mergeCell ref="A34:B34"/>
    <mergeCell ref="C34:C39"/>
    <mergeCell ref="J34:J39"/>
    <mergeCell ref="K34:K39"/>
    <mergeCell ref="L34:L39"/>
    <mergeCell ref="A98:H98"/>
    <mergeCell ref="I98:J98"/>
    <mergeCell ref="K98:L98"/>
    <mergeCell ref="I60:J60"/>
    <mergeCell ref="K60:L60"/>
    <mergeCell ref="I62:J62"/>
    <mergeCell ref="K62:L62"/>
    <mergeCell ref="I96:J96"/>
    <mergeCell ref="K96:L96"/>
    <mergeCell ref="K72:L72"/>
    <mergeCell ref="I77:J77"/>
    <mergeCell ref="K77:L77"/>
    <mergeCell ref="I79:J79"/>
    <mergeCell ref="K79:L79"/>
    <mergeCell ref="I89:J89"/>
    <mergeCell ref="K89:L89"/>
    <mergeCell ref="I94:J94"/>
    <mergeCell ref="K94:L94"/>
    <mergeCell ref="I108:J108"/>
    <mergeCell ref="K108:L108"/>
    <mergeCell ref="I110:J110"/>
    <mergeCell ref="K110:L110"/>
    <mergeCell ref="I104:J104"/>
    <mergeCell ref="K104:L104"/>
    <mergeCell ref="I106:J106"/>
    <mergeCell ref="K106:L106"/>
    <mergeCell ref="K122:L122"/>
    <mergeCell ref="D122:H122"/>
    <mergeCell ref="A112:H112"/>
    <mergeCell ref="I112:J112"/>
    <mergeCell ref="K112:L112"/>
    <mergeCell ref="A116:H116"/>
    <mergeCell ref="I116:J116"/>
    <mergeCell ref="K116:L116"/>
    <mergeCell ref="K121:L121"/>
    <mergeCell ref="D120:H120"/>
    <mergeCell ref="I120:J120"/>
    <mergeCell ref="K120:L120"/>
    <mergeCell ref="D121:H121"/>
    <mergeCell ref="I121:J121"/>
    <mergeCell ref="A33:L33"/>
    <mergeCell ref="A26:L26"/>
    <mergeCell ref="D143:H143"/>
    <mergeCell ref="D140:H140"/>
    <mergeCell ref="D141:H141"/>
    <mergeCell ref="D142:I142"/>
    <mergeCell ref="D134:H134"/>
    <mergeCell ref="I134:J134"/>
    <mergeCell ref="K134:L134"/>
    <mergeCell ref="D135:H135"/>
    <mergeCell ref="D133:H133"/>
    <mergeCell ref="D130:H130"/>
    <mergeCell ref="D131:H131"/>
    <mergeCell ref="D132:I132"/>
    <mergeCell ref="A102:L102"/>
    <mergeCell ref="I122:J122"/>
  </mergeCells>
  <pageMargins left="0.39370078740157483" right="0.19685039370078741" top="0.19685039370078741" bottom="0.39370078740157483" header="0.31496062992125984" footer="0.31496062992125984"/>
  <pageSetup paperSize="9" scale="61" fitToHeight="0" orientation="portrait" blackAndWhite="1" r:id="rId1"/>
  <headerFooter>
    <oddFooter>&amp;R&amp;P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49"/>
  <sheetViews>
    <sheetView view="pageBreakPreview" topLeftCell="A100" zoomScale="85" zoomScaleNormal="100" zoomScaleSheetLayoutView="85" workbookViewId="0">
      <selection activeCell="A100" sqref="A1:XFD1048576"/>
    </sheetView>
  </sheetViews>
  <sheetFormatPr defaultColWidth="9.33203125" defaultRowHeight="11.25" x14ac:dyDescent="0.2"/>
  <cols>
    <col min="1" max="2" width="9.1640625" style="178" customWidth="1"/>
    <col min="3" max="3" width="15.83203125" style="178" customWidth="1"/>
    <col min="4" max="4" width="47.5" style="178" customWidth="1"/>
    <col min="5" max="5" width="13.6640625" style="178" customWidth="1"/>
    <col min="6" max="6" width="12.33203125" style="178" customWidth="1"/>
    <col min="7" max="7" width="18.6640625" style="178" customWidth="1"/>
    <col min="8" max="8" width="14.33203125" style="178" customWidth="1"/>
    <col min="9" max="9" width="15.6640625" style="178" customWidth="1"/>
    <col min="10" max="10" width="18.33203125" style="178" customWidth="1"/>
    <col min="11" max="11" width="12" style="178" bestFit="1" customWidth="1"/>
    <col min="12" max="12" width="17.83203125" style="178" customWidth="1"/>
    <col min="13" max="13" width="17" style="178" bestFit="1" customWidth="1"/>
    <col min="14" max="14" width="9.33203125" style="178"/>
    <col min="15" max="28" width="0" style="178" hidden="1" customWidth="1"/>
    <col min="29" max="29" width="135.6640625" style="178" hidden="1" customWidth="1"/>
    <col min="30" max="30" width="106.1640625" style="178" hidden="1" customWidth="1"/>
    <col min="31" max="31" width="157.1640625" style="178" hidden="1" customWidth="1"/>
    <col min="32" max="32" width="117.83203125" style="178" hidden="1" customWidth="1"/>
    <col min="33" max="36" width="0" style="178" hidden="1" customWidth="1"/>
    <col min="37" max="16384" width="9.33203125" style="178"/>
  </cols>
  <sheetData>
    <row r="1" spans="1:30" ht="15" x14ac:dyDescent="0.25">
      <c r="A1" s="257"/>
      <c r="B1" s="257"/>
      <c r="C1" s="258"/>
      <c r="D1" s="258"/>
      <c r="E1" s="258"/>
      <c r="F1" s="257"/>
      <c r="G1" s="257"/>
      <c r="H1" s="257"/>
      <c r="I1" s="621" t="s">
        <v>247</v>
      </c>
      <c r="J1" s="621"/>
      <c r="K1" s="621"/>
      <c r="L1" s="621"/>
    </row>
    <row r="2" spans="1:30" ht="14.25" x14ac:dyDescent="0.2">
      <c r="A2" s="257"/>
      <c r="B2" s="257"/>
      <c r="C2" s="257"/>
      <c r="D2" s="257"/>
      <c r="E2" s="257"/>
      <c r="F2" s="257"/>
      <c r="G2" s="257"/>
      <c r="H2" s="257"/>
      <c r="I2" s="621" t="s">
        <v>15</v>
      </c>
      <c r="J2" s="621"/>
      <c r="K2" s="621"/>
      <c r="L2" s="621"/>
    </row>
    <row r="3" spans="1:30" ht="14.25" x14ac:dyDescent="0.2">
      <c r="A3" s="257"/>
      <c r="B3" s="257"/>
      <c r="C3" s="257"/>
      <c r="D3" s="257"/>
      <c r="E3" s="257"/>
      <c r="F3" s="257"/>
      <c r="G3" s="257"/>
      <c r="H3" s="257"/>
      <c r="I3" s="621" t="s">
        <v>16</v>
      </c>
      <c r="J3" s="621"/>
      <c r="K3" s="621"/>
      <c r="L3" s="621"/>
    </row>
    <row r="4" spans="1:30" ht="14.25" x14ac:dyDescent="0.2">
      <c r="A4" s="257"/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</row>
    <row r="5" spans="1:30" ht="14.25" x14ac:dyDescent="0.2">
      <c r="A5" s="257"/>
      <c r="B5" s="257"/>
      <c r="C5" s="257"/>
      <c r="D5" s="257"/>
      <c r="E5" s="257"/>
      <c r="F5" s="257"/>
      <c r="G5" s="257"/>
      <c r="H5" s="257"/>
      <c r="I5" s="257"/>
      <c r="J5" s="624" t="s">
        <v>17</v>
      </c>
      <c r="K5" s="624"/>
      <c r="L5" s="624"/>
    </row>
    <row r="6" spans="1:30" ht="31.5" customHeight="1" x14ac:dyDescent="0.2">
      <c r="A6" s="257"/>
      <c r="B6" s="257"/>
      <c r="C6" s="257"/>
      <c r="D6" s="257"/>
      <c r="E6" s="257"/>
      <c r="F6" s="257"/>
      <c r="G6" s="257"/>
      <c r="H6" s="257"/>
      <c r="I6" s="473" t="s">
        <v>18</v>
      </c>
      <c r="J6" s="633" t="s">
        <v>19</v>
      </c>
      <c r="K6" s="633"/>
      <c r="L6" s="633"/>
    </row>
    <row r="7" spans="1:30" ht="14.25" x14ac:dyDescent="0.2">
      <c r="A7" s="257"/>
      <c r="B7" s="257"/>
      <c r="C7" s="257"/>
      <c r="D7" s="257"/>
      <c r="E7" s="257"/>
      <c r="F7" s="257"/>
      <c r="G7" s="257"/>
      <c r="H7" s="257"/>
      <c r="I7" s="257"/>
      <c r="J7" s="624"/>
      <c r="K7" s="624"/>
      <c r="L7" s="624"/>
    </row>
    <row r="8" spans="1:30" ht="33.75" customHeight="1" x14ac:dyDescent="0.2">
      <c r="A8" s="630" t="s">
        <v>86</v>
      </c>
      <c r="B8" s="630"/>
      <c r="C8" s="631" t="s">
        <v>257</v>
      </c>
      <c r="D8" s="631"/>
      <c r="E8" s="631"/>
      <c r="F8" s="631"/>
      <c r="G8" s="631"/>
      <c r="H8" s="631"/>
      <c r="I8" s="473" t="s">
        <v>21</v>
      </c>
      <c r="J8" s="624"/>
      <c r="K8" s="624"/>
      <c r="L8" s="624"/>
    </row>
    <row r="9" spans="1:30" ht="14.25" x14ac:dyDescent="0.2">
      <c r="A9" s="259"/>
      <c r="B9" s="259"/>
      <c r="C9" s="625" t="s">
        <v>22</v>
      </c>
      <c r="D9" s="625"/>
      <c r="E9" s="625"/>
      <c r="F9" s="625"/>
      <c r="G9" s="625"/>
      <c r="H9" s="625"/>
      <c r="I9" s="257"/>
      <c r="J9" s="632" t="s">
        <v>56</v>
      </c>
      <c r="K9" s="632"/>
      <c r="L9" s="632"/>
    </row>
    <row r="10" spans="1:30" ht="14.25" customHeight="1" x14ac:dyDescent="0.2">
      <c r="A10" s="260" t="s">
        <v>251</v>
      </c>
      <c r="B10" s="260"/>
      <c r="C10" s="628" t="s">
        <v>258</v>
      </c>
      <c r="D10" s="628"/>
      <c r="E10" s="628"/>
      <c r="F10" s="628"/>
      <c r="G10" s="628"/>
      <c r="H10" s="628"/>
      <c r="I10" s="473" t="s">
        <v>21</v>
      </c>
      <c r="J10" s="632"/>
      <c r="K10" s="632"/>
      <c r="L10" s="632"/>
    </row>
    <row r="11" spans="1:30" ht="14.25" x14ac:dyDescent="0.2">
      <c r="A11" s="260"/>
      <c r="B11" s="260"/>
      <c r="C11" s="625" t="s">
        <v>22</v>
      </c>
      <c r="D11" s="625"/>
      <c r="E11" s="625"/>
      <c r="F11" s="625"/>
      <c r="G11" s="625"/>
      <c r="H11" s="625"/>
      <c r="I11" s="257"/>
      <c r="J11" s="624">
        <v>29478604</v>
      </c>
      <c r="K11" s="624"/>
      <c r="L11" s="624"/>
    </row>
    <row r="12" spans="1:30" ht="14.25" customHeight="1" x14ac:dyDescent="0.2">
      <c r="A12" s="260" t="s">
        <v>259</v>
      </c>
      <c r="B12" s="260"/>
      <c r="C12" s="628" t="s">
        <v>260</v>
      </c>
      <c r="D12" s="628"/>
      <c r="E12" s="628"/>
      <c r="F12" s="628"/>
      <c r="G12" s="628"/>
      <c r="H12" s="628"/>
      <c r="I12" s="473" t="s">
        <v>21</v>
      </c>
      <c r="J12" s="624"/>
      <c r="K12" s="624"/>
      <c r="L12" s="624"/>
    </row>
    <row r="13" spans="1:30" ht="14.25" x14ac:dyDescent="0.2">
      <c r="A13" s="260"/>
      <c r="B13" s="260"/>
      <c r="C13" s="625" t="s">
        <v>22</v>
      </c>
      <c r="D13" s="625"/>
      <c r="E13" s="625"/>
      <c r="F13" s="625"/>
      <c r="G13" s="625"/>
      <c r="H13" s="625"/>
      <c r="I13" s="257"/>
      <c r="J13" s="624"/>
      <c r="K13" s="624"/>
      <c r="L13" s="624"/>
    </row>
    <row r="14" spans="1:30" ht="14.25" x14ac:dyDescent="0.2">
      <c r="A14" s="259" t="s">
        <v>23</v>
      </c>
      <c r="B14" s="259"/>
      <c r="C14" s="629" t="s">
        <v>261</v>
      </c>
      <c r="D14" s="629"/>
      <c r="E14" s="629"/>
      <c r="F14" s="629"/>
      <c r="G14" s="629"/>
      <c r="H14" s="629"/>
      <c r="I14" s="257"/>
      <c r="J14" s="624"/>
      <c r="K14" s="624"/>
      <c r="L14" s="624"/>
    </row>
    <row r="15" spans="1:30" ht="42.75" customHeight="1" x14ac:dyDescent="0.2">
      <c r="A15" s="259"/>
      <c r="B15" s="259"/>
      <c r="C15" s="625" t="s">
        <v>24</v>
      </c>
      <c r="D15" s="625"/>
      <c r="E15" s="625"/>
      <c r="F15" s="625"/>
      <c r="G15" s="625"/>
      <c r="H15" s="625"/>
      <c r="I15" s="257"/>
      <c r="J15" s="624"/>
      <c r="K15" s="624"/>
      <c r="L15" s="624"/>
      <c r="AD15" s="483" t="s">
        <v>233</v>
      </c>
    </row>
    <row r="16" spans="1:30" ht="14.25" x14ac:dyDescent="0.2">
      <c r="A16" s="259" t="s">
        <v>25</v>
      </c>
      <c r="B16" s="259"/>
      <c r="C16" s="626" t="s">
        <v>262</v>
      </c>
      <c r="D16" s="626"/>
      <c r="E16" s="626"/>
      <c r="F16" s="626"/>
      <c r="G16" s="626"/>
      <c r="H16" s="626"/>
      <c r="I16" s="257"/>
      <c r="J16" s="624"/>
      <c r="K16" s="624"/>
      <c r="L16" s="624"/>
    </row>
    <row r="17" spans="1:31" ht="42.75" customHeight="1" x14ac:dyDescent="0.2">
      <c r="A17" s="259"/>
      <c r="B17" s="259"/>
      <c r="C17" s="625" t="s">
        <v>26</v>
      </c>
      <c r="D17" s="625"/>
      <c r="E17" s="625"/>
      <c r="F17" s="625"/>
      <c r="G17" s="625"/>
      <c r="H17" s="625"/>
      <c r="I17" s="257"/>
      <c r="J17" s="257"/>
      <c r="K17" s="257"/>
      <c r="L17" s="257"/>
      <c r="AD17" s="885" t="str">
        <f>IF([84]Source!G12&lt;&gt;"Новый объект", [84]Source!G12, "")</f>
        <v>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v>
      </c>
    </row>
    <row r="18" spans="1:31" ht="14.25" x14ac:dyDescent="0.2">
      <c r="A18" s="257"/>
      <c r="B18" s="257"/>
      <c r="C18" s="257"/>
      <c r="D18" s="257"/>
      <c r="E18" s="257"/>
      <c r="F18" s="257"/>
      <c r="G18" s="621" t="s">
        <v>27</v>
      </c>
      <c r="H18" s="621"/>
      <c r="I18" s="627"/>
      <c r="J18" s="624"/>
      <c r="K18" s="624"/>
      <c r="L18" s="624"/>
    </row>
    <row r="19" spans="1:31" ht="14.25" x14ac:dyDescent="0.2">
      <c r="A19" s="257"/>
      <c r="B19" s="257"/>
      <c r="C19" s="257"/>
      <c r="D19" s="257"/>
      <c r="E19" s="257"/>
      <c r="F19" s="257"/>
      <c r="G19" s="621" t="s">
        <v>28</v>
      </c>
      <c r="H19" s="622"/>
      <c r="I19" s="261" t="s">
        <v>29</v>
      </c>
      <c r="J19" s="624" t="s">
        <v>263</v>
      </c>
      <c r="K19" s="624"/>
      <c r="L19" s="624"/>
    </row>
    <row r="20" spans="1:31" ht="14.25" customHeight="1" x14ac:dyDescent="0.2">
      <c r="A20" s="257"/>
      <c r="B20" s="623"/>
      <c r="C20" s="623"/>
      <c r="D20" s="623"/>
      <c r="E20" s="257"/>
      <c r="F20" s="257"/>
      <c r="G20" s="257"/>
      <c r="H20" s="257"/>
      <c r="I20" s="262" t="s">
        <v>30</v>
      </c>
      <c r="J20" s="637">
        <v>43670</v>
      </c>
      <c r="K20" s="637"/>
      <c r="L20" s="637"/>
    </row>
    <row r="21" spans="1:31" ht="14.25" x14ac:dyDescent="0.2">
      <c r="A21" s="257"/>
      <c r="B21" s="623"/>
      <c r="C21" s="623"/>
      <c r="D21" s="623"/>
      <c r="E21" s="257"/>
      <c r="F21" s="257"/>
      <c r="G21" s="257"/>
      <c r="H21" s="257"/>
      <c r="I21" s="473" t="s">
        <v>248</v>
      </c>
      <c r="J21" s="624"/>
      <c r="K21" s="624"/>
      <c r="L21" s="624"/>
    </row>
    <row r="22" spans="1:31" ht="14.25" x14ac:dyDescent="0.2">
      <c r="A22" s="257"/>
      <c r="B22" s="257"/>
      <c r="C22" s="257"/>
      <c r="D22" s="257"/>
      <c r="E22" s="257"/>
      <c r="F22" s="257"/>
      <c r="G22" s="257"/>
      <c r="H22" s="257"/>
      <c r="I22" s="257"/>
      <c r="J22" s="257"/>
      <c r="K22" s="257"/>
      <c r="L22" s="257"/>
    </row>
    <row r="23" spans="1:31" ht="14.25" x14ac:dyDescent="0.2">
      <c r="A23" s="257"/>
      <c r="B23" s="257"/>
      <c r="C23" s="257"/>
      <c r="D23" s="257"/>
      <c r="E23" s="257"/>
      <c r="F23" s="257"/>
      <c r="G23" s="616" t="s">
        <v>31</v>
      </c>
      <c r="H23" s="618" t="s">
        <v>32</v>
      </c>
      <c r="I23" s="618" t="s">
        <v>33</v>
      </c>
      <c r="J23" s="620"/>
      <c r="K23" s="257"/>
      <c r="L23" s="257"/>
    </row>
    <row r="24" spans="1:31" ht="14.25" customHeight="1" x14ac:dyDescent="0.2">
      <c r="A24" s="257"/>
      <c r="B24" s="257"/>
      <c r="C24" s="257"/>
      <c r="D24" s="257"/>
      <c r="E24" s="257"/>
      <c r="F24" s="257"/>
      <c r="G24" s="617"/>
      <c r="H24" s="619"/>
      <c r="I24" s="475" t="s">
        <v>34</v>
      </c>
      <c r="J24" s="474" t="s">
        <v>35</v>
      </c>
      <c r="K24" s="257"/>
      <c r="L24" s="257"/>
    </row>
    <row r="25" spans="1:31" ht="14.25" x14ac:dyDescent="0.2">
      <c r="A25" s="257"/>
      <c r="B25" s="257"/>
      <c r="C25" s="257"/>
      <c r="D25" s="257"/>
      <c r="E25" s="257"/>
      <c r="F25" s="257"/>
      <c r="G25" s="262">
        <v>9</v>
      </c>
      <c r="H25" s="263">
        <v>44196</v>
      </c>
      <c r="I25" s="263">
        <v>44166</v>
      </c>
      <c r="J25" s="481">
        <f>H25</f>
        <v>44196</v>
      </c>
      <c r="K25" s="257"/>
      <c r="L25" s="257"/>
    </row>
    <row r="26" spans="1:31" ht="14.25" x14ac:dyDescent="0.2">
      <c r="A26" s="257"/>
      <c r="B26" s="257"/>
      <c r="C26" s="257"/>
      <c r="D26" s="257"/>
      <c r="E26" s="257"/>
      <c r="F26" s="257"/>
      <c r="G26" s="264"/>
      <c r="H26" s="265"/>
      <c r="I26" s="265"/>
      <c r="J26" s="265"/>
      <c r="K26" s="257"/>
      <c r="L26" s="257"/>
    </row>
    <row r="27" spans="1:31" ht="18" x14ac:dyDescent="0.25">
      <c r="A27" s="595" t="s">
        <v>516</v>
      </c>
      <c r="B27" s="595"/>
      <c r="C27" s="595"/>
      <c r="D27" s="595"/>
      <c r="E27" s="595"/>
      <c r="F27" s="595"/>
      <c r="G27" s="595"/>
      <c r="H27" s="595"/>
      <c r="I27" s="595"/>
      <c r="J27" s="595"/>
      <c r="K27" s="595"/>
      <c r="L27" s="595"/>
    </row>
    <row r="28" spans="1:31" ht="14.25" x14ac:dyDescent="0.2">
      <c r="A28" s="316"/>
      <c r="B28" s="316"/>
      <c r="C28" s="316"/>
      <c r="D28" s="316"/>
      <c r="E28" s="316"/>
      <c r="F28" s="316"/>
      <c r="G28" s="316"/>
      <c r="H28" s="316"/>
      <c r="I28" s="316"/>
      <c r="J28" s="316"/>
      <c r="K28" s="316"/>
      <c r="L28" s="316"/>
    </row>
    <row r="29" spans="1:31" ht="15" hidden="1" x14ac:dyDescent="0.25">
      <c r="A29" s="316" t="s">
        <v>66</v>
      </c>
      <c r="B29" s="316"/>
      <c r="C29" s="316"/>
      <c r="D29" s="316"/>
      <c r="E29" s="316"/>
      <c r="F29" s="316"/>
      <c r="G29" s="316"/>
      <c r="H29" s="786">
        <f>([94]Source!P462/1000)</f>
        <v>7632.66</v>
      </c>
      <c r="I29" s="786"/>
      <c r="J29" s="316" t="s">
        <v>67</v>
      </c>
      <c r="K29" s="316"/>
      <c r="L29" s="316"/>
    </row>
    <row r="30" spans="1:31" ht="15" x14ac:dyDescent="0.25">
      <c r="A30" s="316" t="s">
        <v>95</v>
      </c>
      <c r="B30" s="316"/>
      <c r="C30" s="316"/>
      <c r="D30" s="316"/>
      <c r="E30" s="316"/>
      <c r="F30" s="316"/>
      <c r="G30" s="316"/>
      <c r="H30" s="787"/>
      <c r="I30" s="787"/>
      <c r="J30" s="316"/>
      <c r="K30" s="316"/>
      <c r="L30" s="316"/>
    </row>
    <row r="31" spans="1:31" ht="14.25" x14ac:dyDescent="0.2">
      <c r="A31" s="645" t="s">
        <v>238</v>
      </c>
      <c r="B31" s="645"/>
      <c r="C31" s="645"/>
      <c r="D31" s="645"/>
      <c r="E31" s="645"/>
      <c r="F31" s="645"/>
      <c r="G31" s="645"/>
      <c r="H31" s="645"/>
      <c r="I31" s="645"/>
      <c r="J31" s="645"/>
      <c r="K31" s="645"/>
      <c r="L31" s="645"/>
      <c r="AE31" s="483" t="s">
        <v>238</v>
      </c>
    </row>
    <row r="32" spans="1:31" x14ac:dyDescent="0.2">
      <c r="A32" s="755" t="s">
        <v>38</v>
      </c>
      <c r="B32" s="756"/>
      <c r="C32" s="647" t="s">
        <v>39</v>
      </c>
      <c r="D32" s="647" t="s">
        <v>40</v>
      </c>
      <c r="E32" s="647" t="s">
        <v>75</v>
      </c>
      <c r="F32" s="647" t="s">
        <v>68</v>
      </c>
      <c r="G32" s="647" t="s">
        <v>69</v>
      </c>
      <c r="H32" s="647" t="s">
        <v>76</v>
      </c>
      <c r="I32" s="647" t="s">
        <v>77</v>
      </c>
      <c r="J32" s="647" t="s">
        <v>78</v>
      </c>
      <c r="K32" s="647" t="s">
        <v>79</v>
      </c>
      <c r="L32" s="647" t="s">
        <v>80</v>
      </c>
    </row>
    <row r="33" spans="1:31" x14ac:dyDescent="0.2">
      <c r="A33" s="757"/>
      <c r="B33" s="758"/>
      <c r="C33" s="648"/>
      <c r="D33" s="648"/>
      <c r="E33" s="648"/>
      <c r="F33" s="648"/>
      <c r="G33" s="648"/>
      <c r="H33" s="648"/>
      <c r="I33" s="648"/>
      <c r="J33" s="648"/>
      <c r="K33" s="648"/>
      <c r="L33" s="648"/>
    </row>
    <row r="34" spans="1:31" x14ac:dyDescent="0.2">
      <c r="A34" s="650" t="s">
        <v>41</v>
      </c>
      <c r="B34" s="650" t="s">
        <v>42</v>
      </c>
      <c r="C34" s="648"/>
      <c r="D34" s="648"/>
      <c r="E34" s="648"/>
      <c r="F34" s="648"/>
      <c r="G34" s="648"/>
      <c r="H34" s="648"/>
      <c r="I34" s="648"/>
      <c r="J34" s="648"/>
      <c r="K34" s="648"/>
      <c r="L34" s="648"/>
    </row>
    <row r="35" spans="1:31" x14ac:dyDescent="0.2">
      <c r="A35" s="650"/>
      <c r="B35" s="650"/>
      <c r="C35" s="648"/>
      <c r="D35" s="648"/>
      <c r="E35" s="648"/>
      <c r="F35" s="648"/>
      <c r="G35" s="648"/>
      <c r="H35" s="648"/>
      <c r="I35" s="648"/>
      <c r="J35" s="648"/>
      <c r="K35" s="648"/>
      <c r="L35" s="648"/>
    </row>
    <row r="36" spans="1:31" x14ac:dyDescent="0.2">
      <c r="A36" s="650"/>
      <c r="B36" s="650"/>
      <c r="C36" s="648"/>
      <c r="D36" s="648"/>
      <c r="E36" s="648"/>
      <c r="F36" s="648"/>
      <c r="G36" s="648"/>
      <c r="H36" s="648"/>
      <c r="I36" s="648"/>
      <c r="J36" s="648"/>
      <c r="K36" s="648"/>
      <c r="L36" s="648"/>
    </row>
    <row r="37" spans="1:31" x14ac:dyDescent="0.2">
      <c r="A37" s="650"/>
      <c r="B37" s="650"/>
      <c r="C37" s="648"/>
      <c r="D37" s="648"/>
      <c r="E37" s="648"/>
      <c r="F37" s="648"/>
      <c r="G37" s="648"/>
      <c r="H37" s="648"/>
      <c r="I37" s="648"/>
      <c r="J37" s="648"/>
      <c r="K37" s="648"/>
      <c r="L37" s="648"/>
    </row>
    <row r="38" spans="1:31" x14ac:dyDescent="0.2">
      <c r="A38" s="650"/>
      <c r="B38" s="650"/>
      <c r="C38" s="648"/>
      <c r="D38" s="648"/>
      <c r="E38" s="648"/>
      <c r="F38" s="648"/>
      <c r="G38" s="648"/>
      <c r="H38" s="648"/>
      <c r="I38" s="648"/>
      <c r="J38" s="648"/>
      <c r="K38" s="648"/>
      <c r="L38" s="648"/>
    </row>
    <row r="39" spans="1:31" x14ac:dyDescent="0.2">
      <c r="A39" s="650"/>
      <c r="B39" s="650"/>
      <c r="C39" s="649"/>
      <c r="D39" s="649"/>
      <c r="E39" s="649"/>
      <c r="F39" s="649"/>
      <c r="G39" s="649"/>
      <c r="H39" s="649"/>
      <c r="I39" s="649"/>
      <c r="J39" s="649"/>
      <c r="K39" s="649"/>
      <c r="L39" s="649"/>
    </row>
    <row r="40" spans="1:31" ht="14.25" x14ac:dyDescent="0.2">
      <c r="A40" s="482">
        <v>1</v>
      </c>
      <c r="B40" s="482">
        <v>2</v>
      </c>
      <c r="C40" s="482">
        <v>3</v>
      </c>
      <c r="D40" s="482">
        <v>4</v>
      </c>
      <c r="E40" s="482">
        <v>5</v>
      </c>
      <c r="F40" s="482">
        <v>6</v>
      </c>
      <c r="G40" s="482">
        <v>7</v>
      </c>
      <c r="H40" s="482">
        <v>8</v>
      </c>
      <c r="I40" s="482">
        <v>9</v>
      </c>
      <c r="J40" s="482">
        <v>10</v>
      </c>
      <c r="K40" s="482">
        <v>11</v>
      </c>
      <c r="L40" s="482">
        <v>12</v>
      </c>
    </row>
    <row r="42" spans="1:31" ht="16.5" x14ac:dyDescent="0.25">
      <c r="A42" s="642" t="s">
        <v>239</v>
      </c>
      <c r="B42" s="642"/>
      <c r="C42" s="642"/>
      <c r="D42" s="642"/>
      <c r="E42" s="642"/>
      <c r="F42" s="642"/>
      <c r="G42" s="642"/>
      <c r="H42" s="642"/>
      <c r="I42" s="642"/>
      <c r="J42" s="642"/>
      <c r="K42" s="642"/>
      <c r="L42" s="642"/>
      <c r="M42" s="1098"/>
    </row>
    <row r="43" spans="1:31" ht="33.75" customHeight="1" x14ac:dyDescent="0.25">
      <c r="A43" s="642" t="s">
        <v>240</v>
      </c>
      <c r="B43" s="642"/>
      <c r="C43" s="642"/>
      <c r="D43" s="642"/>
      <c r="E43" s="642"/>
      <c r="F43" s="642"/>
      <c r="G43" s="642"/>
      <c r="H43" s="642"/>
      <c r="I43" s="642"/>
      <c r="J43" s="642"/>
      <c r="K43" s="642"/>
      <c r="L43" s="642"/>
    </row>
    <row r="44" spans="1:31" ht="16.5" x14ac:dyDescent="0.25">
      <c r="A44" s="476"/>
      <c r="B44" s="476"/>
      <c r="C44" s="476"/>
      <c r="D44" s="476"/>
      <c r="E44" s="476"/>
      <c r="F44" s="476"/>
      <c r="G44" s="476"/>
      <c r="H44" s="476"/>
      <c r="I44" s="476"/>
      <c r="J44" s="476"/>
      <c r="K44" s="476"/>
      <c r="L44" s="476"/>
    </row>
    <row r="45" spans="1:31" ht="33" hidden="1" x14ac:dyDescent="0.25">
      <c r="A45" s="642" t="str">
        <f>CONCATENATE("Локальная смета: ",IF([94]Source!G20&lt;&gt;"Новая локальная смета", [94]Source!G20, ""))</f>
        <v>Локальная смета: Перегоны от ст. "Аминьевское шоссе" до токораздела со ст. "Мичуринский проспект". Инженерные системы. Магистральные сети путейских ящиков</v>
      </c>
      <c r="B45" s="642"/>
      <c r="C45" s="642"/>
      <c r="D45" s="642"/>
      <c r="E45" s="642"/>
      <c r="F45" s="642"/>
      <c r="G45" s="642"/>
      <c r="H45" s="642"/>
      <c r="I45" s="642"/>
      <c r="J45" s="642"/>
      <c r="K45" s="642"/>
      <c r="L45" s="642"/>
      <c r="AE45" s="476" t="str">
        <f>CONCATENATE("Локальная смета: ",IF([94]Source!G20&lt;&gt;"Новая локальная смета", [94]Source!G20, ""))</f>
        <v>Локальная смета: Перегоны от ст. "Аминьевское шоссе" до токораздела со ст. "Мичуринский проспект". Инженерные системы. Магистральные сети путейских ящиков</v>
      </c>
    </row>
    <row r="46" spans="1:31" hidden="1" x14ac:dyDescent="0.2"/>
    <row r="47" spans="1:31" ht="105" hidden="1" x14ac:dyDescent="0.25">
      <c r="C47" s="1099" t="str">
        <f>[94]Source!G24</f>
        <v>Поправка: ТСН-2001.4. О.П. тб2. п.1  Наименование: При подземном способе работ (включая монтажные и демонтажные работы инженерных систем, выполняемые после устройства перекрытия при строительстве тоннелей и метрополитенов открытым способом (тоннели, сооружения, устройства и станционные помещения, находящиеся ниже уровня первой ступени эскалатора (лестничного марша) наземного вестибюля станции, и сам вестибюль станции (с тоннелями, сооружениями, устройствами и станционными помещениями), вход в который расположен в подземном (подуличном) переходе). То же с особо вредными и особо тяжелыми условиями труда</v>
      </c>
      <c r="D47" s="1099"/>
      <c r="E47" s="1099"/>
      <c r="F47" s="1099"/>
      <c r="G47" s="1099"/>
      <c r="H47" s="1099"/>
      <c r="I47" s="1099"/>
      <c r="J47" s="1099"/>
      <c r="K47" s="1099"/>
      <c r="AC47" s="1100" t="str">
        <f>[94]Source!G24</f>
        <v>Поправка: ТСН-2001.4. О.П. тб2. п.1  Наименование: При подземном способе работ (включая монтажные и демонтажные работы инженерных систем, выполняемые после устройства перекрытия при строительстве тоннелей и метрополитенов открытым способом (тоннели, сооружения, устройства и станционные помещения, находящиеся ниже уровня первой ступени эскалатора (лестничного марша) наземного вестибюля станции, и сам вестибюль станции (с тоннелями, сооружениями, устройствами и станционными помещениями), вход в который расположен в подземном (подуличном) переходе). То же с особо вредными и особо тяжелыми условиями труда</v>
      </c>
    </row>
    <row r="48" spans="1:31" hidden="1" x14ac:dyDescent="0.2"/>
    <row r="49" spans="1:29" ht="195" hidden="1" x14ac:dyDescent="0.25">
      <c r="C49" s="1099" t="str">
        <f>[94]Source!G25</f>
        <v>Поправка: ТСН-2001.3-29. О.П. п.4.1  Наименование: При определении стоимости работ на работах по строительству тоннелей и метрополитенов (станций, тоннелей, стволов, эскалаторных наклонных ходов, околоствольных, притоннельных выработок, а также дополнительных сооружений и устройств в соответствии с СП 32-105-2004 и СП 32-106-2004). При закрытом (подземном) способе работ, включая устройство пути в тоннелях, а также включая монтажные (демонтажные) и пуско-наладочные работы инженерных систем (в том числе электромонтажные работы; автоматика; сигнализация; связь; монтажные и наладочные работы оборудования систем отопления, теплоснабжения, вентиляции, кондиционирования, водопровода, водоотвода и канализации; АТДП и другие инженерные системы), выполняемые после устройства перекрытия при строительстве тоннелей и метрополитенов открытым способом (тоннели, сооружения, устройства и станционные помещения, находящиеся ниже уровня первой ступени эскалатора (лестничного марша) наземного вестибюля станции, и сам вестибюль станции (с тоннелями, сооружениями, устройствами и станционными помещениями), вход в который расположен в подземном (подуличном) переходе)</v>
      </c>
      <c r="D49" s="1099"/>
      <c r="E49" s="1099"/>
      <c r="F49" s="1099"/>
      <c r="G49" s="1099"/>
      <c r="H49" s="1099"/>
      <c r="I49" s="1099"/>
      <c r="J49" s="1099"/>
      <c r="K49" s="1099"/>
      <c r="AC49" s="1100" t="str">
        <f>[94]Source!G25</f>
        <v>Поправка: ТСН-2001.3-29. О.П. п.4.1  Наименование: При определении стоимости работ на работах по строительству тоннелей и метрополитенов (станций, тоннелей, стволов, эскалаторных наклонных ходов, околоствольных, притоннельных выработок, а также дополнительных сооружений и устройств в соответствии с СП 32-105-2004 и СП 32-106-2004). При закрытом (подземном) способе работ, включая устройство пути в тоннелях, а также включая монтажные (демонтажные) и пуско-наладочные работы инженерных систем (в том числе электромонтажные работы; автоматика; сигнализация; связь; монтажные и наладочные работы оборудования систем отопления, теплоснабжения, вентиляции, кондиционирования, водопровода, водоотвода и канализации; АТДП и другие инженерные системы), выполняемые после устройства перекрытия при строительстве тоннелей и метрополитенов открытым способом (тоннели, сооружения, устройства и станционные помещения, находящиеся ниже уровня первой ступени эскалатора (лестничного марша) наземного вестибюля станции, и сам вестибюль станции (с тоннелями, сооружениями, устройствами и станционными помещениями), вход в который расположен в подземном (подуличном) переходе)</v>
      </c>
    </row>
    <row r="50" spans="1:29" hidden="1" x14ac:dyDescent="0.2"/>
    <row r="51" spans="1:29" ht="16.5" x14ac:dyDescent="0.25">
      <c r="A51" s="642" t="str">
        <f>CONCATENATE("Раздел: ",IF([94]Source!G27&lt;&gt;"Новый раздел", [94]Source!G27, ""))</f>
        <v>Раздел: Монтажные работы</v>
      </c>
      <c r="B51" s="642"/>
      <c r="C51" s="642"/>
      <c r="D51" s="642"/>
      <c r="E51" s="642"/>
      <c r="F51" s="642"/>
      <c r="G51" s="642"/>
      <c r="H51" s="642"/>
      <c r="I51" s="642"/>
      <c r="J51" s="642"/>
      <c r="K51" s="642"/>
      <c r="L51" s="642"/>
    </row>
    <row r="52" spans="1:29" hidden="1" x14ac:dyDescent="0.2"/>
    <row r="53" spans="1:29" ht="16.5" hidden="1" x14ac:dyDescent="0.25">
      <c r="A53" s="642" t="str">
        <f>CONCATENATE("Подраздел: ",IF([94]Source!G31&lt;&gt;"Новый подраздел", [94]Source!G31, ""))</f>
        <v>Подраздел: Электрооборудование</v>
      </c>
      <c r="B53" s="642"/>
      <c r="C53" s="642"/>
      <c r="D53" s="642"/>
      <c r="E53" s="642"/>
      <c r="F53" s="642"/>
      <c r="G53" s="642"/>
      <c r="H53" s="642"/>
      <c r="I53" s="642"/>
      <c r="J53" s="642"/>
      <c r="K53" s="642"/>
      <c r="L53" s="642"/>
    </row>
    <row r="54" spans="1:29" hidden="1" x14ac:dyDescent="0.2"/>
    <row r="55" spans="1:29" ht="15" hidden="1" x14ac:dyDescent="0.25">
      <c r="A55" s="634" t="str">
        <f>CONCATENATE("Итого по подразделу: ",IF([94]Source!G44&lt;&gt;"Новый подраздел", [94]Source!G44, ""))</f>
        <v>Итого по подразделу: Электрооборудование</v>
      </c>
      <c r="B55" s="634"/>
      <c r="C55" s="634"/>
      <c r="D55" s="634"/>
      <c r="E55" s="634"/>
      <c r="F55" s="634"/>
      <c r="G55" s="634"/>
      <c r="H55" s="634"/>
      <c r="I55" s="640">
        <f>SUM(O53:O54)</f>
        <v>0</v>
      </c>
      <c r="J55" s="641"/>
      <c r="K55" s="640">
        <f>SUM(P53:P54)</f>
        <v>0</v>
      </c>
      <c r="L55" s="641"/>
    </row>
    <row r="56" spans="1:29" hidden="1" x14ac:dyDescent="0.2">
      <c r="A56" s="178" t="s">
        <v>54</v>
      </c>
      <c r="J56" s="178">
        <f>SUM(W53:W55)</f>
        <v>0</v>
      </c>
      <c r="K56" s="178">
        <f>SUM(X53:X55)</f>
        <v>0</v>
      </c>
    </row>
    <row r="57" spans="1:29" hidden="1" x14ac:dyDescent="0.2">
      <c r="A57" s="178" t="s">
        <v>55</v>
      </c>
      <c r="J57" s="178">
        <f>SUM(Y53:Y56)</f>
        <v>0</v>
      </c>
      <c r="K57" s="178">
        <f>SUM(Z53:Z56)</f>
        <v>0</v>
      </c>
    </row>
    <row r="59" spans="1:29" ht="16.5" x14ac:dyDescent="0.25">
      <c r="A59" s="642" t="str">
        <f>CONCATENATE("Подраздел: ",IF([94]Source!G74&lt;&gt;"Новый подраздел", [94]Source!G74, ""))</f>
        <v>Подраздел: Кабели и провода, кабельные изделия</v>
      </c>
      <c r="B59" s="642"/>
      <c r="C59" s="642"/>
      <c r="D59" s="642"/>
      <c r="E59" s="642"/>
      <c r="F59" s="642"/>
      <c r="G59" s="642"/>
      <c r="H59" s="642"/>
      <c r="I59" s="642"/>
      <c r="J59" s="642"/>
      <c r="K59" s="642"/>
      <c r="L59" s="642"/>
    </row>
    <row r="60" spans="1:29" ht="71.25" x14ac:dyDescent="0.2">
      <c r="A60" s="478">
        <v>1</v>
      </c>
      <c r="B60" s="478" t="str">
        <f>[94]Source!E88</f>
        <v>9</v>
      </c>
      <c r="C60" s="439" t="s">
        <v>241</v>
      </c>
      <c r="D60" s="439" t="s">
        <v>242</v>
      </c>
      <c r="E60" s="440" t="str">
        <f>[94]Source!H88</f>
        <v>100 М КАБЕЛЯ</v>
      </c>
      <c r="F60" s="270">
        <f>[94]Source!I88</f>
        <v>13.718</v>
      </c>
      <c r="G60" s="441"/>
      <c r="H60" s="442"/>
      <c r="I60" s="270"/>
      <c r="J60" s="480"/>
      <c r="K60" s="270"/>
      <c r="L60" s="480"/>
      <c r="M60" s="91"/>
      <c r="Q60" s="178">
        <f>[94]Source!X88</f>
        <v>14582.76</v>
      </c>
      <c r="R60" s="178">
        <f>[94]Source!X89</f>
        <v>283934.12</v>
      </c>
      <c r="S60" s="178">
        <f>[94]Source!Y88</f>
        <v>9114.2199999999993</v>
      </c>
      <c r="T60" s="178">
        <f>[94]Source!Y89</f>
        <v>135657.41</v>
      </c>
      <c r="U60" s="178">
        <f>ROUND((175/100)*ROUND([94]Source!R88, 2), 2)</f>
        <v>10710.91</v>
      </c>
      <c r="V60" s="178">
        <f>ROUND((157/100)*ROUND([94]Source!R89, 2), 2)</f>
        <v>232831.31</v>
      </c>
    </row>
    <row r="61" spans="1:29" ht="14.25" x14ac:dyDescent="0.2">
      <c r="A61" s="478"/>
      <c r="B61" s="478"/>
      <c r="C61" s="439"/>
      <c r="D61" s="439" t="s">
        <v>43</v>
      </c>
      <c r="E61" s="440"/>
      <c r="F61" s="270"/>
      <c r="G61" s="441">
        <f>[94]Source!AO88</f>
        <v>532.66</v>
      </c>
      <c r="H61" s="442" t="str">
        <f>[94]Source!DG88</f>
        <v>)*1,67</v>
      </c>
      <c r="I61" s="270">
        <f>[94]Source!AV89</f>
        <v>1.0669999999999999</v>
      </c>
      <c r="J61" s="480">
        <f>[94]Source!S88</f>
        <v>13020.32</v>
      </c>
      <c r="K61" s="270">
        <f>IF([94]Source!BA89&lt;&gt; 0, [94]Source!BA89, 1)</f>
        <v>24.23</v>
      </c>
      <c r="L61" s="480">
        <f>[94]Source!S89</f>
        <v>315482.34999999998</v>
      </c>
      <c r="M61" s="91"/>
    </row>
    <row r="62" spans="1:29" ht="14.25" x14ac:dyDescent="0.2">
      <c r="A62" s="478"/>
      <c r="B62" s="478"/>
      <c r="C62" s="439"/>
      <c r="D62" s="439" t="s">
        <v>44</v>
      </c>
      <c r="E62" s="440"/>
      <c r="F62" s="270"/>
      <c r="G62" s="441">
        <f>[94]Source!AM88</f>
        <v>1436.89</v>
      </c>
      <c r="H62" s="442">
        <f>[94]Source!DE88</f>
        <v>0</v>
      </c>
      <c r="I62" s="270">
        <f>[94]Source!AV89</f>
        <v>1.0669999999999999</v>
      </c>
      <c r="J62" s="480">
        <f>[94]Source!Q88-J72</f>
        <v>21031.91</v>
      </c>
      <c r="K62" s="270">
        <f>IF([94]Source!BB89&lt;&gt; 0, [94]Source!BB89, 1)</f>
        <v>8.81</v>
      </c>
      <c r="L62" s="480">
        <f>[94]Source!Q89-L72</f>
        <v>185291.13</v>
      </c>
      <c r="M62" s="1101"/>
    </row>
    <row r="63" spans="1:29" ht="14.25" x14ac:dyDescent="0.2">
      <c r="A63" s="478"/>
      <c r="B63" s="478"/>
      <c r="C63" s="439"/>
      <c r="D63" s="439" t="s">
        <v>45</v>
      </c>
      <c r="E63" s="440"/>
      <c r="F63" s="270"/>
      <c r="G63" s="441">
        <f>[94]Source!AN88</f>
        <v>250.39</v>
      </c>
      <c r="H63" s="442">
        <f>[94]Source!DE88</f>
        <v>0</v>
      </c>
      <c r="I63" s="270">
        <f>[94]Source!AV89</f>
        <v>1.0669999999999999</v>
      </c>
      <c r="J63" s="443">
        <f>[94]Source!R88-J73</f>
        <v>3664.98</v>
      </c>
      <c r="K63" s="270">
        <f>IF([94]Source!BS89&lt;&gt; 0, [94]Source!BS89, 1)</f>
        <v>24.23</v>
      </c>
      <c r="L63" s="443">
        <f>[94]Source!R89-L73</f>
        <v>88802.47</v>
      </c>
    </row>
    <row r="64" spans="1:29" ht="14.25" x14ac:dyDescent="0.2">
      <c r="A64" s="478"/>
      <c r="B64" s="478"/>
      <c r="C64" s="439"/>
      <c r="D64" s="439" t="s">
        <v>46</v>
      </c>
      <c r="E64" s="440"/>
      <c r="F64" s="270"/>
      <c r="G64" s="441">
        <f>[94]Source!AL88</f>
        <v>31.5</v>
      </c>
      <c r="H64" s="442">
        <f>[94]Source!DD88</f>
        <v>0</v>
      </c>
      <c r="I64" s="270">
        <f>[94]Source!AW89</f>
        <v>1.081</v>
      </c>
      <c r="J64" s="480">
        <f>[94]Source!P88</f>
        <v>467.12</v>
      </c>
      <c r="K64" s="270">
        <f>IF([94]Source!BC89&lt;&gt; 0, [94]Source!BC89, 1)</f>
        <v>5.58</v>
      </c>
      <c r="L64" s="480">
        <f>[94]Source!P89</f>
        <v>2606.5300000000002</v>
      </c>
    </row>
    <row r="65" spans="1:16" ht="14.25" x14ac:dyDescent="0.2">
      <c r="A65" s="478"/>
      <c r="B65" s="478"/>
      <c r="C65" s="439"/>
      <c r="D65" s="439" t="s">
        <v>47</v>
      </c>
      <c r="E65" s="440" t="s">
        <v>48</v>
      </c>
      <c r="F65" s="270">
        <f>[94]Source!DN89</f>
        <v>112</v>
      </c>
      <c r="G65" s="441"/>
      <c r="H65" s="442"/>
      <c r="I65" s="270"/>
      <c r="J65" s="480">
        <f>SUM(Q60:Q64)</f>
        <v>14582.76</v>
      </c>
      <c r="K65" s="270">
        <f>[94]Source!BZ89</f>
        <v>90</v>
      </c>
      <c r="L65" s="480">
        <f>SUM(R60:R64)</f>
        <v>283934.12</v>
      </c>
    </row>
    <row r="66" spans="1:16" ht="14.25" x14ac:dyDescent="0.2">
      <c r="A66" s="478"/>
      <c r="B66" s="478"/>
      <c r="C66" s="439"/>
      <c r="D66" s="439" t="s">
        <v>49</v>
      </c>
      <c r="E66" s="440" t="s">
        <v>48</v>
      </c>
      <c r="F66" s="270">
        <f>[94]Source!DO89</f>
        <v>70</v>
      </c>
      <c r="G66" s="441"/>
      <c r="H66" s="442"/>
      <c r="I66" s="270"/>
      <c r="J66" s="480">
        <f>SUM(S60:S65)</f>
        <v>9114.2199999999993</v>
      </c>
      <c r="K66" s="270">
        <f>[94]Source!CA89</f>
        <v>43</v>
      </c>
      <c r="L66" s="480">
        <f>SUM(T60:T65)</f>
        <v>135657.41</v>
      </c>
    </row>
    <row r="67" spans="1:16" ht="14.25" x14ac:dyDescent="0.2">
      <c r="A67" s="478"/>
      <c r="B67" s="478"/>
      <c r="C67" s="439"/>
      <c r="D67" s="439" t="s">
        <v>50</v>
      </c>
      <c r="E67" s="440" t="s">
        <v>48</v>
      </c>
      <c r="F67" s="270">
        <f>175</f>
        <v>175</v>
      </c>
      <c r="G67" s="441"/>
      <c r="H67" s="442"/>
      <c r="I67" s="270"/>
      <c r="J67" s="480">
        <f>SUM(U60:U66)-J74</f>
        <v>6413.71</v>
      </c>
      <c r="K67" s="270">
        <f>157</f>
        <v>157</v>
      </c>
      <c r="L67" s="480">
        <f>SUM(V60:V66)-L74</f>
        <v>139419.87</v>
      </c>
    </row>
    <row r="68" spans="1:16" ht="14.25" x14ac:dyDescent="0.2">
      <c r="A68" s="479"/>
      <c r="B68" s="479"/>
      <c r="C68" s="308"/>
      <c r="D68" s="308" t="s">
        <v>51</v>
      </c>
      <c r="E68" s="307" t="s">
        <v>52</v>
      </c>
      <c r="F68" s="306">
        <f>[94]Source!AQ88</f>
        <v>43.2</v>
      </c>
      <c r="G68" s="305"/>
      <c r="H68" s="315">
        <f>[94]Source!DI88</f>
        <v>0</v>
      </c>
      <c r="I68" s="306">
        <f>[94]Source!AV89</f>
        <v>1.0669999999999999</v>
      </c>
      <c r="J68" s="314">
        <f>[94]Source!U88</f>
        <v>632.32000000000005</v>
      </c>
      <c r="K68" s="306"/>
      <c r="L68" s="314"/>
    </row>
    <row r="69" spans="1:16" ht="15" x14ac:dyDescent="0.25">
      <c r="D69" s="764" t="s">
        <v>81</v>
      </c>
      <c r="I69" s="1102">
        <f>J61+J62+J64+J65+J66+J67</f>
        <v>64630.04</v>
      </c>
      <c r="J69" s="1102"/>
      <c r="K69" s="1102">
        <f>L61+L62+L64+L65+L66+L67</f>
        <v>1062391.4099999999</v>
      </c>
      <c r="L69" s="1102"/>
      <c r="O69" s="765">
        <f>J61+J62+J64+J65+J66+J67</f>
        <v>64630.04</v>
      </c>
      <c r="P69" s="765">
        <f>L61+L62+L64+L65+L66+L67</f>
        <v>1062391.4099999999</v>
      </c>
    </row>
    <row r="71" spans="1:16" ht="52.5" x14ac:dyDescent="0.2">
      <c r="A71" s="478">
        <v>2</v>
      </c>
      <c r="B71" s="478" t="str">
        <f>CONCATENATE([94]Source!E88, "/1")</f>
        <v>9/1</v>
      </c>
      <c r="C71" s="439" t="s">
        <v>243</v>
      </c>
      <c r="D71" s="439" t="s">
        <v>82</v>
      </c>
      <c r="E71" s="440" t="str">
        <f>[94]Source!H88</f>
        <v>100 М КАБЕЛЯ</v>
      </c>
      <c r="F71" s="270">
        <f>[94]Source!I88</f>
        <v>13.718</v>
      </c>
      <c r="G71" s="441"/>
      <c r="H71" s="442"/>
      <c r="I71" s="270"/>
      <c r="J71" s="480"/>
      <c r="K71" s="270"/>
      <c r="L71" s="480"/>
    </row>
    <row r="72" spans="1:16" ht="14.25" x14ac:dyDescent="0.2">
      <c r="A72" s="478"/>
      <c r="B72" s="478"/>
      <c r="C72" s="439"/>
      <c r="D72" s="439" t="s">
        <v>44</v>
      </c>
      <c r="E72" s="440"/>
      <c r="F72" s="270"/>
      <c r="G72" s="441">
        <f t="shared" ref="G72:L72" si="0">G73</f>
        <v>250.39</v>
      </c>
      <c r="H72" s="766" t="str">
        <f t="shared" si="0"/>
        <v>)*(1.67-1)</v>
      </c>
      <c r="I72" s="270">
        <f t="shared" si="0"/>
        <v>1.0669999999999999</v>
      </c>
      <c r="J72" s="480">
        <f t="shared" si="0"/>
        <v>2455.54</v>
      </c>
      <c r="K72" s="270">
        <f t="shared" si="0"/>
        <v>24.23</v>
      </c>
      <c r="L72" s="480">
        <f t="shared" si="0"/>
        <v>59497.73</v>
      </c>
    </row>
    <row r="73" spans="1:16" ht="14.25" x14ac:dyDescent="0.2">
      <c r="A73" s="478"/>
      <c r="B73" s="478"/>
      <c r="C73" s="439"/>
      <c r="D73" s="439" t="s">
        <v>45</v>
      </c>
      <c r="E73" s="440"/>
      <c r="F73" s="270"/>
      <c r="G73" s="441">
        <f>[94]Source!AN88</f>
        <v>250.39</v>
      </c>
      <c r="H73" s="766" t="s">
        <v>53</v>
      </c>
      <c r="I73" s="270">
        <f>[94]Source!AV89</f>
        <v>1.0669999999999999</v>
      </c>
      <c r="J73" s="443">
        <f>ROUND(F60*G73*I73*(1.67-1), 2)</f>
        <v>2455.54</v>
      </c>
      <c r="K73" s="270">
        <f>IF([94]Source!BS89&lt;&gt; 0, [94]Source!BS89, 1)</f>
        <v>24.23</v>
      </c>
      <c r="L73" s="443">
        <f>ROUND(ROUND(F60*G73*I73*(1.67-1), 2)*K73, 2)</f>
        <v>59497.73</v>
      </c>
    </row>
    <row r="74" spans="1:16" ht="14.25" x14ac:dyDescent="0.2">
      <c r="A74" s="478"/>
      <c r="B74" s="478"/>
      <c r="C74" s="439"/>
      <c r="D74" s="439" t="s">
        <v>50</v>
      </c>
      <c r="E74" s="440" t="s">
        <v>48</v>
      </c>
      <c r="F74" s="270">
        <f>175</f>
        <v>175</v>
      </c>
      <c r="G74" s="441"/>
      <c r="H74" s="442"/>
      <c r="I74" s="270"/>
      <c r="J74" s="480">
        <f>ROUND(J73*(F74/100), 2)</f>
        <v>4297.2</v>
      </c>
      <c r="K74" s="270">
        <f>157</f>
        <v>157</v>
      </c>
      <c r="L74" s="480">
        <f>ROUND(L73*(K74/100), 2)</f>
        <v>93411.44</v>
      </c>
    </row>
    <row r="75" spans="1:16" ht="15" x14ac:dyDescent="0.25">
      <c r="A75" s="311"/>
      <c r="B75" s="311"/>
      <c r="C75" s="311"/>
      <c r="D75" s="312" t="s">
        <v>81</v>
      </c>
      <c r="E75" s="311"/>
      <c r="F75" s="311"/>
      <c r="G75" s="311"/>
      <c r="H75" s="311"/>
      <c r="I75" s="639">
        <f>J74+J73</f>
        <v>6752.74</v>
      </c>
      <c r="J75" s="639"/>
      <c r="K75" s="639">
        <f>L74+L73</f>
        <v>152909.17000000001</v>
      </c>
      <c r="L75" s="639"/>
      <c r="O75" s="765">
        <f>I75</f>
        <v>6752.74</v>
      </c>
      <c r="P75" s="765">
        <f>K75</f>
        <v>152909.17000000001</v>
      </c>
    </row>
    <row r="78" spans="1:16" ht="15" x14ac:dyDescent="0.25">
      <c r="A78" s="634" t="str">
        <f>CONCATENATE("Итого по подразделу: ",IF([94]Source!G107&lt;&gt;"Новый подраздел", [94]Source!G107, ""))</f>
        <v>Итого по подразделу: Кабели и провода, кабельные изделия</v>
      </c>
      <c r="B78" s="634"/>
      <c r="C78" s="634"/>
      <c r="D78" s="634"/>
      <c r="E78" s="634"/>
      <c r="F78" s="634"/>
      <c r="G78" s="634"/>
      <c r="H78" s="634"/>
      <c r="I78" s="640">
        <f>SUM(O59:O77)</f>
        <v>71382.78</v>
      </c>
      <c r="J78" s="641"/>
      <c r="K78" s="640">
        <f>SUM(P59:P77)</f>
        <v>1215300.58</v>
      </c>
      <c r="L78" s="641"/>
    </row>
    <row r="79" spans="1:16" hidden="1" x14ac:dyDescent="0.2">
      <c r="A79" s="178" t="s">
        <v>54</v>
      </c>
      <c r="J79" s="178">
        <f>SUM(W59:W78)</f>
        <v>0</v>
      </c>
      <c r="K79" s="178">
        <f>SUM(X59:X78)</f>
        <v>0</v>
      </c>
    </row>
    <row r="80" spans="1:16" hidden="1" x14ac:dyDescent="0.2">
      <c r="A80" s="178" t="s">
        <v>55</v>
      </c>
      <c r="J80" s="178">
        <f>SUM(Y59:Y79)</f>
        <v>0</v>
      </c>
      <c r="K80" s="178">
        <f>SUM(Z59:Z79)</f>
        <v>0</v>
      </c>
    </row>
    <row r="81" spans="1:12" hidden="1" x14ac:dyDescent="0.2"/>
    <row r="82" spans="1:12" ht="16.5" hidden="1" x14ac:dyDescent="0.25">
      <c r="A82" s="642" t="str">
        <f>CONCATENATE("Подраздел: ",IF([94]Source!G137&lt;&gt;"Новый подраздел", [94]Source!G137, ""))</f>
        <v>Подраздел: Металл и металлические изделия</v>
      </c>
      <c r="B82" s="642"/>
      <c r="C82" s="642"/>
      <c r="D82" s="642"/>
      <c r="E82" s="642"/>
      <c r="F82" s="642"/>
      <c r="G82" s="642"/>
      <c r="H82" s="642"/>
      <c r="I82" s="642"/>
      <c r="J82" s="642"/>
      <c r="K82" s="642"/>
      <c r="L82" s="642"/>
    </row>
    <row r="83" spans="1:12" hidden="1" x14ac:dyDescent="0.2"/>
    <row r="84" spans="1:12" ht="15" hidden="1" x14ac:dyDescent="0.25">
      <c r="A84" s="634" t="str">
        <f>CONCATENATE("Итого по подразделу: ",IF([94]Source!G158&lt;&gt;"Новый подраздел", [94]Source!G158, ""))</f>
        <v>Итого по подразделу: Металл и металлические изделия</v>
      </c>
      <c r="B84" s="634"/>
      <c r="C84" s="634"/>
      <c r="D84" s="634"/>
      <c r="E84" s="634"/>
      <c r="F84" s="634"/>
      <c r="G84" s="634"/>
      <c r="H84" s="634"/>
      <c r="I84" s="640">
        <f>SUM(O82:O83)</f>
        <v>0</v>
      </c>
      <c r="J84" s="641"/>
      <c r="K84" s="640">
        <f>SUM(P82:P83)</f>
        <v>0</v>
      </c>
      <c r="L84" s="641"/>
    </row>
    <row r="85" spans="1:12" hidden="1" x14ac:dyDescent="0.2">
      <c r="A85" s="178" t="s">
        <v>54</v>
      </c>
      <c r="J85" s="178">
        <f>SUM(W82:W84)</f>
        <v>0</v>
      </c>
      <c r="K85" s="178">
        <f>SUM(X82:X84)</f>
        <v>0</v>
      </c>
    </row>
    <row r="86" spans="1:12" hidden="1" x14ac:dyDescent="0.2">
      <c r="A86" s="178" t="s">
        <v>55</v>
      </c>
      <c r="J86" s="178">
        <f>SUM(Y82:Y85)</f>
        <v>0</v>
      </c>
      <c r="K86" s="178">
        <f>SUM(Z82:Z85)</f>
        <v>0</v>
      </c>
    </row>
    <row r="88" spans="1:12" ht="15" x14ac:dyDescent="0.25">
      <c r="A88" s="634" t="str">
        <f>CONCATENATE("Итого по разделу: ",IF([94]Source!G188&lt;&gt;"Новый раздел", [94]Source!G188, ""))</f>
        <v>Итого по разделу: Монтажные работы</v>
      </c>
      <c r="B88" s="634"/>
      <c r="C88" s="634"/>
      <c r="D88" s="634"/>
      <c r="E88" s="634"/>
      <c r="F88" s="634"/>
      <c r="G88" s="634"/>
      <c r="H88" s="634"/>
      <c r="I88" s="640">
        <f>SUM(O51:O87)</f>
        <v>71382.78</v>
      </c>
      <c r="J88" s="641"/>
      <c r="K88" s="640">
        <f>SUM(P51:P87)</f>
        <v>1215300.58</v>
      </c>
      <c r="L88" s="641"/>
    </row>
    <row r="89" spans="1:12" hidden="1" x14ac:dyDescent="0.2">
      <c r="A89" s="178" t="s">
        <v>54</v>
      </c>
      <c r="J89" s="178">
        <f>SUM(W51:W88)</f>
        <v>0</v>
      </c>
      <c r="K89" s="178">
        <f>SUM(X51:X88)</f>
        <v>0</v>
      </c>
    </row>
    <row r="90" spans="1:12" hidden="1" x14ac:dyDescent="0.2">
      <c r="A90" s="178" t="s">
        <v>55</v>
      </c>
      <c r="J90" s="178">
        <f>SUM(Y51:Y89)</f>
        <v>0</v>
      </c>
      <c r="K90" s="178">
        <f>SUM(Z51:Z89)</f>
        <v>0</v>
      </c>
    </row>
    <row r="91" spans="1:12" hidden="1" x14ac:dyDescent="0.2"/>
    <row r="92" spans="1:12" ht="16.5" hidden="1" x14ac:dyDescent="0.25">
      <c r="A92" s="642" t="str">
        <f>CONCATENATE("Раздел: ",IF([94]Source!G218&lt;&gt;"Новый раздел", [94]Source!G218, ""))</f>
        <v>Раздел: Оборудование</v>
      </c>
      <c r="B92" s="642"/>
      <c r="C92" s="642"/>
      <c r="D92" s="642"/>
      <c r="E92" s="642"/>
      <c r="F92" s="642"/>
      <c r="G92" s="642"/>
      <c r="H92" s="642"/>
      <c r="I92" s="642"/>
      <c r="J92" s="642"/>
      <c r="K92" s="642"/>
      <c r="L92" s="642"/>
    </row>
    <row r="93" spans="1:12" hidden="1" x14ac:dyDescent="0.2"/>
    <row r="94" spans="1:12" ht="15" hidden="1" x14ac:dyDescent="0.25">
      <c r="A94" s="634" t="str">
        <f>CONCATENATE("Итого по разделу: ",IF([94]Source!G227&lt;&gt;"Новый раздел", [94]Source!G227, ""))</f>
        <v>Итого по разделу: Оборудование</v>
      </c>
      <c r="B94" s="634"/>
      <c r="C94" s="634"/>
      <c r="D94" s="634"/>
      <c r="E94" s="634"/>
      <c r="F94" s="634"/>
      <c r="G94" s="634"/>
      <c r="H94" s="634"/>
      <c r="I94" s="640">
        <f>SUM(O92:O93)</f>
        <v>0</v>
      </c>
      <c r="J94" s="641"/>
      <c r="K94" s="640">
        <f>SUM(P92:P93)</f>
        <v>0</v>
      </c>
      <c r="L94" s="641"/>
    </row>
    <row r="95" spans="1:12" hidden="1" x14ac:dyDescent="0.2">
      <c r="A95" s="178" t="s">
        <v>54</v>
      </c>
      <c r="J95" s="178">
        <f>SUM(W92:W94)</f>
        <v>0</v>
      </c>
      <c r="K95" s="178">
        <f>SUM(X92:X94)</f>
        <v>0</v>
      </c>
    </row>
    <row r="96" spans="1:12" hidden="1" x14ac:dyDescent="0.2">
      <c r="A96" s="178" t="s">
        <v>55</v>
      </c>
      <c r="J96" s="178">
        <f>SUM(Y92:Y95)</f>
        <v>0</v>
      </c>
      <c r="K96" s="178">
        <f>SUM(Z92:Z95)</f>
        <v>0</v>
      </c>
    </row>
    <row r="98" spans="1:22" ht="16.5" x14ac:dyDescent="0.25">
      <c r="A98" s="642" t="str">
        <f>CONCATENATE("Раздел: ",IF([94]Source!G257&lt;&gt;"Новый раздел", [94]Source!G257, ""))</f>
        <v>Раздел: Материалы, не учтенные в цене монтажа</v>
      </c>
      <c r="B98" s="642"/>
      <c r="C98" s="642"/>
      <c r="D98" s="642"/>
      <c r="E98" s="642"/>
      <c r="F98" s="642"/>
      <c r="G98" s="642"/>
      <c r="H98" s="642"/>
      <c r="I98" s="642"/>
      <c r="J98" s="642"/>
      <c r="K98" s="642"/>
      <c r="L98" s="642"/>
    </row>
    <row r="100" spans="1:22" ht="16.5" x14ac:dyDescent="0.25">
      <c r="A100" s="642" t="str">
        <f>CONCATENATE("Подраздел: ",IF([94]Source!G270&lt;&gt;"Новый подраздел", [94]Source!G270, ""))</f>
        <v>Подраздел: Кабели и провода. Кабельные изделия.</v>
      </c>
      <c r="B100" s="642"/>
      <c r="C100" s="642"/>
      <c r="D100" s="642"/>
      <c r="E100" s="642"/>
      <c r="F100" s="642"/>
      <c r="G100" s="642"/>
      <c r="H100" s="642"/>
      <c r="I100" s="642"/>
      <c r="J100" s="642"/>
      <c r="K100" s="642"/>
      <c r="L100" s="642"/>
    </row>
    <row r="101" spans="1:22" ht="42.75" x14ac:dyDescent="0.2">
      <c r="A101" s="434">
        <v>3</v>
      </c>
      <c r="B101" s="434" t="str">
        <f>[94]Source!E278</f>
        <v>27</v>
      </c>
      <c r="C101" s="269" t="s">
        <v>294</v>
      </c>
      <c r="D101" s="269" t="s">
        <v>291</v>
      </c>
      <c r="E101" s="1103"/>
      <c r="F101" s="1104"/>
      <c r="G101" s="1105"/>
      <c r="H101" s="1106"/>
      <c r="I101" s="1104"/>
      <c r="J101" s="1107"/>
      <c r="K101" s="1104"/>
      <c r="L101" s="1107"/>
      <c r="M101" s="1108"/>
      <c r="Q101" s="178">
        <f>[94]Source!X278</f>
        <v>0</v>
      </c>
      <c r="R101" s="178">
        <f>[94]Source!X279</f>
        <v>0</v>
      </c>
      <c r="S101" s="178">
        <f>[94]Source!Y278</f>
        <v>0</v>
      </c>
      <c r="T101" s="178">
        <f>[94]Source!Y279</f>
        <v>0</v>
      </c>
      <c r="U101" s="178">
        <f>ROUND((175/100)*ROUND([94]Source!R278, 2), 2)</f>
        <v>0</v>
      </c>
      <c r="V101" s="178">
        <f>ROUND((157/100)*ROUND([94]Source!R279, 2), 2)</f>
        <v>0</v>
      </c>
    </row>
    <row r="102" spans="1:22" ht="42.75" x14ac:dyDescent="0.2">
      <c r="A102" s="434"/>
      <c r="B102" s="434"/>
      <c r="C102" s="435" t="s">
        <v>292</v>
      </c>
      <c r="D102" s="435" t="s">
        <v>293</v>
      </c>
      <c r="E102" s="436" t="s">
        <v>290</v>
      </c>
      <c r="F102" s="432">
        <v>1.4</v>
      </c>
      <c r="G102" s="433">
        <f>J102/F102</f>
        <v>762734.25</v>
      </c>
      <c r="H102" s="437"/>
      <c r="I102" s="432"/>
      <c r="J102" s="433">
        <f>L102/K102</f>
        <v>1067827.95</v>
      </c>
      <c r="K102" s="432">
        <v>5.58</v>
      </c>
      <c r="L102" s="433">
        <f>4256057.11*F102+0.01</f>
        <v>5958479.96</v>
      </c>
      <c r="M102" s="431"/>
    </row>
    <row r="103" spans="1:22" ht="15" x14ac:dyDescent="0.25">
      <c r="A103" s="311"/>
      <c r="B103" s="311"/>
      <c r="C103" s="311"/>
      <c r="D103" s="312" t="s">
        <v>81</v>
      </c>
      <c r="E103" s="311"/>
      <c r="F103" s="311"/>
      <c r="G103" s="438"/>
      <c r="H103" s="438"/>
      <c r="I103" s="646">
        <f>J102</f>
        <v>1067827.95</v>
      </c>
      <c r="J103" s="646"/>
      <c r="K103" s="646">
        <f>L102</f>
        <v>5958479.96</v>
      </c>
      <c r="L103" s="646"/>
      <c r="O103" s="765">
        <f>J101</f>
        <v>0</v>
      </c>
      <c r="P103" s="765">
        <f>L101</f>
        <v>0</v>
      </c>
    </row>
    <row r="106" spans="1:22" ht="15" x14ac:dyDescent="0.25">
      <c r="A106" s="634" t="str">
        <f>CONCATENATE("Итого по подразделу: ",IF([94]Source!G295&lt;&gt;"Новый подраздел", [94]Source!G295, ""))</f>
        <v>Итого по подразделу: Кабели и провода. Кабельные изделия.</v>
      </c>
      <c r="B106" s="634"/>
      <c r="C106" s="634"/>
      <c r="D106" s="634"/>
      <c r="E106" s="634"/>
      <c r="F106" s="634"/>
      <c r="G106" s="634"/>
      <c r="H106" s="634"/>
      <c r="I106" s="640">
        <f>J102</f>
        <v>1067827.95</v>
      </c>
      <c r="J106" s="641"/>
      <c r="K106" s="640">
        <f>L102</f>
        <v>5958479.96</v>
      </c>
      <c r="L106" s="641"/>
    </row>
    <row r="107" spans="1:22" hidden="1" x14ac:dyDescent="0.2">
      <c r="A107" s="178" t="s">
        <v>54</v>
      </c>
      <c r="J107" s="178">
        <f>SUM(W100:W106)</f>
        <v>0</v>
      </c>
      <c r="K107" s="178">
        <f>SUM(X100:X106)</f>
        <v>0</v>
      </c>
    </row>
    <row r="108" spans="1:22" hidden="1" x14ac:dyDescent="0.2">
      <c r="A108" s="178" t="s">
        <v>55</v>
      </c>
      <c r="J108" s="178">
        <f>SUM(Y100:Y107)</f>
        <v>0</v>
      </c>
      <c r="K108" s="178">
        <f>SUM(Z100:Z107)</f>
        <v>0</v>
      </c>
    </row>
    <row r="109" spans="1:22" hidden="1" x14ac:dyDescent="0.2"/>
    <row r="110" spans="1:22" ht="16.5" hidden="1" x14ac:dyDescent="0.25">
      <c r="A110" s="642" t="str">
        <f>CONCATENATE("Подраздел: ",IF([94]Source!G325&lt;&gt;"Новый подраздел", [94]Source!G325, ""))</f>
        <v>Подраздел: Металл и металлические изделия</v>
      </c>
      <c r="B110" s="642"/>
      <c r="C110" s="642"/>
      <c r="D110" s="642"/>
      <c r="E110" s="642"/>
      <c r="F110" s="642"/>
      <c r="G110" s="642"/>
      <c r="H110" s="642"/>
      <c r="I110" s="642"/>
      <c r="J110" s="642"/>
      <c r="K110" s="642"/>
      <c r="L110" s="642"/>
    </row>
    <row r="111" spans="1:22" hidden="1" x14ac:dyDescent="0.2"/>
    <row r="112" spans="1:22" ht="15" hidden="1" x14ac:dyDescent="0.25">
      <c r="A112" s="634" t="str">
        <f>CONCATENATE("Итого по подразделу: ",IF([94]Source!G344&lt;&gt;"Новый подраздел", [94]Source!G344, ""))</f>
        <v>Итого по подразделу: Металл и металлические изделия</v>
      </c>
      <c r="B112" s="634"/>
      <c r="C112" s="634"/>
      <c r="D112" s="634"/>
      <c r="E112" s="634"/>
      <c r="F112" s="634"/>
      <c r="G112" s="634"/>
      <c r="H112" s="634"/>
      <c r="I112" s="640">
        <f>SUM(O110:O111)</f>
        <v>0</v>
      </c>
      <c r="J112" s="641"/>
      <c r="K112" s="640">
        <f>SUM(P110:P111)</f>
        <v>0</v>
      </c>
      <c r="L112" s="641"/>
    </row>
    <row r="113" spans="1:32" hidden="1" x14ac:dyDescent="0.2">
      <c r="A113" s="178" t="s">
        <v>54</v>
      </c>
      <c r="J113" s="178">
        <f>SUM(W110:W112)</f>
        <v>0</v>
      </c>
      <c r="K113" s="178">
        <f>SUM(X110:X112)</f>
        <v>0</v>
      </c>
    </row>
    <row r="114" spans="1:32" hidden="1" x14ac:dyDescent="0.2">
      <c r="A114" s="178" t="s">
        <v>55</v>
      </c>
      <c r="J114" s="178">
        <f>SUM(Y110:Y113)</f>
        <v>0</v>
      </c>
      <c r="K114" s="178">
        <f>SUM(Z110:Z113)</f>
        <v>0</v>
      </c>
    </row>
    <row r="116" spans="1:32" ht="15" x14ac:dyDescent="0.25">
      <c r="A116" s="634" t="str">
        <f>CONCATENATE("Итого по разделу: ",IF([94]Source!G374&lt;&gt;"Новый раздел", [94]Source!G374, ""))</f>
        <v>Итого по разделу: Материалы, не учтенные в цене монтажа</v>
      </c>
      <c r="B116" s="634"/>
      <c r="C116" s="634"/>
      <c r="D116" s="634"/>
      <c r="E116" s="634"/>
      <c r="F116" s="634"/>
      <c r="G116" s="634"/>
      <c r="H116" s="634"/>
      <c r="I116" s="640">
        <f>I106</f>
        <v>1067827.95</v>
      </c>
      <c r="J116" s="641"/>
      <c r="K116" s="640">
        <f>K106</f>
        <v>5958479.96</v>
      </c>
      <c r="L116" s="641"/>
    </row>
    <row r="117" spans="1:32" hidden="1" x14ac:dyDescent="0.2">
      <c r="A117" s="178" t="s">
        <v>54</v>
      </c>
      <c r="J117" s="178">
        <f>SUM(W98:W116)</f>
        <v>0</v>
      </c>
      <c r="K117" s="178">
        <f>SUM(X98:X116)</f>
        <v>0</v>
      </c>
    </row>
    <row r="118" spans="1:32" hidden="1" x14ac:dyDescent="0.2">
      <c r="A118" s="178" t="s">
        <v>55</v>
      </c>
      <c r="J118" s="178">
        <f>SUM(Y98:Y117)</f>
        <v>0</v>
      </c>
      <c r="K118" s="178">
        <f>SUM(Z98:Z117)</f>
        <v>0</v>
      </c>
    </row>
    <row r="119" spans="1:32" hidden="1" x14ac:dyDescent="0.2"/>
    <row r="120" spans="1:32" ht="30" hidden="1" x14ac:dyDescent="0.25">
      <c r="A120" s="634" t="str">
        <f>CONCATENATE("Итого по локальной смете: ",IF([94]Source!G404&lt;&gt;"Новая локальная смета", [94]Source!G404, ""))</f>
        <v>Итого по локальной смете: Перегоны от ст. "Аминьевское шоссе" до токораздела со ст. "Мичуринский проспект". Инженерные системы. Магистральные сети путейских ящиков</v>
      </c>
      <c r="B120" s="634"/>
      <c r="C120" s="634"/>
      <c r="D120" s="634"/>
      <c r="E120" s="634"/>
      <c r="F120" s="634"/>
      <c r="G120" s="634"/>
      <c r="H120" s="634"/>
      <c r="I120" s="640">
        <f>SUM(O45:O119)</f>
        <v>71382.78</v>
      </c>
      <c r="J120" s="641"/>
      <c r="K120" s="640">
        <f>SUM(P45:P119)</f>
        <v>1215300.58</v>
      </c>
      <c r="L120" s="641"/>
      <c r="AF120" s="471" t="str">
        <f>CONCATENATE("Итого по локальной смете: ",IF([94]Source!G404&lt;&gt;"Новая локальная смета", [94]Source!G404, ""))</f>
        <v>Итого по локальной смете: Перегоны от ст. "Аминьевское шоссе" до токораздела со ст. "Мичуринский проспект". Инженерные системы. Магистральные сети путейских ящиков</v>
      </c>
    </row>
    <row r="121" spans="1:32" hidden="1" x14ac:dyDescent="0.2">
      <c r="A121" s="178" t="s">
        <v>54</v>
      </c>
      <c r="J121" s="178">
        <f>SUM(W45:W120)</f>
        <v>0</v>
      </c>
      <c r="K121" s="178">
        <f>SUM(X45:X120)</f>
        <v>0</v>
      </c>
    </row>
    <row r="122" spans="1:32" hidden="1" x14ac:dyDescent="0.2">
      <c r="A122" s="178" t="s">
        <v>55</v>
      </c>
      <c r="J122" s="178">
        <f>SUM(Y45:Y121)</f>
        <v>0</v>
      </c>
      <c r="K122" s="178">
        <f>SUM(Z45:Z121)</f>
        <v>0</v>
      </c>
    </row>
    <row r="124" spans="1:32" ht="15" x14ac:dyDescent="0.25">
      <c r="A124" s="634" t="s">
        <v>74</v>
      </c>
      <c r="B124" s="634"/>
      <c r="C124" s="634"/>
      <c r="D124" s="634"/>
      <c r="E124" s="634"/>
      <c r="F124" s="634"/>
      <c r="G124" s="634"/>
      <c r="H124" s="634"/>
      <c r="I124" s="640">
        <f>I116+I88</f>
        <v>1139210.73</v>
      </c>
      <c r="J124" s="641"/>
      <c r="K124" s="640">
        <f>K116+K88</f>
        <v>7173780.54</v>
      </c>
      <c r="L124" s="641"/>
    </row>
    <row r="125" spans="1:32" hidden="1" x14ac:dyDescent="0.2">
      <c r="A125" s="178" t="s">
        <v>54</v>
      </c>
      <c r="J125" s="178">
        <f>SUM(W1:W124)</f>
        <v>0</v>
      </c>
      <c r="K125" s="178">
        <f>SUM(X1:X124)</f>
        <v>0</v>
      </c>
    </row>
    <row r="126" spans="1:32" hidden="1" x14ac:dyDescent="0.2">
      <c r="A126" s="178" t="s">
        <v>55</v>
      </c>
      <c r="J126" s="178">
        <f>SUM(Y1:Y125)</f>
        <v>0</v>
      </c>
      <c r="K126" s="178">
        <f>SUM(Z1:Z125)</f>
        <v>0</v>
      </c>
    </row>
    <row r="127" spans="1:32" ht="14.25" x14ac:dyDescent="0.2">
      <c r="D127" s="635" t="str">
        <f>[94]Source!H463</f>
        <v>Стоимость материалов (всего)</v>
      </c>
      <c r="E127" s="635"/>
      <c r="F127" s="635"/>
      <c r="G127" s="635"/>
      <c r="H127" s="635"/>
      <c r="I127" s="638">
        <f>J101+J64</f>
        <v>467.12</v>
      </c>
      <c r="J127" s="638"/>
      <c r="K127" s="638">
        <f>L101+L64</f>
        <v>2606.5300000000002</v>
      </c>
      <c r="L127" s="638"/>
    </row>
    <row r="128" spans="1:32" ht="14.25" x14ac:dyDescent="0.2">
      <c r="D128" s="635" t="str">
        <f>[94]Source!H464</f>
        <v>ЗП машинистов</v>
      </c>
      <c r="E128" s="635"/>
      <c r="F128" s="635"/>
      <c r="G128" s="635"/>
      <c r="H128" s="635"/>
      <c r="I128" s="638">
        <f>[94]Source!F464</f>
        <v>6120.52</v>
      </c>
      <c r="J128" s="638"/>
      <c r="K128" s="638">
        <f>[94]Source!P464</f>
        <v>148300.20000000001</v>
      </c>
      <c r="L128" s="638"/>
    </row>
    <row r="129" spans="1:12" ht="14.25" x14ac:dyDescent="0.2">
      <c r="D129" s="635" t="str">
        <f>[94]Source!H465</f>
        <v>Основная ЗП рабочих</v>
      </c>
      <c r="E129" s="635"/>
      <c r="F129" s="635"/>
      <c r="G129" s="635"/>
      <c r="H129" s="635"/>
      <c r="I129" s="638">
        <f>[94]Source!F465</f>
        <v>13020.32</v>
      </c>
      <c r="J129" s="638"/>
      <c r="K129" s="638">
        <f>[94]Source!P465</f>
        <v>315482.34999999998</v>
      </c>
      <c r="L129" s="638"/>
    </row>
    <row r="130" spans="1:12" ht="15" hidden="1" x14ac:dyDescent="0.25">
      <c r="D130" s="472"/>
      <c r="I130" s="477"/>
      <c r="J130" s="477"/>
      <c r="K130" s="456"/>
      <c r="L130" s="456"/>
    </row>
    <row r="131" spans="1:12" ht="14.25" x14ac:dyDescent="0.2">
      <c r="D131" s="472"/>
      <c r="E131" s="472"/>
      <c r="F131" s="472"/>
      <c r="G131" s="472"/>
      <c r="H131" s="472"/>
      <c r="I131" s="457"/>
      <c r="J131" s="457"/>
      <c r="K131" s="457"/>
      <c r="L131" s="457"/>
    </row>
    <row r="132" spans="1:12" ht="15" x14ac:dyDescent="0.25">
      <c r="D132" s="266" t="s">
        <v>271</v>
      </c>
      <c r="E132" s="266"/>
      <c r="F132" s="266"/>
      <c r="G132" s="266"/>
      <c r="H132" s="266"/>
      <c r="I132" s="267"/>
      <c r="J132" s="268">
        <f>I97</f>
        <v>0</v>
      </c>
      <c r="K132" s="267"/>
      <c r="L132" s="268">
        <f>K97</f>
        <v>0</v>
      </c>
    </row>
    <row r="133" spans="1:12" ht="15" x14ac:dyDescent="0.25">
      <c r="D133" s="266" t="s">
        <v>272</v>
      </c>
      <c r="E133" s="266"/>
      <c r="F133" s="266"/>
      <c r="G133" s="266"/>
      <c r="H133" s="266"/>
      <c r="I133" s="267"/>
      <c r="J133" s="268">
        <f t="shared" ref="J133" si="1">J102</f>
        <v>1067827.95</v>
      </c>
      <c r="K133" s="268"/>
      <c r="L133" s="268">
        <f>L102</f>
        <v>5958479.96</v>
      </c>
    </row>
    <row r="134" spans="1:12" ht="14.25" x14ac:dyDescent="0.2">
      <c r="D134" s="472"/>
      <c r="E134" s="472"/>
      <c r="F134" s="472"/>
      <c r="G134" s="472"/>
      <c r="H134" s="472"/>
      <c r="I134" s="457"/>
      <c r="J134" s="457"/>
      <c r="K134" s="457"/>
      <c r="L134" s="457"/>
    </row>
    <row r="135" spans="1:12" ht="14.25" x14ac:dyDescent="0.2">
      <c r="D135" s="472" t="s">
        <v>57</v>
      </c>
      <c r="J135" s="249">
        <f>I124-J133</f>
        <v>71382.78</v>
      </c>
      <c r="K135" s="249"/>
      <c r="L135" s="249">
        <f>K124-L133</f>
        <v>1215300.58</v>
      </c>
    </row>
    <row r="136" spans="1:12" ht="14.25" x14ac:dyDescent="0.2">
      <c r="D136" s="472" t="s">
        <v>3</v>
      </c>
      <c r="J136" s="249">
        <f>J135</f>
        <v>71382.78</v>
      </c>
      <c r="K136" s="249"/>
      <c r="L136" s="249">
        <f>L135</f>
        <v>1215300.58</v>
      </c>
    </row>
    <row r="137" spans="1:12" ht="14.25" x14ac:dyDescent="0.2">
      <c r="D137" s="472" t="s">
        <v>58</v>
      </c>
      <c r="J137" s="249">
        <f>I128+I129</f>
        <v>19140.84</v>
      </c>
      <c r="K137" s="249"/>
      <c r="L137" s="249">
        <f>K128+K129</f>
        <v>463782.55</v>
      </c>
    </row>
    <row r="138" spans="1:12" ht="14.25" x14ac:dyDescent="0.2">
      <c r="D138" s="472" t="s">
        <v>59</v>
      </c>
      <c r="J138" s="249">
        <f>I127</f>
        <v>467.12</v>
      </c>
      <c r="K138" s="249"/>
      <c r="L138" s="249">
        <f>K127</f>
        <v>2606.5300000000002</v>
      </c>
    </row>
    <row r="139" spans="1:12" ht="14.25" x14ac:dyDescent="0.2">
      <c r="D139" s="472" t="s">
        <v>60</v>
      </c>
      <c r="J139" s="250">
        <v>0</v>
      </c>
      <c r="K139" s="250"/>
      <c r="L139" s="250">
        <v>0</v>
      </c>
    </row>
    <row r="140" spans="1:12" ht="14.25" customHeight="1" x14ac:dyDescent="0.2">
      <c r="A140" s="179"/>
      <c r="B140" s="179"/>
      <c r="C140" s="179"/>
      <c r="D140" s="635" t="s">
        <v>266</v>
      </c>
      <c r="E140" s="635"/>
      <c r="F140" s="635"/>
      <c r="G140" s="635"/>
      <c r="H140" s="635"/>
      <c r="I140" s="635"/>
      <c r="J140" s="251">
        <f>J137*0.15</f>
        <v>2871.13</v>
      </c>
      <c r="L140" s="251">
        <f>L137*0.15</f>
        <v>69567.38</v>
      </c>
    </row>
    <row r="141" spans="1:12" ht="15" x14ac:dyDescent="0.25">
      <c r="A141" s="90"/>
      <c r="B141" s="90"/>
      <c r="C141" s="90"/>
      <c r="D141" s="634" t="s">
        <v>265</v>
      </c>
      <c r="E141" s="634"/>
      <c r="F141" s="634"/>
      <c r="G141" s="634"/>
      <c r="H141" s="634"/>
      <c r="J141" s="253">
        <f>J135+J140</f>
        <v>74253.91</v>
      </c>
      <c r="L141" s="253">
        <f>L135+L140</f>
        <v>1284867.96</v>
      </c>
    </row>
    <row r="142" spans="1:12" ht="15" customHeight="1" x14ac:dyDescent="0.2">
      <c r="A142" s="179"/>
      <c r="B142" s="179"/>
      <c r="C142" s="179"/>
      <c r="D142" s="635"/>
      <c r="E142" s="635"/>
      <c r="F142" s="635"/>
      <c r="G142" s="635"/>
      <c r="H142" s="635"/>
      <c r="I142" s="636"/>
      <c r="J142" s="636"/>
      <c r="K142" s="636"/>
      <c r="L142" s="636"/>
    </row>
    <row r="143" spans="1:12" ht="15" customHeight="1" x14ac:dyDescent="0.25">
      <c r="A143" s="90"/>
      <c r="B143" s="90"/>
      <c r="C143" s="90"/>
      <c r="D143" s="634" t="s">
        <v>264</v>
      </c>
      <c r="E143" s="634"/>
      <c r="F143" s="634"/>
      <c r="G143" s="634"/>
      <c r="H143" s="634"/>
      <c r="I143" s="90"/>
      <c r="J143" s="90"/>
      <c r="K143" s="90"/>
      <c r="L143" s="254">
        <f>L135*0.925</f>
        <v>1124153.04</v>
      </c>
    </row>
    <row r="144" spans="1:12" ht="14.25" x14ac:dyDescent="0.2">
      <c r="D144" s="472" t="s">
        <v>3</v>
      </c>
      <c r="J144" s="249"/>
      <c r="K144" s="249"/>
      <c r="L144" s="249">
        <f>L136*0.925</f>
        <v>1124153.04</v>
      </c>
    </row>
    <row r="145" spans="1:12" ht="14.25" x14ac:dyDescent="0.2">
      <c r="D145" s="472" t="s">
        <v>58</v>
      </c>
      <c r="J145" s="249"/>
      <c r="K145" s="249"/>
      <c r="L145" s="249">
        <f>L137*0.925</f>
        <v>428998.86</v>
      </c>
    </row>
    <row r="146" spans="1:12" ht="14.25" x14ac:dyDescent="0.2">
      <c r="D146" s="472" t="s">
        <v>59</v>
      </c>
      <c r="J146" s="249"/>
      <c r="K146" s="249"/>
      <c r="L146" s="249">
        <f>L138*0.925</f>
        <v>2411.04</v>
      </c>
    </row>
    <row r="147" spans="1:12" ht="14.25" x14ac:dyDescent="0.2">
      <c r="D147" s="472" t="s">
        <v>60</v>
      </c>
      <c r="J147" s="250"/>
      <c r="K147" s="250"/>
      <c r="L147" s="250">
        <f>L139*0.925</f>
        <v>0</v>
      </c>
    </row>
    <row r="148" spans="1:12" ht="14.25" customHeight="1" x14ac:dyDescent="0.2">
      <c r="A148" s="179"/>
      <c r="B148" s="179"/>
      <c r="C148" s="179"/>
      <c r="D148" s="635" t="s">
        <v>266</v>
      </c>
      <c r="E148" s="635"/>
      <c r="F148" s="635"/>
      <c r="G148" s="635"/>
      <c r="H148" s="635"/>
      <c r="I148" s="635"/>
      <c r="J148" s="251"/>
      <c r="L148" s="251">
        <f t="shared" ref="L148" si="2">L140*0.925</f>
        <v>64349.83</v>
      </c>
    </row>
    <row r="149" spans="1:12" ht="14.25" customHeight="1" x14ac:dyDescent="0.25">
      <c r="A149" s="90"/>
      <c r="B149" s="90"/>
      <c r="C149" s="90"/>
      <c r="D149" s="634" t="s">
        <v>265</v>
      </c>
      <c r="E149" s="634"/>
      <c r="F149" s="634"/>
      <c r="G149" s="634"/>
      <c r="H149" s="634"/>
      <c r="J149" s="252"/>
      <c r="L149" s="253">
        <f>L143+L148</f>
        <v>1188502.8700000001</v>
      </c>
    </row>
  </sheetData>
  <mergeCells count="114">
    <mergeCell ref="D149:H149"/>
    <mergeCell ref="D148:I148"/>
    <mergeCell ref="D141:H141"/>
    <mergeCell ref="D142:H142"/>
    <mergeCell ref="I142:J142"/>
    <mergeCell ref="K142:L142"/>
    <mergeCell ref="D140:I140"/>
    <mergeCell ref="D143:H143"/>
    <mergeCell ref="D129:H129"/>
    <mergeCell ref="I129:J129"/>
    <mergeCell ref="K129:L129"/>
    <mergeCell ref="D127:H127"/>
    <mergeCell ref="I127:J127"/>
    <mergeCell ref="K127:L127"/>
    <mergeCell ref="D128:H128"/>
    <mergeCell ref="I128:J128"/>
    <mergeCell ref="K128:L128"/>
    <mergeCell ref="A124:H124"/>
    <mergeCell ref="I124:J124"/>
    <mergeCell ref="K124:L124"/>
    <mergeCell ref="I116:J116"/>
    <mergeCell ref="K116:L116"/>
    <mergeCell ref="A110:L110"/>
    <mergeCell ref="A92:L92"/>
    <mergeCell ref="A94:H94"/>
    <mergeCell ref="I94:J94"/>
    <mergeCell ref="K94:L94"/>
    <mergeCell ref="A98:L98"/>
    <mergeCell ref="A100:L100"/>
    <mergeCell ref="A120:H120"/>
    <mergeCell ref="I120:J120"/>
    <mergeCell ref="K120:L120"/>
    <mergeCell ref="I75:J75"/>
    <mergeCell ref="K75:L75"/>
    <mergeCell ref="A78:H78"/>
    <mergeCell ref="I78:J78"/>
    <mergeCell ref="K78:L78"/>
    <mergeCell ref="A82:L82"/>
    <mergeCell ref="I103:J103"/>
    <mergeCell ref="K103:L103"/>
    <mergeCell ref="A106:H106"/>
    <mergeCell ref="I106:J106"/>
    <mergeCell ref="K106:L106"/>
    <mergeCell ref="A84:H84"/>
    <mergeCell ref="I84:J84"/>
    <mergeCell ref="K84:L84"/>
    <mergeCell ref="A88:H88"/>
    <mergeCell ref="I88:J88"/>
    <mergeCell ref="K88:L88"/>
    <mergeCell ref="A112:H112"/>
    <mergeCell ref="I112:J112"/>
    <mergeCell ref="K112:L112"/>
    <mergeCell ref="A116:H116"/>
    <mergeCell ref="I69:J69"/>
    <mergeCell ref="K69:L69"/>
    <mergeCell ref="A42:L42"/>
    <mergeCell ref="A43:L43"/>
    <mergeCell ref="A45:L45"/>
    <mergeCell ref="C47:K47"/>
    <mergeCell ref="C49:K49"/>
    <mergeCell ref="A51:L51"/>
    <mergeCell ref="A53:L53"/>
    <mergeCell ref="A55:H55"/>
    <mergeCell ref="I55:J55"/>
    <mergeCell ref="K55:L55"/>
    <mergeCell ref="A59:L59"/>
    <mergeCell ref="A34:A39"/>
    <mergeCell ref="B34:B39"/>
    <mergeCell ref="A27:L27"/>
    <mergeCell ref="H29:I29"/>
    <mergeCell ref="A31:L31"/>
    <mergeCell ref="A32:B33"/>
    <mergeCell ref="C32:C39"/>
    <mergeCell ref="D32:D39"/>
    <mergeCell ref="E32:E39"/>
    <mergeCell ref="F32:F39"/>
    <mergeCell ref="G32:G39"/>
    <mergeCell ref="H32:H39"/>
    <mergeCell ref="I32:I39"/>
    <mergeCell ref="J32:J39"/>
    <mergeCell ref="K32:K39"/>
    <mergeCell ref="L32:L39"/>
    <mergeCell ref="J7:L8"/>
    <mergeCell ref="A8:B8"/>
    <mergeCell ref="C8:H8"/>
    <mergeCell ref="C9:H9"/>
    <mergeCell ref="J9:L10"/>
    <mergeCell ref="C10:H10"/>
    <mergeCell ref="I1:L1"/>
    <mergeCell ref="I2:L2"/>
    <mergeCell ref="I3:L3"/>
    <mergeCell ref="J5:L5"/>
    <mergeCell ref="J6:L6"/>
    <mergeCell ref="C15:H15"/>
    <mergeCell ref="J15:L16"/>
    <mergeCell ref="C16:H16"/>
    <mergeCell ref="C17:H17"/>
    <mergeCell ref="G18:I18"/>
    <mergeCell ref="J18:L18"/>
    <mergeCell ref="C11:H11"/>
    <mergeCell ref="J11:L12"/>
    <mergeCell ref="C12:H12"/>
    <mergeCell ref="C13:H13"/>
    <mergeCell ref="J13:L14"/>
    <mergeCell ref="C14:H14"/>
    <mergeCell ref="G23:G24"/>
    <mergeCell ref="H23:H24"/>
    <mergeCell ref="I23:J23"/>
    <mergeCell ref="G19:H19"/>
    <mergeCell ref="J19:L19"/>
    <mergeCell ref="B20:D20"/>
    <mergeCell ref="J20:L20"/>
    <mergeCell ref="B21:D21"/>
    <mergeCell ref="J21:L21"/>
  </mergeCells>
  <pageMargins left="0.39370078740157483" right="0.19685039370078741" top="0.19685039370078741" bottom="0.39370078740157483" header="0.31496062992125984" footer="0.31496062992125984"/>
  <pageSetup paperSize="9" scale="60" firstPageNumber="15" fitToHeight="0" orientation="portrait" blackAndWhite="1" useFirstPageNumber="1" r:id="rId1"/>
  <headerFooter>
    <oddFooter>&amp;R&amp;P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O141"/>
  <sheetViews>
    <sheetView tabSelected="1" view="pageBreakPreview" topLeftCell="A28" zoomScale="60" zoomScaleNormal="100" workbookViewId="0">
      <selection activeCell="AS67" sqref="AS66:AS67"/>
    </sheetView>
  </sheetViews>
  <sheetFormatPr defaultColWidth="9.33203125" defaultRowHeight="12" x14ac:dyDescent="0.2"/>
  <cols>
    <col min="1" max="2" width="9.5" style="1109" customWidth="1"/>
    <col min="3" max="3" width="17" style="1109" customWidth="1"/>
    <col min="4" max="4" width="50.5" style="1109" customWidth="1"/>
    <col min="5" max="7" width="13.6640625" style="1109" customWidth="1"/>
    <col min="8" max="8" width="14.83203125" style="1109" customWidth="1"/>
    <col min="9" max="9" width="12.5" style="1109" customWidth="1"/>
    <col min="10" max="11" width="14.83203125" style="1109" customWidth="1"/>
    <col min="12" max="12" width="16.5" style="1109" customWidth="1"/>
    <col min="13" max="14" width="9.33203125" style="1109"/>
    <col min="15" max="29" width="0" style="1109" hidden="1" customWidth="1"/>
    <col min="30" max="30" width="116.33203125" style="1109" hidden="1" customWidth="1"/>
    <col min="31" max="31" width="181.6640625" style="1109" hidden="1" customWidth="1"/>
    <col min="32" max="32" width="128" style="1109" hidden="1" customWidth="1"/>
    <col min="33" max="33" width="0" style="1109" hidden="1" customWidth="1"/>
    <col min="34" max="34" width="103.5" style="1109" hidden="1" customWidth="1"/>
    <col min="35" max="36" width="0" style="1109" hidden="1" customWidth="1"/>
    <col min="37" max="39" width="9.33203125" style="1109"/>
    <col min="40" max="40" width="9.5" style="1109" bestFit="1" customWidth="1"/>
    <col min="41" max="41" width="12.83203125" style="1109" bestFit="1" customWidth="1"/>
    <col min="42" max="16384" width="9.33203125" style="1109"/>
  </cols>
  <sheetData>
    <row r="1" spans="30:30" hidden="1" x14ac:dyDescent="0.2"/>
    <row r="2" spans="30:30" hidden="1" x14ac:dyDescent="0.2"/>
    <row r="3" spans="30:30" hidden="1" x14ac:dyDescent="0.2"/>
    <row r="4" spans="30:30" hidden="1" x14ac:dyDescent="0.2"/>
    <row r="5" spans="30:30" hidden="1" x14ac:dyDescent="0.2"/>
    <row r="6" spans="30:30" hidden="1" x14ac:dyDescent="0.2"/>
    <row r="7" spans="30:30" hidden="1" x14ac:dyDescent="0.2"/>
    <row r="8" spans="30:30" hidden="1" x14ac:dyDescent="0.2"/>
    <row r="9" spans="30:30" hidden="1" x14ac:dyDescent="0.2"/>
    <row r="10" spans="30:30" hidden="1" x14ac:dyDescent="0.2"/>
    <row r="11" spans="30:30" hidden="1" x14ac:dyDescent="0.2"/>
    <row r="12" spans="30:30" hidden="1" x14ac:dyDescent="0.2"/>
    <row r="13" spans="30:30" hidden="1" x14ac:dyDescent="0.2"/>
    <row r="14" spans="30:30" hidden="1" x14ac:dyDescent="0.2"/>
    <row r="15" spans="30:30" ht="36" hidden="1" x14ac:dyDescent="0.2">
      <c r="AD15" s="1110" t="s">
        <v>597</v>
      </c>
    </row>
    <row r="16" spans="30:30" hidden="1" x14ac:dyDescent="0.2"/>
    <row r="17" spans="1:12" hidden="1" x14ac:dyDescent="0.2"/>
    <row r="18" spans="1:12" hidden="1" x14ac:dyDescent="0.2"/>
    <row r="19" spans="1:12" hidden="1" x14ac:dyDescent="0.2"/>
    <row r="20" spans="1:12" hidden="1" x14ac:dyDescent="0.2"/>
    <row r="21" spans="1:12" hidden="1" x14ac:dyDescent="0.2"/>
    <row r="22" spans="1:12" hidden="1" x14ac:dyDescent="0.2"/>
    <row r="23" spans="1:12" hidden="1" x14ac:dyDescent="0.2"/>
    <row r="24" spans="1:12" hidden="1" x14ac:dyDescent="0.2"/>
    <row r="25" spans="1:12" hidden="1" x14ac:dyDescent="0.2"/>
    <row r="26" spans="1:12" hidden="1" x14ac:dyDescent="0.2"/>
    <row r="27" spans="1:12" hidden="1" x14ac:dyDescent="0.2"/>
    <row r="29" spans="1:12" x14ac:dyDescent="0.2">
      <c r="A29" s="790" t="s">
        <v>619</v>
      </c>
      <c r="B29" s="790"/>
      <c r="C29" s="790"/>
      <c r="D29" s="790"/>
      <c r="E29" s="790"/>
      <c r="F29" s="790"/>
      <c r="G29" s="790"/>
      <c r="H29" s="790"/>
      <c r="I29" s="790"/>
      <c r="J29" s="790"/>
      <c r="K29" s="790"/>
      <c r="L29" s="790"/>
    </row>
    <row r="30" spans="1:12" ht="36.75" hidden="1" customHeight="1" x14ac:dyDescent="0.2">
      <c r="A30" s="1111"/>
      <c r="B30" s="1112"/>
      <c r="C30" s="1112"/>
      <c r="D30" s="1112"/>
      <c r="E30" s="1112"/>
      <c r="F30" s="1112"/>
      <c r="G30" s="1112"/>
      <c r="H30" s="1112"/>
      <c r="I30" s="1112"/>
      <c r="J30" s="1112"/>
      <c r="K30" s="1112"/>
      <c r="L30" s="1112"/>
    </row>
    <row r="32" spans="1:12" x14ac:dyDescent="0.2">
      <c r="A32" s="1109" t="s">
        <v>598</v>
      </c>
      <c r="H32" s="1113"/>
      <c r="I32" s="1113"/>
    </row>
    <row r="33" spans="1:31" x14ac:dyDescent="0.2">
      <c r="A33" s="1114" t="s">
        <v>599</v>
      </c>
      <c r="B33" s="1114"/>
      <c r="C33" s="1114"/>
      <c r="D33" s="1114"/>
      <c r="E33" s="1114"/>
      <c r="F33" s="1114"/>
      <c r="G33" s="1114"/>
      <c r="H33" s="1114"/>
      <c r="I33" s="1114"/>
      <c r="J33" s="1114"/>
      <c r="K33" s="1114"/>
      <c r="L33" s="1114"/>
    </row>
    <row r="34" spans="1:31" x14ac:dyDescent="0.2">
      <c r="A34" s="1115" t="s">
        <v>38</v>
      </c>
      <c r="B34" s="1116"/>
      <c r="C34" s="1117" t="s">
        <v>39</v>
      </c>
      <c r="D34" s="1117" t="s">
        <v>40</v>
      </c>
      <c r="E34" s="1117" t="s">
        <v>75</v>
      </c>
      <c r="F34" s="1117" t="s">
        <v>600</v>
      </c>
      <c r="G34" s="1117" t="s">
        <v>601</v>
      </c>
      <c r="H34" s="1117" t="s">
        <v>602</v>
      </c>
      <c r="I34" s="1117" t="s">
        <v>603</v>
      </c>
      <c r="J34" s="1117" t="s">
        <v>604</v>
      </c>
      <c r="K34" s="1117" t="s">
        <v>605</v>
      </c>
      <c r="L34" s="1117" t="s">
        <v>606</v>
      </c>
    </row>
    <row r="35" spans="1:31" x14ac:dyDescent="0.2">
      <c r="A35" s="1118"/>
      <c r="B35" s="1119"/>
      <c r="C35" s="1120"/>
      <c r="D35" s="1120"/>
      <c r="E35" s="1120"/>
      <c r="F35" s="1120"/>
      <c r="G35" s="1120"/>
      <c r="H35" s="1120"/>
      <c r="I35" s="1120"/>
      <c r="J35" s="1120"/>
      <c r="K35" s="1120"/>
      <c r="L35" s="1120"/>
    </row>
    <row r="36" spans="1:31" ht="24" x14ac:dyDescent="0.2">
      <c r="A36" s="1121" t="s">
        <v>41</v>
      </c>
      <c r="B36" s="1121" t="s">
        <v>42</v>
      </c>
      <c r="C36" s="1122"/>
      <c r="D36" s="1122"/>
      <c r="E36" s="1122"/>
      <c r="F36" s="1122"/>
      <c r="G36" s="1122"/>
      <c r="H36" s="1122"/>
      <c r="I36" s="1122"/>
      <c r="J36" s="1122"/>
      <c r="K36" s="1122"/>
      <c r="L36" s="1122"/>
    </row>
    <row r="37" spans="1:31" x14ac:dyDescent="0.2">
      <c r="A37" s="1123">
        <v>1</v>
      </c>
      <c r="B37" s="1123">
        <v>2</v>
      </c>
      <c r="C37" s="1123">
        <v>3</v>
      </c>
      <c r="D37" s="1123">
        <v>4</v>
      </c>
      <c r="E37" s="1123">
        <v>5</v>
      </c>
      <c r="F37" s="1123">
        <v>6</v>
      </c>
      <c r="G37" s="1123">
        <v>7</v>
      </c>
      <c r="H37" s="1123">
        <v>8</v>
      </c>
      <c r="I37" s="1123">
        <v>9</v>
      </c>
      <c r="J37" s="1123">
        <v>10</v>
      </c>
      <c r="K37" s="1123">
        <v>11</v>
      </c>
      <c r="L37" s="1123">
        <v>12</v>
      </c>
    </row>
    <row r="38" spans="1:31" ht="15" hidden="1" customHeight="1" x14ac:dyDescent="0.2"/>
    <row r="39" spans="1:31" ht="15" hidden="1" customHeight="1" x14ac:dyDescent="0.2">
      <c r="A39" s="1124"/>
      <c r="B39" s="1125"/>
      <c r="C39" s="1125"/>
      <c r="D39" s="1126"/>
      <c r="E39" s="1126"/>
      <c r="F39" s="1126"/>
      <c r="G39" s="1126"/>
      <c r="H39" s="1126"/>
      <c r="I39" s="1126"/>
      <c r="J39" s="1126"/>
      <c r="K39" s="1126"/>
      <c r="L39" s="1126"/>
    </row>
    <row r="40" spans="1:31" s="1129" customFormat="1" ht="15" customHeight="1" x14ac:dyDescent="0.2">
      <c r="A40" s="1127" t="s">
        <v>607</v>
      </c>
      <c r="B40" s="1128"/>
      <c r="C40" s="1128"/>
      <c r="D40" s="1128"/>
      <c r="E40" s="1128"/>
      <c r="F40" s="1128"/>
      <c r="G40" s="1128"/>
      <c r="H40" s="1128"/>
      <c r="I40" s="1128"/>
      <c r="J40" s="1128"/>
      <c r="K40" s="1128"/>
      <c r="L40" s="1128"/>
    </row>
    <row r="41" spans="1:31" s="1129" customFormat="1" ht="15" customHeight="1" x14ac:dyDescent="0.2">
      <c r="A41" s="1130" t="s">
        <v>608</v>
      </c>
      <c r="B41" s="1131"/>
      <c r="C41" s="1131"/>
      <c r="D41" s="1131"/>
      <c r="E41" s="1131"/>
      <c r="F41" s="1131"/>
      <c r="G41" s="1131"/>
      <c r="H41" s="1131"/>
      <c r="I41" s="1131"/>
      <c r="J41" s="1131"/>
      <c r="K41" s="1131"/>
      <c r="L41" s="1131"/>
    </row>
    <row r="42" spans="1:31" s="1129" customFormat="1" x14ac:dyDescent="0.2">
      <c r="A42" s="1130" t="s">
        <v>609</v>
      </c>
      <c r="B42" s="1131"/>
      <c r="C42" s="1131"/>
      <c r="D42" s="1131"/>
      <c r="E42" s="1131"/>
      <c r="F42" s="1131"/>
      <c r="G42" s="1131"/>
      <c r="H42" s="1131"/>
      <c r="I42" s="1131"/>
      <c r="J42" s="1131"/>
      <c r="K42" s="1131"/>
      <c r="L42" s="1131"/>
    </row>
    <row r="43" spans="1:31" s="1129" customFormat="1" ht="32.25" customHeight="1" x14ac:dyDescent="0.2">
      <c r="A43" s="1132" t="s">
        <v>596</v>
      </c>
      <c r="B43" s="1133"/>
      <c r="C43" s="1133"/>
      <c r="D43" s="1133"/>
      <c r="E43" s="1133"/>
      <c r="F43" s="1133"/>
      <c r="G43" s="1133"/>
      <c r="H43" s="1133"/>
      <c r="I43" s="1133"/>
      <c r="J43" s="1133"/>
      <c r="K43" s="1133"/>
      <c r="L43" s="1133"/>
    </row>
    <row r="44" spans="1:31" s="1129" customFormat="1" x14ac:dyDescent="0.2">
      <c r="A44" s="1134" t="s">
        <v>610</v>
      </c>
      <c r="B44" s="1135"/>
      <c r="C44" s="1135"/>
      <c r="D44" s="1135"/>
      <c r="E44" s="1135"/>
      <c r="F44" s="1135"/>
      <c r="G44" s="1135"/>
      <c r="H44" s="1135"/>
      <c r="I44" s="1135"/>
      <c r="J44" s="1135"/>
      <c r="K44" s="1135"/>
      <c r="L44" s="1135"/>
    </row>
    <row r="45" spans="1:31" x14ac:dyDescent="0.2">
      <c r="A45" s="1134" t="s">
        <v>611</v>
      </c>
      <c r="B45" s="1135"/>
      <c r="C45" s="1135"/>
      <c r="D45" s="1135"/>
      <c r="E45" s="1135"/>
      <c r="F45" s="1135"/>
      <c r="G45" s="1135"/>
      <c r="H45" s="1135"/>
      <c r="I45" s="1135"/>
      <c r="J45" s="1135"/>
      <c r="K45" s="1135"/>
      <c r="L45" s="1135"/>
    </row>
    <row r="46" spans="1:31" ht="24" x14ac:dyDescent="0.2">
      <c r="A46" s="1136" t="str">
        <f>CONCATENATE("Локальная смета: ",IF([95]Source!G20&lt;&gt;"Новая локальная смета", [95]Source!G20, ""))</f>
        <v>Локальная смета: Перегоны от ст. "Мичуренский Проспект" (Включая монтажный и демонтажный котлован пл.4) до токараздела со ст. "Проспект вернадского". Инженерные системы. Тонельный водопровод. Тонельный водопровод после ПК 240+67,375 (1 Путь) ПК 240+68,019 (2 Путь)</v>
      </c>
      <c r="B46" s="1136"/>
      <c r="C46" s="1136"/>
      <c r="D46" s="1136"/>
      <c r="E46" s="1136"/>
      <c r="F46" s="1136"/>
      <c r="G46" s="1136"/>
      <c r="H46" s="1136"/>
      <c r="I46" s="1136"/>
      <c r="J46" s="1136"/>
      <c r="K46" s="1136"/>
      <c r="L46" s="1136"/>
      <c r="AE46" s="1137" t="str">
        <f>CONCATENATE("Локальная смета: ",IF([95]Source!G20&lt;&gt;"Новая локальная смета", [95]Source!G20, ""))</f>
        <v>Локальная смета: Перегоны от ст. "Мичуренский Проспект" (Включая монтажный и демонтажный котлован пл.4) до токараздела со ст. "Проспект вернадского". Инженерные системы. Тонельный водопровод. Тонельный водопровод после ПК 240+67,375 (1 Путь) ПК 240+68,019 (2 Путь)</v>
      </c>
    </row>
    <row r="48" spans="1:31" x14ac:dyDescent="0.2">
      <c r="A48" s="1136" t="str">
        <f>CONCATENATE("Раздел: ",IF([95]Source!G24&lt;&gt;"Новый раздел", [95]Source!G24, ""))</f>
        <v xml:space="preserve">Раздел: </v>
      </c>
      <c r="B48" s="1136"/>
      <c r="C48" s="1136"/>
      <c r="D48" s="1136"/>
      <c r="E48" s="1136"/>
      <c r="F48" s="1136"/>
      <c r="G48" s="1136"/>
      <c r="H48" s="1136"/>
      <c r="I48" s="1136"/>
      <c r="J48" s="1136"/>
      <c r="K48" s="1136"/>
      <c r="L48" s="1136"/>
    </row>
    <row r="49" spans="1:22" ht="36" x14ac:dyDescent="0.2">
      <c r="A49" s="1138">
        <v>1</v>
      </c>
      <c r="B49" s="1138" t="str">
        <f>[95]Source!E123</f>
        <v>44</v>
      </c>
      <c r="C49" s="1139" t="str">
        <f>[95]Source!F123</f>
        <v>1.6-1-269</v>
      </c>
      <c r="D49" s="1139" t="s">
        <v>481</v>
      </c>
      <c r="E49" s="1140" t="str">
        <f>[95]Source!H123</f>
        <v>т</v>
      </c>
      <c r="F49" s="1141">
        <f>[95]Source!I123</f>
        <v>0.83472000000000002</v>
      </c>
      <c r="G49" s="1142">
        <f>[95]Source!AL123</f>
        <v>12416.1</v>
      </c>
      <c r="H49" s="1143" t="str">
        <f>[95]Source!DD123</f>
        <v/>
      </c>
      <c r="I49" s="1141">
        <f>[95]Source!AW124</f>
        <v>1</v>
      </c>
      <c r="J49" s="1144">
        <f>[95]Source!P123</f>
        <v>10363.969999999999</v>
      </c>
      <c r="K49" s="1141">
        <f>IF([95]Source!BC124&lt;&gt; 0, [95]Source!BC124, 1)</f>
        <v>6.7</v>
      </c>
      <c r="L49" s="1144">
        <f>[95]Source!P124</f>
        <v>69438.600000000006</v>
      </c>
      <c r="M49" s="1109" t="s">
        <v>612</v>
      </c>
      <c r="Q49" s="1109">
        <f>[95]Source!X123</f>
        <v>0</v>
      </c>
      <c r="R49" s="1109">
        <f>[95]Source!X124</f>
        <v>0</v>
      </c>
      <c r="S49" s="1109">
        <f>[95]Source!Y123</f>
        <v>0</v>
      </c>
      <c r="T49" s="1109">
        <f>[95]Source!Y124</f>
        <v>0</v>
      </c>
      <c r="U49" s="1109">
        <f>ROUND((175/100)*ROUND([95]Source!R123, 2), 2)</f>
        <v>0</v>
      </c>
      <c r="V49" s="1109">
        <f>ROUND((157/100)*ROUND([95]Source!R124, 2), 2)</f>
        <v>0</v>
      </c>
    </row>
    <row r="50" spans="1:22" x14ac:dyDescent="0.2">
      <c r="A50" s="1145"/>
      <c r="B50" s="1145"/>
      <c r="C50" s="1145"/>
      <c r="D50" s="1146" t="s">
        <v>81</v>
      </c>
      <c r="E50" s="1145"/>
      <c r="F50" s="1145"/>
      <c r="G50" s="1145"/>
      <c r="H50" s="1145"/>
      <c r="I50" s="1147">
        <f>J49</f>
        <v>10363.969999999999</v>
      </c>
      <c r="J50" s="1147"/>
      <c r="K50" s="1147">
        <f>L49</f>
        <v>69438.600000000006</v>
      </c>
      <c r="L50" s="1147"/>
      <c r="O50" s="1148">
        <f>J49</f>
        <v>10363.969999999999</v>
      </c>
      <c r="P50" s="1148">
        <f>L49</f>
        <v>69438.600000000006</v>
      </c>
    </row>
    <row r="52" spans="1:22" x14ac:dyDescent="0.2">
      <c r="A52" s="1138">
        <v>2</v>
      </c>
      <c r="B52" s="1138" t="str">
        <f>[95]Source!E125</f>
        <v>45</v>
      </c>
      <c r="C52" s="1139" t="str">
        <f>[95]Source!F125</f>
        <v>1.1-1-1002</v>
      </c>
      <c r="D52" s="1139" t="s">
        <v>613</v>
      </c>
      <c r="E52" s="1140" t="str">
        <f>[95]Source!H125</f>
        <v>кг</v>
      </c>
      <c r="F52" s="1141">
        <f>[95]Source!I125</f>
        <v>41.36</v>
      </c>
      <c r="G52" s="1142">
        <f>[95]Source!AL125</f>
        <v>20.89</v>
      </c>
      <c r="H52" s="1143" t="str">
        <f>[95]Source!DD125</f>
        <v/>
      </c>
      <c r="I52" s="1141">
        <f>[95]Source!AW126</f>
        <v>1</v>
      </c>
      <c r="J52" s="1144">
        <f>[95]Source!P125</f>
        <v>864.01</v>
      </c>
      <c r="K52" s="1141">
        <f>IF([95]Source!BC126&lt;&gt; 0, [95]Source!BC126, 1)</f>
        <v>12.53</v>
      </c>
      <c r="L52" s="1144">
        <f>[95]Source!P126</f>
        <v>10826.05</v>
      </c>
      <c r="M52" s="1109" t="s">
        <v>612</v>
      </c>
      <c r="Q52" s="1109">
        <f>[95]Source!X125</f>
        <v>0</v>
      </c>
      <c r="R52" s="1109">
        <f>[95]Source!X126</f>
        <v>0</v>
      </c>
      <c r="S52" s="1109">
        <f>[95]Source!Y125</f>
        <v>0</v>
      </c>
      <c r="T52" s="1109">
        <f>[95]Source!Y126</f>
        <v>0</v>
      </c>
      <c r="U52" s="1109">
        <f>ROUND((175/100)*ROUND([95]Source!R125, 2), 2)</f>
        <v>0</v>
      </c>
      <c r="V52" s="1109">
        <f>ROUND((157/100)*ROUND([95]Source!R126, 2), 2)</f>
        <v>0</v>
      </c>
    </row>
    <row r="53" spans="1:22" x14ac:dyDescent="0.2">
      <c r="A53" s="1145"/>
      <c r="B53" s="1145"/>
      <c r="C53" s="1145"/>
      <c r="D53" s="1146" t="s">
        <v>81</v>
      </c>
      <c r="E53" s="1145"/>
      <c r="F53" s="1145"/>
      <c r="G53" s="1145"/>
      <c r="H53" s="1145"/>
      <c r="I53" s="1147">
        <f>J52</f>
        <v>864.01</v>
      </c>
      <c r="J53" s="1147"/>
      <c r="K53" s="1147">
        <f>L52</f>
        <v>10826.05</v>
      </c>
      <c r="L53" s="1147"/>
      <c r="O53" s="1148">
        <f>J52</f>
        <v>864.01</v>
      </c>
      <c r="P53" s="1148">
        <f>L52</f>
        <v>10826.05</v>
      </c>
    </row>
    <row r="55" spans="1:22" ht="24" x14ac:dyDescent="0.2">
      <c r="A55" s="1138">
        <v>3</v>
      </c>
      <c r="B55" s="1138" t="str">
        <f>[95]Source!E127</f>
        <v>46</v>
      </c>
      <c r="C55" s="1139" t="str">
        <f>[95]Source!F127</f>
        <v>1.1-1-3732</v>
      </c>
      <c r="D55" s="1139" t="s">
        <v>614</v>
      </c>
      <c r="E55" s="1140" t="str">
        <f>[95]Source!H127</f>
        <v>100 шт.</v>
      </c>
      <c r="F55" s="1141">
        <f>[95]Source!I127</f>
        <v>15.04</v>
      </c>
      <c r="G55" s="1142">
        <f>[95]Source!AL127</f>
        <v>679.91</v>
      </c>
      <c r="H55" s="1143" t="str">
        <f>[95]Source!DD127</f>
        <v/>
      </c>
      <c r="I55" s="1141">
        <f>[95]Source!AW128</f>
        <v>1</v>
      </c>
      <c r="J55" s="1144">
        <f>[95]Source!P127</f>
        <v>10225.85</v>
      </c>
      <c r="K55" s="1141">
        <f>IF([95]Source!BC128&lt;&gt; 0, [95]Source!BC128, 1)</f>
        <v>1.21</v>
      </c>
      <c r="L55" s="1144">
        <f>[95]Source!P128</f>
        <v>12373.28</v>
      </c>
      <c r="M55" s="1109" t="s">
        <v>612</v>
      </c>
      <c r="Q55" s="1109">
        <f>[95]Source!X127</f>
        <v>0</v>
      </c>
      <c r="R55" s="1109">
        <f>[95]Source!X128</f>
        <v>0</v>
      </c>
      <c r="S55" s="1109">
        <f>[95]Source!Y127</f>
        <v>0</v>
      </c>
      <c r="T55" s="1109">
        <f>[95]Source!Y128</f>
        <v>0</v>
      </c>
      <c r="U55" s="1109">
        <f>ROUND((175/100)*ROUND([95]Source!R127, 2), 2)</f>
        <v>0</v>
      </c>
      <c r="V55" s="1109">
        <f>ROUND((157/100)*ROUND([95]Source!R128, 2), 2)</f>
        <v>0</v>
      </c>
    </row>
    <row r="56" spans="1:22" x14ac:dyDescent="0.2">
      <c r="A56" s="1145"/>
      <c r="B56" s="1145"/>
      <c r="C56" s="1145"/>
      <c r="D56" s="1146" t="s">
        <v>81</v>
      </c>
      <c r="E56" s="1145"/>
      <c r="F56" s="1145"/>
      <c r="G56" s="1145"/>
      <c r="H56" s="1145"/>
      <c r="I56" s="1147">
        <f>J55</f>
        <v>10225.85</v>
      </c>
      <c r="J56" s="1147"/>
      <c r="K56" s="1147">
        <f>L55</f>
        <v>12373.28</v>
      </c>
      <c r="L56" s="1147"/>
      <c r="O56" s="1148">
        <f>J55</f>
        <v>10225.85</v>
      </c>
      <c r="P56" s="1148">
        <f>L55</f>
        <v>12373.28</v>
      </c>
    </row>
    <row r="58" spans="1:22" ht="24" x14ac:dyDescent="0.2">
      <c r="A58" s="1138">
        <v>4</v>
      </c>
      <c r="B58" s="1138" t="str">
        <f>[95]Source!E129</f>
        <v>47</v>
      </c>
      <c r="C58" s="1139" t="str">
        <f>[95]Source!F129</f>
        <v>1.1-1-3733</v>
      </c>
      <c r="D58" s="1139" t="s">
        <v>615</v>
      </c>
      <c r="E58" s="1140" t="str">
        <f>[95]Source!H129</f>
        <v>100 шт.</v>
      </c>
      <c r="F58" s="1141">
        <f>[95]Source!I129</f>
        <v>7.52</v>
      </c>
      <c r="G58" s="1142">
        <f>[95]Source!AL129</f>
        <v>98.74</v>
      </c>
      <c r="H58" s="1143" t="str">
        <f>[95]Source!DD129</f>
        <v/>
      </c>
      <c r="I58" s="1141">
        <f>[95]Source!AW130</f>
        <v>1</v>
      </c>
      <c r="J58" s="1144">
        <f>[95]Source!P129</f>
        <v>742.52</v>
      </c>
      <c r="K58" s="1141">
        <f>IF([95]Source!BC130&lt;&gt; 0, [95]Source!BC130, 1)</f>
        <v>1.95</v>
      </c>
      <c r="L58" s="1144">
        <f>[95]Source!P130</f>
        <v>1447.91</v>
      </c>
      <c r="M58" s="1109" t="s">
        <v>612</v>
      </c>
      <c r="Q58" s="1109">
        <f>[95]Source!X129</f>
        <v>0</v>
      </c>
      <c r="R58" s="1109">
        <f>[95]Source!X130</f>
        <v>0</v>
      </c>
      <c r="S58" s="1109">
        <f>[95]Source!Y129</f>
        <v>0</v>
      </c>
      <c r="T58" s="1109">
        <f>[95]Source!Y130</f>
        <v>0</v>
      </c>
      <c r="U58" s="1109">
        <f>ROUND((175/100)*ROUND([95]Source!R129, 2), 2)</f>
        <v>0</v>
      </c>
      <c r="V58" s="1109">
        <f>ROUND((157/100)*ROUND([95]Source!R130, 2), 2)</f>
        <v>0</v>
      </c>
    </row>
    <row r="59" spans="1:22" x14ac:dyDescent="0.2">
      <c r="A59" s="1145"/>
      <c r="B59" s="1145"/>
      <c r="C59" s="1145"/>
      <c r="D59" s="1146" t="s">
        <v>81</v>
      </c>
      <c r="E59" s="1145"/>
      <c r="F59" s="1145"/>
      <c r="G59" s="1145"/>
      <c r="H59" s="1145"/>
      <c r="I59" s="1147">
        <f>J58</f>
        <v>742.52</v>
      </c>
      <c r="J59" s="1147"/>
      <c r="K59" s="1147">
        <f>L58</f>
        <v>1447.91</v>
      </c>
      <c r="L59" s="1147"/>
      <c r="O59" s="1148">
        <f>J58</f>
        <v>742.52</v>
      </c>
      <c r="P59" s="1148">
        <f>L58</f>
        <v>1447.91</v>
      </c>
    </row>
    <row r="61" spans="1:22" ht="36" x14ac:dyDescent="0.2">
      <c r="A61" s="1149">
        <v>5</v>
      </c>
      <c r="B61" s="1149" t="str">
        <f>[95]Source!E137</f>
        <v>51</v>
      </c>
      <c r="C61" s="1150" t="str">
        <f>[95]Source!F137</f>
        <v>3.13-11-6</v>
      </c>
      <c r="D61" s="1150" t="s">
        <v>616</v>
      </c>
      <c r="E61" s="1151" t="str">
        <f>[95]Source!H137</f>
        <v>100 м2</v>
      </c>
      <c r="F61" s="1152">
        <f>[95]Source!I137</f>
        <v>0.43099999999999999</v>
      </c>
      <c r="G61" s="1153"/>
      <c r="H61" s="1154"/>
      <c r="I61" s="1152"/>
      <c r="J61" s="1155"/>
      <c r="K61" s="1152"/>
      <c r="L61" s="1155"/>
      <c r="Q61" s="1109">
        <f>[95]Source!X137</f>
        <v>23.92</v>
      </c>
      <c r="R61" s="1109">
        <f>[95]Source!X138</f>
        <v>469.17</v>
      </c>
      <c r="S61" s="1109">
        <f>[95]Source!Y137</f>
        <v>17.54</v>
      </c>
      <c r="T61" s="1109">
        <f>[95]Source!Y138</f>
        <v>226.3</v>
      </c>
      <c r="U61" s="1109">
        <f>ROUND((175/100)*ROUND([95]Source!R137, 2), 2)</f>
        <v>2.92</v>
      </c>
      <c r="V61" s="1109">
        <f>ROUND((157/100)*ROUND([95]Source!R138, 2), 2)</f>
        <v>63.52</v>
      </c>
    </row>
    <row r="62" spans="1:22" x14ac:dyDescent="0.2">
      <c r="A62" s="1149"/>
      <c r="B62" s="1149"/>
      <c r="C62" s="1150"/>
      <c r="D62" s="1150" t="s">
        <v>43</v>
      </c>
      <c r="E62" s="1151"/>
      <c r="F62" s="1152"/>
      <c r="G62" s="1153">
        <f>[95]Source!AO137</f>
        <v>30.23</v>
      </c>
      <c r="H62" s="1154" t="str">
        <f>[95]Source!DG137</f>
        <v>)*1,67</v>
      </c>
      <c r="I62" s="1152">
        <f>[95]Source!AV138</f>
        <v>1.0469999999999999</v>
      </c>
      <c r="J62" s="1155">
        <f>[95]Source!S137</f>
        <v>22.78</v>
      </c>
      <c r="K62" s="1152">
        <f>IF([95]Source!BA138&lt;&gt; 0, [95]Source!BA138, 1)</f>
        <v>24.23</v>
      </c>
      <c r="L62" s="1155">
        <f>[95]Source!S138</f>
        <v>551.96</v>
      </c>
    </row>
    <row r="63" spans="1:22" x14ac:dyDescent="0.2">
      <c r="A63" s="1149"/>
      <c r="B63" s="1149"/>
      <c r="C63" s="1150"/>
      <c r="D63" s="1150" t="s">
        <v>44</v>
      </c>
      <c r="E63" s="1151"/>
      <c r="F63" s="1152"/>
      <c r="G63" s="1153">
        <f>[95]Source!AM137</f>
        <v>22.38</v>
      </c>
      <c r="H63" s="1154" t="str">
        <f>[95]Source!DE137</f>
        <v/>
      </c>
      <c r="I63" s="1152">
        <f>[95]Source!AV138</f>
        <v>1.0469999999999999</v>
      </c>
      <c r="J63" s="1155">
        <f>[95]Source!Q137-J74</f>
        <v>10.1</v>
      </c>
      <c r="K63" s="1152">
        <f>IF([95]Source!BB138&lt;&gt; 0, [95]Source!BB138, 1)</f>
        <v>6.42</v>
      </c>
      <c r="L63" s="1155">
        <f>[95]Source!Q138-L74</f>
        <v>64.81</v>
      </c>
    </row>
    <row r="64" spans="1:22" x14ac:dyDescent="0.2">
      <c r="A64" s="1149"/>
      <c r="B64" s="1149"/>
      <c r="C64" s="1150"/>
      <c r="D64" s="1150" t="s">
        <v>45</v>
      </c>
      <c r="E64" s="1151"/>
      <c r="F64" s="1152"/>
      <c r="G64" s="1153">
        <f>[95]Source!AN137</f>
        <v>2.2200000000000002</v>
      </c>
      <c r="H64" s="1154" t="str">
        <f>[95]Source!DE137</f>
        <v/>
      </c>
      <c r="I64" s="1152">
        <f>[95]Source!AV138</f>
        <v>1.0469999999999999</v>
      </c>
      <c r="J64" s="1156">
        <f>[95]Source!R137-J75</f>
        <v>1</v>
      </c>
      <c r="K64" s="1152">
        <f>IF([95]Source!BS138&lt;&gt; 0, [95]Source!BS138, 1)</f>
        <v>24.23</v>
      </c>
      <c r="L64" s="1156">
        <f>[95]Source!R138-L75</f>
        <v>24.2</v>
      </c>
    </row>
    <row r="65" spans="1:22" x14ac:dyDescent="0.2">
      <c r="A65" s="1149"/>
      <c r="B65" s="1149"/>
      <c r="C65" s="1150"/>
      <c r="D65" s="1150" t="s">
        <v>46</v>
      </c>
      <c r="E65" s="1151"/>
      <c r="F65" s="1152"/>
      <c r="G65" s="1153">
        <f>[95]Source!AL137</f>
        <v>20.16</v>
      </c>
      <c r="H65" s="1154" t="str">
        <f>[95]Source!DD137</f>
        <v/>
      </c>
      <c r="I65" s="1152">
        <f>[95]Source!AW138</f>
        <v>1</v>
      </c>
      <c r="J65" s="1155">
        <f>[95]Source!P137</f>
        <v>8.69</v>
      </c>
      <c r="K65" s="1152">
        <f>IF([95]Source!BC138&lt;&gt; 0, [95]Source!BC138, 1)</f>
        <v>7.86</v>
      </c>
      <c r="L65" s="1155">
        <f>[95]Source!P138</f>
        <v>68.3</v>
      </c>
    </row>
    <row r="66" spans="1:22" ht="36" x14ac:dyDescent="0.2">
      <c r="A66" s="1149">
        <v>6</v>
      </c>
      <c r="B66" s="1149" t="str">
        <f>[95]Source!E139</f>
        <v>51,1</v>
      </c>
      <c r="C66" s="1150" t="str">
        <f>[95]Source!F139</f>
        <v>1.1-1-413</v>
      </c>
      <c r="D66" s="1150" t="s">
        <v>617</v>
      </c>
      <c r="E66" s="1151" t="str">
        <f>[95]Source!H139</f>
        <v>кг</v>
      </c>
      <c r="F66" s="1152">
        <f>[95]Source!I139</f>
        <v>33.133125</v>
      </c>
      <c r="G66" s="1153">
        <f>[95]Source!AK139</f>
        <v>47.9</v>
      </c>
      <c r="H66" s="1157" t="s">
        <v>20</v>
      </c>
      <c r="I66" s="1152">
        <f>[95]Source!AW140</f>
        <v>1</v>
      </c>
      <c r="J66" s="1155">
        <f>[95]Source!O139</f>
        <v>1587.08</v>
      </c>
      <c r="K66" s="1152">
        <f>IF([95]Source!BC140&lt;&gt; 0, [95]Source!BC140, 1)</f>
        <v>2.66</v>
      </c>
      <c r="L66" s="1155">
        <f>[95]Source!O140</f>
        <v>4221.63</v>
      </c>
      <c r="Q66" s="1109">
        <f>[95]Source!X139</f>
        <v>0</v>
      </c>
      <c r="R66" s="1109">
        <f>[95]Source!X140</f>
        <v>0</v>
      </c>
      <c r="S66" s="1109">
        <f>[95]Source!Y139</f>
        <v>0</v>
      </c>
      <c r="T66" s="1109">
        <f>[95]Source!Y140</f>
        <v>0</v>
      </c>
      <c r="U66" s="1109">
        <f>ROUND((175/100)*ROUND([95]Source!R139, 2), 2)</f>
        <v>0</v>
      </c>
      <c r="V66" s="1109">
        <f>ROUND((157/100)*ROUND([95]Source!R140, 2), 2)</f>
        <v>0</v>
      </c>
    </row>
    <row r="67" spans="1:22" x14ac:dyDescent="0.2">
      <c r="A67" s="1149"/>
      <c r="B67" s="1149"/>
      <c r="C67" s="1150"/>
      <c r="D67" s="1150" t="s">
        <v>47</v>
      </c>
      <c r="E67" s="1151" t="s">
        <v>48</v>
      </c>
      <c r="F67" s="1152">
        <f>[95]Source!DN138</f>
        <v>105</v>
      </c>
      <c r="G67" s="1153"/>
      <c r="H67" s="1154"/>
      <c r="I67" s="1152"/>
      <c r="J67" s="1155">
        <f>SUM(Q61:Q66)</f>
        <v>23.92</v>
      </c>
      <c r="K67" s="1152">
        <f>[95]Source!BZ138</f>
        <v>85</v>
      </c>
      <c r="L67" s="1155">
        <f>SUM(R61:R66)</f>
        <v>469.17</v>
      </c>
    </row>
    <row r="68" spans="1:22" x14ac:dyDescent="0.2">
      <c r="A68" s="1149"/>
      <c r="B68" s="1149"/>
      <c r="C68" s="1150"/>
      <c r="D68" s="1150" t="s">
        <v>49</v>
      </c>
      <c r="E68" s="1151" t="s">
        <v>48</v>
      </c>
      <c r="F68" s="1152">
        <f>[95]Source!DO138</f>
        <v>77</v>
      </c>
      <c r="G68" s="1153"/>
      <c r="H68" s="1154"/>
      <c r="I68" s="1152"/>
      <c r="J68" s="1155">
        <f>SUM(S61:S67)</f>
        <v>17.54</v>
      </c>
      <c r="K68" s="1152">
        <f>[95]Source!CA138</f>
        <v>41</v>
      </c>
      <c r="L68" s="1155">
        <f>SUM(T61:T67)</f>
        <v>226.3</v>
      </c>
    </row>
    <row r="69" spans="1:22" x14ac:dyDescent="0.2">
      <c r="A69" s="1149"/>
      <c r="B69" s="1149"/>
      <c r="C69" s="1150"/>
      <c r="D69" s="1150" t="s">
        <v>50</v>
      </c>
      <c r="E69" s="1151" t="s">
        <v>48</v>
      </c>
      <c r="F69" s="1152">
        <f>175</f>
        <v>175</v>
      </c>
      <c r="G69" s="1153"/>
      <c r="H69" s="1154"/>
      <c r="I69" s="1152"/>
      <c r="J69" s="1155">
        <f>SUM(U61:U68)-J76</f>
        <v>1.75</v>
      </c>
      <c r="K69" s="1152">
        <f>157</f>
        <v>157</v>
      </c>
      <c r="L69" s="1155">
        <f>SUM(V61:V68)-L76</f>
        <v>37.99</v>
      </c>
    </row>
    <row r="70" spans="1:22" x14ac:dyDescent="0.2">
      <c r="A70" s="1138"/>
      <c r="B70" s="1138"/>
      <c r="C70" s="1139"/>
      <c r="D70" s="1139" t="s">
        <v>51</v>
      </c>
      <c r="E70" s="1140" t="s">
        <v>52</v>
      </c>
      <c r="F70" s="1141">
        <f>[95]Source!AQ137</f>
        <v>2.54</v>
      </c>
      <c r="G70" s="1142"/>
      <c r="H70" s="1143" t="str">
        <f>[95]Source!DI137</f>
        <v/>
      </c>
      <c r="I70" s="1141">
        <f>[95]Source!AV138</f>
        <v>1.0469999999999999</v>
      </c>
      <c r="J70" s="1144">
        <f>[95]Source!U137</f>
        <v>1.1499999999999999</v>
      </c>
      <c r="K70" s="1141"/>
      <c r="L70" s="1144"/>
    </row>
    <row r="71" spans="1:22" x14ac:dyDescent="0.2">
      <c r="D71" s="1158" t="s">
        <v>81</v>
      </c>
      <c r="I71" s="1159">
        <f>J62+J63+J65+J67+J68+J69+SUM(J66:J66)</f>
        <v>1671.86</v>
      </c>
      <c r="J71" s="1159"/>
      <c r="K71" s="1159">
        <f>L62+L63+L65+L67+L68+L69+SUM(L66:L66)</f>
        <v>5640.16</v>
      </c>
      <c r="L71" s="1159"/>
      <c r="O71" s="1148">
        <f>J62+J63+J65+J67+J68+J69+SUM(J66:J66)</f>
        <v>1671.86</v>
      </c>
      <c r="P71" s="1148">
        <f>L62+L63+L65+L67+L68+L69+SUM(L66:L66)</f>
        <v>5640.16</v>
      </c>
    </row>
    <row r="73" spans="1:22" x14ac:dyDescent="0.2">
      <c r="A73" s="1149">
        <v>7</v>
      </c>
      <c r="B73" s="1149" t="str">
        <f>CONCATENATE([95]Source!E137, "/1")</f>
        <v>51/1</v>
      </c>
      <c r="C73" s="1150" t="str">
        <f>CONCATENATE([95]Source!F137, "/1")</f>
        <v>3.13-11-6/1</v>
      </c>
      <c r="D73" s="1150" t="s">
        <v>82</v>
      </c>
      <c r="E73" s="1151" t="str">
        <f>[95]Source!H137</f>
        <v>100 м2</v>
      </c>
      <c r="F73" s="1152">
        <f>[95]Source!I137</f>
        <v>0.43099999999999999</v>
      </c>
      <c r="G73" s="1153"/>
      <c r="H73" s="1154"/>
      <c r="I73" s="1152"/>
      <c r="J73" s="1155"/>
      <c r="K73" s="1152"/>
      <c r="L73" s="1155"/>
    </row>
    <row r="74" spans="1:22" x14ac:dyDescent="0.2">
      <c r="A74" s="1149"/>
      <c r="B74" s="1149"/>
      <c r="C74" s="1150"/>
      <c r="D74" s="1150" t="s">
        <v>44</v>
      </c>
      <c r="E74" s="1151"/>
      <c r="F74" s="1152"/>
      <c r="G74" s="1153">
        <f t="shared" ref="G74:L74" si="0">G75</f>
        <v>2.2200000000000002</v>
      </c>
      <c r="H74" s="1160" t="str">
        <f t="shared" si="0"/>
        <v>)*(1.67-1)</v>
      </c>
      <c r="I74" s="1152">
        <f t="shared" si="0"/>
        <v>1.0469999999999999</v>
      </c>
      <c r="J74" s="1155">
        <f t="shared" si="0"/>
        <v>0.67</v>
      </c>
      <c r="K74" s="1152">
        <f t="shared" si="0"/>
        <v>24.23</v>
      </c>
      <c r="L74" s="1155">
        <f t="shared" si="0"/>
        <v>16.260000000000002</v>
      </c>
    </row>
    <row r="75" spans="1:22" x14ac:dyDescent="0.2">
      <c r="A75" s="1149"/>
      <c r="B75" s="1149"/>
      <c r="C75" s="1150"/>
      <c r="D75" s="1150" t="s">
        <v>45</v>
      </c>
      <c r="E75" s="1151"/>
      <c r="F75" s="1152"/>
      <c r="G75" s="1153">
        <f>[95]Source!AN137</f>
        <v>2.2200000000000002</v>
      </c>
      <c r="H75" s="1160" t="s">
        <v>53</v>
      </c>
      <c r="I75" s="1152">
        <f>[95]Source!AV138</f>
        <v>1.0469999999999999</v>
      </c>
      <c r="J75" s="1156">
        <f>ROUND(F61*G75*I75*(1.67-1), 2)</f>
        <v>0.67</v>
      </c>
      <c r="K75" s="1152">
        <f>IF([95]Source!BS138&lt;&gt; 0, [95]Source!BS138, 1)</f>
        <v>24.23</v>
      </c>
      <c r="L75" s="1156">
        <f>ROUND(F61*G75*I75*(1.67-1)*K75, 2)</f>
        <v>16.260000000000002</v>
      </c>
    </row>
    <row r="76" spans="1:22" x14ac:dyDescent="0.2">
      <c r="A76" s="1149"/>
      <c r="B76" s="1149"/>
      <c r="C76" s="1150"/>
      <c r="D76" s="1150" t="s">
        <v>50</v>
      </c>
      <c r="E76" s="1151" t="s">
        <v>48</v>
      </c>
      <c r="F76" s="1152">
        <f>175</f>
        <v>175</v>
      </c>
      <c r="G76" s="1153"/>
      <c r="H76" s="1154"/>
      <c r="I76" s="1152"/>
      <c r="J76" s="1155">
        <f>ROUND(J75*(F76/100), 2)</f>
        <v>1.17</v>
      </c>
      <c r="K76" s="1152">
        <f>157</f>
        <v>157</v>
      </c>
      <c r="L76" s="1155">
        <f>ROUND(L75*(K76/100), 2)</f>
        <v>25.53</v>
      </c>
    </row>
    <row r="77" spans="1:22" x14ac:dyDescent="0.2">
      <c r="A77" s="1145"/>
      <c r="B77" s="1145"/>
      <c r="C77" s="1145"/>
      <c r="D77" s="1146" t="s">
        <v>81</v>
      </c>
      <c r="E77" s="1145"/>
      <c r="F77" s="1145"/>
      <c r="G77" s="1145"/>
      <c r="H77" s="1145"/>
      <c r="I77" s="1147">
        <f>J76+J75</f>
        <v>1.84</v>
      </c>
      <c r="J77" s="1147"/>
      <c r="K77" s="1147">
        <f>L76+L75</f>
        <v>41.79</v>
      </c>
      <c r="L77" s="1147"/>
      <c r="O77" s="1148">
        <f>I77</f>
        <v>1.84</v>
      </c>
      <c r="P77" s="1148">
        <f>K77</f>
        <v>41.79</v>
      </c>
    </row>
    <row r="80" spans="1:22" x14ac:dyDescent="0.2">
      <c r="A80" s="1161" t="str">
        <f>CONCATENATE("Итого по разделу: ",IF([95]Source!G142&lt;&gt;"Новый раздел", [95]Source!G142, ""))</f>
        <v xml:space="preserve">Итого по разделу: </v>
      </c>
      <c r="B80" s="1161"/>
      <c r="C80" s="1161"/>
      <c r="D80" s="1161"/>
      <c r="E80" s="1161"/>
      <c r="F80" s="1161"/>
      <c r="G80" s="1161"/>
      <c r="H80" s="1161"/>
      <c r="I80" s="1162">
        <f>SUM(O48:O79)</f>
        <v>23870.05</v>
      </c>
      <c r="J80" s="1163"/>
      <c r="K80" s="1162">
        <f>SUM(P48:P79)</f>
        <v>99767.79</v>
      </c>
      <c r="L80" s="1163"/>
    </row>
    <row r="81" spans="1:32" hidden="1" x14ac:dyDescent="0.2">
      <c r="A81" s="1109" t="s">
        <v>54</v>
      </c>
      <c r="J81" s="1109">
        <f>SUM(W48:W80)</f>
        <v>0</v>
      </c>
      <c r="K81" s="1109">
        <f>SUM(X48:X80)</f>
        <v>0</v>
      </c>
    </row>
    <row r="82" spans="1:32" hidden="1" x14ac:dyDescent="0.2">
      <c r="A82" s="1109" t="s">
        <v>55</v>
      </c>
      <c r="J82" s="1109">
        <f>SUM(Y48:Y81)</f>
        <v>0</v>
      </c>
      <c r="K82" s="1109">
        <f>SUM(Z48:Z81)</f>
        <v>0</v>
      </c>
    </row>
    <row r="84" spans="1:32" ht="36" hidden="1" x14ac:dyDescent="0.2">
      <c r="A84" s="1161" t="str">
        <f>CONCATENATE("Итого по локальной смете: ",IF([95]Source!G171&lt;&gt;"Новая локальная смета", [95]Source!G171, ""))</f>
        <v>Итого по локальной смете: Перегоны от ст. "Мичуренский Проспект" (Включая монтажный и демонтажный котлован пл.4) до токараздела со ст. "Проспект вернадского". Инженерные системы. Тонельный водопровод. Тонельный водопровод после ПК 240+67,375 (1 Путь) ПК 240+68,019 (2 Путь)</v>
      </c>
      <c r="B84" s="1161"/>
      <c r="C84" s="1161"/>
      <c r="D84" s="1161"/>
      <c r="E84" s="1161"/>
      <c r="F84" s="1161"/>
      <c r="G84" s="1161"/>
      <c r="H84" s="1161"/>
      <c r="I84" s="1162">
        <f>SUM(O46:O83)</f>
        <v>23870.05</v>
      </c>
      <c r="J84" s="1163"/>
      <c r="K84" s="1162">
        <f>SUM(P46:P83)</f>
        <v>99767.79</v>
      </c>
      <c r="L84" s="1163"/>
      <c r="AF84" s="1164" t="str">
        <f>CONCATENATE("Итого по локальной смете: ",IF([95]Source!G171&lt;&gt;"Новая локальная смета", [95]Source!G171, ""))</f>
        <v>Итого по локальной смете: Перегоны от ст. "Мичуренский Проспект" (Включая монтажный и демонтажный котлован пл.4) до токараздела со ст. "Проспект вернадского". Инженерные системы. Тонельный водопровод. Тонельный водопровод после ПК 240+67,375 (1 Путь) ПК 240+68,019 (2 Путь)</v>
      </c>
    </row>
    <row r="85" spans="1:32" hidden="1" x14ac:dyDescent="0.2">
      <c r="A85" s="1109" t="s">
        <v>54</v>
      </c>
      <c r="J85" s="1109">
        <f>SUM(W46:W84)</f>
        <v>0</v>
      </c>
      <c r="K85" s="1109">
        <f>SUM(X46:X84)</f>
        <v>0</v>
      </c>
    </row>
    <row r="86" spans="1:32" hidden="1" x14ac:dyDescent="0.2">
      <c r="A86" s="1109" t="s">
        <v>55</v>
      </c>
      <c r="J86" s="1109">
        <f>SUM(Y46:Y85)</f>
        <v>0</v>
      </c>
      <c r="K86" s="1109">
        <f>SUM(Z46:Z85)</f>
        <v>0</v>
      </c>
    </row>
    <row r="87" spans="1:32" hidden="1" x14ac:dyDescent="0.2">
      <c r="D87" s="1165" t="str">
        <f>[95]Source!H177</f>
        <v>Стоимость материалов (всего)</v>
      </c>
      <c r="E87" s="1165"/>
      <c r="F87" s="1165"/>
      <c r="G87" s="1165"/>
      <c r="H87" s="1165"/>
      <c r="I87" s="1166">
        <f>[95]Source!F177</f>
        <v>23792.12</v>
      </c>
      <c r="J87" s="1166"/>
      <c r="K87" s="1166">
        <f>[95]Source!P177</f>
        <v>98375.77</v>
      </c>
      <c r="L87" s="1166"/>
    </row>
    <row r="88" spans="1:32" hidden="1" x14ac:dyDescent="0.2">
      <c r="D88" s="1165" t="str">
        <f>[95]Source!H185</f>
        <v>ЗП машинистов</v>
      </c>
      <c r="E88" s="1165"/>
      <c r="F88" s="1165"/>
      <c r="G88" s="1165"/>
      <c r="H88" s="1165"/>
      <c r="I88" s="1166">
        <f>[95]Source!F185</f>
        <v>1.67</v>
      </c>
      <c r="J88" s="1166"/>
      <c r="K88" s="1166">
        <f>[95]Source!P185</f>
        <v>40.46</v>
      </c>
      <c r="L88" s="1166"/>
    </row>
    <row r="89" spans="1:32" hidden="1" x14ac:dyDescent="0.2">
      <c r="D89" s="1165" t="str">
        <f>[95]Source!H186</f>
        <v>Основная ЗП рабочих</v>
      </c>
      <c r="E89" s="1165"/>
      <c r="F89" s="1165"/>
      <c r="G89" s="1165"/>
      <c r="H89" s="1165"/>
      <c r="I89" s="1166">
        <f>[95]Source!F186</f>
        <v>22.78</v>
      </c>
      <c r="J89" s="1166"/>
      <c r="K89" s="1166">
        <f>[95]Source!P186</f>
        <v>551.96</v>
      </c>
      <c r="L89" s="1166"/>
    </row>
    <row r="90" spans="1:32" hidden="1" x14ac:dyDescent="0.2">
      <c r="D90" s="1165" t="str">
        <f>[95]Source!H196</f>
        <v>Накладные расходы</v>
      </c>
      <c r="E90" s="1165"/>
      <c r="F90" s="1165"/>
      <c r="G90" s="1165"/>
      <c r="H90" s="1165"/>
      <c r="I90" s="1166">
        <f>[95]Source!F196</f>
        <v>23.92</v>
      </c>
      <c r="J90" s="1166"/>
      <c r="K90" s="1166">
        <f>[95]Source!P196</f>
        <v>469.17</v>
      </c>
      <c r="L90" s="1166"/>
    </row>
    <row r="91" spans="1:32" hidden="1" x14ac:dyDescent="0.2">
      <c r="D91" s="1165" t="str">
        <f>[95]Source!H197</f>
        <v>Сметная прибыль</v>
      </c>
      <c r="E91" s="1165"/>
      <c r="F91" s="1165"/>
      <c r="G91" s="1165"/>
      <c r="H91" s="1165"/>
      <c r="I91" s="1166">
        <f>[95]Source!F197</f>
        <v>17.54</v>
      </c>
      <c r="J91" s="1166"/>
      <c r="K91" s="1166">
        <f>[95]Source!P197</f>
        <v>226.3</v>
      </c>
      <c r="L91" s="1166"/>
    </row>
    <row r="92" spans="1:32" hidden="1" x14ac:dyDescent="0.2"/>
    <row r="93" spans="1:32" x14ac:dyDescent="0.2">
      <c r="A93" s="1161" t="s">
        <v>202</v>
      </c>
      <c r="B93" s="1161"/>
      <c r="C93" s="1161"/>
      <c r="D93" s="1161"/>
      <c r="E93" s="1161"/>
      <c r="F93" s="1161"/>
      <c r="G93" s="1161"/>
      <c r="H93" s="1161"/>
      <c r="I93" s="1162">
        <f>SUM(O1:O92)</f>
        <v>23870.05</v>
      </c>
      <c r="J93" s="1163"/>
      <c r="K93" s="1162">
        <f>SUM(P1:P92)</f>
        <v>99767.79</v>
      </c>
      <c r="L93" s="1163"/>
    </row>
    <row r="94" spans="1:32" hidden="1" x14ac:dyDescent="0.2">
      <c r="A94" s="1109" t="s">
        <v>54</v>
      </c>
      <c r="J94" s="1109">
        <f>SUM(W1:W93)</f>
        <v>0</v>
      </c>
      <c r="K94" s="1109">
        <f>SUM(X1:X93)</f>
        <v>0</v>
      </c>
    </row>
    <row r="95" spans="1:32" hidden="1" x14ac:dyDescent="0.2">
      <c r="A95" s="1109" t="s">
        <v>55</v>
      </c>
      <c r="J95" s="1109">
        <f>SUM(Y1:Y94)</f>
        <v>0</v>
      </c>
      <c r="K95" s="1109">
        <f>SUM(Z1:Z94)</f>
        <v>0</v>
      </c>
    </row>
    <row r="96" spans="1:32" x14ac:dyDescent="0.2">
      <c r="D96" s="1165" t="s">
        <v>618</v>
      </c>
      <c r="E96" s="1165"/>
      <c r="F96" s="1165"/>
      <c r="G96" s="1165"/>
      <c r="H96" s="1165"/>
      <c r="I96" s="1166">
        <f>J49+J52+J55+J58+J65</f>
        <v>22205.040000000001</v>
      </c>
      <c r="J96" s="1166"/>
      <c r="K96" s="1166">
        <f>L49+L52+L55+L58+L65</f>
        <v>94154.14</v>
      </c>
      <c r="L96" s="1166"/>
    </row>
    <row r="97" spans="1:12" x14ac:dyDescent="0.2">
      <c r="D97" s="1165" t="s">
        <v>218</v>
      </c>
      <c r="E97" s="1165"/>
      <c r="F97" s="1165"/>
      <c r="G97" s="1165"/>
      <c r="H97" s="1165"/>
      <c r="I97" s="1166">
        <f>J64+J75</f>
        <v>1.67</v>
      </c>
      <c r="J97" s="1166"/>
      <c r="K97" s="1166">
        <f>L64+L75</f>
        <v>40.46</v>
      </c>
      <c r="L97" s="1166"/>
    </row>
    <row r="98" spans="1:12" x14ac:dyDescent="0.2">
      <c r="D98" s="1165" t="s">
        <v>219</v>
      </c>
      <c r="E98" s="1165"/>
      <c r="F98" s="1165"/>
      <c r="G98" s="1165"/>
      <c r="H98" s="1165"/>
      <c r="I98" s="1166">
        <f>J62</f>
        <v>22.78</v>
      </c>
      <c r="J98" s="1166"/>
      <c r="K98" s="1166">
        <f>L62</f>
        <v>551.96</v>
      </c>
      <c r="L98" s="1166"/>
    </row>
    <row r="99" spans="1:12" x14ac:dyDescent="0.2">
      <c r="A99" s="788"/>
      <c r="B99" s="788"/>
      <c r="C99" s="788"/>
      <c r="D99" s="849"/>
      <c r="E99" s="849"/>
      <c r="F99" s="849"/>
      <c r="G99" s="849"/>
      <c r="H99" s="849"/>
      <c r="I99" s="850"/>
      <c r="J99" s="850"/>
      <c r="K99" s="850"/>
      <c r="L99" s="850"/>
    </row>
    <row r="100" spans="1:12" x14ac:dyDescent="0.2">
      <c r="A100" s="788"/>
      <c r="B100" s="788"/>
      <c r="C100" s="788"/>
      <c r="D100" s="849" t="s">
        <v>57</v>
      </c>
      <c r="E100" s="788"/>
      <c r="F100" s="788"/>
      <c r="G100" s="788"/>
      <c r="H100" s="788"/>
      <c r="I100" s="788"/>
      <c r="J100" s="891">
        <f>I93</f>
        <v>23870.05</v>
      </c>
      <c r="K100" s="891"/>
      <c r="L100" s="891">
        <f>K93</f>
        <v>99767.79</v>
      </c>
    </row>
    <row r="101" spans="1:12" x14ac:dyDescent="0.2">
      <c r="A101" s="788"/>
      <c r="B101" s="788"/>
      <c r="C101" s="788"/>
      <c r="D101" s="849" t="s">
        <v>3</v>
      </c>
      <c r="E101" s="788"/>
      <c r="F101" s="788"/>
      <c r="G101" s="788"/>
      <c r="H101" s="788"/>
      <c r="I101" s="788"/>
      <c r="J101" s="891">
        <f>J100</f>
        <v>23870.05</v>
      </c>
      <c r="K101" s="891"/>
      <c r="L101" s="891">
        <f>L100</f>
        <v>99767.79</v>
      </c>
    </row>
    <row r="102" spans="1:12" x14ac:dyDescent="0.2">
      <c r="A102" s="788"/>
      <c r="B102" s="788"/>
      <c r="C102" s="788"/>
      <c r="D102" s="849" t="s">
        <v>58</v>
      </c>
      <c r="E102" s="788"/>
      <c r="F102" s="788"/>
      <c r="G102" s="788"/>
      <c r="H102" s="788"/>
      <c r="I102" s="788"/>
      <c r="J102" s="891">
        <f>I97+I98</f>
        <v>24.45</v>
      </c>
      <c r="K102" s="891"/>
      <c r="L102" s="891">
        <f>K97+K98</f>
        <v>592.41999999999996</v>
      </c>
    </row>
    <row r="103" spans="1:12" x14ac:dyDescent="0.2">
      <c r="A103" s="788"/>
      <c r="B103" s="788"/>
      <c r="C103" s="788"/>
      <c r="D103" s="849" t="s">
        <v>59</v>
      </c>
      <c r="E103" s="788"/>
      <c r="F103" s="788"/>
      <c r="G103" s="788"/>
      <c r="H103" s="788"/>
      <c r="I103" s="788"/>
      <c r="J103" s="891">
        <f>I96</f>
        <v>22205.040000000001</v>
      </c>
      <c r="K103" s="891"/>
      <c r="L103" s="891">
        <f>K96</f>
        <v>94154.14</v>
      </c>
    </row>
    <row r="104" spans="1:12" x14ac:dyDescent="0.2">
      <c r="A104" s="788"/>
      <c r="B104" s="788"/>
      <c r="C104" s="788"/>
      <c r="D104" s="849" t="s">
        <v>60</v>
      </c>
      <c r="E104" s="788"/>
      <c r="F104" s="788"/>
      <c r="G104" s="788"/>
      <c r="H104" s="788"/>
      <c r="I104" s="788"/>
      <c r="J104" s="892">
        <v>0</v>
      </c>
      <c r="K104" s="892"/>
      <c r="L104" s="892">
        <v>0</v>
      </c>
    </row>
    <row r="105" spans="1:12" x14ac:dyDescent="0.2">
      <c r="A105" s="1167"/>
      <c r="B105" s="1167"/>
      <c r="C105" s="1167"/>
      <c r="D105" s="845" t="s">
        <v>249</v>
      </c>
      <c r="E105" s="845"/>
      <c r="F105" s="845"/>
      <c r="G105" s="845"/>
      <c r="H105" s="845"/>
      <c r="I105" s="788"/>
      <c r="J105" s="893">
        <f>J101*5.61%</f>
        <v>1339.11</v>
      </c>
      <c r="K105" s="788"/>
      <c r="L105" s="893">
        <f>L101*5.61%</f>
        <v>5596.97</v>
      </c>
    </row>
    <row r="106" spans="1:12" x14ac:dyDescent="0.2">
      <c r="A106" s="1167"/>
      <c r="B106" s="1167"/>
      <c r="C106" s="1167"/>
      <c r="D106" s="845" t="s">
        <v>70</v>
      </c>
      <c r="E106" s="845"/>
      <c r="F106" s="845"/>
      <c r="G106" s="845"/>
      <c r="H106" s="845"/>
      <c r="I106" s="788"/>
      <c r="J106" s="893">
        <f>J101+J105</f>
        <v>25209.16</v>
      </c>
      <c r="K106" s="788"/>
      <c r="L106" s="893">
        <f>L101+L105</f>
        <v>105364.76</v>
      </c>
    </row>
    <row r="107" spans="1:12" x14ac:dyDescent="0.2">
      <c r="A107" s="890"/>
      <c r="B107" s="890"/>
      <c r="C107" s="890"/>
      <c r="D107" s="845" t="s">
        <v>71</v>
      </c>
      <c r="E107" s="845"/>
      <c r="F107" s="845"/>
      <c r="G107" s="845"/>
      <c r="H107" s="845"/>
      <c r="I107" s="845"/>
      <c r="J107" s="893">
        <f>J102*0.15</f>
        <v>3.67</v>
      </c>
      <c r="K107" s="788"/>
      <c r="L107" s="893">
        <f>L102*0.15</f>
        <v>88.86</v>
      </c>
    </row>
    <row r="108" spans="1:12" ht="15" customHeight="1" x14ac:dyDescent="0.2">
      <c r="A108" s="894"/>
      <c r="B108" s="894"/>
      <c r="C108" s="894"/>
      <c r="D108" s="807" t="s">
        <v>72</v>
      </c>
      <c r="E108" s="807"/>
      <c r="F108" s="807"/>
      <c r="G108" s="807"/>
      <c r="H108" s="807"/>
      <c r="I108" s="788"/>
      <c r="J108" s="898">
        <f>J106+J107</f>
        <v>25212.83</v>
      </c>
      <c r="K108" s="788"/>
      <c r="L108" s="895">
        <f>L106+L107</f>
        <v>105453.62</v>
      </c>
    </row>
    <row r="109" spans="1:12" x14ac:dyDescent="0.2">
      <c r="A109" s="890"/>
      <c r="B109" s="890"/>
      <c r="C109" s="890"/>
      <c r="D109" s="845"/>
      <c r="E109" s="845"/>
      <c r="F109" s="845"/>
      <c r="G109" s="845"/>
      <c r="H109" s="845"/>
      <c r="I109" s="896"/>
      <c r="J109" s="896"/>
      <c r="K109" s="896"/>
      <c r="L109" s="896"/>
    </row>
    <row r="110" spans="1:12" x14ac:dyDescent="0.2">
      <c r="A110" s="894"/>
      <c r="B110" s="894"/>
      <c r="C110" s="894"/>
      <c r="D110" s="807" t="s">
        <v>250</v>
      </c>
      <c r="E110" s="807"/>
      <c r="F110" s="807"/>
      <c r="G110" s="807"/>
      <c r="H110" s="807"/>
      <c r="I110" s="894"/>
      <c r="J110" s="894"/>
      <c r="K110" s="894"/>
      <c r="L110" s="897">
        <f>L100*0.975*0.998999999999673</f>
        <v>97176.320000000007</v>
      </c>
    </row>
    <row r="111" spans="1:12" x14ac:dyDescent="0.2">
      <c r="A111" s="788"/>
      <c r="B111" s="788"/>
      <c r="C111" s="788"/>
      <c r="D111" s="849" t="s">
        <v>3</v>
      </c>
      <c r="E111" s="788"/>
      <c r="F111" s="788"/>
      <c r="G111" s="788"/>
      <c r="H111" s="788"/>
      <c r="I111" s="788"/>
      <c r="J111" s="891"/>
      <c r="K111" s="891"/>
      <c r="L111" s="891">
        <f>L101*0.975*0.998999999999673</f>
        <v>97176.320000000007</v>
      </c>
    </row>
    <row r="112" spans="1:12" x14ac:dyDescent="0.2">
      <c r="A112" s="788"/>
      <c r="B112" s="788"/>
      <c r="C112" s="788"/>
      <c r="D112" s="849" t="s">
        <v>58</v>
      </c>
      <c r="E112" s="788"/>
      <c r="F112" s="788"/>
      <c r="G112" s="788"/>
      <c r="H112" s="788"/>
      <c r="I112" s="788"/>
      <c r="J112" s="891"/>
      <c r="K112" s="891"/>
      <c r="L112" s="891">
        <f>L102*0.975*0.998999999999673</f>
        <v>577.03</v>
      </c>
    </row>
    <row r="113" spans="1:41" x14ac:dyDescent="0.2">
      <c r="A113" s="788"/>
      <c r="B113" s="788"/>
      <c r="C113" s="788"/>
      <c r="D113" s="849" t="s">
        <v>59</v>
      </c>
      <c r="E113" s="788"/>
      <c r="F113" s="788"/>
      <c r="G113" s="788"/>
      <c r="H113" s="788"/>
      <c r="I113" s="788"/>
      <c r="J113" s="891"/>
      <c r="K113" s="891"/>
      <c r="L113" s="891">
        <f>L103*0.975*0.998999999999673</f>
        <v>91708.49</v>
      </c>
    </row>
    <row r="114" spans="1:41" x14ac:dyDescent="0.2">
      <c r="A114" s="788"/>
      <c r="B114" s="788"/>
      <c r="C114" s="788"/>
      <c r="D114" s="849" t="s">
        <v>60</v>
      </c>
      <c r="E114" s="788"/>
      <c r="F114" s="788"/>
      <c r="G114" s="788"/>
      <c r="H114" s="788"/>
      <c r="I114" s="788"/>
      <c r="J114" s="892"/>
      <c r="K114" s="892"/>
      <c r="L114" s="892">
        <f>L104*0.975*0.998999999999673</f>
        <v>0</v>
      </c>
    </row>
    <row r="115" spans="1:41" x14ac:dyDescent="0.2">
      <c r="A115" s="1167"/>
      <c r="B115" s="1167"/>
      <c r="C115" s="1167"/>
      <c r="D115" s="845" t="s">
        <v>249</v>
      </c>
      <c r="E115" s="845"/>
      <c r="F115" s="845"/>
      <c r="G115" s="845"/>
      <c r="H115" s="845"/>
      <c r="I115" s="788"/>
      <c r="J115" s="893"/>
      <c r="K115" s="788"/>
      <c r="L115" s="893">
        <f t="shared" ref="L115:L117" si="1">L105*0.975*0.998999999999673</f>
        <v>5451.59</v>
      </c>
    </row>
    <row r="116" spans="1:41" x14ac:dyDescent="0.2">
      <c r="A116" s="1167"/>
      <c r="B116" s="1167"/>
      <c r="C116" s="1167"/>
      <c r="D116" s="845" t="s">
        <v>70</v>
      </c>
      <c r="E116" s="845"/>
      <c r="F116" s="845"/>
      <c r="G116" s="845"/>
      <c r="H116" s="845"/>
      <c r="I116" s="788"/>
      <c r="J116" s="893"/>
      <c r="K116" s="788"/>
      <c r="L116" s="893">
        <f>L115+L111</f>
        <v>102627.91</v>
      </c>
    </row>
    <row r="117" spans="1:41" x14ac:dyDescent="0.2">
      <c r="A117" s="890"/>
      <c r="B117" s="890"/>
      <c r="C117" s="890"/>
      <c r="D117" s="845" t="s">
        <v>71</v>
      </c>
      <c r="E117" s="845"/>
      <c r="F117" s="845"/>
      <c r="G117" s="845"/>
      <c r="H117" s="845"/>
      <c r="I117" s="845"/>
      <c r="J117" s="893"/>
      <c r="K117" s="788"/>
      <c r="L117" s="893">
        <f t="shared" si="1"/>
        <v>86.55</v>
      </c>
    </row>
    <row r="118" spans="1:41" ht="17.25" customHeight="1" x14ac:dyDescent="0.2">
      <c r="A118" s="894"/>
      <c r="B118" s="894"/>
      <c r="C118" s="894"/>
      <c r="D118" s="807" t="s">
        <v>72</v>
      </c>
      <c r="E118" s="807"/>
      <c r="F118" s="807"/>
      <c r="G118" s="807"/>
      <c r="H118" s="807"/>
      <c r="I118" s="788"/>
      <c r="J118" s="898"/>
      <c r="K118" s="788"/>
      <c r="L118" s="895">
        <f>L117+L116</f>
        <v>102714.46</v>
      </c>
    </row>
    <row r="119" spans="1:41" s="788" customFormat="1" x14ac:dyDescent="0.2">
      <c r="A119" s="1168"/>
      <c r="B119" s="1168"/>
      <c r="C119" s="1168"/>
      <c r="D119" s="1168"/>
      <c r="E119" s="1168"/>
      <c r="F119" s="1168"/>
      <c r="G119" s="1168"/>
      <c r="H119" s="1168"/>
      <c r="I119" s="1168"/>
      <c r="J119" s="1168"/>
      <c r="K119" s="1168"/>
      <c r="L119" s="1168"/>
    </row>
    <row r="120" spans="1:41" s="788" customFormat="1" ht="15.75" customHeight="1" x14ac:dyDescent="0.2">
      <c r="B120" s="1169"/>
    </row>
    <row r="121" spans="1:41" s="788" customFormat="1" ht="17.25" customHeight="1" x14ac:dyDescent="0.2">
      <c r="A121" s="851"/>
      <c r="B121" s="851"/>
      <c r="C121" s="851"/>
      <c r="D121" s="1170" t="s">
        <v>475</v>
      </c>
      <c r="E121" s="1171"/>
      <c r="F121" s="1171"/>
      <c r="G121" s="1172"/>
      <c r="H121" s="1173"/>
      <c r="I121" s="1174">
        <f>'Реестр январь'!L23</f>
        <v>763134</v>
      </c>
      <c r="J121" s="1175"/>
      <c r="K121" s="1176">
        <f>'Реестр январь'!N23</f>
        <v>5675027.5099999998</v>
      </c>
      <c r="L121" s="1177"/>
      <c r="AN121" s="788">
        <v>4797545.07</v>
      </c>
      <c r="AO121" s="788">
        <v>27833575.399999999</v>
      </c>
    </row>
    <row r="122" spans="1:41" s="788" customFormat="1" ht="17.25" customHeight="1" x14ac:dyDescent="0.2">
      <c r="A122" s="851"/>
      <c r="B122" s="851"/>
      <c r="C122" s="851"/>
      <c r="D122" s="1178" t="s">
        <v>474</v>
      </c>
      <c r="E122" s="1179"/>
      <c r="F122" s="1179"/>
      <c r="G122" s="1179"/>
      <c r="H122" s="1179"/>
      <c r="I122" s="1180">
        <f>I121-I123</f>
        <v>754497</v>
      </c>
      <c r="J122" s="1181"/>
      <c r="K122" s="1182">
        <f>K121-K123</f>
        <v>5480826.4000000004</v>
      </c>
      <c r="L122" s="1183"/>
      <c r="AN122" s="788">
        <v>15784.7</v>
      </c>
      <c r="AO122" s="788">
        <v>374584.25</v>
      </c>
    </row>
    <row r="123" spans="1:41" s="788" customFormat="1" ht="17.25" customHeight="1" x14ac:dyDescent="0.2">
      <c r="A123" s="851"/>
      <c r="B123" s="851"/>
      <c r="C123" s="851"/>
      <c r="D123" s="1184" t="s">
        <v>473</v>
      </c>
      <c r="E123" s="1179"/>
      <c r="F123" s="1179"/>
      <c r="G123" s="1179"/>
      <c r="H123" s="1179"/>
      <c r="I123" s="1185">
        <f>'Реестр январь'!I23</f>
        <v>8637</v>
      </c>
      <c r="J123" s="1186"/>
      <c r="K123" s="1187">
        <f>'Реестр январь'!K23</f>
        <v>194201.11</v>
      </c>
      <c r="L123" s="1188"/>
    </row>
    <row r="124" spans="1:41" s="788" customFormat="1" ht="17.25" customHeight="1" x14ac:dyDescent="0.2">
      <c r="A124" s="851"/>
      <c r="B124" s="851"/>
      <c r="C124" s="851"/>
      <c r="D124" s="1184" t="s">
        <v>472</v>
      </c>
      <c r="E124" s="1179"/>
      <c r="F124" s="1179"/>
      <c r="G124" s="1179"/>
      <c r="H124" s="1179"/>
      <c r="I124" s="1189"/>
      <c r="J124" s="1190"/>
      <c r="K124" s="1189"/>
      <c r="L124" s="1190"/>
    </row>
    <row r="125" spans="1:41" s="788" customFormat="1" x14ac:dyDescent="0.2">
      <c r="A125" s="851"/>
      <c r="B125" s="851"/>
      <c r="C125" s="851"/>
      <c r="D125" s="1184" t="s">
        <v>471</v>
      </c>
      <c r="E125" s="1191"/>
      <c r="F125" s="1179"/>
      <c r="G125" s="1179"/>
      <c r="H125" s="1192"/>
      <c r="I125" s="1193"/>
      <c r="J125" s="1194"/>
      <c r="K125" s="1195"/>
      <c r="L125" s="1196"/>
    </row>
    <row r="126" spans="1:41" s="788" customFormat="1" x14ac:dyDescent="0.2">
      <c r="A126" s="851"/>
      <c r="B126" s="851"/>
      <c r="C126" s="851"/>
      <c r="D126" s="851"/>
      <c r="E126" s="851"/>
      <c r="F126" s="851"/>
      <c r="G126" s="851"/>
      <c r="H126" s="851"/>
      <c r="I126" s="851"/>
      <c r="J126" s="851"/>
      <c r="K126" s="851"/>
      <c r="L126" s="851"/>
    </row>
    <row r="127" spans="1:41" s="788" customFormat="1" ht="54" customHeight="1" x14ac:dyDescent="0.2">
      <c r="A127" s="851"/>
      <c r="B127" s="851"/>
      <c r="C127" s="851"/>
      <c r="D127" s="851"/>
      <c r="E127" s="851"/>
      <c r="F127" s="851"/>
      <c r="G127" s="851"/>
      <c r="H127" s="851"/>
      <c r="I127" s="851"/>
      <c r="J127" s="851"/>
      <c r="K127" s="851"/>
      <c r="L127" s="1197"/>
    </row>
    <row r="128" spans="1:41" s="788" customFormat="1" ht="15.75" customHeight="1" x14ac:dyDescent="0.2">
      <c r="A128" s="851"/>
      <c r="B128" s="851"/>
      <c r="C128" s="851"/>
      <c r="D128" s="851"/>
      <c r="E128" s="851"/>
      <c r="F128" s="851"/>
      <c r="G128" s="851"/>
      <c r="H128" s="851"/>
      <c r="I128" s="851"/>
      <c r="J128" s="851"/>
      <c r="K128" s="851"/>
      <c r="L128" s="851"/>
    </row>
    <row r="129" spans="1:12" s="788" customFormat="1" ht="35.25" customHeight="1" x14ac:dyDescent="0.2">
      <c r="A129" s="851"/>
      <c r="B129" s="851"/>
      <c r="C129" s="851"/>
      <c r="D129" s="851"/>
      <c r="E129" s="851"/>
      <c r="F129" s="851"/>
      <c r="G129" s="851"/>
      <c r="H129" s="851"/>
      <c r="I129" s="851"/>
      <c r="J129" s="851"/>
      <c r="K129" s="851"/>
      <c r="L129" s="851"/>
    </row>
    <row r="130" spans="1:12" s="788" customFormat="1" ht="15.75" customHeight="1" x14ac:dyDescent="0.2">
      <c r="A130" s="1198" t="s">
        <v>470</v>
      </c>
      <c r="B130" s="1198"/>
      <c r="C130" s="1198"/>
      <c r="D130" s="1198"/>
      <c r="E130" s="1198"/>
      <c r="F130" s="1198"/>
      <c r="G130" s="1198"/>
      <c r="H130" s="1198"/>
      <c r="I130" s="1198"/>
      <c r="J130" s="1199"/>
      <c r="K130" s="1200" t="s">
        <v>469</v>
      </c>
      <c r="L130" s="1200"/>
    </row>
    <row r="131" spans="1:12" s="788" customFormat="1" x14ac:dyDescent="0.2">
      <c r="A131" s="1201"/>
      <c r="B131" s="1201"/>
      <c r="C131" s="1201"/>
      <c r="D131" s="1202"/>
      <c r="E131" s="1202"/>
      <c r="F131" s="1201"/>
      <c r="G131" s="1201"/>
      <c r="H131" s="1203"/>
      <c r="I131" s="1203"/>
      <c r="J131" s="1203"/>
      <c r="K131" s="1203"/>
      <c r="L131" s="1203"/>
    </row>
    <row r="132" spans="1:12" s="788" customFormat="1" x14ac:dyDescent="0.2">
      <c r="A132" s="1204"/>
      <c r="B132" s="1204"/>
      <c r="C132" s="1204"/>
      <c r="D132" s="1204"/>
      <c r="E132" s="1204"/>
      <c r="F132" s="1204"/>
      <c r="G132" s="1204"/>
      <c r="H132" s="1204"/>
      <c r="I132" s="1204"/>
      <c r="J132" s="1204"/>
      <c r="K132" s="1204"/>
      <c r="L132" s="1204"/>
    </row>
    <row r="133" spans="1:12" s="788" customFormat="1" ht="15.75" customHeight="1" x14ac:dyDescent="0.2">
      <c r="A133" s="1204"/>
      <c r="B133" s="1204"/>
      <c r="C133" s="1204"/>
      <c r="D133" s="1204"/>
      <c r="E133" s="1204"/>
      <c r="F133" s="1204"/>
      <c r="G133" s="1204"/>
      <c r="H133" s="1204"/>
      <c r="I133" s="1204"/>
      <c r="J133" s="1204"/>
      <c r="K133" s="1204"/>
      <c r="L133" s="1204"/>
    </row>
    <row r="134" spans="1:12" s="788" customFormat="1" ht="39.75" customHeight="1" x14ac:dyDescent="0.2">
      <c r="A134" s="1205" t="s">
        <v>468</v>
      </c>
      <c r="B134" s="1205"/>
      <c r="C134" s="1205"/>
      <c r="D134" s="1205"/>
      <c r="E134" s="1205"/>
      <c r="F134" s="1205"/>
      <c r="G134" s="1205"/>
      <c r="H134" s="1205"/>
      <c r="I134" s="1205"/>
      <c r="J134" s="1200" t="s">
        <v>467</v>
      </c>
      <c r="K134" s="1200"/>
      <c r="L134" s="1200"/>
    </row>
    <row r="135" spans="1:12" x14ac:dyDescent="0.2">
      <c r="A135" s="788"/>
      <c r="B135" s="788"/>
      <c r="C135" s="788"/>
      <c r="D135" s="788"/>
      <c r="E135" s="788"/>
      <c r="F135" s="788"/>
      <c r="G135" s="788"/>
      <c r="H135" s="788"/>
      <c r="I135" s="788"/>
      <c r="J135" s="788"/>
      <c r="K135" s="788"/>
      <c r="L135" s="788"/>
    </row>
    <row r="136" spans="1:12" x14ac:dyDescent="0.2">
      <c r="A136" s="788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</row>
    <row r="137" spans="1:12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</row>
    <row r="138" spans="1:12" x14ac:dyDescent="0.2">
      <c r="A138" s="788"/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</row>
    <row r="139" spans="1:12" x14ac:dyDescent="0.2">
      <c r="A139" s="788"/>
      <c r="B139" s="788"/>
      <c r="C139" s="788"/>
      <c r="D139" s="788"/>
      <c r="E139" s="788"/>
      <c r="F139" s="788"/>
      <c r="G139" s="788"/>
      <c r="H139" s="788"/>
      <c r="I139" s="788"/>
      <c r="J139" s="788"/>
      <c r="K139" s="788"/>
      <c r="L139" s="788"/>
    </row>
    <row r="140" spans="1:12" x14ac:dyDescent="0.2">
      <c r="A140" s="788"/>
      <c r="B140" s="788"/>
      <c r="C140" s="788"/>
      <c r="D140" s="788"/>
      <c r="E140" s="788"/>
      <c r="F140" s="788"/>
      <c r="G140" s="788"/>
      <c r="H140" s="788"/>
      <c r="I140" s="788"/>
      <c r="J140" s="788"/>
      <c r="K140" s="788"/>
      <c r="L140" s="788"/>
    </row>
    <row r="141" spans="1:12" x14ac:dyDescent="0.2">
      <c r="D141" s="1109">
        <v>3434.53</v>
      </c>
      <c r="E141" s="1109">
        <v>22817.01</v>
      </c>
    </row>
  </sheetData>
  <mergeCells count="96">
    <mergeCell ref="A40:L40"/>
    <mergeCell ref="A29:L29"/>
    <mergeCell ref="A30:L30"/>
    <mergeCell ref="A33:L33"/>
    <mergeCell ref="A34:B35"/>
    <mergeCell ref="C34:C36"/>
    <mergeCell ref="D34:D36"/>
    <mergeCell ref="E34:E36"/>
    <mergeCell ref="F34:F36"/>
    <mergeCell ref="G34:G36"/>
    <mergeCell ref="H34:H36"/>
    <mergeCell ref="I34:I36"/>
    <mergeCell ref="J34:J36"/>
    <mergeCell ref="K34:K36"/>
    <mergeCell ref="L34:L36"/>
    <mergeCell ref="A39:C39"/>
    <mergeCell ref="I56:J56"/>
    <mergeCell ref="K56:L56"/>
    <mergeCell ref="A41:L41"/>
    <mergeCell ref="A42:L42"/>
    <mergeCell ref="A43:L43"/>
    <mergeCell ref="A44:L44"/>
    <mergeCell ref="A45:L45"/>
    <mergeCell ref="A46:L46"/>
    <mergeCell ref="A48:L48"/>
    <mergeCell ref="I50:J50"/>
    <mergeCell ref="K50:L50"/>
    <mergeCell ref="I53:J53"/>
    <mergeCell ref="K53:L53"/>
    <mergeCell ref="I59:J59"/>
    <mergeCell ref="K59:L59"/>
    <mergeCell ref="I71:J71"/>
    <mergeCell ref="K71:L71"/>
    <mergeCell ref="I77:J77"/>
    <mergeCell ref="K77:L77"/>
    <mergeCell ref="A80:H80"/>
    <mergeCell ref="I80:J80"/>
    <mergeCell ref="K80:L80"/>
    <mergeCell ref="A84:H84"/>
    <mergeCell ref="I84:J84"/>
    <mergeCell ref="K84:L84"/>
    <mergeCell ref="D87:H87"/>
    <mergeCell ref="I87:J87"/>
    <mergeCell ref="K87:L87"/>
    <mergeCell ref="D88:H88"/>
    <mergeCell ref="I88:J88"/>
    <mergeCell ref="K88:L88"/>
    <mergeCell ref="D89:H89"/>
    <mergeCell ref="I89:J89"/>
    <mergeCell ref="K89:L89"/>
    <mergeCell ref="D90:H90"/>
    <mergeCell ref="I90:J90"/>
    <mergeCell ref="K90:L90"/>
    <mergeCell ref="D91:H91"/>
    <mergeCell ref="I91:J91"/>
    <mergeCell ref="K91:L91"/>
    <mergeCell ref="A93:H93"/>
    <mergeCell ref="I93:J93"/>
    <mergeCell ref="K93:L93"/>
    <mergeCell ref="D96:H96"/>
    <mergeCell ref="I96:J96"/>
    <mergeCell ref="K96:L96"/>
    <mergeCell ref="D97:H97"/>
    <mergeCell ref="I97:J97"/>
    <mergeCell ref="K97:L97"/>
    <mergeCell ref="K109:L109"/>
    <mergeCell ref="D110:H110"/>
    <mergeCell ref="D115:H115"/>
    <mergeCell ref="D98:H98"/>
    <mergeCell ref="I98:J98"/>
    <mergeCell ref="K98:L98"/>
    <mergeCell ref="D105:H105"/>
    <mergeCell ref="D106:H106"/>
    <mergeCell ref="D107:I107"/>
    <mergeCell ref="D116:H116"/>
    <mergeCell ref="D117:I117"/>
    <mergeCell ref="D118:H118"/>
    <mergeCell ref="D108:H108"/>
    <mergeCell ref="D109:H109"/>
    <mergeCell ref="I109:J109"/>
    <mergeCell ref="K130:L130"/>
    <mergeCell ref="D131:E131"/>
    <mergeCell ref="H131:L131"/>
    <mergeCell ref="J134:L134"/>
    <mergeCell ref="D121:F121"/>
    <mergeCell ref="I121:J121"/>
    <mergeCell ref="K121:L121"/>
    <mergeCell ref="I122:J122"/>
    <mergeCell ref="K122:L122"/>
    <mergeCell ref="I123:J123"/>
    <mergeCell ref="K123:L123"/>
    <mergeCell ref="I124:J124"/>
    <mergeCell ref="K124:L124"/>
    <mergeCell ref="I125:J125"/>
    <mergeCell ref="K125:L125"/>
    <mergeCell ref="A130:I130"/>
  </mergeCells>
  <pageMargins left="0.39370078740157483" right="0.19685039370078741" top="0.19685039370078741" bottom="0.39370078740157483" header="0.31496062992125984" footer="0.31496062992125984"/>
  <pageSetup paperSize="9" scale="61" firstPageNumber="16" fitToHeight="0" orientation="portrait" blackAndWhite="1" useFirstPageNumber="1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tabColor theme="0"/>
    <pageSetUpPr fitToPage="1"/>
  </sheetPr>
  <dimension ref="A1:W43"/>
  <sheetViews>
    <sheetView view="pageBreakPreview" topLeftCell="A10" zoomScale="55" zoomScaleNormal="50" zoomScaleSheetLayoutView="55" workbookViewId="0">
      <selection activeCell="F13" sqref="F13"/>
    </sheetView>
  </sheetViews>
  <sheetFormatPr defaultColWidth="9.33203125" defaultRowHeight="25.5" outlineLevelCol="1" x14ac:dyDescent="0.2"/>
  <cols>
    <col min="1" max="1" width="8.1640625" style="80" customWidth="1"/>
    <col min="2" max="2" width="13.83203125" style="81" customWidth="1"/>
    <col min="3" max="3" width="21.83203125" style="82" customWidth="1" outlineLevel="1"/>
    <col min="4" max="4" width="23" style="82" customWidth="1" outlineLevel="1"/>
    <col min="5" max="5" width="67.5" style="49" customWidth="1" outlineLevel="1"/>
    <col min="6" max="7" width="26.1640625" style="83" customWidth="1"/>
    <col min="8" max="8" width="24.6640625" style="83" customWidth="1"/>
    <col min="9" max="11" width="21.5" style="83" customWidth="1"/>
    <col min="12" max="12" width="28" style="84" customWidth="1"/>
    <col min="13" max="13" width="28.5" style="84" customWidth="1"/>
    <col min="14" max="14" width="29" style="84" customWidth="1"/>
    <col min="15" max="15" width="28.5" style="84" customWidth="1"/>
    <col min="16" max="16" width="22.33203125" style="84" customWidth="1"/>
    <col min="17" max="17" width="31.83203125" style="85" customWidth="1"/>
    <col min="18" max="18" width="48" style="86" customWidth="1"/>
    <col min="19" max="19" width="34.83203125" style="87" customWidth="1"/>
    <col min="20" max="20" width="9.33203125" style="88"/>
    <col min="21" max="21" width="31.5" style="88" customWidth="1"/>
    <col min="22" max="16384" width="9.33203125" style="88"/>
  </cols>
  <sheetData>
    <row r="1" spans="1:23" s="247" customFormat="1" ht="26.25" x14ac:dyDescent="0.2">
      <c r="A1" s="326" t="s">
        <v>505</v>
      </c>
      <c r="B1" s="327"/>
      <c r="C1" s="327"/>
      <c r="D1" s="326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9"/>
      <c r="W1" s="329"/>
    </row>
    <row r="2" spans="1:23" s="247" customFormat="1" ht="26.25" x14ac:dyDescent="0.2">
      <c r="A2" s="330" t="s">
        <v>506</v>
      </c>
      <c r="B2" s="331"/>
      <c r="C2" s="331"/>
      <c r="D2" s="330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9"/>
      <c r="W2" s="329"/>
    </row>
    <row r="3" spans="1:23" s="247" customFormat="1" ht="26.25" x14ac:dyDescent="0.2">
      <c r="A3" s="326" t="s">
        <v>507</v>
      </c>
      <c r="B3" s="326"/>
      <c r="C3" s="326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9"/>
      <c r="W3" s="329"/>
    </row>
    <row r="4" spans="1:23" s="247" customFormat="1" ht="26.25" x14ac:dyDescent="0.2">
      <c r="A4" s="330" t="s">
        <v>508</v>
      </c>
      <c r="B4" s="327"/>
      <c r="C4" s="327"/>
      <c r="D4" s="326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  <c r="R4" s="328"/>
      <c r="S4" s="328"/>
      <c r="T4" s="328"/>
      <c r="U4" s="328"/>
      <c r="V4" s="329"/>
      <c r="W4" s="329"/>
    </row>
    <row r="5" spans="1:23" s="11" customFormat="1" ht="24.75" customHeight="1" x14ac:dyDescent="0.2">
      <c r="A5" s="326" t="s">
        <v>509</v>
      </c>
      <c r="B5" s="327"/>
      <c r="C5" s="327"/>
      <c r="D5" s="326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8"/>
      <c r="R5" s="328"/>
      <c r="S5" s="328"/>
      <c r="T5" s="328"/>
      <c r="U5" s="328"/>
      <c r="V5" s="329"/>
      <c r="W5" s="329"/>
    </row>
    <row r="6" spans="1:23" s="11" customFormat="1" ht="31.5" customHeight="1" x14ac:dyDescent="0.35">
      <c r="A6" s="487" t="s">
        <v>510</v>
      </c>
      <c r="B6" s="487"/>
      <c r="C6" s="487"/>
      <c r="D6" s="487"/>
      <c r="E6" s="487"/>
      <c r="F6" s="487"/>
      <c r="G6" s="487"/>
      <c r="H6" s="487"/>
      <c r="I6" s="487"/>
      <c r="J6" s="487"/>
      <c r="K6" s="487"/>
      <c r="L6" s="487"/>
      <c r="M6" s="487"/>
      <c r="N6" s="487"/>
      <c r="O6" s="487"/>
      <c r="P6" s="487"/>
      <c r="Q6" s="487"/>
      <c r="R6" s="335"/>
      <c r="S6" s="335"/>
      <c r="T6" s="335"/>
      <c r="U6" s="335"/>
      <c r="V6" s="335"/>
      <c r="W6" s="335"/>
    </row>
    <row r="7" spans="1:23" s="11" customFormat="1" ht="24.75" customHeight="1" x14ac:dyDescent="0.35">
      <c r="A7" s="332"/>
      <c r="B7" s="332"/>
      <c r="C7" s="332"/>
      <c r="D7" s="332"/>
      <c r="E7" s="332"/>
      <c r="F7" s="332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  <c r="R7" s="332"/>
      <c r="S7" s="332"/>
      <c r="T7" s="332"/>
      <c r="U7" s="333"/>
      <c r="V7" s="332"/>
      <c r="W7" s="332"/>
    </row>
    <row r="8" spans="1:23" s="11" customFormat="1" ht="24.75" customHeight="1" x14ac:dyDescent="0.35">
      <c r="A8" s="487" t="s">
        <v>511</v>
      </c>
      <c r="B8" s="487"/>
      <c r="C8" s="487"/>
      <c r="D8" s="487"/>
      <c r="E8" s="487"/>
      <c r="F8" s="487"/>
      <c r="G8" s="487"/>
      <c r="H8" s="487"/>
      <c r="I8" s="487"/>
      <c r="J8" s="487"/>
      <c r="K8" s="487"/>
      <c r="L8" s="487"/>
      <c r="M8" s="487"/>
      <c r="N8" s="487"/>
      <c r="O8" s="487"/>
      <c r="P8" s="487"/>
      <c r="Q8" s="487"/>
      <c r="R8" s="335"/>
      <c r="S8" s="335"/>
      <c r="T8" s="335"/>
      <c r="U8" s="335"/>
      <c r="V8" s="335"/>
      <c r="W8" s="335"/>
    </row>
    <row r="9" spans="1:23" s="54" customFormat="1" ht="24" customHeight="1" x14ac:dyDescent="0.35">
      <c r="A9" s="334"/>
      <c r="B9" s="334"/>
      <c r="C9" s="334"/>
      <c r="D9" s="334"/>
      <c r="E9" s="334"/>
      <c r="F9" s="334"/>
      <c r="G9" s="334"/>
      <c r="H9" s="334"/>
      <c r="I9" s="334"/>
      <c r="J9" s="334"/>
      <c r="K9" s="334"/>
      <c r="L9" s="334"/>
      <c r="M9" s="334"/>
      <c r="N9" s="334"/>
      <c r="O9" s="334"/>
      <c r="P9" s="334"/>
      <c r="Q9" s="334"/>
      <c r="R9" s="334"/>
      <c r="S9" s="334"/>
      <c r="T9" s="334"/>
      <c r="U9" s="334"/>
      <c r="V9" s="334"/>
      <c r="W9" s="334"/>
    </row>
    <row r="10" spans="1:23" s="11" customFormat="1" ht="50.25" customHeight="1" x14ac:dyDescent="0.2">
      <c r="A10" s="494" t="s">
        <v>0</v>
      </c>
      <c r="B10" s="496" t="s">
        <v>1</v>
      </c>
      <c r="C10" s="498" t="s">
        <v>63</v>
      </c>
      <c r="D10" s="498" t="s">
        <v>64</v>
      </c>
      <c r="E10" s="496" t="s">
        <v>2</v>
      </c>
      <c r="F10" s="491" t="s">
        <v>3</v>
      </c>
      <c r="G10" s="492"/>
      <c r="H10" s="493"/>
      <c r="I10" s="491" t="s">
        <v>65</v>
      </c>
      <c r="J10" s="492"/>
      <c r="K10" s="493"/>
      <c r="L10" s="500" t="s">
        <v>5</v>
      </c>
      <c r="M10" s="501"/>
      <c r="N10" s="502"/>
      <c r="O10" s="488" t="s">
        <v>582</v>
      </c>
      <c r="P10" s="488" t="s">
        <v>581</v>
      </c>
      <c r="Q10" s="490" t="s">
        <v>6</v>
      </c>
      <c r="R10" s="55"/>
      <c r="S10" s="56"/>
    </row>
    <row r="11" spans="1:23" s="11" customFormat="1" ht="63" x14ac:dyDescent="0.2">
      <c r="A11" s="495"/>
      <c r="B11" s="497"/>
      <c r="C11" s="499"/>
      <c r="D11" s="499"/>
      <c r="E11" s="497"/>
      <c r="F11" s="12" t="s">
        <v>7</v>
      </c>
      <c r="G11" s="13" t="s">
        <v>8</v>
      </c>
      <c r="H11" s="92" t="s">
        <v>295</v>
      </c>
      <c r="I11" s="93" t="s">
        <v>9</v>
      </c>
      <c r="J11" s="93" t="s">
        <v>10</v>
      </c>
      <c r="K11" s="92" t="s">
        <v>295</v>
      </c>
      <c r="L11" s="93" t="s">
        <v>11</v>
      </c>
      <c r="M11" s="93" t="s">
        <v>10</v>
      </c>
      <c r="N11" s="92" t="s">
        <v>295</v>
      </c>
      <c r="O11" s="489"/>
      <c r="P11" s="489"/>
      <c r="Q11" s="490"/>
      <c r="R11" s="55"/>
      <c r="S11" s="56"/>
    </row>
    <row r="12" spans="1:23" s="17" customFormat="1" ht="23.25" x14ac:dyDescent="0.2">
      <c r="A12" s="14">
        <v>1</v>
      </c>
      <c r="B12" s="14">
        <v>2</v>
      </c>
      <c r="C12" s="15">
        <v>3</v>
      </c>
      <c r="D12" s="15"/>
      <c r="E12" s="14">
        <v>4</v>
      </c>
      <c r="F12" s="14">
        <v>5</v>
      </c>
      <c r="G12" s="14">
        <v>6</v>
      </c>
      <c r="H12" s="14">
        <v>7</v>
      </c>
      <c r="I12" s="14">
        <v>25</v>
      </c>
      <c r="J12" s="14">
        <v>26</v>
      </c>
      <c r="K12" s="14">
        <v>27</v>
      </c>
      <c r="L12" s="14">
        <v>28</v>
      </c>
      <c r="M12" s="14">
        <v>29</v>
      </c>
      <c r="N12" s="14">
        <v>30</v>
      </c>
      <c r="O12" s="14">
        <v>31</v>
      </c>
      <c r="P12" s="14"/>
      <c r="Q12" s="16">
        <v>32</v>
      </c>
      <c r="R12" s="57"/>
      <c r="S12" s="58"/>
    </row>
    <row r="13" spans="1:23" s="22" customFormat="1" ht="35.25" customHeight="1" x14ac:dyDescent="0.2">
      <c r="A13" s="23" t="s">
        <v>232</v>
      </c>
      <c r="B13" s="19"/>
      <c r="C13" s="18"/>
      <c r="D13" s="18"/>
      <c r="E13" s="20"/>
      <c r="F13" s="18"/>
      <c r="G13" s="18"/>
      <c r="H13" s="18"/>
      <c r="I13" s="18"/>
      <c r="J13" s="21"/>
      <c r="K13" s="18"/>
      <c r="L13" s="21"/>
      <c r="M13" s="18"/>
      <c r="N13" s="21"/>
      <c r="O13" s="21"/>
      <c r="P13" s="21"/>
      <c r="Q13" s="47"/>
      <c r="R13" s="60"/>
      <c r="S13" s="59"/>
    </row>
    <row r="14" spans="1:23" s="203" customFormat="1" ht="118.5" customHeight="1" x14ac:dyDescent="0.2">
      <c r="A14" s="460" t="s">
        <v>12</v>
      </c>
      <c r="B14" s="337" t="s">
        <v>297</v>
      </c>
      <c r="C14" s="94" t="s">
        <v>195</v>
      </c>
      <c r="D14" s="94" t="s">
        <v>196</v>
      </c>
      <c r="E14" s="274" t="s">
        <v>98</v>
      </c>
      <c r="F14" s="61">
        <f>'1_17.56'!J735</f>
        <v>68116.600000000006</v>
      </c>
      <c r="G14" s="61">
        <f>'1_17.56'!L735</f>
        <v>472380.88</v>
      </c>
      <c r="H14" s="62">
        <f>'1_17.56'!L743</f>
        <v>436952.31</v>
      </c>
      <c r="I14" s="61">
        <f>'1_17.56'!J739</f>
        <v>715.86</v>
      </c>
      <c r="J14" s="62">
        <f>'1_17.56'!L739</f>
        <v>17560.080000000002</v>
      </c>
      <c r="K14" s="62">
        <f>'1_17.56'!L747</f>
        <v>16243.07</v>
      </c>
      <c r="L14" s="66">
        <f t="shared" ref="L14:L16" si="0">F14+I14</f>
        <v>68832.460000000006</v>
      </c>
      <c r="M14" s="62">
        <f t="shared" ref="M14:M16" si="1">G14+J14</f>
        <v>489940.96</v>
      </c>
      <c r="N14" s="66">
        <f t="shared" ref="N14:N16" si="2">H14+K14</f>
        <v>453195.38</v>
      </c>
      <c r="O14" s="66"/>
      <c r="P14" s="66"/>
      <c r="Q14" s="245" t="s">
        <v>256</v>
      </c>
      <c r="R14" s="201"/>
      <c r="S14" s="202"/>
    </row>
    <row r="15" spans="1:23" s="203" customFormat="1" ht="118.5" customHeight="1" x14ac:dyDescent="0.2">
      <c r="A15" s="460" t="s">
        <v>189</v>
      </c>
      <c r="B15" s="337" t="s">
        <v>298</v>
      </c>
      <c r="C15" s="94" t="s">
        <v>197</v>
      </c>
      <c r="D15" s="94" t="s">
        <v>198</v>
      </c>
      <c r="E15" s="274" t="s">
        <v>139</v>
      </c>
      <c r="F15" s="61">
        <f>'2_17.63'!J378</f>
        <v>6050.36</v>
      </c>
      <c r="G15" s="61">
        <f>'2_17.63'!L378</f>
        <v>42732.05</v>
      </c>
      <c r="H15" s="62">
        <f>'2_17.63'!L386</f>
        <v>39527.15</v>
      </c>
      <c r="I15" s="61">
        <f>'2_17.63'!J382</f>
        <v>71.52</v>
      </c>
      <c r="J15" s="62">
        <f>'2_17.63'!L382</f>
        <v>1754.31</v>
      </c>
      <c r="K15" s="62">
        <f>'2_17.63'!L390</f>
        <v>1622.74</v>
      </c>
      <c r="L15" s="66">
        <f t="shared" si="0"/>
        <v>6121.88</v>
      </c>
      <c r="M15" s="62">
        <f t="shared" si="1"/>
        <v>44486.36</v>
      </c>
      <c r="N15" s="66">
        <f t="shared" si="2"/>
        <v>41149.89</v>
      </c>
      <c r="O15" s="66"/>
      <c r="P15" s="66"/>
      <c r="Q15" s="245" t="s">
        <v>256</v>
      </c>
      <c r="R15" s="201"/>
      <c r="S15" s="202"/>
    </row>
    <row r="16" spans="1:23" s="17" customFormat="1" ht="118.5" customHeight="1" x14ac:dyDescent="0.2">
      <c r="A16" s="460" t="s">
        <v>190</v>
      </c>
      <c r="B16" s="337" t="s">
        <v>299</v>
      </c>
      <c r="C16" s="94" t="s">
        <v>246</v>
      </c>
      <c r="D16" s="94" t="s">
        <v>253</v>
      </c>
      <c r="E16" s="274" t="s">
        <v>155</v>
      </c>
      <c r="F16" s="61">
        <f>'3_17.93'!J183</f>
        <v>502867.14</v>
      </c>
      <c r="G16" s="61">
        <f>'3_17.93'!L183</f>
        <v>2722922.41</v>
      </c>
      <c r="H16" s="62">
        <f>'3_17.93'!L191</f>
        <v>2518703.23</v>
      </c>
      <c r="I16" s="61">
        <f>'3_17.93'!J187</f>
        <v>1747.62</v>
      </c>
      <c r="J16" s="62">
        <f>'3_17.93'!L187</f>
        <v>42869.16</v>
      </c>
      <c r="K16" s="62">
        <f>'3_17.93'!L195</f>
        <v>39653.97</v>
      </c>
      <c r="L16" s="66">
        <f t="shared" si="0"/>
        <v>504614.76</v>
      </c>
      <c r="M16" s="62">
        <f t="shared" si="1"/>
        <v>2765791.57</v>
      </c>
      <c r="N16" s="66">
        <f t="shared" si="2"/>
        <v>2558357.2000000002</v>
      </c>
      <c r="O16" s="66"/>
      <c r="P16" s="66"/>
      <c r="Q16" s="50" t="s">
        <v>256</v>
      </c>
      <c r="R16" s="45"/>
      <c r="S16" s="64"/>
    </row>
    <row r="17" spans="1:22" s="273" customFormat="1" ht="118.5" customHeight="1" x14ac:dyDescent="0.2">
      <c r="A17" s="460" t="s">
        <v>191</v>
      </c>
      <c r="B17" s="337" t="s">
        <v>300</v>
      </c>
      <c r="C17" s="94" t="s">
        <v>223</v>
      </c>
      <c r="D17" s="94" t="s">
        <v>224</v>
      </c>
      <c r="E17" s="274" t="s">
        <v>215</v>
      </c>
      <c r="F17" s="61">
        <f>'4_21.10'!J75</f>
        <v>9670.2800000000007</v>
      </c>
      <c r="G17" s="61">
        <f>'4_21.10'!L75</f>
        <v>147846.63</v>
      </c>
      <c r="H17" s="62">
        <f>'4_21.10'!L83</f>
        <v>136758.13</v>
      </c>
      <c r="I17" s="61">
        <f>'4_21.10'!J79</f>
        <v>349.81</v>
      </c>
      <c r="J17" s="62">
        <f>'4_21.10'!L79</f>
        <v>8374.43</v>
      </c>
      <c r="K17" s="62">
        <f>'4_21.10'!L87</f>
        <v>7746.35</v>
      </c>
      <c r="L17" s="66">
        <f>F17+I17</f>
        <v>10020.09</v>
      </c>
      <c r="M17" s="62">
        <f>G17+J17</f>
        <v>156221.06</v>
      </c>
      <c r="N17" s="66">
        <f>H17+K17</f>
        <v>144504.48000000001</v>
      </c>
      <c r="O17" s="66"/>
      <c r="P17" s="66"/>
      <c r="Q17" s="336" t="s">
        <v>256</v>
      </c>
      <c r="R17" s="271"/>
      <c r="S17" s="272"/>
    </row>
    <row r="18" spans="1:22" s="273" customFormat="1" ht="118.5" customHeight="1" x14ac:dyDescent="0.2">
      <c r="A18" s="460" t="s">
        <v>192</v>
      </c>
      <c r="B18" s="337" t="s">
        <v>301</v>
      </c>
      <c r="C18" s="94" t="s">
        <v>225</v>
      </c>
      <c r="D18" s="94" t="s">
        <v>254</v>
      </c>
      <c r="E18" s="274" t="s">
        <v>227</v>
      </c>
      <c r="F18" s="61">
        <f>'5_21.11'!J98</f>
        <v>4972.88</v>
      </c>
      <c r="G18" s="61">
        <f>'5_21.11'!L98</f>
        <v>79316.7</v>
      </c>
      <c r="H18" s="62">
        <f>'5_21.11'!L106</f>
        <v>73367.95</v>
      </c>
      <c r="I18" s="61">
        <f>'5_21.11'!J102</f>
        <v>167.33</v>
      </c>
      <c r="J18" s="62">
        <f>'5_21.11'!L102</f>
        <v>4054.36</v>
      </c>
      <c r="K18" s="62">
        <f>'5_21.11'!L110</f>
        <v>3750.28</v>
      </c>
      <c r="L18" s="66">
        <f t="shared" ref="L18:L21" si="3">F18+I18</f>
        <v>5140.21</v>
      </c>
      <c r="M18" s="62">
        <f t="shared" ref="M18:M21" si="4">G18+J18</f>
        <v>83371.06</v>
      </c>
      <c r="N18" s="66">
        <f t="shared" ref="N18:N21" si="5">H18+K18</f>
        <v>77118.23</v>
      </c>
      <c r="O18" s="66">
        <f>'5_21.11'!L95</f>
        <v>268014</v>
      </c>
      <c r="P18" s="66">
        <f>'5_21.11'!L94</f>
        <v>0</v>
      </c>
      <c r="Q18" s="336" t="s">
        <v>256</v>
      </c>
      <c r="R18" s="271"/>
      <c r="S18" s="272"/>
    </row>
    <row r="19" spans="1:22" s="273" customFormat="1" ht="118.5" customHeight="1" x14ac:dyDescent="0.2">
      <c r="A19" s="460" t="s">
        <v>124</v>
      </c>
      <c r="B19" s="337" t="s">
        <v>302</v>
      </c>
      <c r="C19" s="94" t="s">
        <v>228</v>
      </c>
      <c r="D19" s="94" t="s">
        <v>229</v>
      </c>
      <c r="E19" s="274" t="s">
        <v>221</v>
      </c>
      <c r="F19" s="61">
        <f>'6_21.12'!J116</f>
        <v>28216.53</v>
      </c>
      <c r="G19" s="61">
        <f>'6_21.12'!L116</f>
        <v>480187</v>
      </c>
      <c r="H19" s="62">
        <f>'6_21.12'!L124</f>
        <v>444172.98</v>
      </c>
      <c r="I19" s="61">
        <f>'6_21.12'!J120</f>
        <v>1140.51</v>
      </c>
      <c r="J19" s="62">
        <f>'6_21.12'!L120</f>
        <v>27634.59</v>
      </c>
      <c r="K19" s="62">
        <f>'6_21.12'!L128</f>
        <v>25562</v>
      </c>
      <c r="L19" s="66">
        <f t="shared" si="3"/>
        <v>29357.040000000001</v>
      </c>
      <c r="M19" s="62">
        <f t="shared" si="4"/>
        <v>507821.59</v>
      </c>
      <c r="N19" s="66">
        <f t="shared" si="5"/>
        <v>469734.98</v>
      </c>
      <c r="O19" s="66">
        <f>'6_21.12'!L113</f>
        <v>2925510.45</v>
      </c>
      <c r="P19" s="66"/>
      <c r="Q19" s="336" t="s">
        <v>256</v>
      </c>
      <c r="R19" s="271"/>
      <c r="S19" s="272"/>
    </row>
    <row r="20" spans="1:22" s="273" customFormat="1" ht="118.5" customHeight="1" x14ac:dyDescent="0.2">
      <c r="A20" s="460" t="s">
        <v>193</v>
      </c>
      <c r="B20" s="337" t="s">
        <v>303</v>
      </c>
      <c r="C20" s="94" t="s">
        <v>225</v>
      </c>
      <c r="D20" s="94" t="s">
        <v>226</v>
      </c>
      <c r="E20" s="274" t="s">
        <v>227</v>
      </c>
      <c r="F20" s="61">
        <f>'7_21.13'!J185</f>
        <v>39349.53</v>
      </c>
      <c r="G20" s="61">
        <f>'7_21.13'!L185</f>
        <v>659475.99</v>
      </c>
      <c r="H20" s="62">
        <f>'7_21.13'!L193</f>
        <v>610015.29</v>
      </c>
      <c r="I20" s="61">
        <f>'7_21.13'!J189</f>
        <v>1569.92</v>
      </c>
      <c r="J20" s="62">
        <f>'7_21.13'!L189</f>
        <v>38039.26</v>
      </c>
      <c r="K20" s="62">
        <f>'7_21.13'!L197</f>
        <v>35186.32</v>
      </c>
      <c r="L20" s="66">
        <f t="shared" si="3"/>
        <v>40919.449999999997</v>
      </c>
      <c r="M20" s="62">
        <f t="shared" si="4"/>
        <v>697515.25</v>
      </c>
      <c r="N20" s="66">
        <f t="shared" si="5"/>
        <v>645201.61</v>
      </c>
      <c r="O20" s="66">
        <f>'7_21.13'!L182</f>
        <v>991140.37</v>
      </c>
      <c r="P20" s="66">
        <f>'7_21.13'!L181</f>
        <v>0</v>
      </c>
      <c r="Q20" s="336" t="s">
        <v>256</v>
      </c>
      <c r="R20" s="271"/>
      <c r="S20" s="272"/>
    </row>
    <row r="21" spans="1:22" s="273" customFormat="1" ht="118.5" customHeight="1" x14ac:dyDescent="0.2">
      <c r="A21" s="460" t="s">
        <v>194</v>
      </c>
      <c r="B21" s="337" t="s">
        <v>304</v>
      </c>
      <c r="C21" s="94" t="s">
        <v>245</v>
      </c>
      <c r="D21" s="94" t="s">
        <v>244</v>
      </c>
      <c r="E21" s="274" t="s">
        <v>240</v>
      </c>
      <c r="F21" s="61">
        <f>'8_21.17'!J136</f>
        <v>71382.78</v>
      </c>
      <c r="G21" s="61">
        <f>'8_21.17'!L136</f>
        <v>1215300.58</v>
      </c>
      <c r="H21" s="62">
        <f>'8_21.17'!L144</f>
        <v>1124153.04</v>
      </c>
      <c r="I21" s="61">
        <f>'8_21.17'!J140</f>
        <v>2871.13</v>
      </c>
      <c r="J21" s="62">
        <f>'8_21.17'!L140</f>
        <v>69567.38</v>
      </c>
      <c r="K21" s="62">
        <f>'8_21.17'!L148</f>
        <v>64349.83</v>
      </c>
      <c r="L21" s="66">
        <f t="shared" si="3"/>
        <v>74253.91</v>
      </c>
      <c r="M21" s="62">
        <f t="shared" si="4"/>
        <v>1284867.96</v>
      </c>
      <c r="N21" s="66">
        <f t="shared" si="5"/>
        <v>1188502.8700000001</v>
      </c>
      <c r="O21" s="66">
        <f>'8_21.17'!L133</f>
        <v>5958479.96</v>
      </c>
      <c r="P21" s="66">
        <f>'8_21.17'!L132</f>
        <v>0</v>
      </c>
      <c r="Q21" s="336" t="s">
        <v>256</v>
      </c>
      <c r="R21" s="271"/>
      <c r="S21" s="272"/>
    </row>
    <row r="22" spans="1:22" s="203" customFormat="1" ht="145.5" customHeight="1" x14ac:dyDescent="0.2">
      <c r="A22" s="460" t="s">
        <v>552</v>
      </c>
      <c r="B22" s="337" t="s">
        <v>593</v>
      </c>
      <c r="C22" s="94" t="s">
        <v>594</v>
      </c>
      <c r="D22" s="94" t="s">
        <v>595</v>
      </c>
      <c r="E22" s="274" t="s">
        <v>596</v>
      </c>
      <c r="F22" s="61">
        <f>'9_11.6'!J101</f>
        <v>23870.05</v>
      </c>
      <c r="G22" s="61">
        <f>'9_11.6'!L101</f>
        <v>99767.79</v>
      </c>
      <c r="H22" s="62">
        <f>'9_11.6'!L111</f>
        <v>97176.320000000007</v>
      </c>
      <c r="I22" s="61">
        <f>'9_11.6'!J107</f>
        <v>3.67</v>
      </c>
      <c r="J22" s="62">
        <f>'9_11.6'!L107</f>
        <v>88.86</v>
      </c>
      <c r="K22" s="62">
        <f>'9_11.6'!L117</f>
        <v>86.55</v>
      </c>
      <c r="L22" s="66">
        <f t="shared" ref="L22" si="6">F22+I22</f>
        <v>23873.72</v>
      </c>
      <c r="M22" s="62">
        <f t="shared" ref="M22" si="7">G22+J22</f>
        <v>99856.65</v>
      </c>
      <c r="N22" s="66">
        <f t="shared" ref="N22" si="8">H22+K22</f>
        <v>97262.87</v>
      </c>
      <c r="O22" s="66">
        <v>0</v>
      </c>
      <c r="P22" s="66">
        <v>0</v>
      </c>
      <c r="Q22" s="336" t="s">
        <v>256</v>
      </c>
      <c r="R22" s="201" t="s">
        <v>620</v>
      </c>
      <c r="S22" s="202"/>
    </row>
    <row r="23" spans="1:22" s="24" customFormat="1" ht="43.5" customHeight="1" x14ac:dyDescent="0.2">
      <c r="A23" s="1"/>
      <c r="B23" s="2"/>
      <c r="C23" s="2"/>
      <c r="D23" s="2"/>
      <c r="E23" s="3" t="s">
        <v>85</v>
      </c>
      <c r="F23" s="63">
        <f>SUM(F14:F22)</f>
        <v>754496.15</v>
      </c>
      <c r="G23" s="63">
        <f t="shared" ref="G23:P23" si="9">SUM(G14:G22)</f>
        <v>5919930.0300000003</v>
      </c>
      <c r="H23" s="63">
        <f t="shared" si="9"/>
        <v>5480826.4000000004</v>
      </c>
      <c r="I23" s="63">
        <f t="shared" si="9"/>
        <v>8637.3700000000008</v>
      </c>
      <c r="J23" s="63">
        <f t="shared" si="9"/>
        <v>209942.43</v>
      </c>
      <c r="K23" s="63">
        <f t="shared" si="9"/>
        <v>194201.11</v>
      </c>
      <c r="L23" s="63">
        <f t="shared" si="9"/>
        <v>763133.52</v>
      </c>
      <c r="M23" s="63">
        <f t="shared" si="9"/>
        <v>6129872.46</v>
      </c>
      <c r="N23" s="63">
        <f t="shared" si="9"/>
        <v>5675027.5099999998</v>
      </c>
      <c r="O23" s="63">
        <f t="shared" si="9"/>
        <v>10143144.779999999</v>
      </c>
      <c r="P23" s="63">
        <f t="shared" si="9"/>
        <v>0</v>
      </c>
      <c r="Q23" s="47"/>
      <c r="R23" s="67"/>
      <c r="S23" s="65"/>
      <c r="T23" s="49"/>
    </row>
    <row r="24" spans="1:22" s="17" customFormat="1" ht="23.25" x14ac:dyDescent="0.2">
      <c r="A24" s="68"/>
      <c r="B24" s="69"/>
      <c r="C24" s="70"/>
      <c r="D24" s="70"/>
      <c r="E24" s="71" t="s">
        <v>3</v>
      </c>
      <c r="F24" s="61">
        <f>F29</f>
        <v>754496.15</v>
      </c>
      <c r="G24" s="61">
        <f>G29</f>
        <v>5919930.0300000003</v>
      </c>
      <c r="H24" s="61">
        <f>H29</f>
        <v>5480826.4000000004</v>
      </c>
      <c r="I24" s="61"/>
      <c r="J24" s="61"/>
      <c r="K24" s="61"/>
      <c r="L24" s="61">
        <f>F24</f>
        <v>754496.15</v>
      </c>
      <c r="M24" s="61">
        <f>G24</f>
        <v>5919930.0300000003</v>
      </c>
      <c r="N24" s="61">
        <f>H24</f>
        <v>5480826.4000000004</v>
      </c>
      <c r="O24" s="61"/>
      <c r="P24" s="61"/>
      <c r="Q24" s="4"/>
      <c r="R24" s="57"/>
      <c r="S24" s="58"/>
    </row>
    <row r="25" spans="1:22" s="17" customFormat="1" ht="23.25" x14ac:dyDescent="0.2">
      <c r="A25" s="68"/>
      <c r="B25" s="69"/>
      <c r="C25" s="70"/>
      <c r="D25" s="70"/>
      <c r="E25" s="71" t="s">
        <v>4</v>
      </c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4"/>
      <c r="R25" s="57"/>
      <c r="S25" s="72"/>
      <c r="T25" s="73"/>
      <c r="U25" s="73"/>
      <c r="V25" s="73"/>
    </row>
    <row r="26" spans="1:22" s="17" customFormat="1" ht="23.25" x14ac:dyDescent="0.2">
      <c r="A26" s="68"/>
      <c r="B26" s="69"/>
      <c r="C26" s="70"/>
      <c r="D26" s="70"/>
      <c r="E26" s="71" t="s">
        <v>62</v>
      </c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4"/>
      <c r="R26" s="57"/>
      <c r="S26" s="72"/>
      <c r="T26" s="73"/>
      <c r="U26" s="73"/>
      <c r="V26" s="73"/>
    </row>
    <row r="27" spans="1:22" s="17" customFormat="1" ht="23.25" x14ac:dyDescent="0.2">
      <c r="A27" s="68"/>
      <c r="B27" s="69"/>
      <c r="C27" s="70"/>
      <c r="D27" s="70"/>
      <c r="E27" s="71" t="s">
        <v>13</v>
      </c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4"/>
      <c r="R27" s="57"/>
      <c r="S27" s="72"/>
      <c r="T27" s="73"/>
      <c r="U27" s="73"/>
      <c r="V27" s="73"/>
    </row>
    <row r="28" spans="1:22" s="17" customFormat="1" ht="23.25" x14ac:dyDescent="0.2">
      <c r="A28" s="68"/>
      <c r="B28" s="69"/>
      <c r="C28" s="16"/>
      <c r="D28" s="16"/>
      <c r="E28" s="71" t="s">
        <v>14</v>
      </c>
      <c r="F28" s="66"/>
      <c r="G28" s="66"/>
      <c r="H28" s="66"/>
      <c r="I28" s="61">
        <f>I29</f>
        <v>8637.3700000000008</v>
      </c>
      <c r="J28" s="61">
        <f t="shared" ref="J28:K28" si="10">J29</f>
        <v>209942.43</v>
      </c>
      <c r="K28" s="61">
        <f t="shared" si="10"/>
        <v>194201.11</v>
      </c>
      <c r="L28" s="61">
        <f>I28</f>
        <v>8637.3700000000008</v>
      </c>
      <c r="M28" s="61">
        <f>J28</f>
        <v>209942.43</v>
      </c>
      <c r="N28" s="61">
        <f>K28</f>
        <v>194201.11</v>
      </c>
      <c r="O28" s="61"/>
      <c r="P28" s="61"/>
      <c r="Q28" s="74"/>
      <c r="R28" s="57"/>
      <c r="S28" s="58"/>
    </row>
    <row r="29" spans="1:22" s="25" customFormat="1" ht="37.5" customHeight="1" x14ac:dyDescent="0.2">
      <c r="A29" s="5"/>
      <c r="B29" s="6"/>
      <c r="C29" s="6"/>
      <c r="D29" s="6"/>
      <c r="E29" s="7" t="s">
        <v>199</v>
      </c>
      <c r="F29" s="63">
        <f>F23</f>
        <v>754496.15</v>
      </c>
      <c r="G29" s="63">
        <f t="shared" ref="G29:P29" si="11">G23</f>
        <v>5919930.0300000003</v>
      </c>
      <c r="H29" s="63">
        <f>H23</f>
        <v>5480826.4000000004</v>
      </c>
      <c r="I29" s="63">
        <f t="shared" si="11"/>
        <v>8637.3700000000008</v>
      </c>
      <c r="J29" s="63">
        <f t="shared" si="11"/>
        <v>209942.43</v>
      </c>
      <c r="K29" s="63">
        <f t="shared" si="11"/>
        <v>194201.11</v>
      </c>
      <c r="L29" s="63">
        <f>L23</f>
        <v>763133.52</v>
      </c>
      <c r="M29" s="63">
        <f t="shared" si="11"/>
        <v>6129872.46</v>
      </c>
      <c r="N29" s="63">
        <f>N23</f>
        <v>5675027.5099999998</v>
      </c>
      <c r="O29" s="63">
        <f t="shared" si="11"/>
        <v>10143144.779999999</v>
      </c>
      <c r="P29" s="63">
        <f t="shared" si="11"/>
        <v>0</v>
      </c>
      <c r="Q29" s="8"/>
      <c r="R29" s="75"/>
      <c r="S29" s="76"/>
      <c r="U29" s="26"/>
    </row>
    <row r="30" spans="1:22" s="11" customFormat="1" x14ac:dyDescent="0.3">
      <c r="A30" s="27"/>
      <c r="B30" s="28"/>
      <c r="C30" s="29"/>
      <c r="D30" s="29"/>
      <c r="E30" s="30"/>
      <c r="F30" s="30"/>
      <c r="G30" s="30"/>
      <c r="H30" s="30"/>
      <c r="I30" s="30"/>
      <c r="J30" s="30"/>
      <c r="K30" s="30"/>
      <c r="L30" s="31"/>
      <c r="M30" s="31"/>
      <c r="N30" s="32"/>
      <c r="O30" s="31"/>
      <c r="P30" s="31"/>
      <c r="Q30" s="33"/>
      <c r="R30" s="55"/>
      <c r="S30" s="77"/>
      <c r="U30" s="34"/>
    </row>
    <row r="31" spans="1:22" s="11" customFormat="1" x14ac:dyDescent="0.3">
      <c r="A31" s="27"/>
      <c r="B31" s="28"/>
      <c r="C31" s="29"/>
      <c r="D31" s="29"/>
      <c r="E31" s="78"/>
      <c r="F31" s="78"/>
      <c r="G31" s="78"/>
      <c r="H31" s="78"/>
      <c r="I31" s="78"/>
      <c r="J31" s="78"/>
      <c r="K31" s="30"/>
      <c r="L31" s="31"/>
      <c r="M31" s="31"/>
      <c r="N31" s="31"/>
      <c r="O31" s="31"/>
      <c r="P31" s="31"/>
      <c r="Q31" s="33"/>
      <c r="R31" s="55"/>
      <c r="S31" s="77"/>
      <c r="U31" s="34"/>
    </row>
    <row r="32" spans="1:22" s="11" customFormat="1" x14ac:dyDescent="0.3">
      <c r="A32" s="27"/>
      <c r="B32" s="28"/>
      <c r="C32" s="29"/>
      <c r="D32" s="29"/>
      <c r="E32" s="78"/>
      <c r="F32" s="78"/>
      <c r="G32" s="78"/>
      <c r="H32" s="78"/>
      <c r="I32" s="78"/>
      <c r="J32" s="78"/>
      <c r="K32" s="30"/>
      <c r="L32" s="31"/>
      <c r="M32" s="31"/>
      <c r="N32" s="48"/>
      <c r="O32" s="31"/>
      <c r="P32" s="31"/>
      <c r="Q32" s="33"/>
      <c r="R32" s="55"/>
      <c r="S32" s="77"/>
      <c r="U32" s="34"/>
    </row>
    <row r="33" spans="1:22" s="11" customFormat="1" x14ac:dyDescent="0.3">
      <c r="A33" s="27"/>
      <c r="B33" s="28"/>
      <c r="C33" s="29"/>
      <c r="D33" s="29"/>
      <c r="E33" s="78"/>
      <c r="F33" s="78"/>
      <c r="G33" s="78"/>
      <c r="H33" s="78"/>
      <c r="I33" s="78"/>
      <c r="J33" s="78"/>
      <c r="K33" s="30"/>
      <c r="L33" s="31"/>
      <c r="M33" s="31"/>
      <c r="N33" s="31"/>
      <c r="O33" s="31"/>
      <c r="P33" s="31"/>
      <c r="Q33" s="49"/>
      <c r="R33" s="55"/>
      <c r="S33" s="77"/>
      <c r="U33" s="34"/>
    </row>
    <row r="34" spans="1:22" s="9" customFormat="1" x14ac:dyDescent="0.3">
      <c r="A34" s="35"/>
      <c r="B34" s="36"/>
      <c r="C34" s="37"/>
      <c r="D34" s="37"/>
      <c r="E34" s="79"/>
      <c r="F34" s="78"/>
      <c r="G34" s="78"/>
      <c r="H34" s="78"/>
      <c r="I34" s="78"/>
      <c r="J34" s="78"/>
      <c r="K34" s="30"/>
      <c r="L34" s="30"/>
      <c r="M34" s="38"/>
      <c r="N34" s="31"/>
      <c r="O34" s="31"/>
      <c r="P34" s="31"/>
      <c r="Q34" s="31"/>
      <c r="R34" s="51"/>
      <c r="S34" s="52"/>
      <c r="T34" s="39"/>
      <c r="V34" s="39"/>
    </row>
    <row r="35" spans="1:22" s="9" customFormat="1" x14ac:dyDescent="0.3">
      <c r="A35" s="35"/>
      <c r="B35" s="36"/>
      <c r="C35" s="37"/>
      <c r="D35" s="37"/>
      <c r="E35" s="79"/>
      <c r="F35" s="78"/>
      <c r="G35" s="78"/>
      <c r="H35" s="78"/>
      <c r="I35" s="78"/>
      <c r="J35" s="78"/>
      <c r="K35" s="30"/>
      <c r="L35" s="30"/>
      <c r="M35" s="38"/>
      <c r="N35" s="31"/>
      <c r="O35" s="31"/>
      <c r="P35" s="31"/>
      <c r="Q35" s="31"/>
      <c r="R35" s="51"/>
      <c r="S35" s="52"/>
      <c r="T35" s="39"/>
      <c r="V35" s="39"/>
    </row>
    <row r="36" spans="1:22" s="9" customFormat="1" x14ac:dyDescent="0.3">
      <c r="A36" s="35"/>
      <c r="B36" s="36"/>
      <c r="C36" s="37"/>
      <c r="D36" s="37"/>
      <c r="E36" s="79"/>
      <c r="F36" s="78"/>
      <c r="G36" s="78"/>
      <c r="H36" s="78"/>
      <c r="I36" s="78"/>
      <c r="J36" s="78"/>
      <c r="K36" s="30"/>
      <c r="L36" s="30"/>
      <c r="M36" s="38"/>
      <c r="N36" s="31"/>
      <c r="O36" s="31"/>
      <c r="P36" s="31"/>
      <c r="Q36" s="31"/>
      <c r="R36" s="51"/>
      <c r="S36" s="52"/>
      <c r="T36" s="39"/>
      <c r="V36" s="39"/>
    </row>
    <row r="37" spans="1:22" s="11" customFormat="1" ht="26.25" customHeight="1" x14ac:dyDescent="0.35">
      <c r="A37" s="40"/>
      <c r="B37" s="338" t="s">
        <v>517</v>
      </c>
      <c r="C37" s="338"/>
      <c r="D37" s="338"/>
      <c r="E37" s="484" t="s">
        <v>518</v>
      </c>
      <c r="F37" s="485"/>
      <c r="G37" s="485"/>
      <c r="H37" s="485"/>
      <c r="I37" s="358"/>
      <c r="J37" s="359"/>
      <c r="K37" s="339"/>
      <c r="L37" s="340"/>
      <c r="M37" s="341" t="s">
        <v>519</v>
      </c>
      <c r="N37" s="31"/>
      <c r="O37" s="31"/>
      <c r="P37" s="31"/>
      <c r="Q37" s="31"/>
      <c r="R37" s="57"/>
      <c r="S37" s="56"/>
    </row>
    <row r="38" spans="1:22" s="10" customFormat="1" ht="23.25" x14ac:dyDescent="0.35">
      <c r="A38" s="41"/>
      <c r="B38" s="342"/>
      <c r="C38" s="342"/>
      <c r="D38" s="343"/>
      <c r="E38" s="344"/>
      <c r="F38" s="345"/>
      <c r="G38" s="346"/>
      <c r="H38" s="347"/>
      <c r="I38" s="78"/>
      <c r="J38" s="78"/>
      <c r="K38" s="347"/>
      <c r="L38" s="347"/>
      <c r="M38" s="341"/>
      <c r="N38" s="42"/>
      <c r="O38" s="42"/>
      <c r="P38" s="42"/>
      <c r="Q38" s="42"/>
      <c r="R38" s="51"/>
      <c r="S38" s="53"/>
    </row>
    <row r="39" spans="1:22" s="11" customFormat="1" ht="23.25" x14ac:dyDescent="0.35">
      <c r="A39" s="40"/>
      <c r="B39" s="348"/>
      <c r="C39" s="348"/>
      <c r="D39" s="349"/>
      <c r="E39" s="350"/>
      <c r="F39" s="351"/>
      <c r="G39" s="352"/>
      <c r="H39" s="353"/>
      <c r="I39" s="78"/>
      <c r="J39" s="78"/>
      <c r="K39" s="353"/>
      <c r="L39" s="353"/>
      <c r="M39" s="341"/>
      <c r="N39" s="43"/>
      <c r="O39" s="43"/>
      <c r="P39" s="43"/>
      <c r="Q39" s="33"/>
      <c r="R39" s="55"/>
      <c r="S39" s="56"/>
    </row>
    <row r="40" spans="1:22" s="11" customFormat="1" ht="26.25" customHeight="1" x14ac:dyDescent="0.35">
      <c r="A40" s="40"/>
      <c r="B40" s="338" t="s">
        <v>520</v>
      </c>
      <c r="C40" s="338"/>
      <c r="D40" s="338"/>
      <c r="E40" s="484" t="s">
        <v>521</v>
      </c>
      <c r="F40" s="486"/>
      <c r="G40" s="486"/>
      <c r="H40" s="486"/>
      <c r="I40" s="359"/>
      <c r="J40" s="359"/>
      <c r="K40" s="339"/>
      <c r="L40" s="340"/>
      <c r="M40" s="341" t="s">
        <v>522</v>
      </c>
      <c r="N40" s="43"/>
      <c r="O40" s="43"/>
      <c r="P40" s="43"/>
      <c r="Q40" s="33"/>
      <c r="R40" s="55"/>
      <c r="S40" s="56"/>
    </row>
    <row r="41" spans="1:22" x14ac:dyDescent="0.3">
      <c r="B41" s="330"/>
      <c r="C41" s="330"/>
      <c r="D41" s="354"/>
      <c r="E41" s="355"/>
      <c r="F41" s="356"/>
      <c r="G41" s="357"/>
      <c r="H41" s="357"/>
      <c r="I41" s="78"/>
      <c r="J41" s="78"/>
    </row>
    <row r="42" spans="1:22" x14ac:dyDescent="0.2">
      <c r="E42" s="78"/>
      <c r="F42" s="78"/>
      <c r="G42" s="78"/>
      <c r="H42" s="78"/>
      <c r="I42" s="78"/>
      <c r="J42" s="78"/>
    </row>
    <row r="43" spans="1:22" x14ac:dyDescent="0.2">
      <c r="E43" s="78"/>
      <c r="F43" s="78"/>
      <c r="G43" s="78"/>
      <c r="H43" s="78"/>
      <c r="I43" s="78"/>
      <c r="J43" s="78"/>
    </row>
  </sheetData>
  <customSheetViews>
    <customSheetView guid="{375CA54E-07C4-42A8-B2DF-00F021A8A0AA}" scale="50" showPageBreaks="1" fitToPage="1" printArea="1" hiddenRows="1" hiddenColumns="1" view="pageBreakPreview" topLeftCell="A25">
      <selection activeCell="C30" sqref="C30"/>
      <pageMargins left="0.19685039370078741" right="0.19685039370078741" top="0.19685039370078741" bottom="0.19685039370078741" header="0" footer="0"/>
      <printOptions horizontalCentered="1"/>
      <pageSetup paperSize="9" scale="53" fitToHeight="10" orientation="landscape" r:id="rId1"/>
    </customSheetView>
    <customSheetView guid="{0E27566C-5E8B-411A-84C7-F161A069C119}" scale="50" showPageBreaks="1" fitToPage="1" printArea="1" hiddenRows="1" hiddenColumns="1" view="pageBreakPreview" topLeftCell="A13">
      <selection activeCell="B20" sqref="B20"/>
      <pageMargins left="0.19685039370078741" right="0.19685039370078741" top="0.19685039370078741" bottom="0.19685039370078741" header="0" footer="0"/>
      <printOptions horizontalCentered="1"/>
      <pageSetup paperSize="9" scale="21" fitToHeight="10" orientation="landscape" r:id="rId2"/>
    </customSheetView>
  </customSheetViews>
  <mergeCells count="15">
    <mergeCell ref="E37:H37"/>
    <mergeCell ref="E40:H40"/>
    <mergeCell ref="A6:Q6"/>
    <mergeCell ref="A8:Q8"/>
    <mergeCell ref="O10:O11"/>
    <mergeCell ref="Q10:Q11"/>
    <mergeCell ref="I10:K10"/>
    <mergeCell ref="A10:A11"/>
    <mergeCell ref="B10:B11"/>
    <mergeCell ref="C10:C11"/>
    <mergeCell ref="D10:D11"/>
    <mergeCell ref="E10:E11"/>
    <mergeCell ref="F10:H10"/>
    <mergeCell ref="L10:N10"/>
    <mergeCell ref="P10:P11"/>
  </mergeCells>
  <phoneticPr fontId="40" type="noConversion"/>
  <printOptions horizontalCentered="1"/>
  <pageMargins left="0.19685039370078741" right="0.19685039370078741" top="0.19685039370078741" bottom="0.19685039370078741" header="0" footer="0"/>
  <pageSetup paperSize="9" scale="41" fitToHeight="0" orientation="landscape" blackAndWhite="1" r:id="rId3"/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F216"/>
  <sheetViews>
    <sheetView workbookViewId="0"/>
  </sheetViews>
  <sheetFormatPr defaultColWidth="9.33203125" defaultRowHeight="11.25" x14ac:dyDescent="0.2"/>
  <cols>
    <col min="1" max="1" width="7.83203125" style="49" customWidth="1"/>
    <col min="2" max="2" width="10.33203125" style="49" customWidth="1"/>
    <col min="3" max="3" width="14.83203125" style="49" customWidth="1"/>
    <col min="4" max="4" width="47.5" style="49" customWidth="1"/>
    <col min="5" max="5" width="13.6640625" style="49" customWidth="1"/>
    <col min="6" max="6" width="9.5" style="49" bestFit="1" customWidth="1"/>
    <col min="7" max="7" width="19.6640625" style="49" customWidth="1"/>
    <col min="8" max="8" width="15.6640625" style="49" customWidth="1"/>
    <col min="9" max="9" width="15.83203125" style="49" customWidth="1"/>
    <col min="10" max="10" width="14.6640625" style="49" customWidth="1"/>
    <col min="11" max="11" width="10.6640625" style="49" bestFit="1" customWidth="1"/>
    <col min="12" max="12" width="17.5" style="49" customWidth="1"/>
    <col min="13" max="13" width="15.1640625" style="49" bestFit="1" customWidth="1"/>
    <col min="14" max="14" width="9.33203125" style="49"/>
    <col min="15" max="30" width="0" style="49" hidden="1" customWidth="1"/>
    <col min="31" max="31" width="157.1640625" style="49" hidden="1" customWidth="1"/>
    <col min="32" max="32" width="117.83203125" style="49" hidden="1" customWidth="1"/>
    <col min="33" max="36" width="0" style="49" hidden="1" customWidth="1"/>
    <col min="37" max="16384" width="9.33203125" style="49"/>
  </cols>
  <sheetData>
    <row r="1" spans="1:12" ht="14.25" x14ac:dyDescent="0.2">
      <c r="A1" s="101"/>
      <c r="B1" s="101"/>
      <c r="C1" s="101"/>
      <c r="D1" s="101"/>
      <c r="E1" s="101"/>
      <c r="F1" s="101"/>
      <c r="G1" s="101"/>
      <c r="H1" s="101"/>
      <c r="I1" s="531" t="s">
        <v>15</v>
      </c>
      <c r="J1" s="531"/>
      <c r="K1" s="531"/>
      <c r="L1" s="531"/>
    </row>
    <row r="2" spans="1:12" ht="14.25" x14ac:dyDescent="0.2">
      <c r="A2" s="101"/>
      <c r="B2" s="101"/>
      <c r="C2" s="101"/>
      <c r="D2" s="101"/>
      <c r="E2" s="101"/>
      <c r="F2" s="101"/>
      <c r="G2" s="101"/>
      <c r="H2" s="101"/>
      <c r="I2" s="531" t="s">
        <v>16</v>
      </c>
      <c r="J2" s="531"/>
      <c r="K2" s="531"/>
      <c r="L2" s="531"/>
    </row>
    <row r="3" spans="1:12" ht="14.25" x14ac:dyDescent="0.2">
      <c r="A3" s="101"/>
      <c r="B3" s="101"/>
      <c r="C3" s="101"/>
      <c r="D3" s="101"/>
      <c r="E3" s="101"/>
      <c r="F3" s="101"/>
      <c r="G3" s="101"/>
      <c r="H3" s="101"/>
      <c r="I3" s="101"/>
      <c r="J3" s="532" t="s">
        <v>17</v>
      </c>
      <c r="K3" s="532"/>
      <c r="L3" s="532"/>
    </row>
    <row r="4" spans="1:12" ht="14.25" x14ac:dyDescent="0.2">
      <c r="A4" s="101"/>
      <c r="B4" s="101"/>
      <c r="C4" s="101"/>
      <c r="D4" s="101"/>
      <c r="E4" s="101"/>
      <c r="F4" s="101"/>
      <c r="G4" s="101"/>
      <c r="H4" s="101"/>
      <c r="I4" s="199" t="s">
        <v>18</v>
      </c>
      <c r="J4" s="533" t="s">
        <v>19</v>
      </c>
      <c r="K4" s="533"/>
      <c r="L4" s="533"/>
    </row>
    <row r="5" spans="1:12" ht="14.25" x14ac:dyDescent="0.2">
      <c r="A5" s="101"/>
      <c r="B5" s="101"/>
      <c r="C5" s="101"/>
      <c r="D5" s="101"/>
      <c r="E5" s="101"/>
      <c r="F5" s="101"/>
      <c r="G5" s="101"/>
      <c r="H5" s="101"/>
      <c r="I5" s="101"/>
      <c r="J5" s="534" t="s">
        <v>83</v>
      </c>
      <c r="K5" s="535"/>
      <c r="L5" s="536"/>
    </row>
    <row r="6" spans="1:12" ht="25.5" customHeight="1" x14ac:dyDescent="0.2">
      <c r="A6" s="540" t="s">
        <v>86</v>
      </c>
      <c r="B6" s="540"/>
      <c r="C6" s="541" t="s">
        <v>87</v>
      </c>
      <c r="D6" s="541"/>
      <c r="E6" s="541"/>
      <c r="F6" s="541"/>
      <c r="G6" s="541"/>
      <c r="H6" s="541"/>
      <c r="I6" s="199" t="s">
        <v>21</v>
      </c>
      <c r="J6" s="537"/>
      <c r="K6" s="538"/>
      <c r="L6" s="539"/>
    </row>
    <row r="7" spans="1:12" ht="14.25" customHeight="1" x14ac:dyDescent="0.2">
      <c r="A7" s="102"/>
      <c r="B7" s="102"/>
      <c r="C7" s="547" t="s">
        <v>22</v>
      </c>
      <c r="D7" s="547"/>
      <c r="E7" s="547"/>
      <c r="F7" s="547"/>
      <c r="G7" s="547"/>
      <c r="H7" s="547"/>
      <c r="I7" s="101"/>
      <c r="J7" s="534" t="s">
        <v>56</v>
      </c>
      <c r="K7" s="535"/>
      <c r="L7" s="536"/>
    </row>
    <row r="8" spans="1:12" ht="26.25" customHeight="1" x14ac:dyDescent="0.2">
      <c r="A8" s="540" t="s">
        <v>88</v>
      </c>
      <c r="B8" s="540"/>
      <c r="C8" s="541" t="s">
        <v>89</v>
      </c>
      <c r="D8" s="541"/>
      <c r="E8" s="541"/>
      <c r="F8" s="541"/>
      <c r="G8" s="541"/>
      <c r="H8" s="541"/>
      <c r="I8" s="199" t="s">
        <v>21</v>
      </c>
      <c r="J8" s="537"/>
      <c r="K8" s="538"/>
      <c r="L8" s="539"/>
    </row>
    <row r="9" spans="1:12" ht="14.25" customHeight="1" x14ac:dyDescent="0.2">
      <c r="A9" s="101"/>
      <c r="B9" s="101"/>
      <c r="C9" s="547" t="s">
        <v>22</v>
      </c>
      <c r="D9" s="547"/>
      <c r="E9" s="547"/>
      <c r="F9" s="547"/>
      <c r="G9" s="547"/>
      <c r="H9" s="547"/>
      <c r="I9" s="101"/>
      <c r="J9" s="534"/>
      <c r="K9" s="535"/>
      <c r="L9" s="536"/>
    </row>
    <row r="10" spans="1:12" ht="14.25" customHeight="1" x14ac:dyDescent="0.2">
      <c r="A10" s="101" t="s">
        <v>23</v>
      </c>
      <c r="B10" s="101"/>
      <c r="C10" s="551" t="s">
        <v>90</v>
      </c>
      <c r="D10" s="551"/>
      <c r="E10" s="551"/>
      <c r="F10" s="551"/>
      <c r="G10" s="551"/>
      <c r="H10" s="551"/>
      <c r="I10" s="101"/>
      <c r="J10" s="537"/>
      <c r="K10" s="538"/>
      <c r="L10" s="539"/>
    </row>
    <row r="11" spans="1:12" ht="14.25" customHeight="1" x14ac:dyDescent="0.2">
      <c r="A11" s="101"/>
      <c r="B11" s="101"/>
      <c r="C11" s="547" t="s">
        <v>24</v>
      </c>
      <c r="D11" s="547"/>
      <c r="E11" s="547"/>
      <c r="F11" s="547"/>
      <c r="G11" s="547"/>
      <c r="H11" s="547"/>
      <c r="I11" s="101"/>
      <c r="J11" s="548" t="s">
        <v>20</v>
      </c>
      <c r="K11" s="548"/>
      <c r="L11" s="548"/>
    </row>
    <row r="12" spans="1:12" ht="14.25" customHeight="1" x14ac:dyDescent="0.2">
      <c r="A12" s="101" t="s">
        <v>25</v>
      </c>
      <c r="B12" s="101"/>
      <c r="C12" s="549" t="s">
        <v>91</v>
      </c>
      <c r="D12" s="549"/>
      <c r="E12" s="549"/>
      <c r="F12" s="549"/>
      <c r="G12" s="549"/>
      <c r="H12" s="549"/>
      <c r="I12" s="101"/>
      <c r="J12" s="548"/>
      <c r="K12" s="548"/>
      <c r="L12" s="548"/>
    </row>
    <row r="13" spans="1:12" ht="14.25" customHeight="1" x14ac:dyDescent="0.2">
      <c r="A13" s="101"/>
      <c r="B13" s="101"/>
      <c r="C13" s="550" t="s">
        <v>26</v>
      </c>
      <c r="D13" s="550"/>
      <c r="E13" s="550"/>
      <c r="F13" s="550"/>
      <c r="G13" s="550"/>
      <c r="H13" s="550"/>
      <c r="I13" s="101"/>
      <c r="J13" s="101"/>
      <c r="K13" s="101"/>
      <c r="L13" s="101"/>
    </row>
    <row r="14" spans="1:12" ht="14.25" x14ac:dyDescent="0.2">
      <c r="A14" s="101"/>
      <c r="B14" s="101"/>
      <c r="C14" s="101"/>
      <c r="D14" s="101"/>
      <c r="E14" s="101"/>
      <c r="F14" s="101"/>
      <c r="G14" s="542" t="s">
        <v>27</v>
      </c>
      <c r="H14" s="542"/>
      <c r="I14" s="542"/>
      <c r="J14" s="532"/>
      <c r="K14" s="532"/>
      <c r="L14" s="532"/>
    </row>
    <row r="15" spans="1:12" ht="14.25" customHeight="1" x14ac:dyDescent="0.2">
      <c r="A15" s="101"/>
      <c r="B15" s="101"/>
      <c r="C15" s="101"/>
      <c r="D15" s="101"/>
      <c r="E15" s="101"/>
      <c r="F15" s="101"/>
      <c r="G15" s="542" t="s">
        <v>28</v>
      </c>
      <c r="H15" s="543"/>
      <c r="I15" s="103" t="s">
        <v>29</v>
      </c>
      <c r="J15" s="544" t="s">
        <v>92</v>
      </c>
      <c r="K15" s="545"/>
      <c r="L15" s="546"/>
    </row>
    <row r="16" spans="1:12" ht="14.25" x14ac:dyDescent="0.2">
      <c r="A16" s="101"/>
      <c r="B16" s="101"/>
      <c r="C16" s="101"/>
      <c r="D16" s="101"/>
      <c r="E16" s="101"/>
      <c r="F16" s="101"/>
      <c r="G16" s="101"/>
      <c r="H16" s="101"/>
      <c r="I16" s="200" t="s">
        <v>30</v>
      </c>
      <c r="J16" s="506">
        <v>41544</v>
      </c>
      <c r="K16" s="506"/>
      <c r="L16" s="506"/>
    </row>
    <row r="17" spans="1:31" ht="14.25" customHeight="1" x14ac:dyDescent="0.2">
      <c r="A17" s="101"/>
      <c r="B17" s="101"/>
      <c r="C17" s="101"/>
      <c r="D17" s="101"/>
      <c r="E17" s="101"/>
      <c r="F17" s="101"/>
      <c r="G17" s="101"/>
      <c r="H17" s="101"/>
      <c r="I17" s="104"/>
      <c r="J17" s="507">
        <v>25</v>
      </c>
      <c r="K17" s="508"/>
      <c r="L17" s="509"/>
    </row>
    <row r="18" spans="1:31" ht="14.25" x14ac:dyDescent="0.2">
      <c r="A18" s="101"/>
      <c r="B18" s="101"/>
      <c r="C18" s="101"/>
      <c r="D18" s="101"/>
      <c r="E18" s="101"/>
      <c r="F18" s="101"/>
      <c r="G18" s="101"/>
      <c r="H18" s="101"/>
      <c r="I18" s="104"/>
      <c r="J18" s="510">
        <v>44158</v>
      </c>
      <c r="K18" s="511"/>
      <c r="L18" s="512"/>
    </row>
    <row r="19" spans="1:31" ht="14.25" customHeight="1" x14ac:dyDescent="0.2">
      <c r="A19" s="101"/>
      <c r="B19" s="101"/>
      <c r="C19" s="101"/>
      <c r="D19" s="101"/>
      <c r="E19" s="101"/>
      <c r="F19" s="101"/>
      <c r="G19" s="101"/>
      <c r="H19" s="101"/>
      <c r="I19" s="104"/>
      <c r="J19" s="205"/>
      <c r="K19" s="205"/>
      <c r="L19" s="205"/>
    </row>
    <row r="20" spans="1:31" s="178" customFormat="1" ht="18" customHeight="1" x14ac:dyDescent="0.25">
      <c r="A20" s="101"/>
      <c r="B20" s="101"/>
      <c r="C20" s="101"/>
      <c r="D20" s="101"/>
      <c r="E20" s="101"/>
      <c r="F20" s="101"/>
      <c r="G20" s="513" t="s">
        <v>31</v>
      </c>
      <c r="H20" s="515" t="s">
        <v>32</v>
      </c>
      <c r="I20" s="515" t="s">
        <v>33</v>
      </c>
      <c r="J20" s="517"/>
      <c r="K20" s="205"/>
      <c r="L20" s="205"/>
      <c r="M20" s="177" t="s">
        <v>93</v>
      </c>
    </row>
    <row r="21" spans="1:31" s="178" customFormat="1" ht="14.25" customHeight="1" x14ac:dyDescent="0.25">
      <c r="A21" s="101"/>
      <c r="B21" s="101"/>
      <c r="C21" s="101"/>
      <c r="D21" s="101"/>
      <c r="E21" s="101"/>
      <c r="F21" s="101"/>
      <c r="G21" s="514"/>
      <c r="H21" s="516"/>
      <c r="I21" s="206" t="s">
        <v>34</v>
      </c>
      <c r="J21" s="207" t="s">
        <v>35</v>
      </c>
      <c r="K21" s="205"/>
      <c r="L21" s="205"/>
      <c r="M21" s="177"/>
    </row>
    <row r="22" spans="1:31" s="178" customFormat="1" ht="14.25" x14ac:dyDescent="0.2">
      <c r="A22" s="101"/>
      <c r="B22" s="101"/>
      <c r="C22" s="101"/>
      <c r="D22" s="101"/>
      <c r="E22" s="101"/>
      <c r="F22" s="101"/>
      <c r="G22" s="208" t="s">
        <v>94</v>
      </c>
      <c r="H22" s="209">
        <v>44227</v>
      </c>
      <c r="I22" s="209">
        <v>44197</v>
      </c>
      <c r="J22" s="210">
        <f>H22</f>
        <v>44227</v>
      </c>
      <c r="K22" s="101"/>
      <c r="L22" s="101"/>
    </row>
    <row r="23" spans="1:31" s="178" customFormat="1" ht="14.25" customHeight="1" x14ac:dyDescent="0.2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31" s="178" customFormat="1" ht="14.25" x14ac:dyDescent="0.2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1:31" s="178" customFormat="1" ht="18" x14ac:dyDescent="0.25">
      <c r="A25" s="525" t="s">
        <v>36</v>
      </c>
      <c r="B25" s="525"/>
      <c r="C25" s="525"/>
      <c r="D25" s="525"/>
      <c r="E25" s="525"/>
      <c r="F25" s="525"/>
      <c r="G25" s="525"/>
      <c r="H25" s="525"/>
      <c r="I25" s="525"/>
      <c r="J25" s="525"/>
      <c r="K25" s="525"/>
      <c r="L25" s="525"/>
    </row>
    <row r="26" spans="1:31" s="178" customFormat="1" ht="18" x14ac:dyDescent="0.25">
      <c r="A26" s="525" t="s">
        <v>37</v>
      </c>
      <c r="B26" s="525"/>
      <c r="C26" s="525"/>
      <c r="D26" s="525"/>
      <c r="E26" s="525"/>
      <c r="F26" s="525"/>
      <c r="G26" s="525"/>
      <c r="H26" s="525"/>
      <c r="I26" s="525"/>
      <c r="J26" s="525"/>
      <c r="K26" s="525"/>
      <c r="L26" s="525"/>
    </row>
    <row r="27" spans="1:31" ht="14.25" x14ac:dyDescent="0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31" ht="18" x14ac:dyDescent="0.25">
      <c r="A28" s="44"/>
      <c r="B28" s="44"/>
      <c r="C28" s="44"/>
      <c r="D28" s="44"/>
      <c r="E28" s="552" t="s">
        <v>188</v>
      </c>
      <c r="F28" s="552"/>
      <c r="G28" s="552"/>
      <c r="H28" s="44"/>
      <c r="I28" s="44"/>
      <c r="J28" s="44"/>
      <c r="K28" s="44"/>
      <c r="L28" s="44"/>
    </row>
    <row r="29" spans="1:31" ht="15" x14ac:dyDescent="0.25">
      <c r="A29" s="44" t="s">
        <v>95</v>
      </c>
      <c r="B29" s="44"/>
      <c r="C29" s="44"/>
      <c r="D29" s="44"/>
      <c r="E29" s="44"/>
      <c r="F29" s="44"/>
      <c r="G29" s="44"/>
      <c r="H29" s="106"/>
      <c r="I29" s="106"/>
      <c r="J29" s="44"/>
      <c r="K29" s="44"/>
      <c r="L29" s="44"/>
    </row>
    <row r="30" spans="1:31" ht="14.25" x14ac:dyDescent="0.2">
      <c r="A30" s="526" t="s">
        <v>96</v>
      </c>
      <c r="B30" s="526"/>
      <c r="C30" s="526"/>
      <c r="D30" s="526"/>
      <c r="E30" s="526"/>
      <c r="F30" s="526"/>
      <c r="G30" s="526"/>
      <c r="H30" s="526"/>
      <c r="I30" s="526"/>
      <c r="J30" s="526"/>
      <c r="K30" s="526"/>
      <c r="L30" s="526"/>
      <c r="AE30" s="96" t="s">
        <v>96</v>
      </c>
    </row>
    <row r="31" spans="1:31" x14ac:dyDescent="0.2">
      <c r="A31" s="527" t="s">
        <v>38</v>
      </c>
      <c r="B31" s="528"/>
      <c r="C31" s="518" t="s">
        <v>39</v>
      </c>
      <c r="D31" s="518" t="s">
        <v>40</v>
      </c>
      <c r="E31" s="518" t="s">
        <v>75</v>
      </c>
      <c r="F31" s="518" t="s">
        <v>68</v>
      </c>
      <c r="G31" s="518" t="s">
        <v>69</v>
      </c>
      <c r="H31" s="518" t="s">
        <v>76</v>
      </c>
      <c r="I31" s="518" t="s">
        <v>77</v>
      </c>
      <c r="J31" s="518" t="s">
        <v>78</v>
      </c>
      <c r="K31" s="518" t="s">
        <v>79</v>
      </c>
      <c r="L31" s="518" t="s">
        <v>80</v>
      </c>
    </row>
    <row r="32" spans="1:31" x14ac:dyDescent="0.2">
      <c r="A32" s="529"/>
      <c r="B32" s="530"/>
      <c r="C32" s="519"/>
      <c r="D32" s="519"/>
      <c r="E32" s="519"/>
      <c r="F32" s="519"/>
      <c r="G32" s="519"/>
      <c r="H32" s="519"/>
      <c r="I32" s="519"/>
      <c r="J32" s="519"/>
      <c r="K32" s="519"/>
      <c r="L32" s="519"/>
    </row>
    <row r="33" spans="1:22" x14ac:dyDescent="0.2">
      <c r="A33" s="553" t="s">
        <v>41</v>
      </c>
      <c r="B33" s="553" t="s">
        <v>42</v>
      </c>
      <c r="C33" s="519"/>
      <c r="D33" s="519"/>
      <c r="E33" s="519"/>
      <c r="F33" s="519"/>
      <c r="G33" s="519"/>
      <c r="H33" s="519"/>
      <c r="I33" s="519"/>
      <c r="J33" s="519"/>
      <c r="K33" s="519"/>
      <c r="L33" s="519"/>
    </row>
    <row r="34" spans="1:22" x14ac:dyDescent="0.2">
      <c r="A34" s="553"/>
      <c r="B34" s="553"/>
      <c r="C34" s="519"/>
      <c r="D34" s="519"/>
      <c r="E34" s="519"/>
      <c r="F34" s="519"/>
      <c r="G34" s="519"/>
      <c r="H34" s="519"/>
      <c r="I34" s="519"/>
      <c r="J34" s="519"/>
      <c r="K34" s="519"/>
      <c r="L34" s="519"/>
    </row>
    <row r="35" spans="1:22" x14ac:dyDescent="0.2">
      <c r="A35" s="553"/>
      <c r="B35" s="553"/>
      <c r="C35" s="519"/>
      <c r="D35" s="519"/>
      <c r="E35" s="519"/>
      <c r="F35" s="519"/>
      <c r="G35" s="519"/>
      <c r="H35" s="519"/>
      <c r="I35" s="519"/>
      <c r="J35" s="519"/>
      <c r="K35" s="519"/>
      <c r="L35" s="519"/>
    </row>
    <row r="36" spans="1:22" x14ac:dyDescent="0.2">
      <c r="A36" s="553"/>
      <c r="B36" s="553"/>
      <c r="C36" s="519"/>
      <c r="D36" s="519"/>
      <c r="E36" s="519"/>
      <c r="F36" s="519"/>
      <c r="G36" s="519"/>
      <c r="H36" s="519"/>
      <c r="I36" s="519"/>
      <c r="J36" s="519"/>
      <c r="K36" s="519"/>
      <c r="L36" s="519"/>
    </row>
    <row r="37" spans="1:22" x14ac:dyDescent="0.2">
      <c r="A37" s="553"/>
      <c r="B37" s="553"/>
      <c r="C37" s="519"/>
      <c r="D37" s="519"/>
      <c r="E37" s="519"/>
      <c r="F37" s="519"/>
      <c r="G37" s="519"/>
      <c r="H37" s="519"/>
      <c r="I37" s="519"/>
      <c r="J37" s="519"/>
      <c r="K37" s="519"/>
      <c r="L37" s="519"/>
    </row>
    <row r="38" spans="1:22" x14ac:dyDescent="0.2">
      <c r="A38" s="553"/>
      <c r="B38" s="553"/>
      <c r="C38" s="520"/>
      <c r="D38" s="520"/>
      <c r="E38" s="520"/>
      <c r="F38" s="520"/>
      <c r="G38" s="520"/>
      <c r="H38" s="520"/>
      <c r="I38" s="520"/>
      <c r="J38" s="520"/>
      <c r="K38" s="520"/>
      <c r="L38" s="520"/>
    </row>
    <row r="39" spans="1:22" ht="14.25" x14ac:dyDescent="0.2">
      <c r="A39" s="107">
        <v>1</v>
      </c>
      <c r="B39" s="107">
        <v>2</v>
      </c>
      <c r="C39" s="107">
        <v>3</v>
      </c>
      <c r="D39" s="107">
        <v>4</v>
      </c>
      <c r="E39" s="107">
        <v>5</v>
      </c>
      <c r="F39" s="107">
        <v>6</v>
      </c>
      <c r="G39" s="107">
        <v>7</v>
      </c>
      <c r="H39" s="107">
        <v>8</v>
      </c>
      <c r="I39" s="107">
        <v>9</v>
      </c>
      <c r="J39" s="107">
        <v>10</v>
      </c>
      <c r="K39" s="107">
        <v>11</v>
      </c>
      <c r="L39" s="107">
        <v>12</v>
      </c>
    </row>
    <row r="41" spans="1:22" ht="16.5" x14ac:dyDescent="0.2">
      <c r="A41" s="521" t="s">
        <v>97</v>
      </c>
      <c r="B41" s="521"/>
      <c r="C41" s="521"/>
      <c r="D41" s="521"/>
      <c r="E41" s="521"/>
      <c r="F41" s="521"/>
      <c r="G41" s="521"/>
      <c r="H41" s="521"/>
      <c r="I41" s="521"/>
      <c r="J41" s="521"/>
      <c r="K41" s="521"/>
      <c r="L41" s="521"/>
    </row>
    <row r="42" spans="1:22" ht="36.75" customHeight="1" x14ac:dyDescent="0.25">
      <c r="A42" s="522" t="s">
        <v>98</v>
      </c>
      <c r="B42" s="522"/>
      <c r="C42" s="522"/>
      <c r="D42" s="522"/>
      <c r="E42" s="522"/>
      <c r="F42" s="522"/>
      <c r="G42" s="522"/>
      <c r="H42" s="522"/>
      <c r="I42" s="522"/>
      <c r="J42" s="522"/>
      <c r="K42" s="522"/>
      <c r="L42" s="522"/>
    </row>
    <row r="44" spans="1:22" ht="16.5" x14ac:dyDescent="0.25">
      <c r="A44" s="523" t="str">
        <f>CONCATENATE("Раздел: ",IF([78]Source!G28&lt;&gt;"Новый раздел", [78]Source!G28, ""))</f>
        <v>Раздел: Вентиляция</v>
      </c>
      <c r="B44" s="523"/>
      <c r="C44" s="523"/>
      <c r="D44" s="523"/>
      <c r="E44" s="523"/>
      <c r="F44" s="523"/>
      <c r="G44" s="523"/>
      <c r="H44" s="523"/>
      <c r="I44" s="523"/>
      <c r="J44" s="523"/>
      <c r="K44" s="523"/>
      <c r="L44" s="523"/>
    </row>
    <row r="45" spans="1:22" x14ac:dyDescent="0.2">
      <c r="A45" s="211"/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</row>
    <row r="46" spans="1:22" ht="16.5" x14ac:dyDescent="0.25">
      <c r="A46" s="523" t="str">
        <f>CONCATENATE("Подраздел: ",IF([78]Source!G342&lt;&gt;"Новый подраздел", [78]Source!G342, ""))</f>
        <v>Подраздел: П2-16, П2-16р</v>
      </c>
      <c r="B46" s="523"/>
      <c r="C46" s="523"/>
      <c r="D46" s="523"/>
      <c r="E46" s="523"/>
      <c r="F46" s="523"/>
      <c r="G46" s="523"/>
      <c r="H46" s="523"/>
      <c r="I46" s="523"/>
      <c r="J46" s="523"/>
      <c r="K46" s="523"/>
      <c r="L46" s="523"/>
    </row>
    <row r="47" spans="1:22" ht="65.25" x14ac:dyDescent="0.2">
      <c r="A47" s="212">
        <v>1</v>
      </c>
      <c r="B47" s="212">
        <v>41</v>
      </c>
      <c r="C47" s="213" t="s">
        <v>99</v>
      </c>
      <c r="D47" s="213" t="s">
        <v>100</v>
      </c>
      <c r="E47" s="214" t="str">
        <f>[78]Source!H346</f>
        <v>1  ШТ.</v>
      </c>
      <c r="F47" s="215">
        <f>[78]Source!I346</f>
        <v>1</v>
      </c>
      <c r="G47" s="216"/>
      <c r="H47" s="217"/>
      <c r="I47" s="215"/>
      <c r="J47" s="218"/>
      <c r="K47" s="215"/>
      <c r="L47" s="218"/>
      <c r="Q47" s="49">
        <f>[78]Source!X346</f>
        <v>866.43</v>
      </c>
      <c r="R47" s="49">
        <f>[78]Source!X347</f>
        <v>18294.23</v>
      </c>
      <c r="S47" s="49">
        <f>[78]Source!Y346</f>
        <v>767.73</v>
      </c>
      <c r="T47" s="49">
        <f>[78]Source!Y347</f>
        <v>11568.41</v>
      </c>
      <c r="U47" s="49">
        <f>ROUND((175/100)*ROUND([78]Source!R346, 2), 2)</f>
        <v>4.08</v>
      </c>
      <c r="V47" s="49">
        <f>ROUND((157/100)*ROUND([78]Source!R347, 2), 2)</f>
        <v>89.73</v>
      </c>
    </row>
    <row r="48" spans="1:22" ht="14.25" x14ac:dyDescent="0.2">
      <c r="A48" s="212"/>
      <c r="B48" s="212"/>
      <c r="C48" s="213"/>
      <c r="D48" s="213" t="s">
        <v>43</v>
      </c>
      <c r="E48" s="214"/>
      <c r="F48" s="215"/>
      <c r="G48" s="216">
        <f>[78]Source!AO346</f>
        <v>615.5</v>
      </c>
      <c r="H48" s="217" t="str">
        <f>[78]Source!DG346</f>
        <v>)*1,67</v>
      </c>
      <c r="I48" s="215">
        <f>[78]Source!AV347</f>
        <v>1.0669999999999999</v>
      </c>
      <c r="J48" s="218">
        <f>[78]Source!S346</f>
        <v>1096.75</v>
      </c>
      <c r="K48" s="215">
        <f>IF([78]Source!BA347&lt;&gt; 0, [78]Source!BA347, 1)</f>
        <v>24.53</v>
      </c>
      <c r="L48" s="218">
        <f>[78]Source!S347</f>
        <v>26903.279999999999</v>
      </c>
    </row>
    <row r="49" spans="1:22" ht="14.25" x14ac:dyDescent="0.2">
      <c r="A49" s="212"/>
      <c r="B49" s="212"/>
      <c r="C49" s="213"/>
      <c r="D49" s="213" t="s">
        <v>44</v>
      </c>
      <c r="E49" s="214"/>
      <c r="F49" s="215"/>
      <c r="G49" s="216">
        <f>[78]Source!AM346</f>
        <v>15.8</v>
      </c>
      <c r="H49" s="217" t="str">
        <f>[78]Source!DE346</f>
        <v/>
      </c>
      <c r="I49" s="215">
        <f>[78]Source!AV347</f>
        <v>1.0669999999999999</v>
      </c>
      <c r="J49" s="218">
        <f>[78]Source!Q346-J59</f>
        <v>16.86</v>
      </c>
      <c r="K49" s="215">
        <f>IF([78]Source!BB347&lt;&gt; 0, [78]Source!BB347, 1)</f>
        <v>7.59</v>
      </c>
      <c r="L49" s="218">
        <f>[78]Source!Q347-L59</f>
        <v>127.97</v>
      </c>
    </row>
    <row r="50" spans="1:22" ht="14.25" x14ac:dyDescent="0.2">
      <c r="A50" s="212"/>
      <c r="B50" s="212"/>
      <c r="C50" s="213"/>
      <c r="D50" s="213" t="s">
        <v>45</v>
      </c>
      <c r="E50" s="214"/>
      <c r="F50" s="215"/>
      <c r="G50" s="216">
        <f>[78]Source!AN346</f>
        <v>1.31</v>
      </c>
      <c r="H50" s="217" t="str">
        <f>[78]Source!DE346</f>
        <v/>
      </c>
      <c r="I50" s="215">
        <f>[78]Source!AV347</f>
        <v>1.0669999999999999</v>
      </c>
      <c r="J50" s="219">
        <f>[78]Source!R346-J60</f>
        <v>1.39</v>
      </c>
      <c r="K50" s="215">
        <f>IF([78]Source!BS347&lt;&gt; 0, [78]Source!BS347, 1)</f>
        <v>24.53</v>
      </c>
      <c r="L50" s="219">
        <f>[78]Source!R347-L60</f>
        <v>34.090000000000003</v>
      </c>
    </row>
    <row r="51" spans="1:22" ht="14.25" x14ac:dyDescent="0.2">
      <c r="A51" s="212"/>
      <c r="B51" s="212"/>
      <c r="C51" s="213"/>
      <c r="D51" s="213" t="s">
        <v>46</v>
      </c>
      <c r="E51" s="214"/>
      <c r="F51" s="215"/>
      <c r="G51" s="216">
        <f>[78]Source!AL346</f>
        <v>4.0599999999999996</v>
      </c>
      <c r="H51" s="217" t="str">
        <f>[78]Source!DD346</f>
        <v/>
      </c>
      <c r="I51" s="215">
        <f>[78]Source!AW347</f>
        <v>1.028</v>
      </c>
      <c r="J51" s="218">
        <f>[78]Source!P346</f>
        <v>4.17</v>
      </c>
      <c r="K51" s="215">
        <f>IF([78]Source!BC347&lt;&gt; 0, [78]Source!BC347, 1)</f>
        <v>6.33</v>
      </c>
      <c r="L51" s="218">
        <f>[78]Source!P347</f>
        <v>26.4</v>
      </c>
    </row>
    <row r="52" spans="1:22" ht="14.25" x14ac:dyDescent="0.2">
      <c r="A52" s="212"/>
      <c r="B52" s="212"/>
      <c r="C52" s="213"/>
      <c r="D52" s="213" t="s">
        <v>47</v>
      </c>
      <c r="E52" s="214" t="s">
        <v>48</v>
      </c>
      <c r="F52" s="215">
        <f>[78]Source!DN347</f>
        <v>68</v>
      </c>
      <c r="G52" s="216"/>
      <c r="H52" s="217"/>
      <c r="I52" s="215"/>
      <c r="J52" s="218">
        <f>SUM(Q47:Q51)</f>
        <v>866.43</v>
      </c>
      <c r="K52" s="215">
        <f>[78]Source!BZ347</f>
        <v>68</v>
      </c>
      <c r="L52" s="218">
        <f>SUM(R47:R51)</f>
        <v>18294.23</v>
      </c>
    </row>
    <row r="53" spans="1:22" ht="14.25" x14ac:dyDescent="0.2">
      <c r="A53" s="212"/>
      <c r="B53" s="212"/>
      <c r="C53" s="213"/>
      <c r="D53" s="213" t="s">
        <v>49</v>
      </c>
      <c r="E53" s="214" t="s">
        <v>48</v>
      </c>
      <c r="F53" s="215">
        <f>[78]Source!DO347</f>
        <v>43</v>
      </c>
      <c r="G53" s="216"/>
      <c r="H53" s="217"/>
      <c r="I53" s="215"/>
      <c r="J53" s="218">
        <f>SUM(S47:S52)</f>
        <v>767.73</v>
      </c>
      <c r="K53" s="215">
        <f>[78]Source!CA347</f>
        <v>43</v>
      </c>
      <c r="L53" s="218">
        <f>SUM(T47:T52)</f>
        <v>11568.41</v>
      </c>
    </row>
    <row r="54" spans="1:22" ht="14.25" x14ac:dyDescent="0.2">
      <c r="A54" s="212"/>
      <c r="B54" s="212"/>
      <c r="C54" s="213"/>
      <c r="D54" s="213" t="s">
        <v>50</v>
      </c>
      <c r="E54" s="214" t="s">
        <v>48</v>
      </c>
      <c r="F54" s="215">
        <f>175</f>
        <v>175</v>
      </c>
      <c r="G54" s="216"/>
      <c r="H54" s="217"/>
      <c r="I54" s="215"/>
      <c r="J54" s="218">
        <f>SUM(U47:U53)-J61</f>
        <v>2.4300000000000002</v>
      </c>
      <c r="K54" s="215">
        <f>157</f>
        <v>157</v>
      </c>
      <c r="L54" s="218">
        <f>SUM(V47:V53)-L61</f>
        <v>53.53</v>
      </c>
    </row>
    <row r="55" spans="1:22" ht="14.25" x14ac:dyDescent="0.2">
      <c r="A55" s="220"/>
      <c r="B55" s="220"/>
      <c r="C55" s="221"/>
      <c r="D55" s="221" t="s">
        <v>51</v>
      </c>
      <c r="E55" s="222" t="s">
        <v>52</v>
      </c>
      <c r="F55" s="223">
        <f>[78]Source!AQ346</f>
        <v>51.58</v>
      </c>
      <c r="G55" s="224"/>
      <c r="H55" s="225" t="str">
        <f>[78]Source!DI346</f>
        <v/>
      </c>
      <c r="I55" s="223">
        <f>[78]Source!AV347</f>
        <v>1.0669999999999999</v>
      </c>
      <c r="J55" s="226">
        <f>[78]Source!U346</f>
        <v>55.04</v>
      </c>
      <c r="K55" s="223"/>
      <c r="L55" s="226"/>
    </row>
    <row r="56" spans="1:22" ht="15" x14ac:dyDescent="0.25">
      <c r="A56" s="211"/>
      <c r="B56" s="211"/>
      <c r="C56" s="211"/>
      <c r="D56" s="227" t="s">
        <v>81</v>
      </c>
      <c r="E56" s="211"/>
      <c r="F56" s="211"/>
      <c r="G56" s="211"/>
      <c r="H56" s="211"/>
      <c r="I56" s="524">
        <f>J48+J49+J51+J52+J53+J54</f>
        <v>2754.37</v>
      </c>
      <c r="J56" s="524"/>
      <c r="K56" s="524">
        <f>L48+L49+L51+L52+L53+L54</f>
        <v>56973.82</v>
      </c>
      <c r="L56" s="524"/>
      <c r="O56" s="117">
        <f>J48+J49+J51+J52+J53+J54</f>
        <v>2754.37</v>
      </c>
      <c r="P56" s="117">
        <f>L48+L49+L51+L52+L53+L54</f>
        <v>56973.82</v>
      </c>
    </row>
    <row r="57" spans="1:22" x14ac:dyDescent="0.2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</row>
    <row r="58" spans="1:22" ht="28.5" x14ac:dyDescent="0.2">
      <c r="A58" s="212">
        <v>2</v>
      </c>
      <c r="B58" s="212" t="s">
        <v>101</v>
      </c>
      <c r="C58" s="213"/>
      <c r="D58" s="213" t="s">
        <v>82</v>
      </c>
      <c r="E58" s="214" t="str">
        <f>[78]Source!H346</f>
        <v>1  ШТ.</v>
      </c>
      <c r="F58" s="215">
        <f>[78]Source!I346</f>
        <v>1</v>
      </c>
      <c r="G58" s="216"/>
      <c r="H58" s="217"/>
      <c r="I58" s="215"/>
      <c r="J58" s="218"/>
      <c r="K58" s="215"/>
      <c r="L58" s="218"/>
    </row>
    <row r="59" spans="1:22" ht="14.25" x14ac:dyDescent="0.2">
      <c r="A59" s="212"/>
      <c r="B59" s="212"/>
      <c r="C59" s="213"/>
      <c r="D59" s="213" t="s">
        <v>44</v>
      </c>
      <c r="E59" s="214"/>
      <c r="F59" s="215"/>
      <c r="G59" s="216">
        <f t="shared" ref="G59:L59" si="0">G60</f>
        <v>1.31</v>
      </c>
      <c r="H59" s="228" t="str">
        <f t="shared" si="0"/>
        <v>)*(1.67-1)</v>
      </c>
      <c r="I59" s="215">
        <f t="shared" si="0"/>
        <v>1.0669999999999999</v>
      </c>
      <c r="J59" s="218">
        <f t="shared" si="0"/>
        <v>0.94</v>
      </c>
      <c r="K59" s="215">
        <f t="shared" si="0"/>
        <v>24.53</v>
      </c>
      <c r="L59" s="218">
        <f t="shared" si="0"/>
        <v>23.06</v>
      </c>
    </row>
    <row r="60" spans="1:22" ht="14.25" x14ac:dyDescent="0.2">
      <c r="A60" s="212"/>
      <c r="B60" s="212"/>
      <c r="C60" s="213"/>
      <c r="D60" s="213" t="s">
        <v>45</v>
      </c>
      <c r="E60" s="214"/>
      <c r="F60" s="215"/>
      <c r="G60" s="216">
        <f>[78]Source!AN346</f>
        <v>1.31</v>
      </c>
      <c r="H60" s="228" t="s">
        <v>53</v>
      </c>
      <c r="I60" s="215">
        <f>[78]Source!AV347</f>
        <v>1.0669999999999999</v>
      </c>
      <c r="J60" s="219">
        <f>ROUND(F47*G60*I60*(1.67-1), 2)</f>
        <v>0.94</v>
      </c>
      <c r="K60" s="215">
        <f>IF([78]Source!BS347&lt;&gt; 0, [78]Source!BS347, 1)</f>
        <v>24.53</v>
      </c>
      <c r="L60" s="219">
        <f>ROUND(ROUND(F47*G60*I60*(1.67-1), 2)*K60, 2)</f>
        <v>23.06</v>
      </c>
    </row>
    <row r="61" spans="1:22" ht="14.25" x14ac:dyDescent="0.2">
      <c r="A61" s="212"/>
      <c r="B61" s="212"/>
      <c r="C61" s="213"/>
      <c r="D61" s="213" t="s">
        <v>50</v>
      </c>
      <c r="E61" s="214" t="s">
        <v>48</v>
      </c>
      <c r="F61" s="215">
        <f>175</f>
        <v>175</v>
      </c>
      <c r="G61" s="216"/>
      <c r="H61" s="217"/>
      <c r="I61" s="215"/>
      <c r="J61" s="218">
        <f>ROUND(J60*(F61/100), 2)</f>
        <v>1.65</v>
      </c>
      <c r="K61" s="215">
        <f>157</f>
        <v>157</v>
      </c>
      <c r="L61" s="218">
        <f>ROUND(L60*(K61/100), 2)</f>
        <v>36.200000000000003</v>
      </c>
    </row>
    <row r="62" spans="1:22" ht="15" x14ac:dyDescent="0.25">
      <c r="A62" s="229"/>
      <c r="B62" s="229"/>
      <c r="C62" s="229"/>
      <c r="D62" s="230" t="s">
        <v>81</v>
      </c>
      <c r="E62" s="229"/>
      <c r="F62" s="229"/>
      <c r="G62" s="229"/>
      <c r="H62" s="229"/>
      <c r="I62" s="555">
        <f>J61+J60</f>
        <v>2.59</v>
      </c>
      <c r="J62" s="555"/>
      <c r="K62" s="555">
        <f>L61+L60</f>
        <v>59.26</v>
      </c>
      <c r="L62" s="555"/>
      <c r="O62" s="117">
        <f>I62</f>
        <v>2.59</v>
      </c>
      <c r="P62" s="117">
        <f>K62</f>
        <v>59.26</v>
      </c>
    </row>
    <row r="63" spans="1:22" x14ac:dyDescent="0.2">
      <c r="A63" s="211"/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</row>
    <row r="64" spans="1:22" s="119" customFormat="1" ht="66.75" x14ac:dyDescent="0.25">
      <c r="A64" s="231">
        <v>3</v>
      </c>
      <c r="B64" s="231">
        <v>42</v>
      </c>
      <c r="C64" s="232" t="str">
        <f>[78]Source!F348</f>
        <v>Прайс-лист</v>
      </c>
      <c r="D64" s="232" t="s">
        <v>102</v>
      </c>
      <c r="E64" s="233" t="str">
        <f>[78]Source!H348</f>
        <v>шт.</v>
      </c>
      <c r="F64" s="234">
        <f>[78]Source!I348</f>
        <v>1</v>
      </c>
      <c r="G64" s="235">
        <f>[78]Source!AL348</f>
        <v>137717.41</v>
      </c>
      <c r="H64" s="236" t="str">
        <f>[78]Source!DD348</f>
        <v/>
      </c>
      <c r="I64" s="234">
        <f>[78]Source!AW349</f>
        <v>1</v>
      </c>
      <c r="J64" s="237">
        <f>L64/K64</f>
        <v>137717.42000000001</v>
      </c>
      <c r="K64" s="234">
        <f>IF([78]Source!BC349&lt;&gt; 0, [78]Source!BC349, 1)</f>
        <v>4.5999999999999996</v>
      </c>
      <c r="L64" s="237">
        <f>607755.58*1.012*1.03</f>
        <v>633500.11</v>
      </c>
      <c r="M64" s="105" t="s">
        <v>103</v>
      </c>
      <c r="Q64" s="119">
        <f>[78]Source!X348</f>
        <v>0</v>
      </c>
      <c r="R64" s="119">
        <f>[78]Source!X349</f>
        <v>0</v>
      </c>
      <c r="S64" s="119">
        <f>[78]Source!Y348</f>
        <v>0</v>
      </c>
      <c r="T64" s="119">
        <f>[78]Source!Y349</f>
        <v>0</v>
      </c>
      <c r="U64" s="119">
        <f>ROUND((175/100)*ROUND([78]Source!R348, 2), 2)</f>
        <v>0</v>
      </c>
      <c r="V64" s="119">
        <f>ROUND((157/100)*ROUND([78]Source!R349, 2), 2)</f>
        <v>0</v>
      </c>
    </row>
    <row r="65" spans="1:22" s="120" customFormat="1" ht="15" x14ac:dyDescent="0.25">
      <c r="A65" s="238"/>
      <c r="B65" s="238"/>
      <c r="C65" s="238"/>
      <c r="D65" s="239" t="s">
        <v>81</v>
      </c>
      <c r="E65" s="238"/>
      <c r="F65" s="238"/>
      <c r="G65" s="238"/>
      <c r="H65" s="238"/>
      <c r="I65" s="556">
        <f>J64</f>
        <v>137717.42000000001</v>
      </c>
      <c r="J65" s="556"/>
      <c r="K65" s="556">
        <f>L64</f>
        <v>633500.11</v>
      </c>
      <c r="L65" s="556"/>
      <c r="O65" s="121">
        <f>J64</f>
        <v>137717.42000000001</v>
      </c>
      <c r="P65" s="121">
        <f>L64</f>
        <v>633500.11</v>
      </c>
    </row>
    <row r="66" spans="1:22" x14ac:dyDescent="0.2">
      <c r="A66" s="211"/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</row>
    <row r="67" spans="1:22" x14ac:dyDescent="0.2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</row>
    <row r="68" spans="1:22" ht="15" x14ac:dyDescent="0.25">
      <c r="A68" s="554" t="str">
        <f>CONCATENATE("Итого по подразделу: ",IF([78]Source!G381&lt;&gt;"Новый подраздел", [78]Source!G381, ""))</f>
        <v>Итого по подразделу: П2-16, П2-16р</v>
      </c>
      <c r="B68" s="554"/>
      <c r="C68" s="554"/>
      <c r="D68" s="554"/>
      <c r="E68" s="554"/>
      <c r="F68" s="554"/>
      <c r="G68" s="554"/>
      <c r="H68" s="554"/>
      <c r="I68" s="524">
        <f>SUM(O46:O67)</f>
        <v>140474.38</v>
      </c>
      <c r="J68" s="557"/>
      <c r="K68" s="524">
        <f>SUM(P46:P67)</f>
        <v>690533.19</v>
      </c>
      <c r="L68" s="557"/>
    </row>
    <row r="69" spans="1:22" hidden="1" x14ac:dyDescent="0.2">
      <c r="A69" s="211" t="s">
        <v>54</v>
      </c>
      <c r="B69" s="211"/>
      <c r="C69" s="211"/>
      <c r="D69" s="211"/>
      <c r="E69" s="211"/>
      <c r="F69" s="211"/>
      <c r="G69" s="211"/>
      <c r="H69" s="211"/>
      <c r="I69" s="211"/>
      <c r="J69" s="211">
        <f>SUM(W46:W68)</f>
        <v>0</v>
      </c>
      <c r="K69" s="211">
        <f>SUM(X46:X68)</f>
        <v>0</v>
      </c>
      <c r="L69" s="211"/>
    </row>
    <row r="70" spans="1:22" hidden="1" x14ac:dyDescent="0.2">
      <c r="A70" s="211" t="s">
        <v>55</v>
      </c>
      <c r="B70" s="211"/>
      <c r="C70" s="211"/>
      <c r="D70" s="211"/>
      <c r="E70" s="211"/>
      <c r="F70" s="211"/>
      <c r="G70" s="211"/>
      <c r="H70" s="211"/>
      <c r="I70" s="211"/>
      <c r="J70" s="211">
        <f>SUM(Y46:Y69)</f>
        <v>0</v>
      </c>
      <c r="K70" s="211">
        <f>SUM(Z46:Z69)</f>
        <v>0</v>
      </c>
      <c r="L70" s="211"/>
    </row>
    <row r="71" spans="1:22" x14ac:dyDescent="0.2">
      <c r="A71" s="211"/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</row>
    <row r="72" spans="1:22" hidden="1" x14ac:dyDescent="0.2">
      <c r="A72" s="211" t="s">
        <v>54</v>
      </c>
      <c r="B72" s="211"/>
      <c r="C72" s="211"/>
      <c r="D72" s="211"/>
      <c r="E72" s="211"/>
      <c r="F72" s="211"/>
      <c r="G72" s="211"/>
      <c r="H72" s="211"/>
      <c r="I72" s="211"/>
      <c r="J72" s="211" t="e">
        <f>SUM(#REF!)</f>
        <v>#REF!</v>
      </c>
      <c r="K72" s="211" t="e">
        <f>SUM(#REF!)</f>
        <v>#REF!</v>
      </c>
      <c r="L72" s="211"/>
    </row>
    <row r="73" spans="1:22" hidden="1" x14ac:dyDescent="0.2">
      <c r="A73" s="211" t="s">
        <v>55</v>
      </c>
      <c r="B73" s="211"/>
      <c r="C73" s="211"/>
      <c r="D73" s="211"/>
      <c r="E73" s="211"/>
      <c r="F73" s="211"/>
      <c r="G73" s="211"/>
      <c r="H73" s="211"/>
      <c r="I73" s="211"/>
      <c r="J73" s="211">
        <f>SUM(Y72:Y72)</f>
        <v>0</v>
      </c>
      <c r="K73" s="211">
        <f>SUM(Z72:Z72)</f>
        <v>0</v>
      </c>
      <c r="L73" s="211"/>
    </row>
    <row r="74" spans="1:22" x14ac:dyDescent="0.2">
      <c r="A74" s="211"/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</row>
    <row r="75" spans="1:22" ht="16.5" x14ac:dyDescent="0.25">
      <c r="A75" s="523" t="str">
        <f>CONCATENATE("Подраздел: ",IF([78]Source!G671&lt;&gt;"Новый подраздел", [78]Source!G671, ""))</f>
        <v>Подраздел: П2-25, П2-25р</v>
      </c>
      <c r="B75" s="523"/>
      <c r="C75" s="523"/>
      <c r="D75" s="523"/>
      <c r="E75" s="523"/>
      <c r="F75" s="523"/>
      <c r="G75" s="523"/>
      <c r="H75" s="523"/>
      <c r="I75" s="523"/>
      <c r="J75" s="523"/>
      <c r="K75" s="523"/>
      <c r="L75" s="523"/>
    </row>
    <row r="76" spans="1:22" ht="65.25" x14ac:dyDescent="0.2">
      <c r="A76" s="212">
        <v>4</v>
      </c>
      <c r="B76" s="212">
        <v>80</v>
      </c>
      <c r="C76" s="213" t="s">
        <v>99</v>
      </c>
      <c r="D76" s="213" t="s">
        <v>100</v>
      </c>
      <c r="E76" s="214" t="str">
        <f>[78]Source!H675</f>
        <v>1  ШТ.</v>
      </c>
      <c r="F76" s="215">
        <f>[78]Source!I675</f>
        <v>1</v>
      </c>
      <c r="G76" s="216"/>
      <c r="H76" s="217"/>
      <c r="I76" s="215"/>
      <c r="J76" s="218"/>
      <c r="K76" s="215"/>
      <c r="L76" s="218"/>
      <c r="Q76" s="49">
        <f>[78]Source!X675</f>
        <v>866.43</v>
      </c>
      <c r="R76" s="49">
        <f>[78]Source!X676</f>
        <v>18294.23</v>
      </c>
      <c r="S76" s="49">
        <f>[78]Source!Y675</f>
        <v>767.73</v>
      </c>
      <c r="T76" s="49">
        <f>[78]Source!Y676</f>
        <v>11568.41</v>
      </c>
      <c r="U76" s="49">
        <f>ROUND((175/100)*ROUND([78]Source!R675, 2), 2)</f>
        <v>4.08</v>
      </c>
      <c r="V76" s="49">
        <f>ROUND((157/100)*ROUND([78]Source!R676, 2), 2)</f>
        <v>89.73</v>
      </c>
    </row>
    <row r="77" spans="1:22" ht="14.25" x14ac:dyDescent="0.2">
      <c r="A77" s="212"/>
      <c r="B77" s="212"/>
      <c r="C77" s="213"/>
      <c r="D77" s="213" t="s">
        <v>43</v>
      </c>
      <c r="E77" s="214"/>
      <c r="F77" s="215"/>
      <c r="G77" s="216">
        <f>[78]Source!AO675</f>
        <v>615.5</v>
      </c>
      <c r="H77" s="217" t="str">
        <f>[78]Source!DG675</f>
        <v>)*1,67</v>
      </c>
      <c r="I77" s="215">
        <f>[78]Source!AV676</f>
        <v>1.0669999999999999</v>
      </c>
      <c r="J77" s="218">
        <f>[78]Source!S675</f>
        <v>1096.75</v>
      </c>
      <c r="K77" s="215">
        <f>IF([78]Source!BA676&lt;&gt; 0, [78]Source!BA676, 1)</f>
        <v>24.53</v>
      </c>
      <c r="L77" s="218">
        <f>[78]Source!S676</f>
        <v>26903.279999999999</v>
      </c>
    </row>
    <row r="78" spans="1:22" ht="14.25" x14ac:dyDescent="0.2">
      <c r="A78" s="212"/>
      <c r="B78" s="212"/>
      <c r="C78" s="213"/>
      <c r="D78" s="213" t="s">
        <v>44</v>
      </c>
      <c r="E78" s="214"/>
      <c r="F78" s="215"/>
      <c r="G78" s="216">
        <f>[78]Source!AM675</f>
        <v>15.8</v>
      </c>
      <c r="H78" s="217" t="str">
        <f>[78]Source!DE675</f>
        <v/>
      </c>
      <c r="I78" s="215">
        <f>[78]Source!AV676</f>
        <v>1.0669999999999999</v>
      </c>
      <c r="J78" s="218">
        <f>[78]Source!Q675-J88</f>
        <v>16.86</v>
      </c>
      <c r="K78" s="215">
        <f>IF([78]Source!BB676&lt;&gt; 0, [78]Source!BB676, 1)</f>
        <v>7.59</v>
      </c>
      <c r="L78" s="218">
        <f>[78]Source!Q676-L88</f>
        <v>127.97</v>
      </c>
    </row>
    <row r="79" spans="1:22" ht="14.25" x14ac:dyDescent="0.2">
      <c r="A79" s="212"/>
      <c r="B79" s="212"/>
      <c r="C79" s="213"/>
      <c r="D79" s="213" t="s">
        <v>45</v>
      </c>
      <c r="E79" s="214"/>
      <c r="F79" s="215"/>
      <c r="G79" s="216">
        <f>[78]Source!AN675</f>
        <v>1.31</v>
      </c>
      <c r="H79" s="217" t="str">
        <f>[78]Source!DE675</f>
        <v/>
      </c>
      <c r="I79" s="215">
        <f>[78]Source!AV676</f>
        <v>1.0669999999999999</v>
      </c>
      <c r="J79" s="219">
        <f>[78]Source!R675-J89</f>
        <v>1.39</v>
      </c>
      <c r="K79" s="215">
        <f>IF([78]Source!BS676&lt;&gt; 0, [78]Source!BS676, 1)</f>
        <v>24.53</v>
      </c>
      <c r="L79" s="219">
        <f>[78]Source!R676-L89</f>
        <v>34.090000000000003</v>
      </c>
    </row>
    <row r="80" spans="1:22" ht="14.25" x14ac:dyDescent="0.2">
      <c r="A80" s="212"/>
      <c r="B80" s="212"/>
      <c r="C80" s="213"/>
      <c r="D80" s="213" t="s">
        <v>46</v>
      </c>
      <c r="E80" s="214"/>
      <c r="F80" s="215"/>
      <c r="G80" s="216">
        <f>[78]Source!AL675</f>
        <v>4.0599999999999996</v>
      </c>
      <c r="H80" s="217" t="str">
        <f>[78]Source!DD675</f>
        <v/>
      </c>
      <c r="I80" s="215">
        <f>[78]Source!AW676</f>
        <v>1.028</v>
      </c>
      <c r="J80" s="218">
        <f>[78]Source!P675</f>
        <v>4.17</v>
      </c>
      <c r="K80" s="215">
        <f>IF([78]Source!BC676&lt;&gt; 0, [78]Source!BC676, 1)</f>
        <v>6.33</v>
      </c>
      <c r="L80" s="218">
        <f>[78]Source!P676</f>
        <v>26.4</v>
      </c>
    </row>
    <row r="81" spans="1:22" ht="14.25" x14ac:dyDescent="0.2">
      <c r="A81" s="212"/>
      <c r="B81" s="212"/>
      <c r="C81" s="213"/>
      <c r="D81" s="213" t="s">
        <v>47</v>
      </c>
      <c r="E81" s="214" t="s">
        <v>48</v>
      </c>
      <c r="F81" s="215">
        <f>[78]Source!DN676</f>
        <v>68</v>
      </c>
      <c r="G81" s="216"/>
      <c r="H81" s="217"/>
      <c r="I81" s="215"/>
      <c r="J81" s="218">
        <f>SUM(Q76:Q80)</f>
        <v>866.43</v>
      </c>
      <c r="K81" s="215">
        <f>[78]Source!BZ676</f>
        <v>68</v>
      </c>
      <c r="L81" s="218">
        <f>SUM(R76:R80)</f>
        <v>18294.23</v>
      </c>
    </row>
    <row r="82" spans="1:22" ht="14.25" x14ac:dyDescent="0.2">
      <c r="A82" s="212"/>
      <c r="B82" s="212"/>
      <c r="C82" s="213"/>
      <c r="D82" s="213" t="s">
        <v>49</v>
      </c>
      <c r="E82" s="214" t="s">
        <v>48</v>
      </c>
      <c r="F82" s="215">
        <f>[78]Source!DO676</f>
        <v>43</v>
      </c>
      <c r="G82" s="216"/>
      <c r="H82" s="217"/>
      <c r="I82" s="215"/>
      <c r="J82" s="218">
        <f>SUM(S76:S81)</f>
        <v>767.73</v>
      </c>
      <c r="K82" s="215">
        <f>[78]Source!CA676</f>
        <v>43</v>
      </c>
      <c r="L82" s="218">
        <f>SUM(T76:T81)</f>
        <v>11568.41</v>
      </c>
    </row>
    <row r="83" spans="1:22" ht="14.25" x14ac:dyDescent="0.2">
      <c r="A83" s="212"/>
      <c r="B83" s="212"/>
      <c r="C83" s="213"/>
      <c r="D83" s="213" t="s">
        <v>50</v>
      </c>
      <c r="E83" s="214" t="s">
        <v>48</v>
      </c>
      <c r="F83" s="215">
        <f>175</f>
        <v>175</v>
      </c>
      <c r="G83" s="216"/>
      <c r="H83" s="217"/>
      <c r="I83" s="215"/>
      <c r="J83" s="218">
        <f>SUM(U76:U82)-J90</f>
        <v>2.4300000000000002</v>
      </c>
      <c r="K83" s="215">
        <f>157</f>
        <v>157</v>
      </c>
      <c r="L83" s="218">
        <f>SUM(V76:V82)-L90</f>
        <v>53.53</v>
      </c>
    </row>
    <row r="84" spans="1:22" ht="14.25" x14ac:dyDescent="0.2">
      <c r="A84" s="220"/>
      <c r="B84" s="220"/>
      <c r="C84" s="221"/>
      <c r="D84" s="221" t="s">
        <v>51</v>
      </c>
      <c r="E84" s="222" t="s">
        <v>52</v>
      </c>
      <c r="F84" s="223">
        <f>[78]Source!AQ675</f>
        <v>51.58</v>
      </c>
      <c r="G84" s="224"/>
      <c r="H84" s="225" t="str">
        <f>[78]Source!DI675</f>
        <v/>
      </c>
      <c r="I84" s="223">
        <f>[78]Source!AV676</f>
        <v>1.0669999999999999</v>
      </c>
      <c r="J84" s="226">
        <f>[78]Source!U675</f>
        <v>55.04</v>
      </c>
      <c r="K84" s="223"/>
      <c r="L84" s="226"/>
    </row>
    <row r="85" spans="1:22" ht="15" x14ac:dyDescent="0.25">
      <c r="A85" s="211"/>
      <c r="B85" s="211"/>
      <c r="C85" s="211"/>
      <c r="D85" s="227" t="s">
        <v>81</v>
      </c>
      <c r="E85" s="211"/>
      <c r="F85" s="211"/>
      <c r="G85" s="211"/>
      <c r="H85" s="211"/>
      <c r="I85" s="524">
        <f>J77+J78+J80+J81+J82+J83</f>
        <v>2754.37</v>
      </c>
      <c r="J85" s="524"/>
      <c r="K85" s="524">
        <f>L77+L78+L80+L81+L82+L83</f>
        <v>56973.82</v>
      </c>
      <c r="L85" s="524"/>
      <c r="O85" s="117">
        <f>J77+J78+J80+J81+J82+J83</f>
        <v>2754.37</v>
      </c>
      <c r="P85" s="117">
        <f>L77+L78+L80+L81+L82+L83</f>
        <v>56973.82</v>
      </c>
    </row>
    <row r="86" spans="1:22" x14ac:dyDescent="0.2">
      <c r="A86" s="211"/>
      <c r="B86" s="211"/>
      <c r="C86" s="211"/>
      <c r="D86" s="211"/>
      <c r="E86" s="211"/>
      <c r="F86" s="211"/>
      <c r="G86" s="211"/>
      <c r="H86" s="211"/>
      <c r="I86" s="211"/>
      <c r="J86" s="211"/>
      <c r="K86" s="211"/>
      <c r="L86" s="211"/>
    </row>
    <row r="87" spans="1:22" ht="28.5" x14ac:dyDescent="0.2">
      <c r="A87" s="212">
        <v>5</v>
      </c>
      <c r="B87" s="212" t="s">
        <v>104</v>
      </c>
      <c r="C87" s="213"/>
      <c r="D87" s="213" t="s">
        <v>82</v>
      </c>
      <c r="E87" s="214" t="str">
        <f>[78]Source!H675</f>
        <v>1  ШТ.</v>
      </c>
      <c r="F87" s="215">
        <f>[78]Source!I675</f>
        <v>1</v>
      </c>
      <c r="G87" s="216"/>
      <c r="H87" s="217"/>
      <c r="I87" s="215"/>
      <c r="J87" s="218"/>
      <c r="K87" s="215"/>
      <c r="L87" s="218"/>
    </row>
    <row r="88" spans="1:22" ht="14.25" x14ac:dyDescent="0.2">
      <c r="A88" s="212"/>
      <c r="B88" s="212"/>
      <c r="C88" s="213"/>
      <c r="D88" s="213" t="s">
        <v>44</v>
      </c>
      <c r="E88" s="214"/>
      <c r="F88" s="215"/>
      <c r="G88" s="216">
        <f t="shared" ref="G88:L88" si="1">G89</f>
        <v>1.31</v>
      </c>
      <c r="H88" s="228" t="str">
        <f t="shared" si="1"/>
        <v>)*(1.67-1)</v>
      </c>
      <c r="I88" s="215">
        <f t="shared" si="1"/>
        <v>1.0669999999999999</v>
      </c>
      <c r="J88" s="218">
        <f t="shared" si="1"/>
        <v>0.94</v>
      </c>
      <c r="K88" s="215">
        <f t="shared" si="1"/>
        <v>24.53</v>
      </c>
      <c r="L88" s="218">
        <f t="shared" si="1"/>
        <v>23.06</v>
      </c>
    </row>
    <row r="89" spans="1:22" ht="14.25" x14ac:dyDescent="0.2">
      <c r="A89" s="212"/>
      <c r="B89" s="212"/>
      <c r="C89" s="213"/>
      <c r="D89" s="213" t="s">
        <v>45</v>
      </c>
      <c r="E89" s="214"/>
      <c r="F89" s="215"/>
      <c r="G89" s="216">
        <f>[78]Source!AN675</f>
        <v>1.31</v>
      </c>
      <c r="H89" s="228" t="s">
        <v>53</v>
      </c>
      <c r="I89" s="215">
        <f>[78]Source!AV676</f>
        <v>1.0669999999999999</v>
      </c>
      <c r="J89" s="219">
        <f>ROUND(F76*G89*I89*(1.67-1), 2)</f>
        <v>0.94</v>
      </c>
      <c r="K89" s="215">
        <f>IF([78]Source!BS676&lt;&gt; 0, [78]Source!BS676, 1)</f>
        <v>24.53</v>
      </c>
      <c r="L89" s="219">
        <f>ROUND(ROUND(F76*G89*I89*(1.67-1), 2)*K89, 2)</f>
        <v>23.06</v>
      </c>
    </row>
    <row r="90" spans="1:22" ht="14.25" x14ac:dyDescent="0.2">
      <c r="A90" s="212"/>
      <c r="B90" s="212"/>
      <c r="C90" s="213"/>
      <c r="D90" s="213" t="s">
        <v>50</v>
      </c>
      <c r="E90" s="214" t="s">
        <v>48</v>
      </c>
      <c r="F90" s="215">
        <f>175</f>
        <v>175</v>
      </c>
      <c r="G90" s="216"/>
      <c r="H90" s="217"/>
      <c r="I90" s="215"/>
      <c r="J90" s="218">
        <f>ROUND(J89*(F90/100), 2)</f>
        <v>1.65</v>
      </c>
      <c r="K90" s="215">
        <f>157</f>
        <v>157</v>
      </c>
      <c r="L90" s="218">
        <f>ROUND(L89*(K90/100), 2)</f>
        <v>36.200000000000003</v>
      </c>
    </row>
    <row r="91" spans="1:22" ht="15" x14ac:dyDescent="0.25">
      <c r="A91" s="229"/>
      <c r="B91" s="229"/>
      <c r="C91" s="229"/>
      <c r="D91" s="230" t="s">
        <v>81</v>
      </c>
      <c r="E91" s="229"/>
      <c r="F91" s="229"/>
      <c r="G91" s="229"/>
      <c r="H91" s="229"/>
      <c r="I91" s="555">
        <f>J90+J89</f>
        <v>2.59</v>
      </c>
      <c r="J91" s="555"/>
      <c r="K91" s="555">
        <f>L90+L89</f>
        <v>59.26</v>
      </c>
      <c r="L91" s="555"/>
      <c r="O91" s="117">
        <f>I91</f>
        <v>2.59</v>
      </c>
      <c r="P91" s="117">
        <f>K91</f>
        <v>59.26</v>
      </c>
    </row>
    <row r="92" spans="1:22" x14ac:dyDescent="0.2">
      <c r="A92" s="211"/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</row>
    <row r="93" spans="1:22" s="119" customFormat="1" ht="66.75" x14ac:dyDescent="0.25">
      <c r="A93" s="231">
        <v>6</v>
      </c>
      <c r="B93" s="231">
        <v>81</v>
      </c>
      <c r="C93" s="232" t="str">
        <f>[78]Source!F677</f>
        <v>Прайс-лист</v>
      </c>
      <c r="D93" s="232" t="s">
        <v>105</v>
      </c>
      <c r="E93" s="233" t="str">
        <f>[78]Source!H677</f>
        <v>шт.</v>
      </c>
      <c r="F93" s="234">
        <f>[78]Source!I677</f>
        <v>1</v>
      </c>
      <c r="G93" s="235">
        <f>[78]Source!AL677</f>
        <v>105230.91</v>
      </c>
      <c r="H93" s="236" t="str">
        <f>[78]Source!DD677</f>
        <v/>
      </c>
      <c r="I93" s="234">
        <f>[78]Source!AW678</f>
        <v>1</v>
      </c>
      <c r="J93" s="237">
        <f>L93/K93</f>
        <v>105230.91</v>
      </c>
      <c r="K93" s="234">
        <f>IF([78]Source!BC678&lt;&gt; 0, [78]Source!BC678, 1)</f>
        <v>4.5999999999999996</v>
      </c>
      <c r="L93" s="237">
        <f>464390.61*1.012*1.03</f>
        <v>484062.2</v>
      </c>
      <c r="M93" s="105" t="s">
        <v>103</v>
      </c>
      <c r="Q93" s="119">
        <f>[78]Source!X677</f>
        <v>0</v>
      </c>
      <c r="R93" s="119">
        <f>[78]Source!X678</f>
        <v>0</v>
      </c>
      <c r="S93" s="119">
        <f>[78]Source!Y677</f>
        <v>0</v>
      </c>
      <c r="T93" s="119">
        <f>[78]Source!Y678</f>
        <v>0</v>
      </c>
      <c r="U93" s="119">
        <f>ROUND((175/100)*ROUND([78]Source!R677, 2), 2)</f>
        <v>0</v>
      </c>
      <c r="V93" s="119">
        <f>ROUND((157/100)*ROUND([78]Source!R678, 2), 2)</f>
        <v>0</v>
      </c>
    </row>
    <row r="94" spans="1:22" s="120" customFormat="1" ht="15" x14ac:dyDescent="0.25">
      <c r="A94" s="238"/>
      <c r="B94" s="238"/>
      <c r="C94" s="238"/>
      <c r="D94" s="239" t="s">
        <v>81</v>
      </c>
      <c r="E94" s="238"/>
      <c r="F94" s="238"/>
      <c r="G94" s="238"/>
      <c r="H94" s="238"/>
      <c r="I94" s="556">
        <f>J93</f>
        <v>105230.91</v>
      </c>
      <c r="J94" s="556"/>
      <c r="K94" s="556">
        <f>L93</f>
        <v>484062.2</v>
      </c>
      <c r="L94" s="556"/>
      <c r="O94" s="121">
        <f>J93</f>
        <v>105230.91</v>
      </c>
      <c r="P94" s="121">
        <f>L93</f>
        <v>484062.2</v>
      </c>
    </row>
    <row r="95" spans="1:22" x14ac:dyDescent="0.2">
      <c r="A95" s="211"/>
      <c r="B95" s="211"/>
      <c r="C95" s="211"/>
      <c r="D95" s="211"/>
      <c r="E95" s="211"/>
      <c r="F95" s="211"/>
      <c r="G95" s="211"/>
      <c r="H95" s="211"/>
      <c r="I95" s="211"/>
      <c r="J95" s="211"/>
      <c r="K95" s="211"/>
      <c r="L95" s="211"/>
    </row>
    <row r="96" spans="1:22" x14ac:dyDescent="0.2">
      <c r="A96" s="211"/>
      <c r="B96" s="211"/>
      <c r="C96" s="211"/>
      <c r="D96" s="211"/>
      <c r="E96" s="211"/>
      <c r="F96" s="211"/>
      <c r="G96" s="211"/>
      <c r="H96" s="211"/>
      <c r="I96" s="211"/>
      <c r="J96" s="211"/>
      <c r="K96" s="211"/>
      <c r="L96" s="211"/>
    </row>
    <row r="97" spans="1:22" ht="15" x14ac:dyDescent="0.25">
      <c r="A97" s="554" t="str">
        <f>CONCATENATE("Итого по подразделу: ",IF([78]Source!G714&lt;&gt;"Новый подраздел", [78]Source!G714, ""))</f>
        <v>Итого по подразделу: П2-25, П2-25р</v>
      </c>
      <c r="B97" s="554"/>
      <c r="C97" s="554"/>
      <c r="D97" s="554"/>
      <c r="E97" s="554"/>
      <c r="F97" s="554"/>
      <c r="G97" s="554"/>
      <c r="H97" s="554"/>
      <c r="I97" s="524">
        <f>SUM(O75:O96)</f>
        <v>107987.87</v>
      </c>
      <c r="J97" s="557"/>
      <c r="K97" s="524">
        <f>SUM(P75:P96)</f>
        <v>541095.28</v>
      </c>
      <c r="L97" s="557"/>
    </row>
    <row r="98" spans="1:22" hidden="1" x14ac:dyDescent="0.2">
      <c r="A98" s="211" t="s">
        <v>54</v>
      </c>
      <c r="B98" s="211"/>
      <c r="C98" s="211"/>
      <c r="D98" s="211"/>
      <c r="E98" s="211"/>
      <c r="F98" s="211"/>
      <c r="G98" s="211"/>
      <c r="H98" s="211"/>
      <c r="I98" s="211"/>
      <c r="J98" s="211">
        <f>SUM(W75:W97)</f>
        <v>0</v>
      </c>
      <c r="K98" s="211">
        <f>SUM(X75:X97)</f>
        <v>0</v>
      </c>
      <c r="L98" s="211"/>
    </row>
    <row r="99" spans="1:22" hidden="1" x14ac:dyDescent="0.2">
      <c r="A99" s="211" t="s">
        <v>55</v>
      </c>
      <c r="B99" s="211"/>
      <c r="C99" s="211"/>
      <c r="D99" s="211"/>
      <c r="E99" s="211"/>
      <c r="F99" s="211"/>
      <c r="G99" s="211"/>
      <c r="H99" s="211"/>
      <c r="I99" s="211"/>
      <c r="J99" s="211">
        <f>SUM(Y75:Y98)</f>
        <v>0</v>
      </c>
      <c r="K99" s="211">
        <f>SUM(Z75:Z98)</f>
        <v>0</v>
      </c>
      <c r="L99" s="211"/>
    </row>
    <row r="100" spans="1:22" x14ac:dyDescent="0.2">
      <c r="A100" s="211"/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</row>
    <row r="101" spans="1:22" hidden="1" x14ac:dyDescent="0.2">
      <c r="A101" s="211" t="s">
        <v>54</v>
      </c>
      <c r="B101" s="211"/>
      <c r="C101" s="211"/>
      <c r="D101" s="211"/>
      <c r="E101" s="211"/>
      <c r="F101" s="211"/>
      <c r="G101" s="211"/>
      <c r="H101" s="211"/>
      <c r="I101" s="211"/>
      <c r="J101" s="211" t="e">
        <f>SUM(#REF!)</f>
        <v>#REF!</v>
      </c>
      <c r="K101" s="211" t="e">
        <f>SUM(#REF!)</f>
        <v>#REF!</v>
      </c>
      <c r="L101" s="211"/>
    </row>
    <row r="102" spans="1:22" hidden="1" x14ac:dyDescent="0.2">
      <c r="A102" s="211" t="s">
        <v>55</v>
      </c>
      <c r="B102" s="211"/>
      <c r="C102" s="211"/>
      <c r="D102" s="211"/>
      <c r="E102" s="211"/>
      <c r="F102" s="211"/>
      <c r="G102" s="211"/>
      <c r="H102" s="211"/>
      <c r="I102" s="211"/>
      <c r="J102" s="211">
        <f>SUM(Y101:Y101)</f>
        <v>0</v>
      </c>
      <c r="K102" s="211">
        <f>SUM(Z101:Z101)</f>
        <v>0</v>
      </c>
      <c r="L102" s="211"/>
    </row>
    <row r="103" spans="1:22" x14ac:dyDescent="0.2">
      <c r="A103" s="211"/>
      <c r="B103" s="211"/>
      <c r="C103" s="211"/>
      <c r="D103" s="211"/>
      <c r="E103" s="211"/>
      <c r="F103" s="211"/>
      <c r="G103" s="211"/>
      <c r="H103" s="211"/>
      <c r="I103" s="211"/>
      <c r="J103" s="211"/>
      <c r="K103" s="211"/>
      <c r="L103" s="211"/>
    </row>
    <row r="104" spans="1:22" ht="16.5" x14ac:dyDescent="0.25">
      <c r="A104" s="523" t="str">
        <f>CONCATENATE("Подраздел: ",IF([78]Source!G1306&lt;&gt;"Новый подраздел", [78]Source!G1306, ""))</f>
        <v>Подраздел: В2-19</v>
      </c>
      <c r="B104" s="523"/>
      <c r="C104" s="523"/>
      <c r="D104" s="523"/>
      <c r="E104" s="523"/>
      <c r="F104" s="523"/>
      <c r="G104" s="523"/>
      <c r="H104" s="523"/>
      <c r="I104" s="523"/>
      <c r="J104" s="523"/>
      <c r="K104" s="523"/>
      <c r="L104" s="523"/>
    </row>
    <row r="105" spans="1:22" ht="65.25" x14ac:dyDescent="0.2">
      <c r="A105" s="212">
        <v>7</v>
      </c>
      <c r="B105" s="212">
        <v>162</v>
      </c>
      <c r="C105" s="213" t="s">
        <v>99</v>
      </c>
      <c r="D105" s="213" t="s">
        <v>100</v>
      </c>
      <c r="E105" s="214" t="str">
        <f>[78]Source!H1310</f>
        <v>1  ШТ.</v>
      </c>
      <c r="F105" s="215">
        <f>[78]Source!I1310</f>
        <v>1</v>
      </c>
      <c r="G105" s="216"/>
      <c r="H105" s="217"/>
      <c r="I105" s="215"/>
      <c r="J105" s="218"/>
      <c r="K105" s="215"/>
      <c r="L105" s="218"/>
      <c r="Q105" s="49">
        <f>[78]Source!X1310</f>
        <v>866.43</v>
      </c>
      <c r="R105" s="49">
        <f>[78]Source!X1311</f>
        <v>18294.23</v>
      </c>
      <c r="S105" s="49">
        <f>[78]Source!Y1310</f>
        <v>767.73</v>
      </c>
      <c r="T105" s="49">
        <f>[78]Source!Y1311</f>
        <v>11568.41</v>
      </c>
      <c r="U105" s="49">
        <f>ROUND((175/100)*ROUND([78]Source!R1310, 2), 2)</f>
        <v>4.08</v>
      </c>
      <c r="V105" s="49">
        <f>ROUND((157/100)*ROUND([78]Source!R1311, 2), 2)</f>
        <v>89.73</v>
      </c>
    </row>
    <row r="106" spans="1:22" ht="14.25" x14ac:dyDescent="0.2">
      <c r="A106" s="212"/>
      <c r="B106" s="212"/>
      <c r="C106" s="213"/>
      <c r="D106" s="213" t="s">
        <v>43</v>
      </c>
      <c r="E106" s="214"/>
      <c r="F106" s="215"/>
      <c r="G106" s="216">
        <f>[78]Source!AO1310</f>
        <v>615.5</v>
      </c>
      <c r="H106" s="217" t="str">
        <f>[78]Source!DG1310</f>
        <v>)*1,67</v>
      </c>
      <c r="I106" s="215">
        <f>[78]Source!AV1311</f>
        <v>1.0669999999999999</v>
      </c>
      <c r="J106" s="218">
        <f>[78]Source!S1310</f>
        <v>1096.75</v>
      </c>
      <c r="K106" s="215">
        <f>IF([78]Source!BA1311&lt;&gt; 0, [78]Source!BA1311, 1)</f>
        <v>24.53</v>
      </c>
      <c r="L106" s="218">
        <f>[78]Source!S1311</f>
        <v>26903.279999999999</v>
      </c>
    </row>
    <row r="107" spans="1:22" ht="14.25" x14ac:dyDescent="0.2">
      <c r="A107" s="212"/>
      <c r="B107" s="212"/>
      <c r="C107" s="213"/>
      <c r="D107" s="213" t="s">
        <v>44</v>
      </c>
      <c r="E107" s="214"/>
      <c r="F107" s="215"/>
      <c r="G107" s="216">
        <f>[78]Source!AM1310</f>
        <v>15.8</v>
      </c>
      <c r="H107" s="217" t="str">
        <f>[78]Source!DE1310</f>
        <v/>
      </c>
      <c r="I107" s="215">
        <f>[78]Source!AV1311</f>
        <v>1.0669999999999999</v>
      </c>
      <c r="J107" s="218">
        <f>[78]Source!Q1310-J117</f>
        <v>16.86</v>
      </c>
      <c r="K107" s="215">
        <f>IF([78]Source!BB1311&lt;&gt; 0, [78]Source!BB1311, 1)</f>
        <v>7.59</v>
      </c>
      <c r="L107" s="218">
        <f>[78]Source!Q1311-L117</f>
        <v>127.97</v>
      </c>
    </row>
    <row r="108" spans="1:22" ht="14.25" x14ac:dyDescent="0.2">
      <c r="A108" s="212"/>
      <c r="B108" s="212"/>
      <c r="C108" s="213"/>
      <c r="D108" s="213" t="s">
        <v>45</v>
      </c>
      <c r="E108" s="214"/>
      <c r="F108" s="215"/>
      <c r="G108" s="216">
        <f>[78]Source!AN1310</f>
        <v>1.31</v>
      </c>
      <c r="H108" s="217" t="str">
        <f>[78]Source!DE1310</f>
        <v/>
      </c>
      <c r="I108" s="215">
        <f>[78]Source!AV1311</f>
        <v>1.0669999999999999</v>
      </c>
      <c r="J108" s="219">
        <f>[78]Source!R1310-J118</f>
        <v>1.39</v>
      </c>
      <c r="K108" s="215">
        <f>IF([78]Source!BS1311&lt;&gt; 0, [78]Source!BS1311, 1)</f>
        <v>24.53</v>
      </c>
      <c r="L108" s="219">
        <f>[78]Source!R1311-L118</f>
        <v>34.090000000000003</v>
      </c>
    </row>
    <row r="109" spans="1:22" ht="14.25" x14ac:dyDescent="0.2">
      <c r="A109" s="212"/>
      <c r="B109" s="212"/>
      <c r="C109" s="213"/>
      <c r="D109" s="213" t="s">
        <v>46</v>
      </c>
      <c r="E109" s="214"/>
      <c r="F109" s="215"/>
      <c r="G109" s="216">
        <f>[78]Source!AL1310</f>
        <v>4.0599999999999996</v>
      </c>
      <c r="H109" s="217" t="str">
        <f>[78]Source!DD1310</f>
        <v/>
      </c>
      <c r="I109" s="215">
        <f>[78]Source!AW1311</f>
        <v>1.028</v>
      </c>
      <c r="J109" s="218">
        <f>[78]Source!P1310</f>
        <v>4.17</v>
      </c>
      <c r="K109" s="215">
        <f>IF([78]Source!BC1311&lt;&gt; 0, [78]Source!BC1311, 1)</f>
        <v>6.33</v>
      </c>
      <c r="L109" s="218">
        <f>[78]Source!P1311</f>
        <v>26.4</v>
      </c>
    </row>
    <row r="110" spans="1:22" ht="14.25" x14ac:dyDescent="0.2">
      <c r="A110" s="212"/>
      <c r="B110" s="212"/>
      <c r="C110" s="213"/>
      <c r="D110" s="213" t="s">
        <v>47</v>
      </c>
      <c r="E110" s="214" t="s">
        <v>48</v>
      </c>
      <c r="F110" s="215">
        <f>[78]Source!DN1311</f>
        <v>68</v>
      </c>
      <c r="G110" s="216"/>
      <c r="H110" s="217"/>
      <c r="I110" s="215"/>
      <c r="J110" s="218">
        <f>SUM(Q105:Q109)</f>
        <v>866.43</v>
      </c>
      <c r="K110" s="215">
        <f>[78]Source!BZ1311</f>
        <v>68</v>
      </c>
      <c r="L110" s="218">
        <f>SUM(R105:R109)</f>
        <v>18294.23</v>
      </c>
    </row>
    <row r="111" spans="1:22" ht="14.25" x14ac:dyDescent="0.2">
      <c r="A111" s="212"/>
      <c r="B111" s="212"/>
      <c r="C111" s="213"/>
      <c r="D111" s="213" t="s">
        <v>49</v>
      </c>
      <c r="E111" s="214" t="s">
        <v>48</v>
      </c>
      <c r="F111" s="215">
        <f>[78]Source!DO1311</f>
        <v>43</v>
      </c>
      <c r="G111" s="216"/>
      <c r="H111" s="217"/>
      <c r="I111" s="215"/>
      <c r="J111" s="218">
        <f>SUM(S105:S110)</f>
        <v>767.73</v>
      </c>
      <c r="K111" s="215">
        <f>[78]Source!CA1311</f>
        <v>43</v>
      </c>
      <c r="L111" s="218">
        <f>SUM(T105:T110)</f>
        <v>11568.41</v>
      </c>
    </row>
    <row r="112" spans="1:22" ht="14.25" x14ac:dyDescent="0.2">
      <c r="A112" s="212"/>
      <c r="B112" s="212"/>
      <c r="C112" s="213"/>
      <c r="D112" s="213" t="s">
        <v>50</v>
      </c>
      <c r="E112" s="214" t="s">
        <v>48</v>
      </c>
      <c r="F112" s="215">
        <f>175</f>
        <v>175</v>
      </c>
      <c r="G112" s="216"/>
      <c r="H112" s="217"/>
      <c r="I112" s="215"/>
      <c r="J112" s="218">
        <f>SUM(U105:U111)-J119</f>
        <v>2.4300000000000002</v>
      </c>
      <c r="K112" s="215">
        <f>157</f>
        <v>157</v>
      </c>
      <c r="L112" s="218">
        <f>SUM(V105:V111)-L119</f>
        <v>53.53</v>
      </c>
    </row>
    <row r="113" spans="1:22" ht="14.25" x14ac:dyDescent="0.2">
      <c r="A113" s="220"/>
      <c r="B113" s="220"/>
      <c r="C113" s="221"/>
      <c r="D113" s="221" t="s">
        <v>51</v>
      </c>
      <c r="E113" s="222" t="s">
        <v>52</v>
      </c>
      <c r="F113" s="223">
        <f>[78]Source!AQ1310</f>
        <v>51.58</v>
      </c>
      <c r="G113" s="224"/>
      <c r="H113" s="225" t="str">
        <f>[78]Source!DI1310</f>
        <v/>
      </c>
      <c r="I113" s="223">
        <f>[78]Source!AV1311</f>
        <v>1.0669999999999999</v>
      </c>
      <c r="J113" s="226">
        <f>[78]Source!U1310</f>
        <v>55.04</v>
      </c>
      <c r="K113" s="223"/>
      <c r="L113" s="226"/>
    </row>
    <row r="114" spans="1:22" ht="15" x14ac:dyDescent="0.25">
      <c r="A114" s="211"/>
      <c r="B114" s="211"/>
      <c r="C114" s="211"/>
      <c r="D114" s="227" t="s">
        <v>81</v>
      </c>
      <c r="E114" s="211"/>
      <c r="F114" s="211"/>
      <c r="G114" s="211"/>
      <c r="H114" s="211"/>
      <c r="I114" s="524">
        <f>J106+J107+J109+J110+J111+J112</f>
        <v>2754.37</v>
      </c>
      <c r="J114" s="524"/>
      <c r="K114" s="524">
        <f>L106+L107+L109+L110+L111+L112</f>
        <v>56973.82</v>
      </c>
      <c r="L114" s="524"/>
      <c r="O114" s="117">
        <f>J106+J107+J109+J110+J111+J112</f>
        <v>2754.37</v>
      </c>
      <c r="P114" s="117">
        <f>L106+L107+L109+L110+L111+L112</f>
        <v>56973.82</v>
      </c>
    </row>
    <row r="115" spans="1:22" x14ac:dyDescent="0.2">
      <c r="A115" s="211"/>
      <c r="B115" s="211"/>
      <c r="C115" s="211"/>
      <c r="D115" s="211"/>
      <c r="E115" s="211"/>
      <c r="F115" s="211"/>
      <c r="G115" s="211"/>
      <c r="H115" s="211"/>
      <c r="I115" s="211"/>
      <c r="J115" s="211"/>
      <c r="K115" s="211"/>
      <c r="L115" s="211"/>
    </row>
    <row r="116" spans="1:22" ht="28.5" x14ac:dyDescent="0.2">
      <c r="A116" s="212">
        <v>8</v>
      </c>
      <c r="B116" s="212" t="s">
        <v>106</v>
      </c>
      <c r="C116" s="213"/>
      <c r="D116" s="213" t="s">
        <v>82</v>
      </c>
      <c r="E116" s="214" t="str">
        <f>[78]Source!H1310</f>
        <v>1  ШТ.</v>
      </c>
      <c r="F116" s="215">
        <f>[78]Source!I1310</f>
        <v>1</v>
      </c>
      <c r="G116" s="216"/>
      <c r="H116" s="217"/>
      <c r="I116" s="215"/>
      <c r="J116" s="218"/>
      <c r="K116" s="215"/>
      <c r="L116" s="218"/>
    </row>
    <row r="117" spans="1:22" ht="14.25" x14ac:dyDescent="0.2">
      <c r="A117" s="212"/>
      <c r="B117" s="212"/>
      <c r="C117" s="213"/>
      <c r="D117" s="213" t="s">
        <v>44</v>
      </c>
      <c r="E117" s="214"/>
      <c r="F117" s="215"/>
      <c r="G117" s="216">
        <f t="shared" ref="G117:L117" si="2">G118</f>
        <v>1.31</v>
      </c>
      <c r="H117" s="228" t="str">
        <f t="shared" si="2"/>
        <v>)*(1.67-1)</v>
      </c>
      <c r="I117" s="215">
        <f t="shared" si="2"/>
        <v>1.0669999999999999</v>
      </c>
      <c r="J117" s="218">
        <f t="shared" si="2"/>
        <v>0.94</v>
      </c>
      <c r="K117" s="215">
        <f t="shared" si="2"/>
        <v>24.53</v>
      </c>
      <c r="L117" s="218">
        <f t="shared" si="2"/>
        <v>23.06</v>
      </c>
    </row>
    <row r="118" spans="1:22" ht="14.25" x14ac:dyDescent="0.2">
      <c r="A118" s="212"/>
      <c r="B118" s="212"/>
      <c r="C118" s="213"/>
      <c r="D118" s="213" t="s">
        <v>45</v>
      </c>
      <c r="E118" s="214"/>
      <c r="F118" s="215"/>
      <c r="G118" s="216">
        <f>[78]Source!AN1310</f>
        <v>1.31</v>
      </c>
      <c r="H118" s="228" t="s">
        <v>53</v>
      </c>
      <c r="I118" s="215">
        <f>[78]Source!AV1311</f>
        <v>1.0669999999999999</v>
      </c>
      <c r="J118" s="219">
        <f>ROUND(F105*G118*I118*(1.67-1), 2)</f>
        <v>0.94</v>
      </c>
      <c r="K118" s="215">
        <f>IF([78]Source!BS1311&lt;&gt; 0, [78]Source!BS1311, 1)</f>
        <v>24.53</v>
      </c>
      <c r="L118" s="219">
        <f>ROUND(ROUND(F105*G118*I118*(1.67-1), 2)*K118, 2)</f>
        <v>23.06</v>
      </c>
    </row>
    <row r="119" spans="1:22" ht="14.25" x14ac:dyDescent="0.2">
      <c r="A119" s="212"/>
      <c r="B119" s="212"/>
      <c r="C119" s="213"/>
      <c r="D119" s="213" t="s">
        <v>50</v>
      </c>
      <c r="E119" s="214" t="s">
        <v>48</v>
      </c>
      <c r="F119" s="215">
        <f>175</f>
        <v>175</v>
      </c>
      <c r="G119" s="216"/>
      <c r="H119" s="217"/>
      <c r="I119" s="215"/>
      <c r="J119" s="218">
        <f>ROUND(J118*(F119/100), 2)</f>
        <v>1.65</v>
      </c>
      <c r="K119" s="215">
        <f>157</f>
        <v>157</v>
      </c>
      <c r="L119" s="218">
        <f>ROUND(L118*(K119/100), 2)</f>
        <v>36.200000000000003</v>
      </c>
    </row>
    <row r="120" spans="1:22" ht="15" x14ac:dyDescent="0.25">
      <c r="A120" s="229"/>
      <c r="B120" s="229"/>
      <c r="C120" s="229"/>
      <c r="D120" s="230" t="s">
        <v>81</v>
      </c>
      <c r="E120" s="229"/>
      <c r="F120" s="229"/>
      <c r="G120" s="229"/>
      <c r="H120" s="229"/>
      <c r="I120" s="555">
        <f>J119+J118</f>
        <v>2.59</v>
      </c>
      <c r="J120" s="555"/>
      <c r="K120" s="555">
        <f>L119+L118</f>
        <v>59.26</v>
      </c>
      <c r="L120" s="555"/>
      <c r="O120" s="117">
        <f>I120</f>
        <v>2.59</v>
      </c>
      <c r="P120" s="117">
        <f>K120</f>
        <v>59.26</v>
      </c>
    </row>
    <row r="121" spans="1:22" x14ac:dyDescent="0.2">
      <c r="A121" s="211"/>
      <c r="B121" s="211"/>
      <c r="C121" s="211"/>
      <c r="D121" s="211"/>
      <c r="E121" s="211"/>
      <c r="F121" s="211"/>
      <c r="G121" s="211"/>
      <c r="H121" s="211"/>
      <c r="I121" s="211"/>
      <c r="J121" s="211"/>
      <c r="K121" s="211"/>
      <c r="L121" s="211"/>
    </row>
    <row r="122" spans="1:22" s="119" customFormat="1" ht="66.75" x14ac:dyDescent="0.25">
      <c r="A122" s="231">
        <v>9</v>
      </c>
      <c r="B122" s="231">
        <v>163</v>
      </c>
      <c r="C122" s="232" t="str">
        <f>[78]Source!F1312</f>
        <v>Прайс-лист</v>
      </c>
      <c r="D122" s="232" t="s">
        <v>107</v>
      </c>
      <c r="E122" s="233" t="str">
        <f>[78]Source!H1312</f>
        <v>шт.</v>
      </c>
      <c r="F122" s="234">
        <f>[78]Source!I1312</f>
        <v>1</v>
      </c>
      <c r="G122" s="235">
        <f>[78]Source!AL1312</f>
        <v>66150.67</v>
      </c>
      <c r="H122" s="236" t="str">
        <f>[78]Source!DD1312</f>
        <v/>
      </c>
      <c r="I122" s="234">
        <f>[78]Source!AW1313</f>
        <v>1</v>
      </c>
      <c r="J122" s="237">
        <f>L122/K122</f>
        <v>66150.67</v>
      </c>
      <c r="K122" s="234">
        <f>IF([78]Source!BC1313&lt;&gt; 0, [78]Source!BC1313, 1)</f>
        <v>4.5999999999999996</v>
      </c>
      <c r="L122" s="237">
        <f>291927.04*1.012*1.03</f>
        <v>304293.07</v>
      </c>
      <c r="M122" s="105" t="s">
        <v>103</v>
      </c>
      <c r="Q122" s="119">
        <f>[78]Source!X1312</f>
        <v>0</v>
      </c>
      <c r="R122" s="119">
        <f>[78]Source!X1313</f>
        <v>0</v>
      </c>
      <c r="S122" s="119">
        <f>[78]Source!Y1312</f>
        <v>0</v>
      </c>
      <c r="T122" s="119">
        <f>[78]Source!Y1313</f>
        <v>0</v>
      </c>
      <c r="U122" s="119">
        <f>ROUND((175/100)*ROUND([78]Source!R1312, 2), 2)</f>
        <v>0</v>
      </c>
      <c r="V122" s="119">
        <f>ROUND((157/100)*ROUND([78]Source!R1313, 2), 2)</f>
        <v>0</v>
      </c>
    </row>
    <row r="123" spans="1:22" s="120" customFormat="1" ht="15" x14ac:dyDescent="0.25">
      <c r="A123" s="238"/>
      <c r="B123" s="238"/>
      <c r="C123" s="238"/>
      <c r="D123" s="239" t="s">
        <v>81</v>
      </c>
      <c r="E123" s="238"/>
      <c r="F123" s="238"/>
      <c r="G123" s="238"/>
      <c r="H123" s="238"/>
      <c r="I123" s="556">
        <f>J122</f>
        <v>66150.67</v>
      </c>
      <c r="J123" s="556"/>
      <c r="K123" s="556">
        <f>L122</f>
        <v>304293.07</v>
      </c>
      <c r="L123" s="556"/>
      <c r="O123" s="121">
        <f>J122</f>
        <v>66150.67</v>
      </c>
      <c r="P123" s="121">
        <f>L122</f>
        <v>304293.07</v>
      </c>
    </row>
    <row r="124" spans="1:22" x14ac:dyDescent="0.2">
      <c r="A124" s="211"/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</row>
    <row r="125" spans="1:22" x14ac:dyDescent="0.2">
      <c r="A125" s="211"/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</row>
    <row r="126" spans="1:22" ht="15" x14ac:dyDescent="0.25">
      <c r="A126" s="554" t="str">
        <f>CONCATENATE("Итого по подразделу: ",IF([78]Source!G1315&lt;&gt;"Новый подраздел", [78]Source!G1315, ""))</f>
        <v>Итого по подразделу: В2-19</v>
      </c>
      <c r="B126" s="554"/>
      <c r="C126" s="554"/>
      <c r="D126" s="554"/>
      <c r="E126" s="554"/>
      <c r="F126" s="554"/>
      <c r="G126" s="554"/>
      <c r="H126" s="554"/>
      <c r="I126" s="524">
        <f>SUM(O104:O125)</f>
        <v>68907.63</v>
      </c>
      <c r="J126" s="557"/>
      <c r="K126" s="524">
        <f>SUM(P104:P125)</f>
        <v>361326.15</v>
      </c>
      <c r="L126" s="557"/>
    </row>
    <row r="127" spans="1:22" hidden="1" x14ac:dyDescent="0.2">
      <c r="A127" s="211" t="s">
        <v>54</v>
      </c>
      <c r="B127" s="211"/>
      <c r="C127" s="211"/>
      <c r="D127" s="211"/>
      <c r="E127" s="211"/>
      <c r="F127" s="211"/>
      <c r="G127" s="211"/>
      <c r="H127" s="211"/>
      <c r="I127" s="211"/>
      <c r="J127" s="211">
        <f>SUM(W104:W126)</f>
        <v>0</v>
      </c>
      <c r="K127" s="211">
        <f>SUM(X104:X126)</f>
        <v>0</v>
      </c>
      <c r="L127" s="211"/>
    </row>
    <row r="128" spans="1:22" hidden="1" x14ac:dyDescent="0.2">
      <c r="A128" s="211" t="s">
        <v>55</v>
      </c>
      <c r="B128" s="211"/>
      <c r="C128" s="211"/>
      <c r="D128" s="211"/>
      <c r="E128" s="211"/>
      <c r="F128" s="211"/>
      <c r="G128" s="211"/>
      <c r="H128" s="211"/>
      <c r="I128" s="211"/>
      <c r="J128" s="211">
        <f>SUM(Y104:Y127)</f>
        <v>0</v>
      </c>
      <c r="K128" s="211">
        <f>SUM(Z104:Z127)</f>
        <v>0</v>
      </c>
      <c r="L128" s="211"/>
    </row>
    <row r="129" spans="1:22" x14ac:dyDescent="0.2">
      <c r="A129" s="211"/>
      <c r="B129" s="211"/>
      <c r="C129" s="211"/>
      <c r="D129" s="211"/>
      <c r="E129" s="211"/>
      <c r="F129" s="211"/>
      <c r="G129" s="211"/>
      <c r="H129" s="211"/>
      <c r="I129" s="211"/>
      <c r="J129" s="211"/>
      <c r="K129" s="211"/>
      <c r="L129" s="211"/>
    </row>
    <row r="130" spans="1:22" hidden="1" x14ac:dyDescent="0.2">
      <c r="A130" s="211" t="s">
        <v>54</v>
      </c>
      <c r="B130" s="211"/>
      <c r="C130" s="211"/>
      <c r="D130" s="211"/>
      <c r="E130" s="211"/>
      <c r="F130" s="211"/>
      <c r="G130" s="211"/>
      <c r="H130" s="211"/>
      <c r="I130" s="211"/>
      <c r="J130" s="211" t="e">
        <f>SUM(#REF!)</f>
        <v>#REF!</v>
      </c>
      <c r="K130" s="211" t="e">
        <f>SUM(#REF!)</f>
        <v>#REF!</v>
      </c>
      <c r="L130" s="211"/>
    </row>
    <row r="131" spans="1:22" hidden="1" x14ac:dyDescent="0.2">
      <c r="A131" s="211" t="s">
        <v>55</v>
      </c>
      <c r="B131" s="211"/>
      <c r="C131" s="211"/>
      <c r="D131" s="211"/>
      <c r="E131" s="211"/>
      <c r="F131" s="211"/>
      <c r="G131" s="211"/>
      <c r="H131" s="211"/>
      <c r="I131" s="211"/>
      <c r="J131" s="211">
        <f>SUM(Y130:Y130)</f>
        <v>0</v>
      </c>
      <c r="K131" s="211">
        <f>SUM(Z130:Z130)</f>
        <v>0</v>
      </c>
      <c r="L131" s="211"/>
    </row>
    <row r="132" spans="1:22" x14ac:dyDescent="0.2">
      <c r="A132" s="211"/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</row>
    <row r="133" spans="1:22" ht="16.5" x14ac:dyDescent="0.25">
      <c r="A133" s="523" t="str">
        <f>CONCATENATE("Подраздел: ",IF([78]Source!G2366&lt;&gt;"Новый подраздел", [78]Source!G2366, ""))</f>
        <v>Подраздел: В2-52</v>
      </c>
      <c r="B133" s="523"/>
      <c r="C133" s="523"/>
      <c r="D133" s="523"/>
      <c r="E133" s="523"/>
      <c r="F133" s="523"/>
      <c r="G133" s="523"/>
      <c r="H133" s="523"/>
      <c r="I133" s="523"/>
      <c r="J133" s="523"/>
      <c r="K133" s="523"/>
      <c r="L133" s="523"/>
    </row>
    <row r="134" spans="1:22" ht="65.25" x14ac:dyDescent="0.2">
      <c r="A134" s="212">
        <v>10</v>
      </c>
      <c r="B134" s="212">
        <v>307</v>
      </c>
      <c r="C134" s="213" t="s">
        <v>108</v>
      </c>
      <c r="D134" s="213" t="s">
        <v>100</v>
      </c>
      <c r="E134" s="214" t="str">
        <f>[78]Source!H2370</f>
        <v>1  ШТ.</v>
      </c>
      <c r="F134" s="215">
        <f>[78]Source!I2370</f>
        <v>1</v>
      </c>
      <c r="G134" s="216"/>
      <c r="H134" s="217"/>
      <c r="I134" s="215"/>
      <c r="J134" s="218"/>
      <c r="K134" s="215"/>
      <c r="L134" s="218"/>
      <c r="Q134" s="49">
        <f>[78]Source!X2370</f>
        <v>866.43</v>
      </c>
      <c r="R134" s="49">
        <f>[78]Source!X2371</f>
        <v>18294.23</v>
      </c>
      <c r="S134" s="49">
        <f>[78]Source!Y2370</f>
        <v>767.73</v>
      </c>
      <c r="T134" s="49">
        <f>[78]Source!Y2371</f>
        <v>11568.41</v>
      </c>
      <c r="U134" s="49">
        <f>ROUND((175/100)*ROUND([78]Source!R2370, 2), 2)</f>
        <v>4.08</v>
      </c>
      <c r="V134" s="49">
        <f>ROUND((157/100)*ROUND([78]Source!R2371, 2), 2)</f>
        <v>89.73</v>
      </c>
    </row>
    <row r="135" spans="1:22" ht="14.25" x14ac:dyDescent="0.2">
      <c r="A135" s="212"/>
      <c r="B135" s="212"/>
      <c r="C135" s="213"/>
      <c r="D135" s="213" t="s">
        <v>43</v>
      </c>
      <c r="E135" s="214"/>
      <c r="F135" s="215"/>
      <c r="G135" s="216">
        <f>[78]Source!AO2370</f>
        <v>615.5</v>
      </c>
      <c r="H135" s="217" t="str">
        <f>[78]Source!DG2370</f>
        <v>)*1,67</v>
      </c>
      <c r="I135" s="215">
        <f>[78]Source!AV2371</f>
        <v>1.0669999999999999</v>
      </c>
      <c r="J135" s="218">
        <f>[78]Source!S2370</f>
        <v>1096.75</v>
      </c>
      <c r="K135" s="215">
        <f>IF([78]Source!BA2371&lt;&gt; 0, [78]Source!BA2371, 1)</f>
        <v>24.53</v>
      </c>
      <c r="L135" s="218">
        <f>[78]Source!S2371</f>
        <v>26903.279999999999</v>
      </c>
    </row>
    <row r="136" spans="1:22" ht="14.25" x14ac:dyDescent="0.2">
      <c r="A136" s="212"/>
      <c r="B136" s="212"/>
      <c r="C136" s="213"/>
      <c r="D136" s="213" t="s">
        <v>44</v>
      </c>
      <c r="E136" s="214"/>
      <c r="F136" s="215"/>
      <c r="G136" s="216">
        <f>[78]Source!AM2370</f>
        <v>15.8</v>
      </c>
      <c r="H136" s="217" t="str">
        <f>[78]Source!DE2370</f>
        <v/>
      </c>
      <c r="I136" s="215">
        <f>[78]Source!AV2371</f>
        <v>1.0669999999999999</v>
      </c>
      <c r="J136" s="218">
        <f>[78]Source!Q2370-J146</f>
        <v>16.86</v>
      </c>
      <c r="K136" s="215">
        <f>IF([78]Source!BB2371&lt;&gt; 0, [78]Source!BB2371, 1)</f>
        <v>7.59</v>
      </c>
      <c r="L136" s="218">
        <f>[78]Source!Q2371-L146</f>
        <v>127.97</v>
      </c>
    </row>
    <row r="137" spans="1:22" ht="14.25" x14ac:dyDescent="0.2">
      <c r="A137" s="212"/>
      <c r="B137" s="212"/>
      <c r="C137" s="213"/>
      <c r="D137" s="213" t="s">
        <v>45</v>
      </c>
      <c r="E137" s="214"/>
      <c r="F137" s="215"/>
      <c r="G137" s="216">
        <f>[78]Source!AN2370</f>
        <v>1.31</v>
      </c>
      <c r="H137" s="217" t="str">
        <f>[78]Source!DE2370</f>
        <v/>
      </c>
      <c r="I137" s="215">
        <f>[78]Source!AV2371</f>
        <v>1.0669999999999999</v>
      </c>
      <c r="J137" s="219">
        <f>[78]Source!R2370-J147</f>
        <v>1.39</v>
      </c>
      <c r="K137" s="215">
        <f>IF([78]Source!BS2371&lt;&gt; 0, [78]Source!BS2371, 1)</f>
        <v>24.53</v>
      </c>
      <c r="L137" s="219">
        <f>[78]Source!R2371-L147</f>
        <v>34.090000000000003</v>
      </c>
    </row>
    <row r="138" spans="1:22" ht="14.25" x14ac:dyDescent="0.2">
      <c r="A138" s="212"/>
      <c r="B138" s="212"/>
      <c r="C138" s="213"/>
      <c r="D138" s="213" t="s">
        <v>46</v>
      </c>
      <c r="E138" s="214"/>
      <c r="F138" s="215"/>
      <c r="G138" s="216">
        <f>[78]Source!AL2370</f>
        <v>4.0599999999999996</v>
      </c>
      <c r="H138" s="217" t="str">
        <f>[78]Source!DD2370</f>
        <v/>
      </c>
      <c r="I138" s="215">
        <f>[78]Source!AW2371</f>
        <v>1.028</v>
      </c>
      <c r="J138" s="218">
        <f>[78]Source!P2370</f>
        <v>4.17</v>
      </c>
      <c r="K138" s="215">
        <f>IF([78]Source!BC2371&lt;&gt; 0, [78]Source!BC2371, 1)</f>
        <v>6.33</v>
      </c>
      <c r="L138" s="218">
        <f>[78]Source!P2371</f>
        <v>26.4</v>
      </c>
    </row>
    <row r="139" spans="1:22" ht="14.25" x14ac:dyDescent="0.2">
      <c r="A139" s="212"/>
      <c r="B139" s="212"/>
      <c r="C139" s="213"/>
      <c r="D139" s="213" t="s">
        <v>47</v>
      </c>
      <c r="E139" s="214" t="s">
        <v>48</v>
      </c>
      <c r="F139" s="215">
        <f>[78]Source!DN2371</f>
        <v>68</v>
      </c>
      <c r="G139" s="216"/>
      <c r="H139" s="217"/>
      <c r="I139" s="215"/>
      <c r="J139" s="218">
        <f>SUM(Q134:Q138)</f>
        <v>866.43</v>
      </c>
      <c r="K139" s="215">
        <f>[78]Source!BZ2371</f>
        <v>68</v>
      </c>
      <c r="L139" s="218">
        <f>SUM(R134:R138)</f>
        <v>18294.23</v>
      </c>
    </row>
    <row r="140" spans="1:22" ht="14.25" x14ac:dyDescent="0.2">
      <c r="A140" s="212"/>
      <c r="B140" s="212"/>
      <c r="C140" s="213"/>
      <c r="D140" s="213" t="s">
        <v>49</v>
      </c>
      <c r="E140" s="214" t="s">
        <v>48</v>
      </c>
      <c r="F140" s="215">
        <f>[78]Source!DO2371</f>
        <v>43</v>
      </c>
      <c r="G140" s="216"/>
      <c r="H140" s="217"/>
      <c r="I140" s="215"/>
      <c r="J140" s="218">
        <f>SUM(S134:S139)</f>
        <v>767.73</v>
      </c>
      <c r="K140" s="215">
        <f>[78]Source!CA2371</f>
        <v>43</v>
      </c>
      <c r="L140" s="218">
        <f>SUM(T134:T139)</f>
        <v>11568.41</v>
      </c>
    </row>
    <row r="141" spans="1:22" ht="14.25" x14ac:dyDescent="0.2">
      <c r="A141" s="212"/>
      <c r="B141" s="212"/>
      <c r="C141" s="213"/>
      <c r="D141" s="213" t="s">
        <v>50</v>
      </c>
      <c r="E141" s="214" t="s">
        <v>48</v>
      </c>
      <c r="F141" s="215">
        <f>175</f>
        <v>175</v>
      </c>
      <c r="G141" s="216"/>
      <c r="H141" s="217"/>
      <c r="I141" s="215"/>
      <c r="J141" s="218">
        <f>SUM(U134:U140)-J148</f>
        <v>2.4300000000000002</v>
      </c>
      <c r="K141" s="215">
        <f>157</f>
        <v>157</v>
      </c>
      <c r="L141" s="218">
        <f>SUM(V134:V140)-L148</f>
        <v>53.53</v>
      </c>
    </row>
    <row r="142" spans="1:22" ht="14.25" x14ac:dyDescent="0.2">
      <c r="A142" s="220"/>
      <c r="B142" s="220"/>
      <c r="C142" s="221"/>
      <c r="D142" s="221" t="s">
        <v>51</v>
      </c>
      <c r="E142" s="222" t="s">
        <v>52</v>
      </c>
      <c r="F142" s="223">
        <f>[78]Source!AQ2370</f>
        <v>51.58</v>
      </c>
      <c r="G142" s="224"/>
      <c r="H142" s="225" t="str">
        <f>[78]Source!DI2370</f>
        <v/>
      </c>
      <c r="I142" s="223">
        <f>[78]Source!AV2371</f>
        <v>1.0669999999999999</v>
      </c>
      <c r="J142" s="226">
        <f>[78]Source!U2370</f>
        <v>55.04</v>
      </c>
      <c r="K142" s="223"/>
      <c r="L142" s="226"/>
    </row>
    <row r="143" spans="1:22" ht="15" x14ac:dyDescent="0.25">
      <c r="A143" s="211"/>
      <c r="B143" s="211"/>
      <c r="C143" s="211"/>
      <c r="D143" s="227" t="s">
        <v>81</v>
      </c>
      <c r="E143" s="211"/>
      <c r="F143" s="211"/>
      <c r="G143" s="211"/>
      <c r="H143" s="211"/>
      <c r="I143" s="524">
        <f>J135+J136+J138+J139+J140+J141</f>
        <v>2754.37</v>
      </c>
      <c r="J143" s="524"/>
      <c r="K143" s="524">
        <f>L135+L136+L138+L139+L140+L141</f>
        <v>56973.82</v>
      </c>
      <c r="L143" s="524"/>
      <c r="O143" s="117">
        <f>J135+J136+J138+J139+J140+J141</f>
        <v>2754.37</v>
      </c>
      <c r="P143" s="117">
        <f>L135+L136+L138+L139+L140+L141</f>
        <v>56973.82</v>
      </c>
    </row>
    <row r="144" spans="1:22" x14ac:dyDescent="0.2">
      <c r="A144" s="211"/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</row>
    <row r="145" spans="1:22" ht="28.5" x14ac:dyDescent="0.2">
      <c r="A145" s="212">
        <v>11</v>
      </c>
      <c r="B145" s="212" t="s">
        <v>109</v>
      </c>
      <c r="C145" s="213"/>
      <c r="D145" s="213" t="s">
        <v>82</v>
      </c>
      <c r="E145" s="214" t="str">
        <f>[78]Source!H2370</f>
        <v>1  ШТ.</v>
      </c>
      <c r="F145" s="215">
        <f>[78]Source!I2370</f>
        <v>1</v>
      </c>
      <c r="G145" s="216"/>
      <c r="H145" s="217"/>
      <c r="I145" s="215"/>
      <c r="J145" s="218"/>
      <c r="K145" s="215"/>
      <c r="L145" s="218"/>
    </row>
    <row r="146" spans="1:22" ht="14.25" x14ac:dyDescent="0.2">
      <c r="A146" s="212"/>
      <c r="B146" s="212"/>
      <c r="C146" s="213"/>
      <c r="D146" s="213" t="s">
        <v>44</v>
      </c>
      <c r="E146" s="214"/>
      <c r="F146" s="215"/>
      <c r="G146" s="216">
        <f t="shared" ref="G146:L146" si="3">G147</f>
        <v>1.31</v>
      </c>
      <c r="H146" s="228" t="str">
        <f t="shared" si="3"/>
        <v>)*(1.67-1)</v>
      </c>
      <c r="I146" s="215">
        <f t="shared" si="3"/>
        <v>1.0669999999999999</v>
      </c>
      <c r="J146" s="218">
        <f t="shared" si="3"/>
        <v>0.94</v>
      </c>
      <c r="K146" s="215">
        <f t="shared" si="3"/>
        <v>24.53</v>
      </c>
      <c r="L146" s="218">
        <f t="shared" si="3"/>
        <v>23.06</v>
      </c>
    </row>
    <row r="147" spans="1:22" ht="14.25" x14ac:dyDescent="0.2">
      <c r="A147" s="212"/>
      <c r="B147" s="212"/>
      <c r="C147" s="213"/>
      <c r="D147" s="213" t="s">
        <v>45</v>
      </c>
      <c r="E147" s="214"/>
      <c r="F147" s="215"/>
      <c r="G147" s="216">
        <f>[78]Source!AN2370</f>
        <v>1.31</v>
      </c>
      <c r="H147" s="228" t="s">
        <v>53</v>
      </c>
      <c r="I147" s="215">
        <f>[78]Source!AV2371</f>
        <v>1.0669999999999999</v>
      </c>
      <c r="J147" s="219">
        <f>ROUND(F134*G147*I147*(1.67-1), 2)</f>
        <v>0.94</v>
      </c>
      <c r="K147" s="215">
        <f>IF([78]Source!BS2371&lt;&gt; 0, [78]Source!BS2371, 1)</f>
        <v>24.53</v>
      </c>
      <c r="L147" s="219">
        <f>ROUND(ROUND(F134*G147*I147*(1.67-1), 2)*K147, 2)</f>
        <v>23.06</v>
      </c>
    </row>
    <row r="148" spans="1:22" ht="14.25" x14ac:dyDescent="0.2">
      <c r="A148" s="212"/>
      <c r="B148" s="212"/>
      <c r="C148" s="213"/>
      <c r="D148" s="213" t="s">
        <v>50</v>
      </c>
      <c r="E148" s="214" t="s">
        <v>48</v>
      </c>
      <c r="F148" s="215">
        <f>175</f>
        <v>175</v>
      </c>
      <c r="G148" s="216"/>
      <c r="H148" s="217"/>
      <c r="I148" s="215"/>
      <c r="J148" s="218">
        <f>ROUND(J147*(F148/100), 2)</f>
        <v>1.65</v>
      </c>
      <c r="K148" s="215">
        <f>157</f>
        <v>157</v>
      </c>
      <c r="L148" s="218">
        <f>ROUND(L147*(K148/100), 2)</f>
        <v>36.200000000000003</v>
      </c>
    </row>
    <row r="149" spans="1:22" ht="15" x14ac:dyDescent="0.25">
      <c r="A149" s="229"/>
      <c r="B149" s="229"/>
      <c r="C149" s="229"/>
      <c r="D149" s="230" t="s">
        <v>81</v>
      </c>
      <c r="E149" s="229"/>
      <c r="F149" s="229"/>
      <c r="G149" s="229"/>
      <c r="H149" s="229"/>
      <c r="I149" s="555">
        <f>J148+J147</f>
        <v>2.59</v>
      </c>
      <c r="J149" s="555"/>
      <c r="K149" s="555">
        <f>L148+L147</f>
        <v>59.26</v>
      </c>
      <c r="L149" s="555"/>
      <c r="O149" s="117">
        <f>I149</f>
        <v>2.59</v>
      </c>
      <c r="P149" s="117">
        <f>K149</f>
        <v>59.26</v>
      </c>
    </row>
    <row r="150" spans="1:22" x14ac:dyDescent="0.2">
      <c r="A150" s="211"/>
      <c r="B150" s="211"/>
      <c r="C150" s="211"/>
      <c r="D150" s="211"/>
      <c r="E150" s="211"/>
      <c r="F150" s="211"/>
      <c r="G150" s="211"/>
      <c r="H150" s="211"/>
      <c r="I150" s="211"/>
      <c r="J150" s="211"/>
      <c r="K150" s="211"/>
      <c r="L150" s="211"/>
    </row>
    <row r="151" spans="1:22" s="119" customFormat="1" ht="66.75" x14ac:dyDescent="0.25">
      <c r="A151" s="231">
        <v>12</v>
      </c>
      <c r="B151" s="231">
        <v>308</v>
      </c>
      <c r="C151" s="232" t="str">
        <f>[78]Source!F2372</f>
        <v>Прайс-лист</v>
      </c>
      <c r="D151" s="232" t="s">
        <v>110</v>
      </c>
      <c r="E151" s="233" t="str">
        <f>[78]Source!H2372</f>
        <v>шт.</v>
      </c>
      <c r="F151" s="234">
        <f>[78]Source!I2372</f>
        <v>1</v>
      </c>
      <c r="G151" s="235">
        <f>[78]Source!AL2372</f>
        <v>55745.61</v>
      </c>
      <c r="H151" s="236" t="str">
        <f>[78]Source!DD2372</f>
        <v/>
      </c>
      <c r="I151" s="234">
        <f>[78]Source!AW2373</f>
        <v>1</v>
      </c>
      <c r="J151" s="237">
        <f>L151/K151</f>
        <v>55745.599999999999</v>
      </c>
      <c r="K151" s="234">
        <f>IF([78]Source!BC2373&lt;&gt; 0, [78]Source!BC2373, 1)</f>
        <v>4.5999999999999996</v>
      </c>
      <c r="L151" s="237">
        <f>246008.82*1.012*1.03</f>
        <v>256429.75</v>
      </c>
      <c r="M151" s="105" t="s">
        <v>103</v>
      </c>
      <c r="Q151" s="119">
        <f>[78]Source!X2372</f>
        <v>0</v>
      </c>
      <c r="R151" s="119">
        <f>[78]Source!X2373</f>
        <v>0</v>
      </c>
      <c r="S151" s="119">
        <f>[78]Source!Y2372</f>
        <v>0</v>
      </c>
      <c r="T151" s="119">
        <f>[78]Source!Y2373</f>
        <v>0</v>
      </c>
      <c r="U151" s="119">
        <f>ROUND((175/100)*ROUND([78]Source!R2372, 2), 2)</f>
        <v>0</v>
      </c>
      <c r="V151" s="119">
        <f>ROUND((157/100)*ROUND([78]Source!R2373, 2), 2)</f>
        <v>0</v>
      </c>
    </row>
    <row r="152" spans="1:22" s="120" customFormat="1" ht="15" x14ac:dyDescent="0.25">
      <c r="A152" s="238"/>
      <c r="B152" s="238"/>
      <c r="C152" s="238"/>
      <c r="D152" s="239" t="s">
        <v>81</v>
      </c>
      <c r="E152" s="238"/>
      <c r="F152" s="238"/>
      <c r="G152" s="238"/>
      <c r="H152" s="238"/>
      <c r="I152" s="556">
        <f>J151</f>
        <v>55745.599999999999</v>
      </c>
      <c r="J152" s="556"/>
      <c r="K152" s="556">
        <f>L151</f>
        <v>256429.75</v>
      </c>
      <c r="L152" s="556"/>
      <c r="O152" s="121">
        <f>J151</f>
        <v>55745.599999999999</v>
      </c>
      <c r="P152" s="121">
        <f>L151</f>
        <v>256429.75</v>
      </c>
    </row>
    <row r="153" spans="1:22" x14ac:dyDescent="0.2">
      <c r="A153" s="211"/>
      <c r="B153" s="211"/>
      <c r="C153" s="211"/>
      <c r="D153" s="211"/>
      <c r="E153" s="211"/>
      <c r="F153" s="211"/>
      <c r="G153" s="211"/>
      <c r="H153" s="211"/>
      <c r="I153" s="211"/>
      <c r="J153" s="211"/>
      <c r="K153" s="211"/>
      <c r="L153" s="211"/>
    </row>
    <row r="154" spans="1:22" x14ac:dyDescent="0.2">
      <c r="A154" s="211"/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</row>
    <row r="155" spans="1:22" ht="15" x14ac:dyDescent="0.25">
      <c r="A155" s="554" t="str">
        <f>CONCATENATE("Итого по подразделу: ",IF([78]Source!G2375&lt;&gt;"Новый подраздел", [78]Source!G2375, ""))</f>
        <v>Итого по подразделу: В2-52</v>
      </c>
      <c r="B155" s="554"/>
      <c r="C155" s="554"/>
      <c r="D155" s="554"/>
      <c r="E155" s="554"/>
      <c r="F155" s="554"/>
      <c r="G155" s="554"/>
      <c r="H155" s="554"/>
      <c r="I155" s="524">
        <f>SUM(O133:O154)</f>
        <v>58502.559999999998</v>
      </c>
      <c r="J155" s="557"/>
      <c r="K155" s="524">
        <f>SUM(P133:P154)</f>
        <v>313462.83</v>
      </c>
      <c r="L155" s="557"/>
    </row>
    <row r="156" spans="1:22" hidden="1" x14ac:dyDescent="0.2">
      <c r="A156" s="211" t="s">
        <v>54</v>
      </c>
      <c r="B156" s="211"/>
      <c r="C156" s="211"/>
      <c r="D156" s="211"/>
      <c r="E156" s="211"/>
      <c r="F156" s="211"/>
      <c r="G156" s="211"/>
      <c r="H156" s="211"/>
      <c r="I156" s="211"/>
      <c r="J156" s="211">
        <f>SUM(W133:W155)</f>
        <v>0</v>
      </c>
      <c r="K156" s="211">
        <f>SUM(X133:X155)</f>
        <v>0</v>
      </c>
      <c r="L156" s="211"/>
    </row>
    <row r="157" spans="1:22" hidden="1" x14ac:dyDescent="0.2">
      <c r="A157" s="211" t="s">
        <v>55</v>
      </c>
      <c r="B157" s="211"/>
      <c r="C157" s="211"/>
      <c r="D157" s="211"/>
      <c r="E157" s="211"/>
      <c r="F157" s="211"/>
      <c r="G157" s="211"/>
      <c r="H157" s="211"/>
      <c r="I157" s="211"/>
      <c r="J157" s="211">
        <f>SUM(Y133:Y156)</f>
        <v>0</v>
      </c>
      <c r="K157" s="211">
        <f>SUM(Z133:Z156)</f>
        <v>0</v>
      </c>
      <c r="L157" s="211"/>
    </row>
    <row r="158" spans="1:22" x14ac:dyDescent="0.2">
      <c r="A158" s="211"/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</row>
    <row r="159" spans="1:22" hidden="1" x14ac:dyDescent="0.2">
      <c r="A159" s="211" t="s">
        <v>54</v>
      </c>
      <c r="B159" s="211"/>
      <c r="C159" s="211"/>
      <c r="D159" s="211"/>
      <c r="E159" s="211"/>
      <c r="F159" s="211"/>
      <c r="G159" s="211"/>
      <c r="H159" s="211"/>
      <c r="I159" s="211"/>
      <c r="J159" s="211" t="e">
        <f>SUM(#REF!)</f>
        <v>#REF!</v>
      </c>
      <c r="K159" s="211" t="e">
        <f>SUM(#REF!)</f>
        <v>#REF!</v>
      </c>
      <c r="L159" s="211"/>
    </row>
    <row r="160" spans="1:22" hidden="1" x14ac:dyDescent="0.2">
      <c r="A160" s="211" t="s">
        <v>55</v>
      </c>
      <c r="B160" s="211"/>
      <c r="C160" s="211"/>
      <c r="D160" s="211"/>
      <c r="E160" s="211"/>
      <c r="F160" s="211"/>
      <c r="G160" s="211"/>
      <c r="H160" s="211"/>
      <c r="I160" s="211"/>
      <c r="J160" s="211">
        <f>SUM(Y159:Y159)</f>
        <v>0</v>
      </c>
      <c r="K160" s="211">
        <f>SUM(Z159:Z159)</f>
        <v>0</v>
      </c>
      <c r="L160" s="211"/>
    </row>
    <row r="161" spans="1:32" hidden="1" x14ac:dyDescent="0.2">
      <c r="A161" s="211"/>
      <c r="B161" s="211"/>
      <c r="C161" s="211"/>
      <c r="D161" s="211"/>
      <c r="E161" s="211"/>
      <c r="F161" s="211"/>
      <c r="G161" s="211"/>
      <c r="H161" s="211"/>
      <c r="I161" s="211"/>
      <c r="J161" s="211"/>
      <c r="K161" s="211"/>
      <c r="L161" s="211"/>
    </row>
    <row r="162" spans="1:32" ht="15" x14ac:dyDescent="0.25">
      <c r="A162" s="554" t="str">
        <f>CONCATENATE("Итого по разделу: ",IF([78]Source!G2921&lt;&gt;"Новый раздел", [78]Source!G2921, ""))</f>
        <v>Итого по разделу: Вентиляция</v>
      </c>
      <c r="B162" s="554"/>
      <c r="C162" s="554"/>
      <c r="D162" s="554"/>
      <c r="E162" s="554"/>
      <c r="F162" s="554"/>
      <c r="G162" s="554"/>
      <c r="H162" s="554"/>
      <c r="I162" s="524">
        <f>SUM(O44:O161)</f>
        <v>375872.44</v>
      </c>
      <c r="J162" s="557"/>
      <c r="K162" s="524">
        <f>SUM(P44:P161)</f>
        <v>1906417.45</v>
      </c>
      <c r="L162" s="557"/>
    </row>
    <row r="163" spans="1:32" hidden="1" x14ac:dyDescent="0.2">
      <c r="A163" s="211" t="s">
        <v>54</v>
      </c>
      <c r="B163" s="211"/>
      <c r="C163" s="211"/>
      <c r="D163" s="211"/>
      <c r="E163" s="211"/>
      <c r="F163" s="211"/>
      <c r="G163" s="211"/>
      <c r="H163" s="211"/>
      <c r="I163" s="211"/>
      <c r="J163" s="211">
        <f>SUM(W44:W162)</f>
        <v>0</v>
      </c>
      <c r="K163" s="211">
        <f>SUM(X44:X162)</f>
        <v>0</v>
      </c>
      <c r="L163" s="211"/>
    </row>
    <row r="164" spans="1:32" hidden="1" x14ac:dyDescent="0.2">
      <c r="A164" s="211" t="s">
        <v>55</v>
      </c>
      <c r="B164" s="211"/>
      <c r="C164" s="211"/>
      <c r="D164" s="211"/>
      <c r="E164" s="211"/>
      <c r="F164" s="211"/>
      <c r="G164" s="211"/>
      <c r="H164" s="211"/>
      <c r="I164" s="211"/>
      <c r="J164" s="211">
        <f>SUM(Y44:Y163)</f>
        <v>0</v>
      </c>
      <c r="K164" s="211">
        <f>SUM(Z44:Z163)</f>
        <v>0</v>
      </c>
      <c r="L164" s="211"/>
    </row>
    <row r="165" spans="1:32" hidden="1" x14ac:dyDescent="0.2">
      <c r="A165" s="211"/>
      <c r="B165" s="211"/>
      <c r="C165" s="211"/>
      <c r="D165" s="211"/>
      <c r="E165" s="211"/>
      <c r="F165" s="211"/>
      <c r="G165" s="211"/>
      <c r="H165" s="211"/>
      <c r="I165" s="211"/>
      <c r="J165" s="211"/>
      <c r="K165" s="211"/>
      <c r="L165" s="211"/>
    </row>
    <row r="166" spans="1:32" x14ac:dyDescent="0.2">
      <c r="A166" s="211"/>
      <c r="B166" s="211"/>
      <c r="C166" s="211"/>
      <c r="D166" s="211"/>
      <c r="E166" s="211"/>
      <c r="F166" s="211"/>
      <c r="G166" s="211"/>
      <c r="H166" s="211"/>
      <c r="I166" s="211"/>
      <c r="J166" s="211"/>
      <c r="K166" s="211"/>
      <c r="L166" s="211"/>
    </row>
    <row r="167" spans="1:32" ht="15" customHeight="1" x14ac:dyDescent="0.25">
      <c r="A167" s="554" t="s">
        <v>74</v>
      </c>
      <c r="B167" s="554"/>
      <c r="C167" s="554"/>
      <c r="D167" s="554"/>
      <c r="E167" s="554"/>
      <c r="F167" s="554"/>
      <c r="G167" s="554"/>
      <c r="H167" s="554"/>
      <c r="I167" s="524">
        <f>SUM(O1:O166)</f>
        <v>375872.44</v>
      </c>
      <c r="J167" s="557"/>
      <c r="K167" s="524">
        <f>SUM(P1:P166)</f>
        <v>1906417.45</v>
      </c>
      <c r="L167" s="557"/>
      <c r="AF167" s="98" t="str">
        <f>CONCATENATE("Итого по акту: ",IF([78]Source!G2981&lt;&gt;"Новый объект", [78]Source!G2981, ""))</f>
        <v>Итого по акту: 48837-ТПК_5-0699-Р-ССР2  12-4017-Л-Р-11.4.3.1-ОВ1.1-СМ1К</v>
      </c>
    </row>
    <row r="168" spans="1:32" hidden="1" x14ac:dyDescent="0.2">
      <c r="A168" s="49" t="s">
        <v>54</v>
      </c>
      <c r="J168" s="49">
        <f>SUM(W1:W167)</f>
        <v>0</v>
      </c>
      <c r="K168" s="49">
        <f>SUM(X1:X167)</f>
        <v>0</v>
      </c>
    </row>
    <row r="169" spans="1:32" hidden="1" x14ac:dyDescent="0.2">
      <c r="A169" s="49" t="s">
        <v>55</v>
      </c>
      <c r="J169" s="49">
        <f>SUM(Y1:Y168)</f>
        <v>0</v>
      </c>
      <c r="K169" s="49">
        <f>SUM(Z1:Z168)</f>
        <v>0</v>
      </c>
    </row>
    <row r="170" spans="1:32" ht="14.25" x14ac:dyDescent="0.2">
      <c r="D170" s="558" t="str">
        <f>[78]Source!H2987</f>
        <v>Стоимость материалов (всего)</v>
      </c>
      <c r="E170" s="558"/>
      <c r="F170" s="558"/>
      <c r="G170" s="558"/>
      <c r="H170" s="558"/>
      <c r="I170" s="559">
        <f>[78]Source!F2987</f>
        <v>16.68</v>
      </c>
      <c r="J170" s="559"/>
      <c r="K170" s="559">
        <f>[78]Source!P2987</f>
        <v>105.6</v>
      </c>
      <c r="L170" s="559"/>
    </row>
    <row r="171" spans="1:32" ht="14.25" x14ac:dyDescent="0.2">
      <c r="D171" s="558" t="str">
        <f>[78]Source!H2995</f>
        <v>ЗП машинистов</v>
      </c>
      <c r="E171" s="558"/>
      <c r="F171" s="558"/>
      <c r="G171" s="558"/>
      <c r="H171" s="558"/>
      <c r="I171" s="559">
        <f>[78]Source!F2995</f>
        <v>9.32</v>
      </c>
      <c r="J171" s="559"/>
      <c r="K171" s="559">
        <f>[78]Source!P2995</f>
        <v>228.6</v>
      </c>
      <c r="L171" s="559"/>
    </row>
    <row r="172" spans="1:32" ht="14.25" x14ac:dyDescent="0.2">
      <c r="D172" s="558" t="str">
        <f>[78]Source!H2996</f>
        <v>Основная ЗП рабочих</v>
      </c>
      <c r="E172" s="558"/>
      <c r="F172" s="558"/>
      <c r="G172" s="558"/>
      <c r="H172" s="558"/>
      <c r="I172" s="559">
        <f>[78]Source!F2996</f>
        <v>4387</v>
      </c>
      <c r="J172" s="559"/>
      <c r="K172" s="559">
        <f>[78]Source!P2996</f>
        <v>107613.12</v>
      </c>
      <c r="L172" s="559"/>
    </row>
    <row r="173" spans="1:32" ht="14.25" x14ac:dyDescent="0.2">
      <c r="D173" s="558" t="str">
        <f>[78]Source!H2990</f>
        <v>Стоимость оборудования (всего)</v>
      </c>
      <c r="E173" s="558"/>
      <c r="F173" s="558"/>
      <c r="G173" s="558"/>
      <c r="H173" s="558"/>
      <c r="I173" s="563">
        <f>J64+J93+J122+J151</f>
        <v>364844.6</v>
      </c>
      <c r="J173" s="563"/>
      <c r="K173" s="563">
        <f>L64+L93+L122+L151</f>
        <v>1678285.13</v>
      </c>
      <c r="L173" s="563"/>
      <c r="M173" s="123">
        <f>L64+L93+L122+L151</f>
        <v>1678285.13</v>
      </c>
    </row>
    <row r="174" spans="1:32" ht="14.25" x14ac:dyDescent="0.2">
      <c r="D174" s="97"/>
      <c r="E174" s="97"/>
      <c r="F174" s="97"/>
      <c r="G174" s="97"/>
      <c r="H174" s="97"/>
      <c r="I174" s="124"/>
      <c r="J174" s="124"/>
      <c r="K174" s="124"/>
      <c r="L174" s="124"/>
    </row>
    <row r="175" spans="1:32" ht="15" x14ac:dyDescent="0.25">
      <c r="D175" s="100" t="s">
        <v>57</v>
      </c>
      <c r="E175" s="100"/>
      <c r="F175" s="100"/>
      <c r="G175" s="100"/>
      <c r="H175" s="100"/>
      <c r="I175" s="125"/>
      <c r="J175" s="126">
        <f>I167</f>
        <v>375872.44</v>
      </c>
      <c r="K175" s="126"/>
      <c r="L175" s="126">
        <f>K167</f>
        <v>1906417.45</v>
      </c>
    </row>
    <row r="176" spans="1:32" ht="14.25" x14ac:dyDescent="0.2">
      <c r="D176" s="99" t="s">
        <v>3</v>
      </c>
      <c r="E176" s="99"/>
      <c r="F176" s="99"/>
      <c r="G176" s="99"/>
      <c r="H176" s="99"/>
      <c r="I176" s="125"/>
      <c r="J176" s="127">
        <f>I167-J179</f>
        <v>11027.84</v>
      </c>
      <c r="K176" s="127"/>
      <c r="L176" s="127">
        <f>K167-L179</f>
        <v>228132.32</v>
      </c>
    </row>
    <row r="177" spans="1:12" ht="14.25" x14ac:dyDescent="0.2">
      <c r="D177" s="99" t="s">
        <v>58</v>
      </c>
      <c r="E177" s="99"/>
      <c r="F177" s="99"/>
      <c r="G177" s="99"/>
      <c r="H177" s="99"/>
      <c r="I177" s="125"/>
      <c r="J177" s="127">
        <f>I171+I172</f>
        <v>4396.32</v>
      </c>
      <c r="K177" s="127"/>
      <c r="L177" s="127">
        <f>K171+K172</f>
        <v>107841.72</v>
      </c>
    </row>
    <row r="178" spans="1:12" ht="14.25" x14ac:dyDescent="0.2">
      <c r="D178" s="99" t="s">
        <v>59</v>
      </c>
      <c r="E178" s="99"/>
      <c r="F178" s="99"/>
      <c r="G178" s="99"/>
      <c r="H178" s="99"/>
      <c r="I178" s="125"/>
      <c r="J178" s="127">
        <f>I170</f>
        <v>16.68</v>
      </c>
      <c r="K178" s="127"/>
      <c r="L178" s="127">
        <f>K170</f>
        <v>105.6</v>
      </c>
    </row>
    <row r="179" spans="1:12" ht="16.5" customHeight="1" x14ac:dyDescent="0.2">
      <c r="D179" s="99" t="s">
        <v>62</v>
      </c>
      <c r="E179" s="99"/>
      <c r="F179" s="99"/>
      <c r="G179" s="99"/>
      <c r="H179" s="99"/>
      <c r="J179" s="192">
        <f>I173</f>
        <v>364844.6</v>
      </c>
      <c r="L179" s="192">
        <f>K173</f>
        <v>1678285.13</v>
      </c>
    </row>
    <row r="180" spans="1:12" s="178" customFormat="1" ht="16.5" customHeight="1" x14ac:dyDescent="0.25">
      <c r="A180" s="89"/>
      <c r="B180" s="89"/>
      <c r="C180" s="89"/>
      <c r="D180" s="44" t="s">
        <v>60</v>
      </c>
      <c r="E180" s="44"/>
      <c r="F180" s="44"/>
      <c r="G180" s="44"/>
      <c r="H180" s="44"/>
      <c r="I180" s="562">
        <v>0</v>
      </c>
      <c r="J180" s="562"/>
      <c r="K180" s="562">
        <v>0</v>
      </c>
      <c r="L180" s="562"/>
    </row>
    <row r="181" spans="1:12" s="178" customFormat="1" ht="16.5" customHeight="1" x14ac:dyDescent="0.25">
      <c r="A181" s="89"/>
      <c r="B181" s="89"/>
      <c r="C181" s="89"/>
      <c r="D181" s="101" t="s">
        <v>111</v>
      </c>
      <c r="E181" s="101"/>
      <c r="F181" s="101"/>
      <c r="G181" s="101"/>
      <c r="H181" s="101"/>
      <c r="I181" s="129"/>
      <c r="J181" s="129">
        <v>0</v>
      </c>
      <c r="K181" s="129"/>
      <c r="L181" s="129">
        <v>0</v>
      </c>
    </row>
    <row r="182" spans="1:12" s="178" customFormat="1" ht="16.5" customHeight="1" x14ac:dyDescent="0.2">
      <c r="A182" s="179"/>
      <c r="B182" s="179"/>
      <c r="C182" s="179"/>
      <c r="D182" s="101" t="s">
        <v>112</v>
      </c>
      <c r="E182" s="101"/>
      <c r="F182" s="101"/>
      <c r="G182" s="101"/>
      <c r="H182" s="101"/>
      <c r="I182" s="560">
        <f>(J176+J181)*5.61%</f>
        <v>618.66</v>
      </c>
      <c r="J182" s="561"/>
      <c r="K182" s="560">
        <f>(L176+L181)*5.61%</f>
        <v>12798.22</v>
      </c>
      <c r="L182" s="561"/>
    </row>
    <row r="183" spans="1:12" s="178" customFormat="1" ht="16.5" customHeight="1" x14ac:dyDescent="0.2">
      <c r="A183" s="90"/>
      <c r="B183" s="90"/>
      <c r="C183" s="90"/>
      <c r="D183" s="101" t="s">
        <v>70</v>
      </c>
      <c r="E183" s="101"/>
      <c r="F183" s="101"/>
      <c r="G183" s="101"/>
      <c r="H183" s="101"/>
      <c r="I183" s="560">
        <f>J176+J181+I182</f>
        <v>11646.5</v>
      </c>
      <c r="J183" s="561"/>
      <c r="K183" s="560">
        <f>L176+L181+K182</f>
        <v>240930.54</v>
      </c>
      <c r="L183" s="561"/>
    </row>
    <row r="184" spans="1:12" s="178" customFormat="1" ht="16.5" customHeight="1" x14ac:dyDescent="0.2">
      <c r="A184" s="179"/>
      <c r="B184" s="179"/>
      <c r="C184" s="179"/>
      <c r="D184" s="101" t="s">
        <v>71</v>
      </c>
      <c r="E184" s="101"/>
      <c r="F184" s="101"/>
      <c r="G184" s="101"/>
      <c r="H184" s="101"/>
      <c r="J184" s="190">
        <f>J177*0.15</f>
        <v>659.45</v>
      </c>
      <c r="L184" s="190">
        <f>L177*0.15</f>
        <v>16176.26</v>
      </c>
    </row>
    <row r="185" spans="1:12" s="178" customFormat="1" ht="14.25" customHeight="1" x14ac:dyDescent="0.25">
      <c r="D185" s="132" t="s">
        <v>72</v>
      </c>
      <c r="E185" s="132"/>
      <c r="F185" s="132"/>
      <c r="G185" s="132"/>
      <c r="H185" s="132"/>
      <c r="I185" s="564">
        <f>I183+J184+J179</f>
        <v>377150.55</v>
      </c>
      <c r="J185" s="564"/>
      <c r="K185" s="565">
        <f>K183+L184+L179</f>
        <v>1935391.93</v>
      </c>
      <c r="L185" s="564"/>
    </row>
    <row r="186" spans="1:12" ht="14.25" x14ac:dyDescent="0.2">
      <c r="D186" s="101"/>
      <c r="E186" s="101"/>
      <c r="F186" s="101"/>
      <c r="G186" s="101"/>
      <c r="H186" s="101"/>
      <c r="I186" s="560"/>
      <c r="J186" s="560"/>
      <c r="K186" s="560"/>
      <c r="L186" s="560"/>
    </row>
    <row r="187" spans="1:12" ht="15" x14ac:dyDescent="0.25">
      <c r="D187" s="132" t="s">
        <v>113</v>
      </c>
      <c r="E187" s="132"/>
      <c r="F187" s="132"/>
      <c r="G187" s="132"/>
      <c r="H187" s="132"/>
      <c r="I187" s="131"/>
      <c r="J187" s="131"/>
      <c r="K187" s="131"/>
      <c r="L187" s="133">
        <f>L188+L191+L190</f>
        <v>1895016.11</v>
      </c>
    </row>
    <row r="188" spans="1:12" ht="14.25" x14ac:dyDescent="0.2">
      <c r="D188" s="101" t="s">
        <v>3</v>
      </c>
      <c r="E188" s="101"/>
      <c r="F188" s="101"/>
      <c r="G188" s="101"/>
      <c r="H188" s="101"/>
      <c r="I188" s="128"/>
      <c r="J188" s="134"/>
      <c r="L188" s="190">
        <f>(L176-L178)*0.95+L189</f>
        <v>216730.98</v>
      </c>
    </row>
    <row r="189" spans="1:12" ht="14.25" x14ac:dyDescent="0.2">
      <c r="D189" s="101" t="s">
        <v>114</v>
      </c>
      <c r="E189" s="101"/>
      <c r="F189" s="101"/>
      <c r="G189" s="101"/>
      <c r="H189" s="101"/>
      <c r="I189" s="128"/>
      <c r="J189" s="134"/>
      <c r="L189" s="190">
        <f>L178*1</f>
        <v>105.6</v>
      </c>
    </row>
    <row r="190" spans="1:12" ht="14.25" x14ac:dyDescent="0.2">
      <c r="D190" s="135" t="s">
        <v>62</v>
      </c>
      <c r="E190" s="135"/>
      <c r="F190" s="135"/>
      <c r="G190" s="102"/>
      <c r="H190" s="102"/>
      <c r="I190" s="128"/>
      <c r="J190" s="134"/>
      <c r="K190" s="136"/>
      <c r="L190" s="136">
        <f>L179</f>
        <v>1678285.13</v>
      </c>
    </row>
    <row r="191" spans="1:12" ht="14.25" x14ac:dyDescent="0.2">
      <c r="D191" s="101" t="s">
        <v>115</v>
      </c>
      <c r="E191" s="101"/>
      <c r="F191" s="101"/>
      <c r="G191" s="101"/>
      <c r="H191" s="101"/>
      <c r="I191" s="560"/>
      <c r="J191" s="560"/>
      <c r="L191" s="190">
        <v>0</v>
      </c>
    </row>
    <row r="192" spans="1:12" ht="14.25" customHeight="1" x14ac:dyDescent="0.2">
      <c r="D192" s="101" t="s">
        <v>111</v>
      </c>
      <c r="E192" s="101"/>
      <c r="F192" s="101"/>
      <c r="G192" s="101"/>
      <c r="H192" s="101"/>
      <c r="I192" s="136"/>
      <c r="J192" s="136"/>
      <c r="K192" s="136"/>
      <c r="L192" s="136">
        <v>0</v>
      </c>
    </row>
    <row r="193" spans="1:12" ht="14.25" x14ac:dyDescent="0.2">
      <c r="D193" s="101" t="s">
        <v>116</v>
      </c>
      <c r="E193" s="101"/>
      <c r="F193" s="101"/>
      <c r="G193" s="101"/>
      <c r="H193" s="101"/>
      <c r="I193" s="128"/>
      <c r="J193" s="134"/>
      <c r="L193" s="190">
        <f>L177*0.95</f>
        <v>102449.63</v>
      </c>
    </row>
    <row r="194" spans="1:12" ht="14.25" x14ac:dyDescent="0.2">
      <c r="D194" s="101" t="s">
        <v>117</v>
      </c>
      <c r="E194" s="101"/>
      <c r="F194" s="101"/>
      <c r="G194" s="101"/>
      <c r="H194" s="101"/>
      <c r="I194" s="560"/>
      <c r="J194" s="560"/>
      <c r="L194" s="190">
        <f>(L188+L192)*5.61%</f>
        <v>12158.61</v>
      </c>
    </row>
    <row r="195" spans="1:12" ht="14.25" x14ac:dyDescent="0.2">
      <c r="D195" s="101" t="s">
        <v>70</v>
      </c>
      <c r="E195" s="101"/>
      <c r="F195" s="101"/>
      <c r="G195" s="101"/>
      <c r="H195" s="101"/>
      <c r="I195" s="128"/>
      <c r="J195" s="137"/>
      <c r="L195" s="190">
        <f>L188+L192+L194+L190</f>
        <v>1907174.72</v>
      </c>
    </row>
    <row r="196" spans="1:12" ht="14.25" x14ac:dyDescent="0.2">
      <c r="D196" s="101" t="s">
        <v>71</v>
      </c>
      <c r="E196" s="101"/>
      <c r="F196" s="101"/>
      <c r="G196" s="101"/>
      <c r="H196" s="101"/>
      <c r="I196" s="128"/>
      <c r="J196" s="128"/>
      <c r="L196" s="190">
        <f>L193*15%</f>
        <v>15367.44</v>
      </c>
    </row>
    <row r="197" spans="1:12" ht="15" x14ac:dyDescent="0.25">
      <c r="D197" s="132" t="s">
        <v>72</v>
      </c>
      <c r="E197" s="132"/>
      <c r="F197" s="132"/>
      <c r="G197" s="132"/>
      <c r="H197" s="132"/>
      <c r="I197" s="131"/>
      <c r="J197" s="131"/>
      <c r="L197" s="191">
        <f>L195+L196+L191</f>
        <v>1922542.16</v>
      </c>
    </row>
    <row r="199" spans="1:12" ht="12.75" x14ac:dyDescent="0.2">
      <c r="A199" s="138"/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8"/>
    </row>
    <row r="200" spans="1:12" ht="12.75" x14ac:dyDescent="0.2">
      <c r="A200" s="138"/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8"/>
    </row>
    <row r="201" spans="1:12" ht="12.75" x14ac:dyDescent="0.2">
      <c r="A201" s="138"/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8"/>
    </row>
    <row r="202" spans="1:12" ht="12.75" x14ac:dyDescent="0.2">
      <c r="A202" s="138"/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8"/>
    </row>
    <row r="203" spans="1:12" ht="15.75" x14ac:dyDescent="0.25">
      <c r="A203" s="138"/>
      <c r="B203" s="180" t="s">
        <v>137</v>
      </c>
      <c r="C203" s="181"/>
      <c r="D203" s="181"/>
      <c r="E203" s="138"/>
      <c r="F203" s="138"/>
      <c r="G203" s="138"/>
      <c r="H203" s="138"/>
      <c r="I203" s="138"/>
      <c r="J203" s="138"/>
      <c r="K203" s="138"/>
      <c r="L203" s="138"/>
    </row>
    <row r="204" spans="1:12" ht="15" x14ac:dyDescent="0.2">
      <c r="A204" s="138"/>
      <c r="B204" s="181"/>
      <c r="C204" s="181"/>
      <c r="D204" s="181"/>
      <c r="E204" s="138"/>
      <c r="F204" s="138"/>
      <c r="G204" s="138"/>
      <c r="H204" s="138"/>
      <c r="I204" s="138"/>
      <c r="J204" s="138"/>
      <c r="K204" s="138"/>
      <c r="L204" s="138"/>
    </row>
    <row r="205" spans="1:12" ht="15.75" x14ac:dyDescent="0.25">
      <c r="A205" s="139"/>
      <c r="B205" s="180" t="s">
        <v>118</v>
      </c>
      <c r="C205" s="180"/>
      <c r="D205" s="180"/>
      <c r="E205" s="140"/>
      <c r="F205" s="140"/>
      <c r="G205" s="140"/>
      <c r="H205" s="140"/>
      <c r="I205" s="140"/>
      <c r="J205" s="140"/>
      <c r="K205" s="140"/>
      <c r="L205" s="140"/>
    </row>
    <row r="206" spans="1:12" ht="15.75" x14ac:dyDescent="0.25">
      <c r="A206" s="139"/>
      <c r="B206" s="182" t="s">
        <v>119</v>
      </c>
      <c r="C206" s="183"/>
      <c r="D206" s="183"/>
      <c r="E206" s="142"/>
      <c r="F206" s="141"/>
      <c r="G206" s="503"/>
      <c r="H206" s="503"/>
      <c r="I206" s="143"/>
      <c r="J206" s="144" t="s">
        <v>120</v>
      </c>
      <c r="K206" s="145"/>
      <c r="L206" s="146"/>
    </row>
    <row r="207" spans="1:12" ht="15.75" x14ac:dyDescent="0.25">
      <c r="A207" s="139"/>
      <c r="B207" s="184" t="s">
        <v>138</v>
      </c>
      <c r="C207" s="185"/>
      <c r="D207" s="185"/>
      <c r="E207" s="147"/>
      <c r="F207" s="147"/>
      <c r="G207" s="147"/>
      <c r="H207" s="147"/>
      <c r="I207" s="146"/>
      <c r="J207" s="146"/>
      <c r="K207" s="146"/>
      <c r="L207" s="146"/>
    </row>
    <row r="208" spans="1:12" ht="15.75" x14ac:dyDescent="0.25">
      <c r="A208" s="139"/>
      <c r="B208" s="148"/>
      <c r="C208" s="148"/>
      <c r="D208" s="186"/>
      <c r="E208" s="149"/>
      <c r="F208" s="149"/>
      <c r="G208" s="150"/>
      <c r="H208" s="151"/>
      <c r="I208" s="149"/>
      <c r="J208" s="152"/>
      <c r="K208" s="153"/>
      <c r="L208" s="139"/>
    </row>
    <row r="209" spans="1:12" ht="15.75" x14ac:dyDescent="0.25">
      <c r="A209" s="139"/>
      <c r="B209" s="148"/>
      <c r="C209" s="148"/>
      <c r="D209" s="186"/>
      <c r="E209" s="149"/>
      <c r="F209" s="149"/>
      <c r="G209" s="150"/>
      <c r="H209" s="151"/>
      <c r="I209" s="149"/>
      <c r="J209" s="152"/>
      <c r="K209" s="153"/>
      <c r="L209" s="139"/>
    </row>
    <row r="210" spans="1:12" ht="15.75" x14ac:dyDescent="0.25">
      <c r="A210" s="139"/>
      <c r="B210" s="148"/>
      <c r="C210" s="148"/>
      <c r="D210" s="186"/>
      <c r="E210" s="149"/>
      <c r="F210" s="149"/>
      <c r="G210" s="150"/>
      <c r="H210" s="151"/>
      <c r="I210" s="149"/>
      <c r="J210" s="152"/>
      <c r="K210" s="153"/>
      <c r="L210" s="139"/>
    </row>
    <row r="211" spans="1:12" ht="15.75" x14ac:dyDescent="0.25">
      <c r="A211" s="139"/>
      <c r="B211" s="148"/>
      <c r="C211" s="148"/>
      <c r="D211" s="149"/>
      <c r="E211" s="149"/>
      <c r="F211" s="149"/>
      <c r="G211" s="149"/>
      <c r="H211" s="151"/>
      <c r="I211" s="149"/>
      <c r="J211" s="152"/>
      <c r="K211" s="153"/>
      <c r="L211" s="139"/>
    </row>
    <row r="212" spans="1:12" ht="15.75" x14ac:dyDescent="0.25">
      <c r="A212" s="139"/>
      <c r="B212" s="180" t="s">
        <v>121</v>
      </c>
      <c r="C212" s="187"/>
      <c r="D212" s="180"/>
      <c r="E212" s="147"/>
      <c r="F212" s="140"/>
      <c r="G212" s="147"/>
      <c r="H212" s="140"/>
      <c r="I212" s="146"/>
      <c r="J212" s="146"/>
      <c r="K212" s="146"/>
      <c r="L212" s="139"/>
    </row>
    <row r="213" spans="1:12" ht="15.75" x14ac:dyDescent="0.25">
      <c r="A213" s="139"/>
      <c r="B213" s="180"/>
      <c r="C213" s="187"/>
      <c r="D213" s="180"/>
      <c r="E213" s="147"/>
      <c r="F213" s="140"/>
      <c r="G213" s="147"/>
      <c r="H213" s="140"/>
      <c r="I213" s="146"/>
      <c r="J213" s="146"/>
      <c r="K213" s="146"/>
      <c r="L213" s="139"/>
    </row>
    <row r="214" spans="1:12" ht="15.75" x14ac:dyDescent="0.25">
      <c r="A214" s="139"/>
      <c r="B214" s="504" t="s">
        <v>122</v>
      </c>
      <c r="C214" s="504"/>
      <c r="D214" s="504"/>
      <c r="E214" s="147"/>
      <c r="F214" s="140"/>
      <c r="G214" s="147"/>
      <c r="H214" s="140"/>
      <c r="I214" s="146"/>
      <c r="J214" s="146"/>
      <c r="K214" s="146"/>
      <c r="L214" s="139"/>
    </row>
    <row r="215" spans="1:12" ht="15.75" x14ac:dyDescent="0.25">
      <c r="A215" s="139"/>
      <c r="B215" s="505" t="s">
        <v>123</v>
      </c>
      <c r="C215" s="505"/>
      <c r="D215" s="505"/>
      <c r="E215" s="154"/>
      <c r="F215" s="141"/>
      <c r="G215" s="142"/>
      <c r="H215" s="155"/>
      <c r="I215" s="145"/>
      <c r="J215" s="144" t="s">
        <v>84</v>
      </c>
      <c r="K215" s="145"/>
      <c r="L215" s="139"/>
    </row>
    <row r="216" spans="1:12" ht="15.75" x14ac:dyDescent="0.25">
      <c r="A216" s="139"/>
      <c r="B216" s="184" t="s">
        <v>73</v>
      </c>
      <c r="C216" s="188"/>
      <c r="D216" s="188"/>
      <c r="E216" s="156"/>
      <c r="F216" s="147"/>
      <c r="G216" s="140"/>
      <c r="H216" s="140"/>
      <c r="I216" s="146"/>
      <c r="J216" s="146"/>
      <c r="K216" s="146"/>
      <c r="L216" s="139"/>
    </row>
  </sheetData>
  <mergeCells count="121">
    <mergeCell ref="I183:J183"/>
    <mergeCell ref="K183:L183"/>
    <mergeCell ref="I180:J180"/>
    <mergeCell ref="K180:L180"/>
    <mergeCell ref="I182:J182"/>
    <mergeCell ref="K182:L182"/>
    <mergeCell ref="I191:J191"/>
    <mergeCell ref="I194:J194"/>
    <mergeCell ref="D173:H173"/>
    <mergeCell ref="I173:J173"/>
    <mergeCell ref="K173:L173"/>
    <mergeCell ref="I185:J185"/>
    <mergeCell ref="K185:L185"/>
    <mergeCell ref="I186:J186"/>
    <mergeCell ref="K186:L186"/>
    <mergeCell ref="D171:H171"/>
    <mergeCell ref="I171:J171"/>
    <mergeCell ref="K171:L171"/>
    <mergeCell ref="D172:H172"/>
    <mergeCell ref="I172:J172"/>
    <mergeCell ref="K172:L172"/>
    <mergeCell ref="A167:H167"/>
    <mergeCell ref="I167:J167"/>
    <mergeCell ref="K167:L167"/>
    <mergeCell ref="D170:H170"/>
    <mergeCell ref="I170:J170"/>
    <mergeCell ref="K170:L170"/>
    <mergeCell ref="A155:H155"/>
    <mergeCell ref="I155:J155"/>
    <mergeCell ref="K155:L155"/>
    <mergeCell ref="A162:H162"/>
    <mergeCell ref="I162:J162"/>
    <mergeCell ref="K162:L162"/>
    <mergeCell ref="A133:L133"/>
    <mergeCell ref="I143:J143"/>
    <mergeCell ref="K143:L143"/>
    <mergeCell ref="I149:J149"/>
    <mergeCell ref="K149:L149"/>
    <mergeCell ref="I152:J152"/>
    <mergeCell ref="K152:L152"/>
    <mergeCell ref="I120:J120"/>
    <mergeCell ref="K120:L120"/>
    <mergeCell ref="I123:J123"/>
    <mergeCell ref="K123:L123"/>
    <mergeCell ref="A126:H126"/>
    <mergeCell ref="I126:J126"/>
    <mergeCell ref="K126:L126"/>
    <mergeCell ref="A97:H97"/>
    <mergeCell ref="I97:J97"/>
    <mergeCell ref="K97:L97"/>
    <mergeCell ref="A104:L104"/>
    <mergeCell ref="I114:J114"/>
    <mergeCell ref="K114:L114"/>
    <mergeCell ref="I85:J85"/>
    <mergeCell ref="K85:L85"/>
    <mergeCell ref="I91:J91"/>
    <mergeCell ref="K91:L91"/>
    <mergeCell ref="I94:J94"/>
    <mergeCell ref="K94:L94"/>
    <mergeCell ref="I62:J62"/>
    <mergeCell ref="K62:L62"/>
    <mergeCell ref="I65:J65"/>
    <mergeCell ref="K65:L65"/>
    <mergeCell ref="I68:J68"/>
    <mergeCell ref="K68:L68"/>
    <mergeCell ref="D31:D38"/>
    <mergeCell ref="E31:E38"/>
    <mergeCell ref="F31:F38"/>
    <mergeCell ref="G31:G38"/>
    <mergeCell ref="H31:H38"/>
    <mergeCell ref="E28:G28"/>
    <mergeCell ref="A33:A38"/>
    <mergeCell ref="B33:B38"/>
    <mergeCell ref="A75:L75"/>
    <mergeCell ref="A68:H68"/>
    <mergeCell ref="I1:L1"/>
    <mergeCell ref="I2:L2"/>
    <mergeCell ref="J3:L3"/>
    <mergeCell ref="J4:L4"/>
    <mergeCell ref="J5:L6"/>
    <mergeCell ref="A6:B6"/>
    <mergeCell ref="C6:H6"/>
    <mergeCell ref="G15:H15"/>
    <mergeCell ref="J15:L15"/>
    <mergeCell ref="C11:H11"/>
    <mergeCell ref="J11:L12"/>
    <mergeCell ref="C12:H12"/>
    <mergeCell ref="C13:H13"/>
    <mergeCell ref="G14:I14"/>
    <mergeCell ref="J14:L14"/>
    <mergeCell ref="C7:H7"/>
    <mergeCell ref="J7:L8"/>
    <mergeCell ref="A8:B8"/>
    <mergeCell ref="C8:H8"/>
    <mergeCell ref="C9:H9"/>
    <mergeCell ref="J9:L10"/>
    <mergeCell ref="C10:H10"/>
    <mergeCell ref="G206:H206"/>
    <mergeCell ref="B214:D214"/>
    <mergeCell ref="B215:D215"/>
    <mergeCell ref="J16:L16"/>
    <mergeCell ref="J17:L17"/>
    <mergeCell ref="J18:L18"/>
    <mergeCell ref="G20:G21"/>
    <mergeCell ref="H20:H21"/>
    <mergeCell ref="I20:J20"/>
    <mergeCell ref="I31:I38"/>
    <mergeCell ref="J31:J38"/>
    <mergeCell ref="K31:K38"/>
    <mergeCell ref="L31:L38"/>
    <mergeCell ref="A41:L41"/>
    <mergeCell ref="A42:L42"/>
    <mergeCell ref="A44:L44"/>
    <mergeCell ref="A46:L46"/>
    <mergeCell ref="I56:J56"/>
    <mergeCell ref="K56:L56"/>
    <mergeCell ref="A25:L25"/>
    <mergeCell ref="A26:L26"/>
    <mergeCell ref="A30:L30"/>
    <mergeCell ref="A31:B32"/>
    <mergeCell ref="C31:C38"/>
  </mergeCells>
  <pageMargins left="0.39370078740157483" right="0.19685039370078741" top="0.19685039370078741" bottom="0.39370078740157483" header="0.31496062992125984" footer="0.31496062992125984"/>
  <pageSetup paperSize="9" scale="62" fitToHeight="0" orientation="portrait" blackAndWhite="1" r:id="rId1"/>
  <headerFoot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F180"/>
  <sheetViews>
    <sheetView workbookViewId="0"/>
  </sheetViews>
  <sheetFormatPr defaultColWidth="9.33203125" defaultRowHeight="11.25" x14ac:dyDescent="0.2"/>
  <cols>
    <col min="1" max="2" width="9.33203125" style="49"/>
    <col min="3" max="3" width="13.6640625" style="49" customWidth="1"/>
    <col min="4" max="4" width="47.5" style="49" customWidth="1"/>
    <col min="5" max="5" width="13.6640625" style="49" customWidth="1"/>
    <col min="6" max="6" width="11.83203125" style="49" bestFit="1" customWidth="1"/>
    <col min="7" max="7" width="14" style="49" customWidth="1"/>
    <col min="8" max="8" width="15" style="49" customWidth="1"/>
    <col min="9" max="9" width="15.33203125" style="49" customWidth="1"/>
    <col min="10" max="10" width="14.6640625" style="49" customWidth="1"/>
    <col min="11" max="11" width="10.6640625" style="49" bestFit="1" customWidth="1"/>
    <col min="12" max="12" width="17" style="49" customWidth="1"/>
    <col min="13" max="14" width="14" style="49" customWidth="1"/>
    <col min="15" max="29" width="0" style="49" hidden="1" customWidth="1"/>
    <col min="30" max="30" width="106.1640625" style="49" hidden="1" customWidth="1"/>
    <col min="31" max="31" width="0" style="49" hidden="1" customWidth="1"/>
    <col min="32" max="32" width="117.83203125" style="49" hidden="1" customWidth="1"/>
    <col min="33" max="34" width="0" style="49" hidden="1" customWidth="1"/>
    <col min="35" max="35" width="1.1640625" style="49" customWidth="1"/>
    <col min="36" max="36" width="1.6640625" style="49" customWidth="1"/>
    <col min="37" max="16384" width="9.33203125" style="49"/>
  </cols>
  <sheetData>
    <row r="1" spans="1:12" ht="14.25" x14ac:dyDescent="0.2">
      <c r="A1" s="101"/>
      <c r="B1" s="101"/>
      <c r="C1" s="101"/>
      <c r="D1" s="101"/>
      <c r="E1" s="101"/>
      <c r="F1" s="101"/>
      <c r="G1" s="101"/>
      <c r="H1" s="101"/>
      <c r="I1" s="531" t="s">
        <v>15</v>
      </c>
      <c r="J1" s="531"/>
      <c r="K1" s="531"/>
      <c r="L1" s="531"/>
    </row>
    <row r="2" spans="1:12" ht="14.25" x14ac:dyDescent="0.2">
      <c r="A2" s="101"/>
      <c r="B2" s="101"/>
      <c r="C2" s="101"/>
      <c r="D2" s="101"/>
      <c r="E2" s="101"/>
      <c r="F2" s="101"/>
      <c r="G2" s="101"/>
      <c r="H2" s="101"/>
      <c r="I2" s="531" t="s">
        <v>16</v>
      </c>
      <c r="J2" s="531"/>
      <c r="K2" s="531"/>
      <c r="L2" s="531"/>
    </row>
    <row r="3" spans="1:12" ht="14.25" x14ac:dyDescent="0.2">
      <c r="A3" s="101"/>
      <c r="B3" s="101"/>
      <c r="C3" s="101"/>
      <c r="D3" s="101"/>
      <c r="E3" s="101"/>
      <c r="F3" s="101"/>
      <c r="G3" s="101"/>
      <c r="H3" s="101"/>
      <c r="I3" s="101"/>
      <c r="J3" s="532" t="s">
        <v>17</v>
      </c>
      <c r="K3" s="532"/>
      <c r="L3" s="532"/>
    </row>
    <row r="4" spans="1:12" ht="14.25" x14ac:dyDescent="0.2">
      <c r="A4" s="101"/>
      <c r="B4" s="101"/>
      <c r="C4" s="101"/>
      <c r="D4" s="101"/>
      <c r="E4" s="101"/>
      <c r="F4" s="101"/>
      <c r="G4" s="101"/>
      <c r="H4" s="101"/>
      <c r="I4" s="242" t="s">
        <v>18</v>
      </c>
      <c r="J4" s="533" t="s">
        <v>19</v>
      </c>
      <c r="K4" s="533"/>
      <c r="L4" s="533"/>
    </row>
    <row r="5" spans="1:12" ht="14.25" x14ac:dyDescent="0.2">
      <c r="A5" s="101"/>
      <c r="B5" s="101"/>
      <c r="C5" s="101"/>
      <c r="D5" s="101"/>
      <c r="E5" s="101"/>
      <c r="F5" s="101"/>
      <c r="G5" s="101"/>
      <c r="H5" s="101"/>
      <c r="I5" s="101"/>
      <c r="J5" s="534" t="s">
        <v>83</v>
      </c>
      <c r="K5" s="535"/>
      <c r="L5" s="536"/>
    </row>
    <row r="6" spans="1:12" ht="35.25" customHeight="1" x14ac:dyDescent="0.2">
      <c r="A6" s="540" t="s">
        <v>86</v>
      </c>
      <c r="B6" s="540"/>
      <c r="C6" s="541" t="s">
        <v>87</v>
      </c>
      <c r="D6" s="541"/>
      <c r="E6" s="541"/>
      <c r="F6" s="541"/>
      <c r="G6" s="541"/>
      <c r="H6" s="541"/>
      <c r="I6" s="242" t="s">
        <v>21</v>
      </c>
      <c r="J6" s="537"/>
      <c r="K6" s="538"/>
      <c r="L6" s="539"/>
    </row>
    <row r="7" spans="1:12" ht="14.25" x14ac:dyDescent="0.2">
      <c r="A7" s="102"/>
      <c r="B7" s="102"/>
      <c r="C7" s="547" t="s">
        <v>22</v>
      </c>
      <c r="D7" s="547"/>
      <c r="E7" s="547"/>
      <c r="F7" s="547"/>
      <c r="G7" s="547"/>
      <c r="H7" s="547"/>
      <c r="I7" s="101"/>
      <c r="J7" s="534" t="s">
        <v>56</v>
      </c>
      <c r="K7" s="535"/>
      <c r="L7" s="536"/>
    </row>
    <row r="8" spans="1:12" ht="27" customHeight="1" x14ac:dyDescent="0.2">
      <c r="A8" s="540" t="s">
        <v>88</v>
      </c>
      <c r="B8" s="540"/>
      <c r="C8" s="541" t="s">
        <v>89</v>
      </c>
      <c r="D8" s="541"/>
      <c r="E8" s="541"/>
      <c r="F8" s="541"/>
      <c r="G8" s="541"/>
      <c r="H8" s="541"/>
      <c r="I8" s="242" t="s">
        <v>21</v>
      </c>
      <c r="J8" s="537"/>
      <c r="K8" s="538"/>
      <c r="L8" s="539"/>
    </row>
    <row r="9" spans="1:12" ht="14.25" x14ac:dyDescent="0.2">
      <c r="A9" s="101"/>
      <c r="B9" s="101"/>
      <c r="C9" s="547" t="s">
        <v>22</v>
      </c>
      <c r="D9" s="547"/>
      <c r="E9" s="547"/>
      <c r="F9" s="547"/>
      <c r="G9" s="547"/>
      <c r="H9" s="547"/>
      <c r="I9" s="101"/>
      <c r="J9" s="534"/>
      <c r="K9" s="535"/>
      <c r="L9" s="536"/>
    </row>
    <row r="10" spans="1:12" ht="14.25" x14ac:dyDescent="0.2">
      <c r="A10" s="101" t="s">
        <v>23</v>
      </c>
      <c r="B10" s="101"/>
      <c r="C10" s="551" t="s">
        <v>90</v>
      </c>
      <c r="D10" s="551"/>
      <c r="E10" s="551"/>
      <c r="F10" s="551"/>
      <c r="G10" s="551"/>
      <c r="H10" s="551"/>
      <c r="I10" s="101"/>
      <c r="J10" s="537"/>
      <c r="K10" s="538"/>
      <c r="L10" s="539"/>
    </row>
    <row r="11" spans="1:12" ht="14.25" x14ac:dyDescent="0.2">
      <c r="A11" s="101"/>
      <c r="B11" s="101"/>
      <c r="C11" s="547" t="s">
        <v>24</v>
      </c>
      <c r="D11" s="547"/>
      <c r="E11" s="547"/>
      <c r="F11" s="547"/>
      <c r="G11" s="547"/>
      <c r="H11" s="547"/>
      <c r="I11" s="101"/>
      <c r="J11" s="548" t="s">
        <v>20</v>
      </c>
      <c r="K11" s="548"/>
      <c r="L11" s="548"/>
    </row>
    <row r="12" spans="1:12" ht="14.25" x14ac:dyDescent="0.2">
      <c r="A12" s="101" t="s">
        <v>25</v>
      </c>
      <c r="B12" s="101"/>
      <c r="C12" s="549" t="s">
        <v>91</v>
      </c>
      <c r="D12" s="549"/>
      <c r="E12" s="549"/>
      <c r="F12" s="549"/>
      <c r="G12" s="549"/>
      <c r="H12" s="549"/>
      <c r="I12" s="101"/>
      <c r="J12" s="548"/>
      <c r="K12" s="548"/>
      <c r="L12" s="548"/>
    </row>
    <row r="13" spans="1:12" ht="14.25" x14ac:dyDescent="0.2">
      <c r="A13" s="101"/>
      <c r="B13" s="101"/>
      <c r="C13" s="550" t="s">
        <v>26</v>
      </c>
      <c r="D13" s="550"/>
      <c r="E13" s="550"/>
      <c r="F13" s="550"/>
      <c r="G13" s="550"/>
      <c r="H13" s="550"/>
      <c r="I13" s="101"/>
      <c r="J13" s="101"/>
      <c r="K13" s="101"/>
      <c r="L13" s="101"/>
    </row>
    <row r="14" spans="1:12" ht="14.25" x14ac:dyDescent="0.2">
      <c r="A14" s="101"/>
      <c r="B14" s="101"/>
      <c r="C14" s="101"/>
      <c r="D14" s="101"/>
      <c r="E14" s="101"/>
      <c r="F14" s="101"/>
      <c r="G14" s="542" t="s">
        <v>27</v>
      </c>
      <c r="H14" s="542"/>
      <c r="I14" s="542"/>
      <c r="J14" s="532"/>
      <c r="K14" s="532"/>
      <c r="L14" s="532"/>
    </row>
    <row r="15" spans="1:12" ht="14.25" customHeight="1" x14ac:dyDescent="0.2">
      <c r="A15" s="101"/>
      <c r="B15" s="101"/>
      <c r="C15" s="101"/>
      <c r="D15" s="101"/>
      <c r="E15" s="101"/>
      <c r="F15" s="101"/>
      <c r="G15" s="542" t="s">
        <v>28</v>
      </c>
      <c r="H15" s="543"/>
      <c r="I15" s="103" t="s">
        <v>29</v>
      </c>
      <c r="J15" s="544" t="s">
        <v>92</v>
      </c>
      <c r="K15" s="545"/>
      <c r="L15" s="546"/>
    </row>
    <row r="16" spans="1:12" ht="14.25" x14ac:dyDescent="0.2">
      <c r="A16" s="101"/>
      <c r="B16" s="101"/>
      <c r="C16" s="101"/>
      <c r="D16" s="101"/>
      <c r="E16" s="101"/>
      <c r="F16" s="101"/>
      <c r="G16" s="101"/>
      <c r="H16" s="101"/>
      <c r="I16" s="243" t="s">
        <v>30</v>
      </c>
      <c r="J16" s="506">
        <v>41544</v>
      </c>
      <c r="K16" s="506"/>
      <c r="L16" s="506"/>
    </row>
    <row r="17" spans="1:12" ht="14.25" customHeight="1" x14ac:dyDescent="0.2">
      <c r="A17" s="101"/>
      <c r="B17" s="101"/>
      <c r="C17" s="101"/>
      <c r="D17" s="101"/>
      <c r="E17" s="101"/>
      <c r="F17" s="101"/>
      <c r="G17" s="101"/>
      <c r="H17" s="101"/>
      <c r="I17" s="104"/>
      <c r="J17" s="507">
        <v>25</v>
      </c>
      <c r="K17" s="508"/>
      <c r="L17" s="509"/>
    </row>
    <row r="18" spans="1:12" ht="14.25" x14ac:dyDescent="0.2">
      <c r="A18" s="101"/>
      <c r="B18" s="101"/>
      <c r="C18" s="101"/>
      <c r="D18" s="101"/>
      <c r="E18" s="101"/>
      <c r="F18" s="101"/>
      <c r="G18" s="101"/>
      <c r="H18" s="101"/>
      <c r="I18" s="104"/>
      <c r="J18" s="510">
        <v>44158</v>
      </c>
      <c r="K18" s="511"/>
      <c r="L18" s="512"/>
    </row>
    <row r="19" spans="1:12" ht="14.25" x14ac:dyDescent="0.2">
      <c r="A19" s="101"/>
      <c r="B19" s="101"/>
      <c r="C19" s="101"/>
      <c r="D19" s="101"/>
      <c r="E19" s="101"/>
      <c r="F19" s="101"/>
      <c r="G19" s="101"/>
      <c r="H19" s="101"/>
      <c r="I19" s="104"/>
      <c r="J19" s="205"/>
      <c r="K19" s="205"/>
      <c r="L19" s="205"/>
    </row>
    <row r="20" spans="1:12" ht="14.25" x14ac:dyDescent="0.2">
      <c r="A20" s="101"/>
      <c r="B20" s="101"/>
      <c r="C20" s="101"/>
      <c r="D20" s="101"/>
      <c r="E20" s="101"/>
      <c r="F20" s="101"/>
      <c r="G20" s="513" t="s">
        <v>31</v>
      </c>
      <c r="H20" s="515" t="s">
        <v>32</v>
      </c>
      <c r="I20" s="515" t="s">
        <v>33</v>
      </c>
      <c r="J20" s="517"/>
      <c r="K20" s="205"/>
      <c r="L20" s="205"/>
    </row>
    <row r="21" spans="1:12" ht="14.25" x14ac:dyDescent="0.2">
      <c r="A21" s="101"/>
      <c r="B21" s="101"/>
      <c r="C21" s="101"/>
      <c r="D21" s="101"/>
      <c r="E21" s="101"/>
      <c r="F21" s="101"/>
      <c r="G21" s="514"/>
      <c r="H21" s="516"/>
      <c r="I21" s="241" t="s">
        <v>34</v>
      </c>
      <c r="J21" s="240" t="s">
        <v>35</v>
      </c>
      <c r="K21" s="205"/>
      <c r="L21" s="205"/>
    </row>
    <row r="22" spans="1:12" ht="14.25" x14ac:dyDescent="0.2">
      <c r="A22" s="101"/>
      <c r="B22" s="101"/>
      <c r="C22" s="101"/>
      <c r="D22" s="101"/>
      <c r="E22" s="101"/>
      <c r="F22" s="101"/>
      <c r="G22" s="208" t="s">
        <v>140</v>
      </c>
      <c r="H22" s="209">
        <v>44227</v>
      </c>
      <c r="I22" s="209">
        <v>44197</v>
      </c>
      <c r="J22" s="210">
        <f>H22</f>
        <v>44227</v>
      </c>
      <c r="K22" s="101"/>
      <c r="L22" s="101"/>
    </row>
    <row r="23" spans="1:12" ht="14.25" x14ac:dyDescent="0.2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12" ht="14.25" customHeight="1" x14ac:dyDescent="0.2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1:12" ht="18" x14ac:dyDescent="0.25">
      <c r="A25" s="525" t="s">
        <v>36</v>
      </c>
      <c r="B25" s="525"/>
      <c r="C25" s="525"/>
      <c r="D25" s="525"/>
      <c r="E25" s="525"/>
      <c r="F25" s="525"/>
      <c r="G25" s="525"/>
      <c r="H25" s="525"/>
      <c r="I25" s="525"/>
      <c r="J25" s="525"/>
      <c r="K25" s="525"/>
      <c r="L25" s="525"/>
    </row>
    <row r="26" spans="1:12" ht="18" x14ac:dyDescent="0.25">
      <c r="A26" s="525" t="s">
        <v>37</v>
      </c>
      <c r="B26" s="525"/>
      <c r="C26" s="525"/>
      <c r="D26" s="525"/>
      <c r="E26" s="525"/>
      <c r="F26" s="525"/>
      <c r="G26" s="525"/>
      <c r="H26" s="525"/>
      <c r="I26" s="525"/>
      <c r="J26" s="525"/>
      <c r="K26" s="525"/>
      <c r="L26" s="525"/>
    </row>
    <row r="27" spans="1:12" ht="14.25" x14ac:dyDescent="0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12" ht="15" hidden="1" x14ac:dyDescent="0.25">
      <c r="A28" s="44" t="s">
        <v>66</v>
      </c>
      <c r="B28" s="44"/>
      <c r="C28" s="44"/>
      <c r="D28" s="44"/>
      <c r="E28" s="44"/>
      <c r="F28" s="44"/>
      <c r="G28" s="44"/>
      <c r="H28" s="566"/>
      <c r="I28" s="566"/>
      <c r="J28" s="44" t="s">
        <v>67</v>
      </c>
      <c r="K28" s="44"/>
      <c r="L28" s="44"/>
    </row>
    <row r="29" spans="1:12" ht="14.25" x14ac:dyDescent="0.2">
      <c r="A29" s="526" t="s">
        <v>141</v>
      </c>
      <c r="B29" s="526"/>
      <c r="C29" s="526"/>
      <c r="D29" s="526"/>
      <c r="E29" s="526"/>
      <c r="F29" s="526"/>
      <c r="G29" s="526"/>
      <c r="H29" s="526"/>
      <c r="I29" s="526"/>
      <c r="J29" s="526"/>
      <c r="K29" s="526"/>
      <c r="L29" s="526"/>
    </row>
    <row r="30" spans="1:12" ht="14.25" x14ac:dyDescent="0.2">
      <c r="A30" s="553" t="s">
        <v>38</v>
      </c>
      <c r="B30" s="553"/>
      <c r="C30" s="553" t="s">
        <v>39</v>
      </c>
      <c r="D30" s="553" t="s">
        <v>40</v>
      </c>
      <c r="E30" s="553" t="s">
        <v>126</v>
      </c>
      <c r="F30" s="553" t="s">
        <v>68</v>
      </c>
      <c r="G30" s="553" t="s">
        <v>69</v>
      </c>
      <c r="H30" s="518" t="s">
        <v>127</v>
      </c>
      <c r="I30" s="518" t="s">
        <v>128</v>
      </c>
      <c r="J30" s="553" t="s">
        <v>129</v>
      </c>
      <c r="K30" s="553" t="s">
        <v>130</v>
      </c>
      <c r="L30" s="553" t="s">
        <v>131</v>
      </c>
    </row>
    <row r="31" spans="1:12" x14ac:dyDescent="0.2">
      <c r="A31" s="518" t="s">
        <v>41</v>
      </c>
      <c r="B31" s="518" t="s">
        <v>42</v>
      </c>
      <c r="C31" s="553"/>
      <c r="D31" s="553"/>
      <c r="E31" s="553"/>
      <c r="F31" s="553"/>
      <c r="G31" s="553"/>
      <c r="H31" s="519"/>
      <c r="I31" s="519"/>
      <c r="J31" s="553"/>
      <c r="K31" s="553"/>
      <c r="L31" s="553"/>
    </row>
    <row r="32" spans="1:12" x14ac:dyDescent="0.2">
      <c r="A32" s="519"/>
      <c r="B32" s="519"/>
      <c r="C32" s="553"/>
      <c r="D32" s="553"/>
      <c r="E32" s="553"/>
      <c r="F32" s="553"/>
      <c r="G32" s="553"/>
      <c r="H32" s="519"/>
      <c r="I32" s="519"/>
      <c r="J32" s="553"/>
      <c r="K32" s="553"/>
      <c r="L32" s="553"/>
    </row>
    <row r="33" spans="1:22" x14ac:dyDescent="0.2">
      <c r="A33" s="519"/>
      <c r="B33" s="519"/>
      <c r="C33" s="553"/>
      <c r="D33" s="553"/>
      <c r="E33" s="553"/>
      <c r="F33" s="553"/>
      <c r="G33" s="553"/>
      <c r="H33" s="519"/>
      <c r="I33" s="519"/>
      <c r="J33" s="553"/>
      <c r="K33" s="553"/>
      <c r="L33" s="553"/>
    </row>
    <row r="34" spans="1:22" x14ac:dyDescent="0.2">
      <c r="A34" s="519"/>
      <c r="B34" s="519"/>
      <c r="C34" s="553"/>
      <c r="D34" s="553"/>
      <c r="E34" s="553"/>
      <c r="F34" s="553"/>
      <c r="G34" s="553"/>
      <c r="H34" s="519"/>
      <c r="I34" s="519"/>
      <c r="J34" s="553"/>
      <c r="K34" s="553"/>
      <c r="L34" s="553"/>
    </row>
    <row r="35" spans="1:22" x14ac:dyDescent="0.2">
      <c r="A35" s="520"/>
      <c r="B35" s="520"/>
      <c r="C35" s="553"/>
      <c r="D35" s="553"/>
      <c r="E35" s="553"/>
      <c r="F35" s="553"/>
      <c r="G35" s="553"/>
      <c r="H35" s="520"/>
      <c r="I35" s="520"/>
      <c r="J35" s="553"/>
      <c r="K35" s="553"/>
      <c r="L35" s="553"/>
    </row>
    <row r="36" spans="1:22" ht="14.25" x14ac:dyDescent="0.2">
      <c r="A36" s="107">
        <v>1</v>
      </c>
      <c r="B36" s="107">
        <v>2</v>
      </c>
      <c r="C36" s="107">
        <v>3</v>
      </c>
      <c r="D36" s="107">
        <v>4</v>
      </c>
      <c r="E36" s="107">
        <v>5</v>
      </c>
      <c r="F36" s="107">
        <v>6</v>
      </c>
      <c r="G36" s="107">
        <v>7</v>
      </c>
      <c r="H36" s="107">
        <v>8</v>
      </c>
      <c r="I36" s="107">
        <v>9</v>
      </c>
      <c r="J36" s="107">
        <v>10</v>
      </c>
      <c r="K36" s="107">
        <v>11</v>
      </c>
      <c r="L36" s="107">
        <v>12</v>
      </c>
    </row>
    <row r="38" spans="1:22" ht="16.5" x14ac:dyDescent="0.25">
      <c r="A38" s="568" t="s">
        <v>142</v>
      </c>
      <c r="B38" s="568"/>
      <c r="C38" s="568"/>
      <c r="D38" s="568"/>
      <c r="E38" s="568"/>
      <c r="F38" s="568"/>
      <c r="G38" s="568"/>
      <c r="H38" s="568"/>
      <c r="I38" s="568"/>
      <c r="J38" s="568"/>
      <c r="K38" s="568"/>
      <c r="L38" s="568"/>
    </row>
    <row r="39" spans="1:22" ht="33" customHeight="1" x14ac:dyDescent="0.2">
      <c r="A39" s="569" t="s">
        <v>143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</row>
    <row r="40" spans="1:22" ht="14.25" hidden="1" x14ac:dyDescent="0.2">
      <c r="A40" s="570" t="s">
        <v>144</v>
      </c>
      <c r="B40" s="570"/>
      <c r="C40" s="570"/>
      <c r="D40" s="570"/>
      <c r="E40" s="173"/>
      <c r="F40" s="173"/>
      <c r="G40" s="173"/>
      <c r="H40" s="173"/>
      <c r="I40" s="173"/>
      <c r="J40" s="173"/>
      <c r="K40" s="173"/>
      <c r="L40" s="173"/>
    </row>
    <row r="41" spans="1:22" ht="14.25" x14ac:dyDescent="0.2">
      <c r="A41" s="174"/>
      <c r="B41" s="174"/>
      <c r="C41" s="174"/>
      <c r="D41" s="174"/>
      <c r="E41" s="173"/>
      <c r="F41" s="173"/>
      <c r="G41" s="173"/>
      <c r="H41" s="173"/>
      <c r="I41" s="173"/>
      <c r="J41" s="173"/>
      <c r="K41" s="173"/>
      <c r="L41" s="173"/>
    </row>
    <row r="42" spans="1:22" ht="16.5" x14ac:dyDescent="0.25">
      <c r="A42" s="571" t="str">
        <f>CONCATENATE("Подраздел: ",IF([79]Source!G1458&lt;&gt;"Новый подраздел", [79]Source!G1458, ""))</f>
        <v>Подраздел: Потолки</v>
      </c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</row>
    <row r="43" spans="1:22" ht="65.25" x14ac:dyDescent="0.2">
      <c r="A43" s="108">
        <v>1</v>
      </c>
      <c r="B43" s="108" t="str">
        <f>[79]Source!E1476</f>
        <v>4</v>
      </c>
      <c r="C43" s="109" t="s">
        <v>135</v>
      </c>
      <c r="D43" s="109" t="s">
        <v>136</v>
      </c>
      <c r="E43" s="110" t="str">
        <f>[79]Source!H1476</f>
        <v>100 м2</v>
      </c>
      <c r="F43" s="111">
        <f>[79]Source!I1476</f>
        <v>0.18099999999999999</v>
      </c>
      <c r="G43" s="112"/>
      <c r="H43" s="113"/>
      <c r="I43" s="111"/>
      <c r="J43" s="114"/>
      <c r="K43" s="111"/>
      <c r="L43" s="114"/>
      <c r="Q43" s="49">
        <f>[79]Source!X1476</f>
        <v>8.42</v>
      </c>
      <c r="R43" s="49">
        <f>[79]Source!X1477</f>
        <v>163.19999999999999</v>
      </c>
      <c r="S43" s="49">
        <f>[79]Source!Y1476</f>
        <v>6.18</v>
      </c>
      <c r="T43" s="49">
        <f>[79]Source!Y1477</f>
        <v>78.72</v>
      </c>
      <c r="U43" s="49">
        <f>ROUND((175/100)*ROUND([79]Source!R1476, 2), 2)</f>
        <v>0.18</v>
      </c>
      <c r="V43" s="49">
        <f>ROUND((157/100)*ROUND([79]Source!R1477, 2), 2)</f>
        <v>3.75</v>
      </c>
    </row>
    <row r="44" spans="1:22" ht="14.25" x14ac:dyDescent="0.2">
      <c r="A44" s="108"/>
      <c r="B44" s="108"/>
      <c r="C44" s="109"/>
      <c r="D44" s="109" t="s">
        <v>43</v>
      </c>
      <c r="E44" s="110"/>
      <c r="F44" s="111"/>
      <c r="G44" s="112">
        <f>[79]Source!AO1476</f>
        <v>25.35</v>
      </c>
      <c r="H44" s="113" t="str">
        <f>[79]Source!DG1476</f>
        <v>)*1,67</v>
      </c>
      <c r="I44" s="111">
        <f>[79]Source!AV1477</f>
        <v>1.0469999999999999</v>
      </c>
      <c r="J44" s="114">
        <f>[79]Source!S1476</f>
        <v>8.02</v>
      </c>
      <c r="K44" s="111">
        <f>IF([79]Source!BA1477&lt;&gt; 0, [79]Source!BA1477, 1)</f>
        <v>23.94</v>
      </c>
      <c r="L44" s="114">
        <f>[79]Source!S1477</f>
        <v>192</v>
      </c>
    </row>
    <row r="45" spans="1:22" ht="14.25" x14ac:dyDescent="0.2">
      <c r="A45" s="108"/>
      <c r="B45" s="108"/>
      <c r="C45" s="109"/>
      <c r="D45" s="109" t="s">
        <v>44</v>
      </c>
      <c r="E45" s="110"/>
      <c r="F45" s="111"/>
      <c r="G45" s="112">
        <f>[79]Source!AM1476</f>
        <v>1.5</v>
      </c>
      <c r="H45" s="113" t="str">
        <f>[79]Source!DE1476</f>
        <v/>
      </c>
      <c r="I45" s="111">
        <f>[79]Source!AV1477</f>
        <v>1.0469999999999999</v>
      </c>
      <c r="J45" s="114">
        <f>[79]Source!Q1476-J54</f>
        <v>0.28000000000000003</v>
      </c>
      <c r="K45" s="111">
        <f>IF([79]Source!BB1477&lt;&gt; 0, [79]Source!BB1477, 1)</f>
        <v>9.19</v>
      </c>
      <c r="L45" s="114">
        <f>[79]Source!Q1477-L54</f>
        <v>2.59</v>
      </c>
    </row>
    <row r="46" spans="1:22" ht="14.25" x14ac:dyDescent="0.2">
      <c r="A46" s="108"/>
      <c r="B46" s="108"/>
      <c r="C46" s="109"/>
      <c r="D46" s="109" t="s">
        <v>45</v>
      </c>
      <c r="E46" s="110"/>
      <c r="F46" s="111"/>
      <c r="G46" s="112">
        <f>[79]Source!AN1476</f>
        <v>0.31</v>
      </c>
      <c r="H46" s="113" t="str">
        <f>[79]Source!DE1476</f>
        <v/>
      </c>
      <c r="I46" s="111">
        <f>[79]Source!AV1477</f>
        <v>1.0469999999999999</v>
      </c>
      <c r="J46" s="115">
        <f>[79]Source!R1476-J55</f>
        <v>0.06</v>
      </c>
      <c r="K46" s="111">
        <f>IF([79]Source!BS1477&lt;&gt; 0, [79]Source!BS1477, 1)</f>
        <v>23.94</v>
      </c>
      <c r="L46" s="115">
        <f>[79]Source!R1477-L55</f>
        <v>1.45</v>
      </c>
    </row>
    <row r="47" spans="1:22" ht="14.25" x14ac:dyDescent="0.2">
      <c r="A47" s="108"/>
      <c r="B47" s="108"/>
      <c r="C47" s="109"/>
      <c r="D47" s="109" t="s">
        <v>46</v>
      </c>
      <c r="E47" s="110"/>
      <c r="F47" s="111"/>
      <c r="G47" s="112">
        <f>[79]Source!AL1476</f>
        <v>287.64999999999998</v>
      </c>
      <c r="H47" s="113" t="str">
        <f>[79]Source!DD1476</f>
        <v/>
      </c>
      <c r="I47" s="111">
        <f>[79]Source!AW1477</f>
        <v>1</v>
      </c>
      <c r="J47" s="114">
        <f>[79]Source!P1476</f>
        <v>52.06</v>
      </c>
      <c r="K47" s="111">
        <f>IF([79]Source!BC1477&lt;&gt; 0, [79]Source!BC1477, 1)</f>
        <v>1.8</v>
      </c>
      <c r="L47" s="114">
        <f>[79]Source!P1477</f>
        <v>93.71</v>
      </c>
    </row>
    <row r="48" spans="1:22" ht="14.25" x14ac:dyDescent="0.2">
      <c r="A48" s="108"/>
      <c r="B48" s="108"/>
      <c r="C48" s="109"/>
      <c r="D48" s="109" t="s">
        <v>47</v>
      </c>
      <c r="E48" s="110" t="s">
        <v>48</v>
      </c>
      <c r="F48" s="111">
        <f>[79]Source!DN1477</f>
        <v>105</v>
      </c>
      <c r="G48" s="112"/>
      <c r="H48" s="113"/>
      <c r="I48" s="111"/>
      <c r="J48" s="114">
        <f>SUM(Q43:Q47)</f>
        <v>8.42</v>
      </c>
      <c r="K48" s="111">
        <f>[79]Source!BZ1477</f>
        <v>85</v>
      </c>
      <c r="L48" s="114">
        <f>SUM(R43:R47)</f>
        <v>163.19999999999999</v>
      </c>
    </row>
    <row r="49" spans="1:22" ht="14.25" x14ac:dyDescent="0.2">
      <c r="A49" s="108"/>
      <c r="B49" s="108"/>
      <c r="C49" s="109"/>
      <c r="D49" s="109" t="s">
        <v>49</v>
      </c>
      <c r="E49" s="110" t="s">
        <v>48</v>
      </c>
      <c r="F49" s="111">
        <f>[79]Source!DO1477</f>
        <v>77</v>
      </c>
      <c r="G49" s="112"/>
      <c r="H49" s="113"/>
      <c r="I49" s="111"/>
      <c r="J49" s="114">
        <f>SUM(S43:S48)</f>
        <v>6.18</v>
      </c>
      <c r="K49" s="111">
        <f>[79]Source!CA1477</f>
        <v>41</v>
      </c>
      <c r="L49" s="114">
        <f>SUM(T43:T48)</f>
        <v>78.72</v>
      </c>
    </row>
    <row r="50" spans="1:22" ht="14.25" x14ac:dyDescent="0.2">
      <c r="A50" s="108"/>
      <c r="B50" s="108"/>
      <c r="C50" s="109"/>
      <c r="D50" s="109" t="s">
        <v>50</v>
      </c>
      <c r="E50" s="110" t="s">
        <v>48</v>
      </c>
      <c r="F50" s="111">
        <f>175</f>
        <v>175</v>
      </c>
      <c r="G50" s="112"/>
      <c r="H50" s="113"/>
      <c r="I50" s="111"/>
      <c r="J50" s="114">
        <f>SUM(U43:U49)-J56</f>
        <v>0.11</v>
      </c>
      <c r="K50" s="111">
        <f>157</f>
        <v>157</v>
      </c>
      <c r="L50" s="114">
        <f>SUM(V43:V49)-L56</f>
        <v>2.27</v>
      </c>
    </row>
    <row r="51" spans="1:22" ht="14.25" x14ac:dyDescent="0.2">
      <c r="A51" s="108"/>
      <c r="B51" s="108"/>
      <c r="C51" s="109"/>
      <c r="D51" s="109" t="s">
        <v>51</v>
      </c>
      <c r="E51" s="110" t="s">
        <v>52</v>
      </c>
      <c r="F51" s="111">
        <f>[79]Source!AQ1476</f>
        <v>2.13</v>
      </c>
      <c r="G51" s="112"/>
      <c r="H51" s="113" t="str">
        <f>[79]Source!DI1476</f>
        <v/>
      </c>
      <c r="I51" s="111">
        <f>[79]Source!AV1477</f>
        <v>1.0469999999999999</v>
      </c>
      <c r="J51" s="114">
        <f>[79]Source!U1476</f>
        <v>0.4</v>
      </c>
      <c r="K51" s="111"/>
      <c r="L51" s="114"/>
    </row>
    <row r="52" spans="1:22" ht="15" x14ac:dyDescent="0.25">
      <c r="I52" s="567">
        <f>J44+J45+J47+J48+J49+J50</f>
        <v>75.069999999999993</v>
      </c>
      <c r="J52" s="567"/>
      <c r="K52" s="567">
        <f>L44+L45+L47+L48+L49+L50</f>
        <v>532.49</v>
      </c>
      <c r="L52" s="567"/>
      <c r="O52" s="117">
        <f>J44+J45+J47+J48+J49+J50</f>
        <v>75.069999999999993</v>
      </c>
      <c r="P52" s="117">
        <f>L44+L45+L47+L48+L49+L50</f>
        <v>532.49</v>
      </c>
    </row>
    <row r="53" spans="1:22" ht="28.5" x14ac:dyDescent="0.2">
      <c r="A53" s="158"/>
      <c r="B53" s="158"/>
      <c r="C53" s="159"/>
      <c r="D53" s="159" t="s">
        <v>133</v>
      </c>
      <c r="E53" s="110"/>
      <c r="F53" s="160"/>
      <c r="G53" s="161"/>
      <c r="H53" s="110"/>
      <c r="I53" s="160"/>
      <c r="J53" s="115"/>
      <c r="K53" s="160"/>
      <c r="L53" s="115"/>
    </row>
    <row r="54" spans="1:22" ht="14.25" x14ac:dyDescent="0.2">
      <c r="A54" s="158"/>
      <c r="B54" s="158"/>
      <c r="C54" s="159"/>
      <c r="D54" s="159" t="s">
        <v>44</v>
      </c>
      <c r="E54" s="110"/>
      <c r="F54" s="160"/>
      <c r="G54" s="161">
        <f t="shared" ref="G54:L54" si="0">G55</f>
        <v>0.31</v>
      </c>
      <c r="H54" s="162" t="str">
        <f t="shared" si="0"/>
        <v>)*(1.67-1)</v>
      </c>
      <c r="I54" s="160">
        <f t="shared" si="0"/>
        <v>1.0469999999999999</v>
      </c>
      <c r="J54" s="115">
        <f t="shared" si="0"/>
        <v>0.04</v>
      </c>
      <c r="K54" s="160">
        <f t="shared" si="0"/>
        <v>23.94</v>
      </c>
      <c r="L54" s="115">
        <f t="shared" si="0"/>
        <v>0.94</v>
      </c>
    </row>
    <row r="55" spans="1:22" ht="14.25" x14ac:dyDescent="0.2">
      <c r="A55" s="158"/>
      <c r="B55" s="158"/>
      <c r="C55" s="159"/>
      <c r="D55" s="159" t="s">
        <v>45</v>
      </c>
      <c r="E55" s="110"/>
      <c r="F55" s="160"/>
      <c r="G55" s="161">
        <f>[79]Source!AN1476</f>
        <v>0.31</v>
      </c>
      <c r="H55" s="162" t="s">
        <v>53</v>
      </c>
      <c r="I55" s="160">
        <f>[79]Source!AV1477</f>
        <v>1.0469999999999999</v>
      </c>
      <c r="J55" s="115">
        <f>ROUND(F43*G55*I55*(1.67-1), 2)</f>
        <v>0.04</v>
      </c>
      <c r="K55" s="160">
        <f>IF([79]Source!BS1477&lt;&gt; 0, [79]Source!BS1477, 1)</f>
        <v>23.94</v>
      </c>
      <c r="L55" s="115">
        <f>ROUND(F43*G55*I55*(1.67-1)*K55, 2)</f>
        <v>0.94</v>
      </c>
    </row>
    <row r="56" spans="1:22" ht="14.25" x14ac:dyDescent="0.2">
      <c r="A56" s="158"/>
      <c r="B56" s="158"/>
      <c r="C56" s="159"/>
      <c r="D56" s="159" t="s">
        <v>50</v>
      </c>
      <c r="E56" s="110" t="s">
        <v>48</v>
      </c>
      <c r="F56" s="160">
        <f>175</f>
        <v>175</v>
      </c>
      <c r="G56" s="161"/>
      <c r="H56" s="110"/>
      <c r="I56" s="160"/>
      <c r="J56" s="115">
        <f>ROUND(J55*(F56/100), 2)</f>
        <v>7.0000000000000007E-2</v>
      </c>
      <c r="K56" s="160">
        <f>157</f>
        <v>157</v>
      </c>
      <c r="L56" s="115">
        <f>ROUND(L55*(K56/100), 2)</f>
        <v>1.48</v>
      </c>
    </row>
    <row r="57" spans="1:22" ht="15" x14ac:dyDescent="0.25">
      <c r="I57" s="567">
        <f>J56+J55</f>
        <v>0.11</v>
      </c>
      <c r="J57" s="567"/>
      <c r="K57" s="567">
        <f>L56+L55</f>
        <v>2.42</v>
      </c>
      <c r="L57" s="567"/>
      <c r="O57" s="117">
        <f>I57</f>
        <v>0.11</v>
      </c>
      <c r="P57" s="117">
        <f>K57</f>
        <v>2.42</v>
      </c>
    </row>
    <row r="59" spans="1:22" ht="15" x14ac:dyDescent="0.25">
      <c r="A59" s="163"/>
      <c r="B59" s="163"/>
      <c r="C59" s="164"/>
      <c r="D59" s="164" t="s">
        <v>134</v>
      </c>
      <c r="E59" s="165"/>
      <c r="F59" s="166"/>
      <c r="G59" s="167"/>
      <c r="H59" s="168"/>
      <c r="I59" s="567">
        <f>I52+I57</f>
        <v>75.180000000000007</v>
      </c>
      <c r="J59" s="567"/>
      <c r="K59" s="567">
        <f>K52+K57</f>
        <v>534.91</v>
      </c>
      <c r="L59" s="567"/>
    </row>
    <row r="60" spans="1:22" ht="65.25" x14ac:dyDescent="0.2">
      <c r="A60" s="108">
        <v>2</v>
      </c>
      <c r="B60" s="108" t="str">
        <f>[79]Source!E1486</f>
        <v>7</v>
      </c>
      <c r="C60" s="109" t="s">
        <v>145</v>
      </c>
      <c r="D60" s="109" t="s">
        <v>146</v>
      </c>
      <c r="E60" s="110" t="str">
        <f>[79]Source!H1486</f>
        <v>100 м2</v>
      </c>
      <c r="F60" s="111">
        <f>[79]Source!I1486</f>
        <v>9.1999999999999998E-2</v>
      </c>
      <c r="G60" s="112"/>
      <c r="H60" s="113"/>
      <c r="I60" s="111"/>
      <c r="J60" s="114"/>
      <c r="K60" s="111"/>
      <c r="L60" s="114"/>
      <c r="Q60" s="49">
        <f>[79]Source!X1486</f>
        <v>12</v>
      </c>
      <c r="R60" s="49">
        <f>[79]Source!X1487</f>
        <v>210.67</v>
      </c>
      <c r="S60" s="49">
        <f>[79]Source!Y1486</f>
        <v>8.4</v>
      </c>
      <c r="T60" s="49">
        <f>[79]Source!Y1487</f>
        <v>100.55</v>
      </c>
      <c r="U60" s="49">
        <f>ROUND((175/100)*ROUND([79]Source!R1486, 2), 2)</f>
        <v>0.04</v>
      </c>
      <c r="V60" s="49">
        <f>ROUND((157/100)*ROUND([79]Source!R1487, 2), 2)</f>
        <v>0.75</v>
      </c>
    </row>
    <row r="61" spans="1:22" ht="14.25" x14ac:dyDescent="0.2">
      <c r="A61" s="108"/>
      <c r="B61" s="108"/>
      <c r="C61" s="109"/>
      <c r="D61" s="109" t="s">
        <v>43</v>
      </c>
      <c r="E61" s="110"/>
      <c r="F61" s="111"/>
      <c r="G61" s="112">
        <f>[79]Source!AO1486</f>
        <v>63.49</v>
      </c>
      <c r="H61" s="113" t="str">
        <f>[79]Source!DG1486</f>
        <v>)*1,67</v>
      </c>
      <c r="I61" s="111">
        <f>[79]Source!AV1487</f>
        <v>1.0249999999999999</v>
      </c>
      <c r="J61" s="114">
        <f>[79]Source!S1486</f>
        <v>10</v>
      </c>
      <c r="K61" s="111">
        <f>IF([79]Source!BA1487&lt;&gt; 0, [79]Source!BA1487, 1)</f>
        <v>23.94</v>
      </c>
      <c r="L61" s="114">
        <f>[79]Source!S1487</f>
        <v>239.4</v>
      </c>
    </row>
    <row r="62" spans="1:22" ht="14.25" x14ac:dyDescent="0.2">
      <c r="A62" s="108"/>
      <c r="B62" s="108"/>
      <c r="C62" s="109"/>
      <c r="D62" s="109" t="s">
        <v>44</v>
      </c>
      <c r="E62" s="110"/>
      <c r="F62" s="111"/>
      <c r="G62" s="112">
        <f>[79]Source!AM1486</f>
        <v>0.82</v>
      </c>
      <c r="H62" s="113" t="str">
        <f>[79]Source!DE1486</f>
        <v/>
      </c>
      <c r="I62" s="111">
        <f>[79]Source!AV1487</f>
        <v>1.0249999999999999</v>
      </c>
      <c r="J62" s="114">
        <f>[79]Source!Q1486-J71</f>
        <v>0.08</v>
      </c>
      <c r="K62" s="111">
        <f>IF([79]Source!BB1487&lt;&gt; 0, [79]Source!BB1487, 1)</f>
        <v>8.83</v>
      </c>
      <c r="L62" s="114">
        <f>[79]Source!Q1487-L71</f>
        <v>0.74</v>
      </c>
    </row>
    <row r="63" spans="1:22" ht="14.25" x14ac:dyDescent="0.2">
      <c r="A63" s="108"/>
      <c r="B63" s="108"/>
      <c r="C63" s="109"/>
      <c r="D63" s="109" t="s">
        <v>45</v>
      </c>
      <c r="E63" s="110"/>
      <c r="F63" s="111"/>
      <c r="G63" s="112">
        <f>[79]Source!AN1486</f>
        <v>0.14000000000000001</v>
      </c>
      <c r="H63" s="113" t="str">
        <f>[79]Source!DE1486</f>
        <v/>
      </c>
      <c r="I63" s="111">
        <f>[79]Source!AV1487</f>
        <v>1.0249999999999999</v>
      </c>
      <c r="J63" s="115">
        <f>[79]Source!R1486-J72</f>
        <v>0.01</v>
      </c>
      <c r="K63" s="111">
        <f>IF([79]Source!BS1487&lt;&gt; 0, [79]Source!BS1487, 1)</f>
        <v>23.94</v>
      </c>
      <c r="L63" s="115">
        <f>[79]Source!R1487-L72</f>
        <v>0.27</v>
      </c>
    </row>
    <row r="64" spans="1:22" ht="168" x14ac:dyDescent="0.2">
      <c r="A64" s="108">
        <v>3</v>
      </c>
      <c r="B64" s="108" t="str">
        <f>[79]Source!E1488</f>
        <v>7,1</v>
      </c>
      <c r="C64" s="109" t="str">
        <f>[79]Source!F1488</f>
        <v>МКЭ-28-2047/6-1 14/09/16</v>
      </c>
      <c r="D64" s="109" t="s">
        <v>147</v>
      </c>
      <c r="E64" s="110" t="str">
        <f>[79]Source!H1488</f>
        <v>кг</v>
      </c>
      <c r="F64" s="111">
        <f>[79]Source!I1488</f>
        <v>3.68</v>
      </c>
      <c r="G64" s="112">
        <f>[79]Source!AK1488</f>
        <v>33.97</v>
      </c>
      <c r="H64" s="157" t="s">
        <v>20</v>
      </c>
      <c r="I64" s="111">
        <f>[79]Source!AW1489</f>
        <v>1</v>
      </c>
      <c r="J64" s="114">
        <f>[79]Source!O1488</f>
        <v>125.01</v>
      </c>
      <c r="K64" s="111">
        <f>IF([79]Source!BC1489&lt;&gt; 0, [79]Source!BC1489, 1)</f>
        <v>5.48</v>
      </c>
      <c r="L64" s="114">
        <f>[79]Source!O1489</f>
        <v>685.03</v>
      </c>
      <c r="M64" s="46">
        <f>N64/K64</f>
        <v>125.01</v>
      </c>
      <c r="N64" s="175">
        <f>182.5*1.02*F64</f>
        <v>685.03</v>
      </c>
      <c r="Q64" s="49">
        <f>[79]Source!X1488</f>
        <v>0</v>
      </c>
      <c r="R64" s="49">
        <f>[79]Source!X1489</f>
        <v>0</v>
      </c>
      <c r="S64" s="49">
        <f>[79]Source!Y1488</f>
        <v>0</v>
      </c>
      <c r="T64" s="49">
        <f>[79]Source!Y1489</f>
        <v>0</v>
      </c>
      <c r="U64" s="49">
        <f>ROUND((175/100)*ROUND([79]Source!R1488, 2), 2)</f>
        <v>0</v>
      </c>
      <c r="V64" s="49">
        <f>ROUND((157/100)*ROUND([79]Source!R1489, 2), 2)</f>
        <v>0</v>
      </c>
    </row>
    <row r="65" spans="1:22" ht="14.25" x14ac:dyDescent="0.2">
      <c r="A65" s="108"/>
      <c r="B65" s="108"/>
      <c r="C65" s="109"/>
      <c r="D65" s="109" t="s">
        <v>47</v>
      </c>
      <c r="E65" s="110" t="s">
        <v>48</v>
      </c>
      <c r="F65" s="111">
        <f>[79]Source!DN1487</f>
        <v>120</v>
      </c>
      <c r="G65" s="112"/>
      <c r="H65" s="113"/>
      <c r="I65" s="111"/>
      <c r="J65" s="114">
        <f>SUM(Q60:Q64)</f>
        <v>12</v>
      </c>
      <c r="K65" s="111">
        <f>[79]Source!BZ1487</f>
        <v>88</v>
      </c>
      <c r="L65" s="114">
        <f>SUM(R60:R64)</f>
        <v>210.67</v>
      </c>
    </row>
    <row r="66" spans="1:22" ht="14.25" x14ac:dyDescent="0.2">
      <c r="A66" s="108"/>
      <c r="B66" s="108"/>
      <c r="C66" s="109"/>
      <c r="D66" s="109" t="s">
        <v>49</v>
      </c>
      <c r="E66" s="110" t="s">
        <v>48</v>
      </c>
      <c r="F66" s="111">
        <f>[79]Source!DO1487</f>
        <v>84</v>
      </c>
      <c r="G66" s="112"/>
      <c r="H66" s="113"/>
      <c r="I66" s="111"/>
      <c r="J66" s="114">
        <f>SUM(S60:S65)</f>
        <v>8.4</v>
      </c>
      <c r="K66" s="111">
        <f>[79]Source!CA1487</f>
        <v>42</v>
      </c>
      <c r="L66" s="114">
        <f>SUM(T60:T65)</f>
        <v>100.55</v>
      </c>
    </row>
    <row r="67" spans="1:22" ht="14.25" x14ac:dyDescent="0.2">
      <c r="A67" s="108"/>
      <c r="B67" s="108"/>
      <c r="C67" s="109"/>
      <c r="D67" s="109" t="s">
        <v>50</v>
      </c>
      <c r="E67" s="110" t="s">
        <v>48</v>
      </c>
      <c r="F67" s="111">
        <f>175</f>
        <v>175</v>
      </c>
      <c r="G67" s="112"/>
      <c r="H67" s="113"/>
      <c r="I67" s="111"/>
      <c r="J67" s="114">
        <f>SUM(U60:U66)-J73</f>
        <v>0.02</v>
      </c>
      <c r="K67" s="111">
        <f>157</f>
        <v>157</v>
      </c>
      <c r="L67" s="114">
        <f>SUM(V60:V66)-L73</f>
        <v>0.42</v>
      </c>
    </row>
    <row r="68" spans="1:22" ht="14.25" x14ac:dyDescent="0.2">
      <c r="A68" s="108"/>
      <c r="B68" s="108"/>
      <c r="C68" s="109"/>
      <c r="D68" s="109" t="s">
        <v>51</v>
      </c>
      <c r="E68" s="110" t="s">
        <v>52</v>
      </c>
      <c r="F68" s="111">
        <f>[79]Source!AQ1486</f>
        <v>5.68</v>
      </c>
      <c r="G68" s="112"/>
      <c r="H68" s="113" t="str">
        <f>[79]Source!DI1486</f>
        <v/>
      </c>
      <c r="I68" s="111">
        <f>[79]Source!AV1487</f>
        <v>1.0249999999999999</v>
      </c>
      <c r="J68" s="114">
        <f>[79]Source!U1486</f>
        <v>0.54</v>
      </c>
      <c r="K68" s="111"/>
      <c r="L68" s="114"/>
    </row>
    <row r="69" spans="1:22" ht="15" x14ac:dyDescent="0.25">
      <c r="I69" s="567">
        <f>J61+J62+J65+J66+J67+SUM(J64:J64)</f>
        <v>155.51</v>
      </c>
      <c r="J69" s="567"/>
      <c r="K69" s="567">
        <f>L61+L62+L65+L66+L67+SUM(L64:L64)</f>
        <v>1236.81</v>
      </c>
      <c r="L69" s="567"/>
      <c r="O69" s="117">
        <f>J61+J62+J65+J66+J67+SUM(J64:J64)</f>
        <v>155.51</v>
      </c>
      <c r="P69" s="117">
        <f>L61+L62+L65+L66+L67+SUM(L64:L64)</f>
        <v>1236.81</v>
      </c>
    </row>
    <row r="70" spans="1:22" ht="28.5" x14ac:dyDescent="0.2">
      <c r="A70" s="158"/>
      <c r="B70" s="158"/>
      <c r="C70" s="159"/>
      <c r="D70" s="159" t="s">
        <v>133</v>
      </c>
      <c r="E70" s="110"/>
      <c r="F70" s="160"/>
      <c r="G70" s="161"/>
      <c r="H70" s="110"/>
      <c r="I70" s="160"/>
      <c r="J70" s="115"/>
      <c r="K70" s="160"/>
      <c r="L70" s="115"/>
    </row>
    <row r="71" spans="1:22" ht="14.25" x14ac:dyDescent="0.2">
      <c r="A71" s="158"/>
      <c r="B71" s="158"/>
      <c r="C71" s="159"/>
      <c r="D71" s="159" t="s">
        <v>44</v>
      </c>
      <c r="E71" s="110"/>
      <c r="F71" s="160"/>
      <c r="G71" s="161">
        <f t="shared" ref="G71:L71" si="1">G72</f>
        <v>0.14000000000000001</v>
      </c>
      <c r="H71" s="162" t="str">
        <f t="shared" si="1"/>
        <v>)*(1.67-1)</v>
      </c>
      <c r="I71" s="160">
        <f t="shared" si="1"/>
        <v>1.0249999999999999</v>
      </c>
      <c r="J71" s="115">
        <f t="shared" si="1"/>
        <v>0.01</v>
      </c>
      <c r="K71" s="160">
        <f t="shared" si="1"/>
        <v>23.94</v>
      </c>
      <c r="L71" s="115">
        <f t="shared" si="1"/>
        <v>0.21</v>
      </c>
    </row>
    <row r="72" spans="1:22" ht="14.25" x14ac:dyDescent="0.2">
      <c r="A72" s="158"/>
      <c r="B72" s="158"/>
      <c r="C72" s="159"/>
      <c r="D72" s="159" t="s">
        <v>45</v>
      </c>
      <c r="E72" s="110"/>
      <c r="F72" s="160"/>
      <c r="G72" s="161">
        <f>[79]Source!AN1486</f>
        <v>0.14000000000000001</v>
      </c>
      <c r="H72" s="162" t="s">
        <v>53</v>
      </c>
      <c r="I72" s="160">
        <f>[79]Source!AV1487</f>
        <v>1.0249999999999999</v>
      </c>
      <c r="J72" s="115">
        <f>ROUND(F60*G72*I72*(1.67-1), 2)</f>
        <v>0.01</v>
      </c>
      <c r="K72" s="160">
        <f>IF([79]Source!BS1487&lt;&gt; 0, [79]Source!BS1487, 1)</f>
        <v>23.94</v>
      </c>
      <c r="L72" s="115">
        <f>ROUND(F60*G72*I72*(1.67-1)*K72, 2)</f>
        <v>0.21</v>
      </c>
    </row>
    <row r="73" spans="1:22" ht="14.25" x14ac:dyDescent="0.2">
      <c r="A73" s="158"/>
      <c r="B73" s="158"/>
      <c r="C73" s="159"/>
      <c r="D73" s="159" t="s">
        <v>50</v>
      </c>
      <c r="E73" s="110" t="s">
        <v>48</v>
      </c>
      <c r="F73" s="160">
        <f>175</f>
        <v>175</v>
      </c>
      <c r="G73" s="161"/>
      <c r="H73" s="110"/>
      <c r="I73" s="160"/>
      <c r="J73" s="115">
        <f>ROUND(J72*(F73/100), 2)</f>
        <v>0.02</v>
      </c>
      <c r="K73" s="160">
        <f>157</f>
        <v>157</v>
      </c>
      <c r="L73" s="115">
        <f>ROUND(L72*(K73/100), 2)</f>
        <v>0.33</v>
      </c>
    </row>
    <row r="74" spans="1:22" ht="15" x14ac:dyDescent="0.25">
      <c r="I74" s="567">
        <f>J73+J72</f>
        <v>0.03</v>
      </c>
      <c r="J74" s="567"/>
      <c r="K74" s="567">
        <f>L73+L72</f>
        <v>0.54</v>
      </c>
      <c r="L74" s="567"/>
      <c r="O74" s="117">
        <f>I74</f>
        <v>0.03</v>
      </c>
      <c r="P74" s="117">
        <f>K74</f>
        <v>0.54</v>
      </c>
    </row>
    <row r="76" spans="1:22" ht="15" x14ac:dyDescent="0.25">
      <c r="A76" s="163"/>
      <c r="B76" s="163"/>
      <c r="C76" s="164"/>
      <c r="D76" s="164" t="s">
        <v>134</v>
      </c>
      <c r="E76" s="165"/>
      <c r="F76" s="166"/>
      <c r="G76" s="167"/>
      <c r="H76" s="168"/>
      <c r="I76" s="567">
        <f>I69+I74</f>
        <v>155.54</v>
      </c>
      <c r="J76" s="567"/>
      <c r="K76" s="567">
        <f>K69+K74</f>
        <v>1237.3499999999999</v>
      </c>
      <c r="L76" s="567"/>
    </row>
    <row r="77" spans="1:22" ht="65.25" x14ac:dyDescent="0.2">
      <c r="A77" s="108">
        <v>4</v>
      </c>
      <c r="B77" s="108" t="str">
        <f>[79]Source!E1496</f>
        <v>9</v>
      </c>
      <c r="C77" s="109" t="s">
        <v>145</v>
      </c>
      <c r="D77" s="109" t="s">
        <v>146</v>
      </c>
      <c r="E77" s="110" t="str">
        <f>[79]Source!H1496</f>
        <v>100 м2</v>
      </c>
      <c r="F77" s="111">
        <f>[79]Source!I1496</f>
        <v>1.3496999999999999</v>
      </c>
      <c r="G77" s="112"/>
      <c r="H77" s="113"/>
      <c r="I77" s="111"/>
      <c r="J77" s="114"/>
      <c r="K77" s="111"/>
      <c r="L77" s="114"/>
      <c r="Q77" s="49">
        <f>[79]Source!X1496</f>
        <v>176.02</v>
      </c>
      <c r="R77" s="49">
        <f>[79]Source!X1497</f>
        <v>3090.14</v>
      </c>
      <c r="S77" s="49">
        <f>[79]Source!Y1496</f>
        <v>123.21</v>
      </c>
      <c r="T77" s="49">
        <f>[79]Source!Y1497</f>
        <v>1474.84</v>
      </c>
      <c r="U77" s="49">
        <f>ROUND((175/100)*ROUND([79]Source!R1496, 2), 2)</f>
        <v>0.56000000000000005</v>
      </c>
      <c r="V77" s="49">
        <f>ROUND((157/100)*ROUND([79]Source!R1497, 2), 2)</f>
        <v>12.03</v>
      </c>
    </row>
    <row r="78" spans="1:22" ht="14.25" x14ac:dyDescent="0.2">
      <c r="A78" s="108"/>
      <c r="B78" s="108"/>
      <c r="C78" s="109"/>
      <c r="D78" s="109" t="s">
        <v>43</v>
      </c>
      <c r="E78" s="110"/>
      <c r="F78" s="111"/>
      <c r="G78" s="112">
        <f>[79]Source!AO1496</f>
        <v>63.49</v>
      </c>
      <c r="H78" s="113" t="str">
        <f>[79]Source!DG1496</f>
        <v>)*1,67</v>
      </c>
      <c r="I78" s="111">
        <f>[79]Source!AV1497</f>
        <v>1.0249999999999999</v>
      </c>
      <c r="J78" s="114">
        <f>[79]Source!S1496</f>
        <v>146.68</v>
      </c>
      <c r="K78" s="111">
        <f>IF([79]Source!BA1497&lt;&gt; 0, [79]Source!BA1497, 1)</f>
        <v>23.94</v>
      </c>
      <c r="L78" s="114">
        <f>[79]Source!S1497</f>
        <v>3511.52</v>
      </c>
    </row>
    <row r="79" spans="1:22" ht="14.25" x14ac:dyDescent="0.2">
      <c r="A79" s="108"/>
      <c r="B79" s="108"/>
      <c r="C79" s="109"/>
      <c r="D79" s="109" t="s">
        <v>44</v>
      </c>
      <c r="E79" s="110"/>
      <c r="F79" s="111"/>
      <c r="G79" s="112">
        <f>[79]Source!AM1496</f>
        <v>0.82</v>
      </c>
      <c r="H79" s="113" t="str">
        <f>[79]Source!DE1496</f>
        <v/>
      </c>
      <c r="I79" s="111">
        <f>[79]Source!AV1497</f>
        <v>1.0249999999999999</v>
      </c>
      <c r="J79" s="114">
        <f>[79]Source!Q1496-J88</f>
        <v>1.1299999999999999</v>
      </c>
      <c r="K79" s="111">
        <f>IF([79]Source!BB1497&lt;&gt; 0, [79]Source!BB1497, 1)</f>
        <v>8.83</v>
      </c>
      <c r="L79" s="114">
        <f>[79]Source!Q1497-L88</f>
        <v>9.98</v>
      </c>
    </row>
    <row r="80" spans="1:22" ht="14.25" x14ac:dyDescent="0.2">
      <c r="A80" s="108"/>
      <c r="B80" s="108"/>
      <c r="C80" s="109"/>
      <c r="D80" s="109" t="s">
        <v>45</v>
      </c>
      <c r="E80" s="110"/>
      <c r="F80" s="111"/>
      <c r="G80" s="112">
        <f>[79]Source!AN1496</f>
        <v>0.14000000000000001</v>
      </c>
      <c r="H80" s="113" t="str">
        <f>[79]Source!DE1496</f>
        <v/>
      </c>
      <c r="I80" s="111">
        <f>[79]Source!AV1497</f>
        <v>1.0249999999999999</v>
      </c>
      <c r="J80" s="115">
        <f>[79]Source!R1496-J89</f>
        <v>0.19</v>
      </c>
      <c r="K80" s="111">
        <f>IF([79]Source!BS1497&lt;&gt; 0, [79]Source!BS1497, 1)</f>
        <v>23.94</v>
      </c>
      <c r="L80" s="115">
        <f>[79]Source!R1497-L89</f>
        <v>4.55</v>
      </c>
    </row>
    <row r="81" spans="1:22" ht="168" x14ac:dyDescent="0.2">
      <c r="A81" s="108">
        <v>5</v>
      </c>
      <c r="B81" s="108" t="str">
        <f>[79]Source!E1498</f>
        <v>9,1</v>
      </c>
      <c r="C81" s="109" t="str">
        <f>[79]Source!F1498</f>
        <v>МКЭ-28-2047/6-1 14/09/16</v>
      </c>
      <c r="D81" s="109" t="s">
        <v>147</v>
      </c>
      <c r="E81" s="110" t="str">
        <f>[79]Source!H1498</f>
        <v>кг</v>
      </c>
      <c r="F81" s="111">
        <f>[79]Source!I1498</f>
        <v>53.988</v>
      </c>
      <c r="G81" s="112">
        <f>[79]Source!AK1498</f>
        <v>33.97</v>
      </c>
      <c r="H81" s="157" t="s">
        <v>20</v>
      </c>
      <c r="I81" s="111">
        <f>[79]Source!AW1499</f>
        <v>1</v>
      </c>
      <c r="J81" s="114">
        <f>[79]Source!O1498</f>
        <v>1833.92</v>
      </c>
      <c r="K81" s="111">
        <f>IF([79]Source!BC1499&lt;&gt; 0, [79]Source!BC1499, 1)</f>
        <v>5.48</v>
      </c>
      <c r="L81" s="114">
        <f>[79]Source!O1499</f>
        <v>10049.870000000001</v>
      </c>
      <c r="M81" s="46">
        <f>N81/K81</f>
        <v>1833.92</v>
      </c>
      <c r="N81" s="175">
        <f>182.5*1.02*F81</f>
        <v>10049.870000000001</v>
      </c>
      <c r="Q81" s="49">
        <f>[79]Source!X1498</f>
        <v>0</v>
      </c>
      <c r="R81" s="49">
        <f>[79]Source!X1499</f>
        <v>0</v>
      </c>
      <c r="S81" s="49">
        <f>[79]Source!Y1498</f>
        <v>0</v>
      </c>
      <c r="T81" s="49">
        <f>[79]Source!Y1499</f>
        <v>0</v>
      </c>
      <c r="U81" s="49">
        <f>ROUND((175/100)*ROUND([79]Source!R1498, 2), 2)</f>
        <v>0</v>
      </c>
      <c r="V81" s="49">
        <f>ROUND((157/100)*ROUND([79]Source!R1499, 2), 2)</f>
        <v>0</v>
      </c>
    </row>
    <row r="82" spans="1:22" ht="14.25" x14ac:dyDescent="0.2">
      <c r="A82" s="108"/>
      <c r="B82" s="108"/>
      <c r="C82" s="109"/>
      <c r="D82" s="109" t="s">
        <v>47</v>
      </c>
      <c r="E82" s="110" t="s">
        <v>48</v>
      </c>
      <c r="F82" s="111">
        <f>[79]Source!DN1497</f>
        <v>120</v>
      </c>
      <c r="G82" s="112"/>
      <c r="H82" s="113"/>
      <c r="I82" s="111"/>
      <c r="J82" s="114">
        <f>SUM(Q77:Q81)</f>
        <v>176.02</v>
      </c>
      <c r="K82" s="111">
        <f>[79]Source!BZ1497</f>
        <v>88</v>
      </c>
      <c r="L82" s="114">
        <f>SUM(R77:R81)</f>
        <v>3090.14</v>
      </c>
    </row>
    <row r="83" spans="1:22" ht="14.25" x14ac:dyDescent="0.2">
      <c r="A83" s="108"/>
      <c r="B83" s="108"/>
      <c r="C83" s="109"/>
      <c r="D83" s="109" t="s">
        <v>49</v>
      </c>
      <c r="E83" s="110" t="s">
        <v>48</v>
      </c>
      <c r="F83" s="111">
        <f>[79]Source!DO1497</f>
        <v>84</v>
      </c>
      <c r="G83" s="112"/>
      <c r="H83" s="113"/>
      <c r="I83" s="111"/>
      <c r="J83" s="114">
        <f>SUM(S77:S82)</f>
        <v>123.21</v>
      </c>
      <c r="K83" s="111">
        <f>[79]Source!CA1497</f>
        <v>42</v>
      </c>
      <c r="L83" s="114">
        <f>SUM(T77:T82)</f>
        <v>1474.84</v>
      </c>
    </row>
    <row r="84" spans="1:22" ht="14.25" x14ac:dyDescent="0.2">
      <c r="A84" s="108"/>
      <c r="B84" s="108"/>
      <c r="C84" s="109"/>
      <c r="D84" s="109" t="s">
        <v>50</v>
      </c>
      <c r="E84" s="110" t="s">
        <v>48</v>
      </c>
      <c r="F84" s="111">
        <f>175</f>
        <v>175</v>
      </c>
      <c r="G84" s="112"/>
      <c r="H84" s="113"/>
      <c r="I84" s="111"/>
      <c r="J84" s="114">
        <f>SUM(U77:U83)-J90</f>
        <v>0.33</v>
      </c>
      <c r="K84" s="111">
        <f>157</f>
        <v>157</v>
      </c>
      <c r="L84" s="114">
        <f>SUM(V77:V83)-L90</f>
        <v>7.15</v>
      </c>
    </row>
    <row r="85" spans="1:22" ht="14.25" x14ac:dyDescent="0.2">
      <c r="A85" s="108"/>
      <c r="B85" s="108"/>
      <c r="C85" s="109"/>
      <c r="D85" s="109" t="s">
        <v>51</v>
      </c>
      <c r="E85" s="110" t="s">
        <v>52</v>
      </c>
      <c r="F85" s="111">
        <f>[79]Source!AQ1496</f>
        <v>5.68</v>
      </c>
      <c r="G85" s="112"/>
      <c r="H85" s="113" t="str">
        <f>[79]Source!DI1496</f>
        <v/>
      </c>
      <c r="I85" s="111">
        <f>[79]Source!AV1497</f>
        <v>1.0249999999999999</v>
      </c>
      <c r="J85" s="114">
        <f>[79]Source!U1496</f>
        <v>7.86</v>
      </c>
      <c r="K85" s="111"/>
      <c r="L85" s="114"/>
    </row>
    <row r="86" spans="1:22" ht="15" x14ac:dyDescent="0.25">
      <c r="I86" s="567">
        <f>J78+J79+J82+J83+J84+SUM(J81:J81)</f>
        <v>2281.29</v>
      </c>
      <c r="J86" s="567"/>
      <c r="K86" s="567">
        <f>L78+L79+L82+L83+L84+SUM(L81:L81)</f>
        <v>18143.5</v>
      </c>
      <c r="L86" s="567"/>
      <c r="O86" s="117">
        <f>J78+J79+J82+J83+J84+SUM(J81:J81)</f>
        <v>2281.29</v>
      </c>
      <c r="P86" s="117">
        <f>L78+L79+L82+L83+L84+SUM(L81:L81)</f>
        <v>18143.5</v>
      </c>
    </row>
    <row r="87" spans="1:22" ht="28.5" x14ac:dyDescent="0.2">
      <c r="A87" s="158"/>
      <c r="B87" s="158"/>
      <c r="C87" s="159"/>
      <c r="D87" s="159" t="s">
        <v>133</v>
      </c>
      <c r="E87" s="110"/>
      <c r="F87" s="160"/>
      <c r="G87" s="161"/>
      <c r="H87" s="110"/>
      <c r="I87" s="160"/>
      <c r="J87" s="115"/>
      <c r="K87" s="160"/>
      <c r="L87" s="115"/>
    </row>
    <row r="88" spans="1:22" ht="14.25" x14ac:dyDescent="0.2">
      <c r="A88" s="158"/>
      <c r="B88" s="158"/>
      <c r="C88" s="159"/>
      <c r="D88" s="159" t="s">
        <v>44</v>
      </c>
      <c r="E88" s="110"/>
      <c r="F88" s="160"/>
      <c r="G88" s="161">
        <f t="shared" ref="G88:L88" si="2">G89</f>
        <v>0.14000000000000001</v>
      </c>
      <c r="H88" s="162" t="str">
        <f t="shared" si="2"/>
        <v>)*(1.67-1)</v>
      </c>
      <c r="I88" s="160">
        <f t="shared" si="2"/>
        <v>1.0249999999999999</v>
      </c>
      <c r="J88" s="115">
        <f t="shared" si="2"/>
        <v>0.13</v>
      </c>
      <c r="K88" s="160">
        <f t="shared" si="2"/>
        <v>23.94</v>
      </c>
      <c r="L88" s="115">
        <f t="shared" si="2"/>
        <v>3.11</v>
      </c>
    </row>
    <row r="89" spans="1:22" ht="14.25" x14ac:dyDescent="0.2">
      <c r="A89" s="158"/>
      <c r="B89" s="158"/>
      <c r="C89" s="159"/>
      <c r="D89" s="159" t="s">
        <v>45</v>
      </c>
      <c r="E89" s="110"/>
      <c r="F89" s="160"/>
      <c r="G89" s="161">
        <f>[79]Source!AN1496</f>
        <v>0.14000000000000001</v>
      </c>
      <c r="H89" s="162" t="s">
        <v>53</v>
      </c>
      <c r="I89" s="160">
        <f>[79]Source!AV1497</f>
        <v>1.0249999999999999</v>
      </c>
      <c r="J89" s="115">
        <f>ROUND(F77*G89*I89*(1.67-1), 2)</f>
        <v>0.13</v>
      </c>
      <c r="K89" s="160">
        <f>IF([79]Source!BS1497&lt;&gt; 0, [79]Source!BS1497, 1)</f>
        <v>23.94</v>
      </c>
      <c r="L89" s="115">
        <f>ROUND(F77*G89*I89*(1.67-1)*K89, 2)</f>
        <v>3.11</v>
      </c>
    </row>
    <row r="90" spans="1:22" ht="14.25" x14ac:dyDescent="0.2">
      <c r="A90" s="158"/>
      <c r="B90" s="158"/>
      <c r="C90" s="159"/>
      <c r="D90" s="159" t="s">
        <v>50</v>
      </c>
      <c r="E90" s="110" t="s">
        <v>48</v>
      </c>
      <c r="F90" s="160">
        <f>175</f>
        <v>175</v>
      </c>
      <c r="G90" s="161"/>
      <c r="H90" s="110"/>
      <c r="I90" s="160"/>
      <c r="J90" s="115">
        <f>ROUND(J89*(F90/100), 2)</f>
        <v>0.23</v>
      </c>
      <c r="K90" s="160">
        <f>157</f>
        <v>157</v>
      </c>
      <c r="L90" s="115">
        <f>ROUND(L89*(K90/100), 2)</f>
        <v>4.88</v>
      </c>
    </row>
    <row r="91" spans="1:22" ht="15" x14ac:dyDescent="0.25">
      <c r="I91" s="567">
        <f>J90+J89</f>
        <v>0.36</v>
      </c>
      <c r="J91" s="567"/>
      <c r="K91" s="567">
        <f>L90+L89</f>
        <v>7.99</v>
      </c>
      <c r="L91" s="567"/>
      <c r="O91" s="117">
        <f>I91</f>
        <v>0.36</v>
      </c>
      <c r="P91" s="117">
        <f>K91</f>
        <v>7.99</v>
      </c>
    </row>
    <row r="93" spans="1:22" ht="15" x14ac:dyDescent="0.25">
      <c r="A93" s="163"/>
      <c r="B93" s="163"/>
      <c r="C93" s="164"/>
      <c r="D93" s="164" t="s">
        <v>134</v>
      </c>
      <c r="E93" s="165"/>
      <c r="F93" s="166"/>
      <c r="G93" s="167"/>
      <c r="H93" s="168"/>
      <c r="I93" s="567">
        <f>I86+I91</f>
        <v>2281.65</v>
      </c>
      <c r="J93" s="567"/>
      <c r="K93" s="567">
        <f>K86+K91</f>
        <v>18151.490000000002</v>
      </c>
      <c r="L93" s="567"/>
    </row>
    <row r="94" spans="1:22" ht="65.25" x14ac:dyDescent="0.2">
      <c r="A94" s="108">
        <v>6</v>
      </c>
      <c r="B94" s="108" t="str">
        <f>[79]Source!E1500</f>
        <v>10</v>
      </c>
      <c r="C94" s="109" t="s">
        <v>145</v>
      </c>
      <c r="D94" s="109" t="s">
        <v>146</v>
      </c>
      <c r="E94" s="110" t="str">
        <f>[79]Source!H1500</f>
        <v>100 м2</v>
      </c>
      <c r="F94" s="111">
        <f>[79]Source!I1500</f>
        <v>9.6809999999999992</v>
      </c>
      <c r="G94" s="112"/>
      <c r="H94" s="113"/>
      <c r="I94" s="111"/>
      <c r="J94" s="114"/>
      <c r="K94" s="111"/>
      <c r="L94" s="114"/>
      <c r="Q94" s="49">
        <f>[79]Source!X1500</f>
        <v>1262.54</v>
      </c>
      <c r="R94" s="49">
        <f>[79]Source!X1501</f>
        <v>22165.22</v>
      </c>
      <c r="S94" s="49">
        <f>[79]Source!Y1500</f>
        <v>883.78</v>
      </c>
      <c r="T94" s="49">
        <f>[79]Source!Y1501</f>
        <v>10578.86</v>
      </c>
      <c r="U94" s="49">
        <f>ROUND((175/100)*ROUND([79]Source!R1500, 2), 2)</f>
        <v>4.0599999999999996</v>
      </c>
      <c r="V94" s="49">
        <f>ROUND((157/100)*ROUND([79]Source!R1501, 2), 2)</f>
        <v>87.2</v>
      </c>
    </row>
    <row r="95" spans="1:22" ht="14.25" x14ac:dyDescent="0.2">
      <c r="A95" s="108"/>
      <c r="B95" s="108"/>
      <c r="C95" s="109"/>
      <c r="D95" s="109" t="s">
        <v>43</v>
      </c>
      <c r="E95" s="110"/>
      <c r="F95" s="111"/>
      <c r="G95" s="112">
        <f>[79]Source!AO1500</f>
        <v>63.49</v>
      </c>
      <c r="H95" s="113" t="str">
        <f>[79]Source!DG1500</f>
        <v>)*1,67</v>
      </c>
      <c r="I95" s="111">
        <f>[79]Source!AV1501</f>
        <v>1.0249999999999999</v>
      </c>
      <c r="J95" s="114">
        <f>[79]Source!S1500</f>
        <v>1052.1199999999999</v>
      </c>
      <c r="K95" s="111">
        <f>IF([79]Source!BA1501&lt;&gt; 0, [79]Source!BA1501, 1)</f>
        <v>23.94</v>
      </c>
      <c r="L95" s="114">
        <f>[79]Source!S1501</f>
        <v>25187.75</v>
      </c>
    </row>
    <row r="96" spans="1:22" ht="14.25" x14ac:dyDescent="0.2">
      <c r="A96" s="108"/>
      <c r="B96" s="108"/>
      <c r="C96" s="109"/>
      <c r="D96" s="109" t="s">
        <v>44</v>
      </c>
      <c r="E96" s="110"/>
      <c r="F96" s="111"/>
      <c r="G96" s="112">
        <f>[79]Source!AM1500</f>
        <v>0.82</v>
      </c>
      <c r="H96" s="113" t="str">
        <f>[79]Source!DE1500</f>
        <v/>
      </c>
      <c r="I96" s="111">
        <f>[79]Source!AV1501</f>
        <v>1.0249999999999999</v>
      </c>
      <c r="J96" s="114">
        <f>[79]Source!Q1500-J105</f>
        <v>8.14</v>
      </c>
      <c r="K96" s="111">
        <f>IF([79]Source!BB1501&lt;&gt; 0, [79]Source!BB1501, 1)</f>
        <v>8.83</v>
      </c>
      <c r="L96" s="114">
        <f>[79]Source!Q1501-L105</f>
        <v>71.86</v>
      </c>
    </row>
    <row r="97" spans="1:22" ht="14.25" x14ac:dyDescent="0.2">
      <c r="A97" s="108"/>
      <c r="B97" s="108"/>
      <c r="C97" s="109"/>
      <c r="D97" s="109" t="s">
        <v>45</v>
      </c>
      <c r="E97" s="110"/>
      <c r="F97" s="111"/>
      <c r="G97" s="112">
        <f>[79]Source!AN1500</f>
        <v>0.14000000000000001</v>
      </c>
      <c r="H97" s="113" t="str">
        <f>[79]Source!DE1500</f>
        <v/>
      </c>
      <c r="I97" s="111">
        <f>[79]Source!AV1501</f>
        <v>1.0249999999999999</v>
      </c>
      <c r="J97" s="115">
        <f>[79]Source!R1500-J106</f>
        <v>1.39</v>
      </c>
      <c r="K97" s="111">
        <f>IF([79]Source!BS1501&lt;&gt; 0, [79]Source!BS1501, 1)</f>
        <v>23.94</v>
      </c>
      <c r="L97" s="115">
        <f>[79]Source!R1501-L106</f>
        <v>33.26</v>
      </c>
    </row>
    <row r="98" spans="1:22" ht="42.75" x14ac:dyDescent="0.2">
      <c r="A98" s="108">
        <v>7</v>
      </c>
      <c r="B98" s="108" t="str">
        <f>[79]Source!E1502</f>
        <v>10,1</v>
      </c>
      <c r="C98" s="109" t="str">
        <f>[79]Source!F1502</f>
        <v>1.1-1-3257</v>
      </c>
      <c r="D98" s="109" t="s">
        <v>148</v>
      </c>
      <c r="E98" s="110" t="str">
        <f>[79]Source!H1502</f>
        <v>кг</v>
      </c>
      <c r="F98" s="111">
        <f>[79]Source!I1502</f>
        <v>99.714299999999994</v>
      </c>
      <c r="G98" s="112">
        <f>[79]Source!AK1502</f>
        <v>17.309999999999999</v>
      </c>
      <c r="H98" s="157" t="s">
        <v>20</v>
      </c>
      <c r="I98" s="111">
        <f>[79]Source!AW1503</f>
        <v>1</v>
      </c>
      <c r="J98" s="114">
        <f>[79]Source!O1502</f>
        <v>1726.05</v>
      </c>
      <c r="K98" s="111">
        <f>IF([79]Source!BC1503&lt;&gt; 0, [79]Source!BC1503, 1)</f>
        <v>3.91</v>
      </c>
      <c r="L98" s="114">
        <f>[79]Source!O1503</f>
        <v>6748.86</v>
      </c>
      <c r="Q98" s="49">
        <f>[79]Source!X1502</f>
        <v>0</v>
      </c>
      <c r="R98" s="49">
        <f>[79]Source!X1503</f>
        <v>0</v>
      </c>
      <c r="S98" s="49">
        <f>[79]Source!Y1502</f>
        <v>0</v>
      </c>
      <c r="T98" s="49">
        <f>[79]Source!Y1503</f>
        <v>0</v>
      </c>
      <c r="U98" s="49">
        <f>ROUND((175/100)*ROUND([79]Source!R1502, 2), 2)</f>
        <v>0</v>
      </c>
      <c r="V98" s="49">
        <f>ROUND((157/100)*ROUND([79]Source!R1503, 2), 2)</f>
        <v>0</v>
      </c>
    </row>
    <row r="99" spans="1:22" ht="14.25" x14ac:dyDescent="0.2">
      <c r="A99" s="108"/>
      <c r="B99" s="108"/>
      <c r="C99" s="109"/>
      <c r="D99" s="109" t="s">
        <v>47</v>
      </c>
      <c r="E99" s="110" t="s">
        <v>48</v>
      </c>
      <c r="F99" s="111">
        <f>[79]Source!DN1501</f>
        <v>120</v>
      </c>
      <c r="G99" s="112"/>
      <c r="H99" s="113"/>
      <c r="I99" s="111"/>
      <c r="J99" s="114">
        <f>SUM(Q94:Q98)</f>
        <v>1262.54</v>
      </c>
      <c r="K99" s="111">
        <f>[79]Source!BZ1501</f>
        <v>88</v>
      </c>
      <c r="L99" s="114">
        <f>SUM(R94:R98)</f>
        <v>22165.22</v>
      </c>
    </row>
    <row r="100" spans="1:22" ht="14.25" x14ac:dyDescent="0.2">
      <c r="A100" s="108"/>
      <c r="B100" s="108"/>
      <c r="C100" s="109"/>
      <c r="D100" s="109" t="s">
        <v>49</v>
      </c>
      <c r="E100" s="110" t="s">
        <v>48</v>
      </c>
      <c r="F100" s="111">
        <f>[79]Source!DO1501</f>
        <v>84</v>
      </c>
      <c r="G100" s="112"/>
      <c r="H100" s="113"/>
      <c r="I100" s="111"/>
      <c r="J100" s="114">
        <f>SUM(S94:S99)</f>
        <v>883.78</v>
      </c>
      <c r="K100" s="111">
        <f>[79]Source!CA1501</f>
        <v>42</v>
      </c>
      <c r="L100" s="114">
        <f>SUM(T94:T99)</f>
        <v>10578.86</v>
      </c>
    </row>
    <row r="101" spans="1:22" ht="14.25" x14ac:dyDescent="0.2">
      <c r="A101" s="108"/>
      <c r="B101" s="108"/>
      <c r="C101" s="109"/>
      <c r="D101" s="109" t="s">
        <v>50</v>
      </c>
      <c r="E101" s="110" t="s">
        <v>48</v>
      </c>
      <c r="F101" s="111">
        <f>175</f>
        <v>175</v>
      </c>
      <c r="G101" s="112"/>
      <c r="H101" s="113"/>
      <c r="I101" s="111"/>
      <c r="J101" s="114">
        <f>SUM(U94:U100)-J107</f>
        <v>2.4300000000000002</v>
      </c>
      <c r="K101" s="111">
        <f>157</f>
        <v>157</v>
      </c>
      <c r="L101" s="114">
        <f>SUM(V94:V100)-L107</f>
        <v>52.22</v>
      </c>
    </row>
    <row r="102" spans="1:22" ht="14.25" x14ac:dyDescent="0.2">
      <c r="A102" s="108"/>
      <c r="B102" s="108"/>
      <c r="C102" s="109"/>
      <c r="D102" s="109" t="s">
        <v>51</v>
      </c>
      <c r="E102" s="110" t="s">
        <v>52</v>
      </c>
      <c r="F102" s="111">
        <f>[79]Source!AQ1500</f>
        <v>5.68</v>
      </c>
      <c r="G102" s="112"/>
      <c r="H102" s="113" t="str">
        <f>[79]Source!DI1500</f>
        <v/>
      </c>
      <c r="I102" s="111">
        <f>[79]Source!AV1501</f>
        <v>1.0249999999999999</v>
      </c>
      <c r="J102" s="114">
        <f>[79]Source!U1500</f>
        <v>56.36</v>
      </c>
      <c r="K102" s="111"/>
      <c r="L102" s="114"/>
    </row>
    <row r="103" spans="1:22" ht="15" x14ac:dyDescent="0.25">
      <c r="I103" s="567">
        <f>J95+J96+J99+J100+J101+SUM(J98:J98)</f>
        <v>4935.0600000000004</v>
      </c>
      <c r="J103" s="567"/>
      <c r="K103" s="567">
        <f>L95+L96+L99+L100+L101+SUM(L98:L98)</f>
        <v>64804.77</v>
      </c>
      <c r="L103" s="567"/>
      <c r="O103" s="117">
        <f>J95+J96+J99+J100+J101+SUM(J98:J98)</f>
        <v>4935.0600000000004</v>
      </c>
      <c r="P103" s="117">
        <f>L95+L96+L99+L100+L101+SUM(L98:L98)</f>
        <v>64804.77</v>
      </c>
    </row>
    <row r="104" spans="1:22" ht="28.5" x14ac:dyDescent="0.2">
      <c r="A104" s="158"/>
      <c r="B104" s="158"/>
      <c r="C104" s="159"/>
      <c r="D104" s="159" t="s">
        <v>133</v>
      </c>
      <c r="E104" s="110"/>
      <c r="F104" s="160"/>
      <c r="G104" s="161"/>
      <c r="H104" s="110"/>
      <c r="I104" s="160"/>
      <c r="J104" s="115"/>
      <c r="K104" s="160"/>
      <c r="L104" s="115"/>
    </row>
    <row r="105" spans="1:22" ht="14.25" x14ac:dyDescent="0.2">
      <c r="A105" s="158"/>
      <c r="B105" s="158"/>
      <c r="C105" s="159"/>
      <c r="D105" s="159" t="s">
        <v>44</v>
      </c>
      <c r="E105" s="110"/>
      <c r="F105" s="160"/>
      <c r="G105" s="161">
        <f t="shared" ref="G105:L105" si="3">G106</f>
        <v>0.14000000000000001</v>
      </c>
      <c r="H105" s="162" t="str">
        <f t="shared" si="3"/>
        <v>)*(1.67-1)</v>
      </c>
      <c r="I105" s="160">
        <f t="shared" si="3"/>
        <v>1.0249999999999999</v>
      </c>
      <c r="J105" s="115">
        <f t="shared" si="3"/>
        <v>0.93</v>
      </c>
      <c r="K105" s="160">
        <f t="shared" si="3"/>
        <v>23.94</v>
      </c>
      <c r="L105" s="115">
        <f t="shared" si="3"/>
        <v>22.28</v>
      </c>
    </row>
    <row r="106" spans="1:22" ht="14.25" x14ac:dyDescent="0.2">
      <c r="A106" s="158"/>
      <c r="B106" s="158"/>
      <c r="C106" s="159"/>
      <c r="D106" s="159" t="s">
        <v>45</v>
      </c>
      <c r="E106" s="110"/>
      <c r="F106" s="160"/>
      <c r="G106" s="161">
        <f>[79]Source!AN1500</f>
        <v>0.14000000000000001</v>
      </c>
      <c r="H106" s="162" t="s">
        <v>53</v>
      </c>
      <c r="I106" s="160">
        <f>[79]Source!AV1501</f>
        <v>1.0249999999999999</v>
      </c>
      <c r="J106" s="115">
        <f>ROUND(F94*G106*I106*(1.67-1), 2)</f>
        <v>0.93</v>
      </c>
      <c r="K106" s="160">
        <f>IF([79]Source!BS1501&lt;&gt; 0, [79]Source!BS1501, 1)</f>
        <v>23.94</v>
      </c>
      <c r="L106" s="115">
        <f>ROUND(F94*G106*I106*(1.67-1)*K106, 2)</f>
        <v>22.28</v>
      </c>
    </row>
    <row r="107" spans="1:22" ht="14.25" x14ac:dyDescent="0.2">
      <c r="A107" s="158"/>
      <c r="B107" s="158"/>
      <c r="C107" s="159"/>
      <c r="D107" s="159" t="s">
        <v>50</v>
      </c>
      <c r="E107" s="110" t="s">
        <v>48</v>
      </c>
      <c r="F107" s="160">
        <f>175</f>
        <v>175</v>
      </c>
      <c r="G107" s="161"/>
      <c r="H107" s="110"/>
      <c r="I107" s="160"/>
      <c r="J107" s="115">
        <f>ROUND(J106*(F107/100), 2)</f>
        <v>1.63</v>
      </c>
      <c r="K107" s="160">
        <f>157</f>
        <v>157</v>
      </c>
      <c r="L107" s="115">
        <f>ROUND(L106*(K107/100), 2)</f>
        <v>34.979999999999997</v>
      </c>
    </row>
    <row r="108" spans="1:22" ht="15" x14ac:dyDescent="0.25">
      <c r="I108" s="567">
        <f>J107+J106</f>
        <v>2.56</v>
      </c>
      <c r="J108" s="567"/>
      <c r="K108" s="567">
        <f>L107+L106</f>
        <v>57.26</v>
      </c>
      <c r="L108" s="567"/>
      <c r="O108" s="117">
        <f>I108</f>
        <v>2.56</v>
      </c>
      <c r="P108" s="117">
        <f>K108</f>
        <v>57.26</v>
      </c>
    </row>
    <row r="110" spans="1:22" ht="15" x14ac:dyDescent="0.25">
      <c r="A110" s="163"/>
      <c r="B110" s="163"/>
      <c r="C110" s="164"/>
      <c r="D110" s="164" t="s">
        <v>134</v>
      </c>
      <c r="E110" s="165"/>
      <c r="F110" s="166"/>
      <c r="G110" s="167"/>
      <c r="H110" s="168"/>
      <c r="I110" s="567">
        <f>I103+I108</f>
        <v>4937.62</v>
      </c>
      <c r="J110" s="567"/>
      <c r="K110" s="567">
        <f>K103+K108</f>
        <v>64862.03</v>
      </c>
      <c r="L110" s="567"/>
    </row>
    <row r="111" spans="1:22" ht="85.5" x14ac:dyDescent="0.2">
      <c r="A111" s="108">
        <v>8</v>
      </c>
      <c r="B111" s="108" t="str">
        <f>[79]Source!E1504</f>
        <v>11</v>
      </c>
      <c r="C111" s="109" t="s">
        <v>149</v>
      </c>
      <c r="D111" s="109" t="s">
        <v>150</v>
      </c>
      <c r="E111" s="110" t="str">
        <f>[79]Source!H1504</f>
        <v>100 м2 окрашиваемой поверхности</v>
      </c>
      <c r="F111" s="111">
        <f>[79]Source!I1504</f>
        <v>9.6809999999999992</v>
      </c>
      <c r="G111" s="112"/>
      <c r="H111" s="113"/>
      <c r="I111" s="111"/>
      <c r="J111" s="114"/>
      <c r="K111" s="111"/>
      <c r="L111" s="114"/>
      <c r="Q111" s="49">
        <f>[79]Source!X1504</f>
        <v>3512.62</v>
      </c>
      <c r="R111" s="49">
        <f>[79]Source!X1505</f>
        <v>61667.49</v>
      </c>
      <c r="S111" s="49">
        <f>[79]Source!Y1504</f>
        <v>2458.83</v>
      </c>
      <c r="T111" s="49">
        <f>[79]Source!Y1505</f>
        <v>29432.21</v>
      </c>
      <c r="U111" s="49">
        <f>ROUND((175/100)*ROUND([79]Source!R1504, 2), 2)</f>
        <v>153.13</v>
      </c>
      <c r="V111" s="49">
        <f>ROUND((157/100)*ROUND([79]Source!R1505, 2), 2)</f>
        <v>3288.76</v>
      </c>
    </row>
    <row r="112" spans="1:22" ht="14.25" x14ac:dyDescent="0.2">
      <c r="A112" s="108"/>
      <c r="B112" s="108"/>
      <c r="C112" s="109"/>
      <c r="D112" s="109" t="s">
        <v>43</v>
      </c>
      <c r="E112" s="110"/>
      <c r="F112" s="111"/>
      <c r="G112" s="112">
        <f>[79]Source!AO1504</f>
        <v>176.64</v>
      </c>
      <c r="H112" s="113" t="str">
        <f>[79]Source!DG1504</f>
        <v>)*1,67</v>
      </c>
      <c r="I112" s="111">
        <f>[79]Source!AV1505</f>
        <v>1.0249999999999999</v>
      </c>
      <c r="J112" s="114">
        <f>[79]Source!S1504</f>
        <v>2927.18</v>
      </c>
      <c r="K112" s="111">
        <f>IF([79]Source!BA1505&lt;&gt; 0, [79]Source!BA1505, 1)</f>
        <v>23.94</v>
      </c>
      <c r="L112" s="114">
        <f>[79]Source!S1505</f>
        <v>70076.69</v>
      </c>
    </row>
    <row r="113" spans="1:22" ht="14.25" x14ac:dyDescent="0.2">
      <c r="A113" s="108"/>
      <c r="B113" s="108"/>
      <c r="C113" s="109"/>
      <c r="D113" s="109" t="s">
        <v>44</v>
      </c>
      <c r="E113" s="110"/>
      <c r="F113" s="111"/>
      <c r="G113" s="112">
        <f>[79]Source!AM1504</f>
        <v>22.33</v>
      </c>
      <c r="H113" s="113" t="str">
        <f>[79]Source!DE1504</f>
        <v/>
      </c>
      <c r="I113" s="111">
        <f>[79]Source!AV1505</f>
        <v>1.0249999999999999</v>
      </c>
      <c r="J113" s="114">
        <f>[79]Source!Q1504-J124</f>
        <v>221.58</v>
      </c>
      <c r="K113" s="111">
        <f>IF([79]Source!BB1505&lt;&gt; 0, [79]Source!BB1505, 1)</f>
        <v>9.75</v>
      </c>
      <c r="L113" s="114">
        <f>[79]Source!Q1505-L124</f>
        <v>2160.3200000000002</v>
      </c>
    </row>
    <row r="114" spans="1:22" ht="14.25" x14ac:dyDescent="0.2">
      <c r="A114" s="108"/>
      <c r="B114" s="108"/>
      <c r="C114" s="109"/>
      <c r="D114" s="109" t="s">
        <v>45</v>
      </c>
      <c r="E114" s="110"/>
      <c r="F114" s="111"/>
      <c r="G114" s="112">
        <f>[79]Source!AN1504</f>
        <v>5.28</v>
      </c>
      <c r="H114" s="113" t="str">
        <f>[79]Source!DE1504</f>
        <v/>
      </c>
      <c r="I114" s="111">
        <f>[79]Source!AV1505</f>
        <v>1.0249999999999999</v>
      </c>
      <c r="J114" s="115">
        <f>[79]Source!R1504-J125</f>
        <v>52.4</v>
      </c>
      <c r="K114" s="111">
        <f>IF([79]Source!BS1505&lt;&gt; 0, [79]Source!BS1505, 1)</f>
        <v>23.94</v>
      </c>
      <c r="L114" s="115">
        <f>[79]Source!R1505-L125</f>
        <v>1254.3699999999999</v>
      </c>
    </row>
    <row r="115" spans="1:22" ht="14.25" x14ac:dyDescent="0.2">
      <c r="A115" s="108"/>
      <c r="B115" s="108"/>
      <c r="C115" s="109"/>
      <c r="D115" s="109" t="s">
        <v>46</v>
      </c>
      <c r="E115" s="110"/>
      <c r="F115" s="111"/>
      <c r="G115" s="112">
        <f>[79]Source!AL1504</f>
        <v>1.19</v>
      </c>
      <c r="H115" s="113" t="str">
        <f>[79]Source!DD1504</f>
        <v/>
      </c>
      <c r="I115" s="111">
        <f>[79]Source!AW1505</f>
        <v>1</v>
      </c>
      <c r="J115" s="114">
        <f>[79]Source!P1504</f>
        <v>11.52</v>
      </c>
      <c r="K115" s="111">
        <f>IF([79]Source!BC1505&lt;&gt; 0, [79]Source!BC1505, 1)</f>
        <v>5.56</v>
      </c>
      <c r="L115" s="114">
        <f>[79]Source!P1505</f>
        <v>64.05</v>
      </c>
    </row>
    <row r="116" spans="1:22" ht="14.25" x14ac:dyDescent="0.2">
      <c r="A116" s="108">
        <v>9</v>
      </c>
      <c r="B116" s="108" t="str">
        <f>[79]Source!E1506</f>
        <v>11,1</v>
      </c>
      <c r="C116" s="109" t="str">
        <f>[79]Source!F1506</f>
        <v>1.1-1-1480</v>
      </c>
      <c r="D116" s="109" t="s">
        <v>151</v>
      </c>
      <c r="E116" s="110" t="str">
        <f>[79]Source!H1506</f>
        <v>т</v>
      </c>
      <c r="F116" s="111">
        <f>[79]Source!I1506</f>
        <v>5.3246000000000002E-2</v>
      </c>
      <c r="G116" s="112">
        <f>[79]Source!AK1506</f>
        <v>3015.62</v>
      </c>
      <c r="H116" s="157" t="s">
        <v>20</v>
      </c>
      <c r="I116" s="111">
        <f>[79]Source!AW1507</f>
        <v>1</v>
      </c>
      <c r="J116" s="114">
        <f>[79]Source!O1506</f>
        <v>160.57</v>
      </c>
      <c r="K116" s="111">
        <f>IF([79]Source!BC1507&lt;&gt; 0, [79]Source!BC1507, 1)</f>
        <v>4.4400000000000004</v>
      </c>
      <c r="L116" s="114">
        <f>[79]Source!O1507</f>
        <v>712.93</v>
      </c>
      <c r="Q116" s="49">
        <f>[79]Source!X1506</f>
        <v>0</v>
      </c>
      <c r="R116" s="49">
        <f>[79]Source!X1507</f>
        <v>0</v>
      </c>
      <c r="S116" s="49">
        <f>[79]Source!Y1506</f>
        <v>0</v>
      </c>
      <c r="T116" s="49">
        <f>[79]Source!Y1507</f>
        <v>0</v>
      </c>
      <c r="U116" s="49">
        <f>ROUND((175/100)*ROUND([79]Source!R1506, 2), 2)</f>
        <v>0</v>
      </c>
      <c r="V116" s="49">
        <f>ROUND((157/100)*ROUND([79]Source!R1507, 2), 2)</f>
        <v>0</v>
      </c>
    </row>
    <row r="117" spans="1:22" ht="42.75" x14ac:dyDescent="0.2">
      <c r="A117" s="108">
        <v>10</v>
      </c>
      <c r="B117" s="108" t="str">
        <f>[79]Source!E1508</f>
        <v>11,3</v>
      </c>
      <c r="C117" s="109" t="str">
        <f>[79]Source!F1508</f>
        <v>1.1-1-438</v>
      </c>
      <c r="D117" s="109" t="s">
        <v>152</v>
      </c>
      <c r="E117" s="110" t="str">
        <f>[79]Source!H1508</f>
        <v>т</v>
      </c>
      <c r="F117" s="111">
        <f>[79]Source!I1508</f>
        <v>0.50341199999999997</v>
      </c>
      <c r="G117" s="112">
        <f>[79]Source!AK1508</f>
        <v>22652.13</v>
      </c>
      <c r="H117" s="157" t="s">
        <v>20</v>
      </c>
      <c r="I117" s="111">
        <f>[79]Source!AW1509</f>
        <v>1</v>
      </c>
      <c r="J117" s="114">
        <f>[79]Source!O1508</f>
        <v>11403.35</v>
      </c>
      <c r="K117" s="111">
        <f>IF([79]Source!BC1509&lt;&gt; 0, [79]Source!BC1509, 1)</f>
        <v>1.38</v>
      </c>
      <c r="L117" s="114">
        <f>[79]Source!O1509</f>
        <v>15736.62</v>
      </c>
      <c r="Q117" s="49">
        <f>[79]Source!X1508</f>
        <v>0</v>
      </c>
      <c r="R117" s="49">
        <f>[79]Source!X1509</f>
        <v>0</v>
      </c>
      <c r="S117" s="49">
        <f>[79]Source!Y1508</f>
        <v>0</v>
      </c>
      <c r="T117" s="49">
        <f>[79]Source!Y1509</f>
        <v>0</v>
      </c>
      <c r="U117" s="49">
        <f>ROUND((175/100)*ROUND([79]Source!R1508, 2), 2)</f>
        <v>0</v>
      </c>
      <c r="V117" s="49">
        <f>ROUND((157/100)*ROUND([79]Source!R1509, 2), 2)</f>
        <v>0</v>
      </c>
    </row>
    <row r="118" spans="1:22" ht="14.25" x14ac:dyDescent="0.2">
      <c r="A118" s="108"/>
      <c r="B118" s="108"/>
      <c r="C118" s="109"/>
      <c r="D118" s="109" t="s">
        <v>47</v>
      </c>
      <c r="E118" s="110" t="s">
        <v>48</v>
      </c>
      <c r="F118" s="111">
        <f>[79]Source!DN1505</f>
        <v>120</v>
      </c>
      <c r="G118" s="112"/>
      <c r="H118" s="113"/>
      <c r="I118" s="111"/>
      <c r="J118" s="114">
        <f>SUM(Q111:Q117)</f>
        <v>3512.62</v>
      </c>
      <c r="K118" s="111">
        <f>[79]Source!BZ1505</f>
        <v>88</v>
      </c>
      <c r="L118" s="114">
        <f>SUM(R111:R117)</f>
        <v>61667.49</v>
      </c>
    </row>
    <row r="119" spans="1:22" ht="14.25" x14ac:dyDescent="0.2">
      <c r="A119" s="108"/>
      <c r="B119" s="108"/>
      <c r="C119" s="109"/>
      <c r="D119" s="109" t="s">
        <v>49</v>
      </c>
      <c r="E119" s="110" t="s">
        <v>48</v>
      </c>
      <c r="F119" s="111">
        <f>[79]Source!DO1505</f>
        <v>84</v>
      </c>
      <c r="G119" s="112"/>
      <c r="H119" s="113"/>
      <c r="I119" s="111"/>
      <c r="J119" s="114">
        <f>SUM(S111:S118)</f>
        <v>2458.83</v>
      </c>
      <c r="K119" s="111">
        <f>[79]Source!CA1505</f>
        <v>42</v>
      </c>
      <c r="L119" s="114">
        <f>SUM(T111:T118)</f>
        <v>29432.21</v>
      </c>
    </row>
    <row r="120" spans="1:22" ht="14.25" x14ac:dyDescent="0.2">
      <c r="A120" s="108"/>
      <c r="B120" s="108"/>
      <c r="C120" s="109"/>
      <c r="D120" s="109" t="s">
        <v>50</v>
      </c>
      <c r="E120" s="110" t="s">
        <v>48</v>
      </c>
      <c r="F120" s="111">
        <f>175</f>
        <v>175</v>
      </c>
      <c r="G120" s="112"/>
      <c r="H120" s="113"/>
      <c r="I120" s="111"/>
      <c r="J120" s="114">
        <f>SUM(U111:U119)-J126</f>
        <v>91.7</v>
      </c>
      <c r="K120" s="111">
        <f>157</f>
        <v>157</v>
      </c>
      <c r="L120" s="114">
        <f>SUM(V111:V119)-L126</f>
        <v>1969.36</v>
      </c>
    </row>
    <row r="121" spans="1:22" ht="14.25" x14ac:dyDescent="0.2">
      <c r="A121" s="108"/>
      <c r="B121" s="108"/>
      <c r="C121" s="109"/>
      <c r="D121" s="109" t="s">
        <v>51</v>
      </c>
      <c r="E121" s="110" t="s">
        <v>52</v>
      </c>
      <c r="F121" s="111">
        <f>[79]Source!AQ1504</f>
        <v>15.4</v>
      </c>
      <c r="G121" s="112"/>
      <c r="H121" s="113" t="str">
        <f>[79]Source!DI1504</f>
        <v/>
      </c>
      <c r="I121" s="111">
        <f>[79]Source!AV1505</f>
        <v>1.0249999999999999</v>
      </c>
      <c r="J121" s="114">
        <f>[79]Source!U1504</f>
        <v>152.81</v>
      </c>
      <c r="K121" s="111"/>
      <c r="L121" s="114"/>
    </row>
    <row r="122" spans="1:22" ht="15" x14ac:dyDescent="0.25">
      <c r="I122" s="567">
        <f>J112+J113+J115+J118+J119+J120+SUM(J116:J117)</f>
        <v>20787.349999999999</v>
      </c>
      <c r="J122" s="567"/>
      <c r="K122" s="567">
        <f>L112+L113+L115+L118+L119+L120+SUM(L116:L117)</f>
        <v>181819.67</v>
      </c>
      <c r="L122" s="567"/>
      <c r="O122" s="117">
        <f>J112+J113+J115+J118+J119+J120+SUM(J116:J117)</f>
        <v>20787.349999999999</v>
      </c>
      <c r="P122" s="117">
        <f>L112+L113+L115+L118+L119+L120+SUM(L116:L117)</f>
        <v>181819.67</v>
      </c>
    </row>
    <row r="123" spans="1:22" ht="28.5" x14ac:dyDescent="0.2">
      <c r="A123" s="158"/>
      <c r="B123" s="158"/>
      <c r="C123" s="159"/>
      <c r="D123" s="159" t="s">
        <v>133</v>
      </c>
      <c r="E123" s="110"/>
      <c r="F123" s="160"/>
      <c r="G123" s="161"/>
      <c r="H123" s="110"/>
      <c r="I123" s="160"/>
      <c r="J123" s="115"/>
      <c r="K123" s="160"/>
      <c r="L123" s="115"/>
    </row>
    <row r="124" spans="1:22" ht="14.25" x14ac:dyDescent="0.2">
      <c r="A124" s="158"/>
      <c r="B124" s="158"/>
      <c r="C124" s="159"/>
      <c r="D124" s="159" t="s">
        <v>44</v>
      </c>
      <c r="E124" s="110"/>
      <c r="F124" s="160"/>
      <c r="G124" s="161">
        <f t="shared" ref="G124:L124" si="4">G125</f>
        <v>5.28</v>
      </c>
      <c r="H124" s="162" t="str">
        <f t="shared" si="4"/>
        <v>)*(1.67-1)</v>
      </c>
      <c r="I124" s="160">
        <f t="shared" si="4"/>
        <v>1.0249999999999999</v>
      </c>
      <c r="J124" s="115">
        <f t="shared" si="4"/>
        <v>35.1</v>
      </c>
      <c r="K124" s="160">
        <f t="shared" si="4"/>
        <v>23.94</v>
      </c>
      <c r="L124" s="115">
        <f t="shared" si="4"/>
        <v>840.38</v>
      </c>
    </row>
    <row r="125" spans="1:22" ht="14.25" x14ac:dyDescent="0.2">
      <c r="A125" s="158"/>
      <c r="B125" s="158"/>
      <c r="C125" s="159"/>
      <c r="D125" s="159" t="s">
        <v>45</v>
      </c>
      <c r="E125" s="110"/>
      <c r="F125" s="160"/>
      <c r="G125" s="161">
        <f>[79]Source!AN1504</f>
        <v>5.28</v>
      </c>
      <c r="H125" s="162" t="s">
        <v>53</v>
      </c>
      <c r="I125" s="160">
        <f>[79]Source!AV1505</f>
        <v>1.0249999999999999</v>
      </c>
      <c r="J125" s="115">
        <f>ROUND(F111*G125*I125*(1.67-1), 2)</f>
        <v>35.1</v>
      </c>
      <c r="K125" s="160">
        <f>IF([79]Source!BS1505&lt;&gt; 0, [79]Source!BS1505, 1)</f>
        <v>23.94</v>
      </c>
      <c r="L125" s="115">
        <f>ROUND(F111*G125*I125*(1.67-1)*K125, 2)</f>
        <v>840.38</v>
      </c>
    </row>
    <row r="126" spans="1:22" ht="14.25" x14ac:dyDescent="0.2">
      <c r="A126" s="158"/>
      <c r="B126" s="158"/>
      <c r="C126" s="159"/>
      <c r="D126" s="159" t="s">
        <v>50</v>
      </c>
      <c r="E126" s="110" t="s">
        <v>48</v>
      </c>
      <c r="F126" s="160">
        <f>175</f>
        <v>175</v>
      </c>
      <c r="G126" s="161"/>
      <c r="H126" s="110"/>
      <c r="I126" s="160"/>
      <c r="J126" s="115">
        <f>ROUND(J125*(F126/100), 2)</f>
        <v>61.43</v>
      </c>
      <c r="K126" s="160">
        <f>157</f>
        <v>157</v>
      </c>
      <c r="L126" s="115">
        <f>ROUND(L125*(K126/100), 2)</f>
        <v>1319.4</v>
      </c>
    </row>
    <row r="127" spans="1:22" ht="15" x14ac:dyDescent="0.25">
      <c r="I127" s="567">
        <f>J126+J125</f>
        <v>96.53</v>
      </c>
      <c r="J127" s="567"/>
      <c r="K127" s="567">
        <f>L126+L125</f>
        <v>2159.7800000000002</v>
      </c>
      <c r="L127" s="567"/>
      <c r="O127" s="117">
        <f>I127</f>
        <v>96.53</v>
      </c>
      <c r="P127" s="117">
        <f>K127</f>
        <v>2159.7800000000002</v>
      </c>
    </row>
    <row r="129" spans="1:32" ht="15" x14ac:dyDescent="0.25">
      <c r="A129" s="163"/>
      <c r="B129" s="163"/>
      <c r="C129" s="164"/>
      <c r="D129" s="164" t="s">
        <v>134</v>
      </c>
      <c r="E129" s="165"/>
      <c r="F129" s="166"/>
      <c r="G129" s="167"/>
      <c r="H129" s="168"/>
      <c r="I129" s="567">
        <f>I122+I127</f>
        <v>20883.88</v>
      </c>
      <c r="J129" s="567"/>
      <c r="K129" s="567">
        <f>K122+K127</f>
        <v>183979.45</v>
      </c>
      <c r="L129" s="567"/>
    </row>
    <row r="131" spans="1:32" ht="15" x14ac:dyDescent="0.25">
      <c r="A131" s="572" t="str">
        <f>CONCATENATE("Итого по подразделу: ",IF([79]Source!G1521&lt;&gt;"Новый подраздел", [79]Source!G1521, ""))</f>
        <v>Итого по подразделу: Потолки</v>
      </c>
      <c r="B131" s="572"/>
      <c r="C131" s="572"/>
      <c r="D131" s="572"/>
      <c r="E131" s="572"/>
      <c r="F131" s="572"/>
      <c r="G131" s="572"/>
      <c r="H131" s="572"/>
      <c r="I131" s="573">
        <f>SUM(O42:O130)</f>
        <v>28333.87</v>
      </c>
      <c r="J131" s="574"/>
      <c r="K131" s="573">
        <f>SUM(P42:P130)</f>
        <v>268765.23</v>
      </c>
      <c r="L131" s="574"/>
    </row>
    <row r="132" spans="1:32" hidden="1" x14ac:dyDescent="0.2">
      <c r="A132" s="49" t="s">
        <v>54</v>
      </c>
      <c r="J132" s="49">
        <f>SUM(W42:W131)</f>
        <v>0</v>
      </c>
      <c r="K132" s="49">
        <f>SUM(X42:X131)</f>
        <v>0</v>
      </c>
    </row>
    <row r="133" spans="1:32" hidden="1" x14ac:dyDescent="0.2">
      <c r="A133" s="49" t="s">
        <v>55</v>
      </c>
      <c r="J133" s="49">
        <f>SUM(Y42:Y132)</f>
        <v>0</v>
      </c>
      <c r="K133" s="49">
        <f>SUM(Z42:Z132)</f>
        <v>0</v>
      </c>
    </row>
    <row r="135" spans="1:32" ht="19.5" customHeight="1" x14ac:dyDescent="0.25">
      <c r="A135" s="572" t="s">
        <v>74</v>
      </c>
      <c r="B135" s="572"/>
      <c r="C135" s="572"/>
      <c r="D135" s="572"/>
      <c r="E135" s="572"/>
      <c r="F135" s="572"/>
      <c r="G135" s="572"/>
      <c r="H135" s="572"/>
      <c r="I135" s="573">
        <f>SUM(O30:O134)</f>
        <v>28333.87</v>
      </c>
      <c r="J135" s="574"/>
      <c r="K135" s="573">
        <f>SUM(P30:P134)</f>
        <v>268765.23</v>
      </c>
      <c r="L135" s="574"/>
      <c r="AF135" s="98" t="str">
        <f>CONCATENATE("Итого по акту: ",IF([79]Source!G1771&lt;&gt;"Новый объект", [79]Source!G1771, ""))</f>
        <v>Итого по акту: (49109-ТПК_5-0867-Р-ССР2 изм.1.1/12-4017-Л-Р-11.4.1.2.2-АР1-СМ1К/_Станционный комплекс "Аминьевское шоссе". Вестибюль №2, камера съездов.ТПП. Архитектурные решения служебных и технических помещений. Промежуточные уровни._(Копия)</v>
      </c>
    </row>
    <row r="136" spans="1:32" hidden="1" x14ac:dyDescent="0.2">
      <c r="A136" s="49" t="s">
        <v>54</v>
      </c>
      <c r="J136" s="49">
        <f>SUM(W30:W135)</f>
        <v>0</v>
      </c>
      <c r="K136" s="49">
        <f>SUM(X30:X135)</f>
        <v>0</v>
      </c>
    </row>
    <row r="137" spans="1:32" hidden="1" x14ac:dyDescent="0.2">
      <c r="A137" s="49" t="s">
        <v>55</v>
      </c>
      <c r="J137" s="49">
        <f>SUM(Y30:Y136)</f>
        <v>0</v>
      </c>
      <c r="K137" s="49">
        <f>SUM(Z30:Z136)</f>
        <v>0</v>
      </c>
    </row>
    <row r="138" spans="1:32" ht="14.25" x14ac:dyDescent="0.2">
      <c r="D138" s="558" t="str">
        <f>[79]Source!H1774</f>
        <v>Стоимость материальных ресурсов (всего)</v>
      </c>
      <c r="E138" s="558"/>
      <c r="F138" s="558"/>
      <c r="G138" s="558"/>
      <c r="H138" s="558"/>
      <c r="I138" s="559">
        <f>[79]Source!F1774</f>
        <v>15312.53</v>
      </c>
      <c r="J138" s="559"/>
      <c r="K138" s="559">
        <f>[79]Source!P1774</f>
        <v>34091.379999999997</v>
      </c>
      <c r="L138" s="559"/>
    </row>
    <row r="139" spans="1:32" ht="14.25" x14ac:dyDescent="0.2">
      <c r="D139" s="558" t="str">
        <f>[79]Source!H1785</f>
        <v>ЗП машинистов</v>
      </c>
      <c r="E139" s="558"/>
      <c r="F139" s="558"/>
      <c r="G139" s="558"/>
      <c r="H139" s="558"/>
      <c r="I139" s="559">
        <f>[79]Source!F1785</f>
        <v>90.26</v>
      </c>
      <c r="J139" s="559"/>
      <c r="K139" s="559">
        <f>[79]Source!P1785</f>
        <v>2160.8200000000002</v>
      </c>
      <c r="L139" s="559"/>
    </row>
    <row r="140" spans="1:32" ht="14.25" x14ac:dyDescent="0.2">
      <c r="D140" s="558" t="str">
        <f>[79]Source!H1786</f>
        <v>Основная ЗП рабочих</v>
      </c>
      <c r="E140" s="558"/>
      <c r="F140" s="558"/>
      <c r="G140" s="558"/>
      <c r="H140" s="558"/>
      <c r="I140" s="559">
        <f>[79]Source!F1786</f>
        <v>4144</v>
      </c>
      <c r="J140" s="559"/>
      <c r="K140" s="559">
        <f>[79]Source!P1786</f>
        <v>99207.360000000001</v>
      </c>
      <c r="L140" s="559"/>
    </row>
    <row r="141" spans="1:32" ht="15" x14ac:dyDescent="0.25">
      <c r="D141" s="97"/>
      <c r="I141" s="106"/>
      <c r="J141" s="106"/>
      <c r="K141" s="169"/>
      <c r="L141" s="169"/>
    </row>
    <row r="142" spans="1:32" ht="14.25" x14ac:dyDescent="0.2">
      <c r="A142" s="139"/>
      <c r="B142" s="139"/>
      <c r="C142" s="139"/>
      <c r="D142" s="170" t="s">
        <v>57</v>
      </c>
      <c r="E142" s="139"/>
      <c r="F142" s="139"/>
      <c r="G142" s="139"/>
      <c r="H142" s="139"/>
      <c r="I142" s="139"/>
      <c r="J142" s="171">
        <f>I135</f>
        <v>28333.87</v>
      </c>
      <c r="K142" s="171"/>
      <c r="L142" s="171">
        <f>K135</f>
        <v>268765.23</v>
      </c>
    </row>
    <row r="143" spans="1:32" ht="14.25" x14ac:dyDescent="0.2">
      <c r="A143" s="139"/>
      <c r="B143" s="139"/>
      <c r="C143" s="139"/>
      <c r="D143" s="170" t="s">
        <v>3</v>
      </c>
      <c r="E143" s="139"/>
      <c r="F143" s="139"/>
      <c r="G143" s="139"/>
      <c r="H143" s="139"/>
      <c r="I143" s="139"/>
      <c r="J143" s="171">
        <f>J142</f>
        <v>28333.87</v>
      </c>
      <c r="K143" s="171"/>
      <c r="L143" s="171">
        <f>L142</f>
        <v>268765.23</v>
      </c>
    </row>
    <row r="144" spans="1:32" ht="14.25" x14ac:dyDescent="0.2">
      <c r="A144" s="139"/>
      <c r="B144" s="139"/>
      <c r="C144" s="139"/>
      <c r="D144" s="170" t="s">
        <v>58</v>
      </c>
      <c r="E144" s="139"/>
      <c r="F144" s="139"/>
      <c r="G144" s="139"/>
      <c r="H144" s="139"/>
      <c r="I144" s="139"/>
      <c r="J144" s="171">
        <f>I139+I140</f>
        <v>4234.26</v>
      </c>
      <c r="K144" s="171"/>
      <c r="L144" s="171">
        <f>K139+K140</f>
        <v>101368.18</v>
      </c>
    </row>
    <row r="145" spans="1:12" ht="14.25" x14ac:dyDescent="0.2">
      <c r="A145" s="139"/>
      <c r="B145" s="139"/>
      <c r="C145" s="139"/>
      <c r="D145" s="170" t="s">
        <v>59</v>
      </c>
      <c r="E145" s="139"/>
      <c r="F145" s="139"/>
      <c r="G145" s="139"/>
      <c r="H145" s="139"/>
      <c r="I145" s="139"/>
      <c r="J145" s="171">
        <f>I138</f>
        <v>15312.53</v>
      </c>
      <c r="K145" s="171"/>
      <c r="L145" s="171">
        <f>K138</f>
        <v>34091.379999999997</v>
      </c>
    </row>
    <row r="146" spans="1:12" ht="14.25" x14ac:dyDescent="0.2">
      <c r="A146" s="139"/>
      <c r="B146" s="139"/>
      <c r="C146" s="139"/>
      <c r="D146" s="170" t="s">
        <v>60</v>
      </c>
      <c r="E146" s="139"/>
      <c r="F146" s="139"/>
      <c r="G146" s="139"/>
      <c r="H146" s="139"/>
      <c r="I146" s="139"/>
      <c r="J146" s="172">
        <v>0</v>
      </c>
      <c r="K146" s="172"/>
      <c r="L146" s="172">
        <v>0</v>
      </c>
    </row>
    <row r="147" spans="1:12" ht="14.25" x14ac:dyDescent="0.2">
      <c r="A147" s="128"/>
      <c r="B147" s="128"/>
      <c r="C147" s="128"/>
      <c r="D147" s="540" t="s">
        <v>111</v>
      </c>
      <c r="E147" s="540"/>
      <c r="F147" s="540"/>
      <c r="G147" s="540"/>
      <c r="H147" s="540"/>
      <c r="I147" s="136"/>
      <c r="J147" s="136">
        <v>0</v>
      </c>
      <c r="K147" s="136"/>
      <c r="L147" s="136">
        <v>0</v>
      </c>
    </row>
    <row r="148" spans="1:12" ht="15" x14ac:dyDescent="0.25">
      <c r="A148" s="130"/>
      <c r="B148" s="130"/>
      <c r="C148" s="130"/>
      <c r="D148" s="540" t="s">
        <v>112</v>
      </c>
      <c r="E148" s="540"/>
      <c r="F148" s="540"/>
      <c r="G148" s="540"/>
      <c r="H148" s="540"/>
      <c r="I148" s="560">
        <f>J143*5.61%</f>
        <v>1589.53</v>
      </c>
      <c r="J148" s="560"/>
      <c r="K148" s="560">
        <f>L143*5.61%</f>
        <v>15077.73</v>
      </c>
      <c r="L148" s="560"/>
    </row>
    <row r="149" spans="1:12" ht="15" x14ac:dyDescent="0.25">
      <c r="A149" s="130"/>
      <c r="B149" s="130"/>
      <c r="C149" s="130"/>
      <c r="D149" s="540" t="s">
        <v>70</v>
      </c>
      <c r="E149" s="540"/>
      <c r="F149" s="540"/>
      <c r="G149" s="540"/>
      <c r="H149" s="540"/>
      <c r="I149" s="560">
        <f>J143+J147+I148</f>
        <v>29923.4</v>
      </c>
      <c r="J149" s="560"/>
      <c r="K149" s="560">
        <f>L143+L147+K148</f>
        <v>283842.96000000002</v>
      </c>
      <c r="L149" s="560"/>
    </row>
    <row r="150" spans="1:12" ht="14.25" x14ac:dyDescent="0.2">
      <c r="A150" s="128"/>
      <c r="B150" s="128"/>
      <c r="C150" s="128"/>
      <c r="D150" s="540" t="s">
        <v>71</v>
      </c>
      <c r="E150" s="540"/>
      <c r="F150" s="540"/>
      <c r="G150" s="540"/>
      <c r="H150" s="540"/>
      <c r="I150" s="560">
        <f>J144*0.15</f>
        <v>635.14</v>
      </c>
      <c r="J150" s="560"/>
      <c r="K150" s="560">
        <f>L144*0.15</f>
        <v>15205.23</v>
      </c>
      <c r="L150" s="560"/>
    </row>
    <row r="151" spans="1:12" ht="15" x14ac:dyDescent="0.25">
      <c r="A151" s="131"/>
      <c r="B151" s="131"/>
      <c r="C151" s="131"/>
      <c r="D151" s="575" t="s">
        <v>72</v>
      </c>
      <c r="E151" s="575"/>
      <c r="F151" s="575"/>
      <c r="G151" s="575"/>
      <c r="H151" s="575"/>
      <c r="I151" s="564">
        <f>I149+I150</f>
        <v>30558.54</v>
      </c>
      <c r="J151" s="564"/>
      <c r="K151" s="565">
        <f>K149+K150</f>
        <v>299048.19</v>
      </c>
      <c r="L151" s="565"/>
    </row>
    <row r="152" spans="1:12" ht="14.25" x14ac:dyDescent="0.2">
      <c r="A152" s="128"/>
      <c r="B152" s="128"/>
      <c r="C152" s="128"/>
      <c r="D152" s="540"/>
      <c r="E152" s="540"/>
      <c r="F152" s="540"/>
      <c r="G152" s="540"/>
      <c r="H152" s="540"/>
      <c r="I152" s="560"/>
      <c r="J152" s="560"/>
      <c r="K152" s="560"/>
      <c r="L152" s="560"/>
    </row>
    <row r="153" spans="1:12" ht="15" x14ac:dyDescent="0.25">
      <c r="A153" s="131"/>
      <c r="B153" s="131"/>
      <c r="C153" s="131"/>
      <c r="D153" s="575" t="s">
        <v>113</v>
      </c>
      <c r="E153" s="575"/>
      <c r="F153" s="575"/>
      <c r="G153" s="575"/>
      <c r="H153" s="575"/>
      <c r="I153" s="131"/>
      <c r="J153" s="131"/>
      <c r="K153" s="131"/>
      <c r="L153" s="133">
        <f>K154+K156</f>
        <v>257031.54</v>
      </c>
    </row>
    <row r="154" spans="1:12" ht="14.25" x14ac:dyDescent="0.2">
      <c r="A154" s="128"/>
      <c r="B154" s="128"/>
      <c r="C154" s="128"/>
      <c r="D154" s="540" t="s">
        <v>3</v>
      </c>
      <c r="E154" s="540"/>
      <c r="F154" s="540"/>
      <c r="G154" s="540"/>
      <c r="H154" s="540"/>
      <c r="I154" s="128"/>
      <c r="J154" s="134"/>
      <c r="K154" s="560">
        <f>(L143-L145)*0.95+K155</f>
        <v>257031.54</v>
      </c>
      <c r="L154" s="560"/>
    </row>
    <row r="155" spans="1:12" ht="14.25" x14ac:dyDescent="0.2">
      <c r="A155" s="128"/>
      <c r="B155" s="128"/>
      <c r="C155" s="128"/>
      <c r="D155" s="540" t="s">
        <v>114</v>
      </c>
      <c r="E155" s="540"/>
      <c r="F155" s="540"/>
      <c r="G155" s="540"/>
      <c r="H155" s="540"/>
      <c r="I155" s="128"/>
      <c r="J155" s="134"/>
      <c r="K155" s="560">
        <f>L145*1</f>
        <v>34091.379999999997</v>
      </c>
      <c r="L155" s="560"/>
    </row>
    <row r="156" spans="1:12" ht="14.25" x14ac:dyDescent="0.2">
      <c r="A156" s="128"/>
      <c r="B156" s="128"/>
      <c r="C156" s="128"/>
      <c r="D156" s="540" t="s">
        <v>115</v>
      </c>
      <c r="E156" s="540"/>
      <c r="F156" s="540"/>
      <c r="G156" s="540"/>
      <c r="H156" s="540"/>
      <c r="I156" s="560"/>
      <c r="J156" s="560"/>
      <c r="K156" s="560">
        <f>L146</f>
        <v>0</v>
      </c>
      <c r="L156" s="560"/>
    </row>
    <row r="157" spans="1:12" ht="14.25" x14ac:dyDescent="0.2">
      <c r="A157" s="128"/>
      <c r="B157" s="128"/>
      <c r="C157" s="128"/>
      <c r="D157" s="540" t="s">
        <v>111</v>
      </c>
      <c r="E157" s="540"/>
      <c r="F157" s="540"/>
      <c r="G157" s="540"/>
      <c r="H157" s="540"/>
      <c r="I157" s="136"/>
      <c r="J157" s="136"/>
      <c r="K157" s="136"/>
      <c r="L157" s="136">
        <v>0</v>
      </c>
    </row>
    <row r="158" spans="1:12" ht="14.25" x14ac:dyDescent="0.2">
      <c r="A158" s="128"/>
      <c r="B158" s="128"/>
      <c r="C158" s="128"/>
      <c r="D158" s="540" t="s">
        <v>116</v>
      </c>
      <c r="E158" s="540"/>
      <c r="F158" s="540"/>
      <c r="G158" s="540"/>
      <c r="H158" s="540"/>
      <c r="I158" s="128"/>
      <c r="J158" s="134"/>
      <c r="K158" s="560">
        <f>L144*0.95</f>
        <v>96299.77</v>
      </c>
      <c r="L158" s="560"/>
    </row>
    <row r="159" spans="1:12" ht="14.25" x14ac:dyDescent="0.2">
      <c r="A159" s="128"/>
      <c r="B159" s="128"/>
      <c r="C159" s="128"/>
      <c r="D159" s="540" t="s">
        <v>117</v>
      </c>
      <c r="E159" s="540"/>
      <c r="F159" s="540"/>
      <c r="G159" s="540"/>
      <c r="H159" s="540"/>
      <c r="I159" s="560"/>
      <c r="J159" s="560"/>
      <c r="K159" s="560">
        <f>K154*5.61%</f>
        <v>14419.47</v>
      </c>
      <c r="L159" s="560"/>
    </row>
    <row r="160" spans="1:12" ht="14.25" x14ac:dyDescent="0.2">
      <c r="A160" s="128"/>
      <c r="B160" s="128"/>
      <c r="C160" s="128"/>
      <c r="D160" s="540" t="s">
        <v>70</v>
      </c>
      <c r="E160" s="540"/>
      <c r="F160" s="540"/>
      <c r="G160" s="540"/>
      <c r="H160" s="540"/>
      <c r="I160" s="128"/>
      <c r="J160" s="137"/>
      <c r="K160" s="560">
        <f>K154+L157+K159</f>
        <v>271451.01</v>
      </c>
      <c r="L160" s="560"/>
    </row>
    <row r="161" spans="1:12" ht="14.25" x14ac:dyDescent="0.2">
      <c r="A161" s="128"/>
      <c r="B161" s="128"/>
      <c r="C161" s="128"/>
      <c r="D161" s="540" t="s">
        <v>71</v>
      </c>
      <c r="E161" s="540"/>
      <c r="F161" s="540"/>
      <c r="G161" s="540"/>
      <c r="H161" s="540"/>
      <c r="I161" s="128"/>
      <c r="J161" s="128"/>
      <c r="K161" s="560">
        <f>K158*0.15</f>
        <v>14444.97</v>
      </c>
      <c r="L161" s="560"/>
    </row>
    <row r="162" spans="1:12" ht="15" x14ac:dyDescent="0.25">
      <c r="A162" s="131"/>
      <c r="B162" s="131"/>
      <c r="C162" s="131"/>
      <c r="D162" s="575" t="s">
        <v>72</v>
      </c>
      <c r="E162" s="575"/>
      <c r="F162" s="575"/>
      <c r="G162" s="575"/>
      <c r="H162" s="575"/>
      <c r="I162" s="131"/>
      <c r="J162" s="131"/>
      <c r="K162" s="564">
        <f>K160+K161+K156</f>
        <v>285895.98</v>
      </c>
      <c r="L162" s="564"/>
    </row>
    <row r="163" spans="1:12" ht="12.75" x14ac:dyDescent="0.2">
      <c r="A163" s="138"/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8"/>
    </row>
    <row r="164" spans="1:12" ht="12.75" x14ac:dyDescent="0.2">
      <c r="A164" s="138"/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8"/>
    </row>
    <row r="165" spans="1:12" ht="12.75" x14ac:dyDescent="0.2">
      <c r="A165" s="138"/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8"/>
    </row>
    <row r="166" spans="1:12" ht="12.75" x14ac:dyDescent="0.2">
      <c r="A166" s="138"/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8"/>
    </row>
    <row r="167" spans="1:12" ht="15.75" x14ac:dyDescent="0.25">
      <c r="A167" s="138"/>
      <c r="B167" s="180" t="s">
        <v>137</v>
      </c>
      <c r="C167" s="181"/>
      <c r="D167" s="181"/>
      <c r="E167" s="138"/>
      <c r="F167" s="138"/>
      <c r="G167" s="138"/>
      <c r="H167" s="138"/>
      <c r="I167" s="138"/>
      <c r="J167" s="138"/>
      <c r="K167" s="138"/>
      <c r="L167" s="138"/>
    </row>
    <row r="168" spans="1:12" ht="15" x14ac:dyDescent="0.2">
      <c r="A168" s="138"/>
      <c r="B168" s="181"/>
      <c r="C168" s="181"/>
      <c r="D168" s="181"/>
      <c r="E168" s="138"/>
      <c r="F168" s="138"/>
      <c r="G168" s="138"/>
      <c r="H168" s="138"/>
      <c r="I168" s="138"/>
      <c r="J168" s="138"/>
      <c r="K168" s="138"/>
      <c r="L168" s="138"/>
    </row>
    <row r="169" spans="1:12" ht="15.75" x14ac:dyDescent="0.25">
      <c r="A169" s="139"/>
      <c r="B169" s="180" t="s">
        <v>118</v>
      </c>
      <c r="C169" s="180"/>
      <c r="D169" s="180"/>
      <c r="E169" s="140"/>
      <c r="F169" s="140"/>
      <c r="G169" s="140"/>
      <c r="H169" s="140"/>
      <c r="I169" s="140"/>
      <c r="J169" s="140"/>
      <c r="K169" s="140"/>
      <c r="L169" s="140"/>
    </row>
    <row r="170" spans="1:12" ht="15.75" x14ac:dyDescent="0.25">
      <c r="A170" s="139"/>
      <c r="B170" s="182" t="s">
        <v>119</v>
      </c>
      <c r="C170" s="183"/>
      <c r="D170" s="183"/>
      <c r="E170" s="142"/>
      <c r="F170" s="141"/>
      <c r="G170" s="503"/>
      <c r="H170" s="503"/>
      <c r="I170" s="143"/>
      <c r="J170" s="144" t="s">
        <v>120</v>
      </c>
      <c r="K170" s="145"/>
      <c r="L170" s="146"/>
    </row>
    <row r="171" spans="1:12" ht="15.75" x14ac:dyDescent="0.25">
      <c r="A171" s="139"/>
      <c r="B171" s="184" t="s">
        <v>138</v>
      </c>
      <c r="C171" s="185"/>
      <c r="D171" s="185"/>
      <c r="E171" s="147"/>
      <c r="F171" s="147"/>
      <c r="G171" s="147"/>
      <c r="H171" s="147"/>
      <c r="I171" s="146"/>
      <c r="J171" s="146"/>
      <c r="K171" s="146"/>
      <c r="L171" s="146"/>
    </row>
    <row r="172" spans="1:12" ht="15.75" x14ac:dyDescent="0.25">
      <c r="A172" s="139"/>
      <c r="B172" s="148"/>
      <c r="C172" s="148"/>
      <c r="D172" s="186"/>
      <c r="E172" s="149"/>
      <c r="F172" s="149"/>
      <c r="G172" s="150"/>
      <c r="H172" s="151"/>
      <c r="I172" s="149"/>
      <c r="J172" s="152"/>
      <c r="K172" s="153"/>
      <c r="L172" s="139"/>
    </row>
    <row r="173" spans="1:12" ht="15.75" x14ac:dyDescent="0.25">
      <c r="A173" s="139"/>
      <c r="B173" s="148"/>
      <c r="C173" s="148"/>
      <c r="D173" s="186"/>
      <c r="E173" s="149"/>
      <c r="F173" s="149"/>
      <c r="G173" s="150"/>
      <c r="H173" s="151"/>
      <c r="I173" s="149"/>
      <c r="J173" s="152"/>
      <c r="K173" s="153"/>
      <c r="L173" s="139"/>
    </row>
    <row r="174" spans="1:12" ht="15.75" x14ac:dyDescent="0.25">
      <c r="A174" s="139"/>
      <c r="B174" s="148"/>
      <c r="C174" s="148"/>
      <c r="D174" s="186"/>
      <c r="E174" s="149"/>
      <c r="F174" s="149"/>
      <c r="G174" s="150"/>
      <c r="H174" s="151"/>
      <c r="I174" s="149"/>
      <c r="J174" s="152"/>
      <c r="K174" s="153"/>
      <c r="L174" s="139"/>
    </row>
    <row r="175" spans="1:12" ht="15.75" x14ac:dyDescent="0.25">
      <c r="A175" s="139"/>
      <c r="B175" s="148"/>
      <c r="C175" s="148"/>
      <c r="D175" s="149"/>
      <c r="E175" s="149"/>
      <c r="F175" s="149"/>
      <c r="G175" s="149"/>
      <c r="H175" s="151"/>
      <c r="I175" s="149"/>
      <c r="J175" s="152"/>
      <c r="K175" s="153"/>
      <c r="L175" s="139"/>
    </row>
    <row r="176" spans="1:12" ht="15.75" x14ac:dyDescent="0.25">
      <c r="A176" s="139"/>
      <c r="B176" s="180" t="s">
        <v>121</v>
      </c>
      <c r="C176" s="187"/>
      <c r="D176" s="180"/>
      <c r="E176" s="147"/>
      <c r="F176" s="140"/>
      <c r="G176" s="147"/>
      <c r="H176" s="140"/>
      <c r="I176" s="146"/>
      <c r="J176" s="146"/>
      <c r="K176" s="146"/>
      <c r="L176" s="139"/>
    </row>
    <row r="177" spans="1:12" ht="15.75" x14ac:dyDescent="0.25">
      <c r="A177" s="139"/>
      <c r="B177" s="180"/>
      <c r="C177" s="187"/>
      <c r="D177" s="180"/>
      <c r="E177" s="147"/>
      <c r="F177" s="140"/>
      <c r="G177" s="147"/>
      <c r="H177" s="140"/>
      <c r="I177" s="146"/>
      <c r="J177" s="146"/>
      <c r="K177" s="146"/>
      <c r="L177" s="139"/>
    </row>
    <row r="178" spans="1:12" ht="15.75" x14ac:dyDescent="0.25">
      <c r="A178" s="139"/>
      <c r="B178" s="504" t="s">
        <v>122</v>
      </c>
      <c r="C178" s="504"/>
      <c r="D178" s="504"/>
      <c r="E178" s="147"/>
      <c r="F178" s="140"/>
      <c r="G178" s="147"/>
      <c r="H178" s="140"/>
      <c r="I178" s="146"/>
      <c r="J178" s="146"/>
      <c r="K178" s="146"/>
      <c r="L178" s="139"/>
    </row>
    <row r="179" spans="1:12" ht="15.75" x14ac:dyDescent="0.25">
      <c r="A179" s="139"/>
      <c r="B179" s="505" t="s">
        <v>123</v>
      </c>
      <c r="C179" s="505"/>
      <c r="D179" s="505"/>
      <c r="E179" s="154"/>
      <c r="F179" s="141"/>
      <c r="G179" s="142"/>
      <c r="H179" s="155"/>
      <c r="I179" s="145"/>
      <c r="J179" s="144" t="s">
        <v>84</v>
      </c>
      <c r="K179" s="145"/>
      <c r="L179" s="139"/>
    </row>
    <row r="180" spans="1:12" ht="15.75" x14ac:dyDescent="0.25">
      <c r="A180" s="139"/>
      <c r="B180" s="184" t="s">
        <v>73</v>
      </c>
      <c r="C180" s="188"/>
      <c r="D180" s="188"/>
      <c r="E180" s="156"/>
      <c r="F180" s="147"/>
      <c r="G180" s="140"/>
      <c r="H180" s="140"/>
      <c r="I180" s="146"/>
      <c r="J180" s="146"/>
      <c r="K180" s="146"/>
      <c r="L180" s="139"/>
    </row>
  </sheetData>
  <mergeCells count="133">
    <mergeCell ref="G170:H170"/>
    <mergeCell ref="B178:D178"/>
    <mergeCell ref="B179:D179"/>
    <mergeCell ref="D161:H161"/>
    <mergeCell ref="K161:L161"/>
    <mergeCell ref="D162:H162"/>
    <mergeCell ref="K162:L162"/>
    <mergeCell ref="D158:H158"/>
    <mergeCell ref="K158:L158"/>
    <mergeCell ref="D159:H159"/>
    <mergeCell ref="I159:J159"/>
    <mergeCell ref="K159:L159"/>
    <mergeCell ref="D160:H160"/>
    <mergeCell ref="K160:L160"/>
    <mergeCell ref="D155:H155"/>
    <mergeCell ref="K155:L155"/>
    <mergeCell ref="D156:H156"/>
    <mergeCell ref="I156:J156"/>
    <mergeCell ref="K156:L156"/>
    <mergeCell ref="D157:H157"/>
    <mergeCell ref="D152:H152"/>
    <mergeCell ref="I152:J152"/>
    <mergeCell ref="K152:L152"/>
    <mergeCell ref="D153:H153"/>
    <mergeCell ref="D154:H154"/>
    <mergeCell ref="K154:L154"/>
    <mergeCell ref="D150:H150"/>
    <mergeCell ref="I150:J150"/>
    <mergeCell ref="K150:L150"/>
    <mergeCell ref="D151:H151"/>
    <mergeCell ref="I151:J151"/>
    <mergeCell ref="K151:L151"/>
    <mergeCell ref="D147:H147"/>
    <mergeCell ref="D148:H148"/>
    <mergeCell ref="I148:J148"/>
    <mergeCell ref="K148:L148"/>
    <mergeCell ref="D149:H149"/>
    <mergeCell ref="I149:J149"/>
    <mergeCell ref="K149:L149"/>
    <mergeCell ref="D139:H139"/>
    <mergeCell ref="I139:J139"/>
    <mergeCell ref="K139:L139"/>
    <mergeCell ref="D140:H140"/>
    <mergeCell ref="I140:J140"/>
    <mergeCell ref="K140:L140"/>
    <mergeCell ref="A135:H135"/>
    <mergeCell ref="I135:J135"/>
    <mergeCell ref="K135:L135"/>
    <mergeCell ref="D138:H138"/>
    <mergeCell ref="I138:J138"/>
    <mergeCell ref="K138:L138"/>
    <mergeCell ref="I127:J127"/>
    <mergeCell ref="K127:L127"/>
    <mergeCell ref="I129:J129"/>
    <mergeCell ref="K129:L129"/>
    <mergeCell ref="A131:H131"/>
    <mergeCell ref="I131:J131"/>
    <mergeCell ref="K131:L131"/>
    <mergeCell ref="I108:J108"/>
    <mergeCell ref="K108:L108"/>
    <mergeCell ref="I110:J110"/>
    <mergeCell ref="K110:L110"/>
    <mergeCell ref="I122:J122"/>
    <mergeCell ref="K122:L122"/>
    <mergeCell ref="I91:J91"/>
    <mergeCell ref="K91:L91"/>
    <mergeCell ref="I93:J93"/>
    <mergeCell ref="K93:L93"/>
    <mergeCell ref="I103:J103"/>
    <mergeCell ref="K103:L103"/>
    <mergeCell ref="I74:J74"/>
    <mergeCell ref="K74:L74"/>
    <mergeCell ref="I76:J76"/>
    <mergeCell ref="K76:L76"/>
    <mergeCell ref="I86:J86"/>
    <mergeCell ref="K86:L86"/>
    <mergeCell ref="I59:J59"/>
    <mergeCell ref="K59:L59"/>
    <mergeCell ref="I69:J69"/>
    <mergeCell ref="K69:L69"/>
    <mergeCell ref="A38:L38"/>
    <mergeCell ref="A39:L39"/>
    <mergeCell ref="A40:D40"/>
    <mergeCell ref="A42:L42"/>
    <mergeCell ref="I52:J52"/>
    <mergeCell ref="K52:L52"/>
    <mergeCell ref="I1:L1"/>
    <mergeCell ref="I2:L2"/>
    <mergeCell ref="J3:L3"/>
    <mergeCell ref="J4:L4"/>
    <mergeCell ref="J5:L6"/>
    <mergeCell ref="A6:B6"/>
    <mergeCell ref="C6:H6"/>
    <mergeCell ref="C7:H7"/>
    <mergeCell ref="I57:J57"/>
    <mergeCell ref="K57:L57"/>
    <mergeCell ref="H30:H35"/>
    <mergeCell ref="I30:I35"/>
    <mergeCell ref="J30:J35"/>
    <mergeCell ref="K30:K35"/>
    <mergeCell ref="L30:L35"/>
    <mergeCell ref="A31:A35"/>
    <mergeCell ref="B31:B35"/>
    <mergeCell ref="A30:B30"/>
    <mergeCell ref="C30:C35"/>
    <mergeCell ref="D30:D35"/>
    <mergeCell ref="E30:E35"/>
    <mergeCell ref="F30:F35"/>
    <mergeCell ref="G30:G35"/>
    <mergeCell ref="J7:L8"/>
    <mergeCell ref="A8:B8"/>
    <mergeCell ref="C8:H8"/>
    <mergeCell ref="C9:H9"/>
    <mergeCell ref="J9:L10"/>
    <mergeCell ref="C10:H10"/>
    <mergeCell ref="C11:H11"/>
    <mergeCell ref="J11:L12"/>
    <mergeCell ref="C12:H12"/>
    <mergeCell ref="A25:L25"/>
    <mergeCell ref="A26:L26"/>
    <mergeCell ref="H28:I28"/>
    <mergeCell ref="A29:L29"/>
    <mergeCell ref="C13:H13"/>
    <mergeCell ref="G14:I14"/>
    <mergeCell ref="J14:L14"/>
    <mergeCell ref="G15:H15"/>
    <mergeCell ref="J15:L15"/>
    <mergeCell ref="J16:L16"/>
    <mergeCell ref="J17:L17"/>
    <mergeCell ref="J18:L18"/>
    <mergeCell ref="G20:G21"/>
    <mergeCell ref="H20:H21"/>
    <mergeCell ref="I20:J20"/>
  </mergeCells>
  <pageMargins left="0.39370078740157483" right="0.19685039370078741" top="0.19685039370078741" bottom="0.39370078740157483" header="0.31496062992125984" footer="0.31496062992125984"/>
  <pageSetup paperSize="9" scale="64" fitToHeight="0" orientation="portrait" blackAndWhite="1" r:id="rId1"/>
  <headerFoot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109"/>
  <sheetViews>
    <sheetView workbookViewId="0"/>
  </sheetViews>
  <sheetFormatPr defaultColWidth="9.33203125" defaultRowHeight="11.25" x14ac:dyDescent="0.2"/>
  <cols>
    <col min="1" max="2" width="8.83203125" style="49" customWidth="1"/>
    <col min="3" max="3" width="13.6640625" style="49" customWidth="1"/>
    <col min="4" max="4" width="47.5" style="49" customWidth="1"/>
    <col min="5" max="5" width="13.6640625" style="49" customWidth="1"/>
    <col min="6" max="6" width="11.1640625" style="49" customWidth="1"/>
    <col min="7" max="7" width="14" style="49" customWidth="1"/>
    <col min="8" max="10" width="15.6640625" style="49" customWidth="1"/>
    <col min="11" max="11" width="10.6640625" style="49" bestFit="1" customWidth="1"/>
    <col min="12" max="12" width="14.83203125" style="49" customWidth="1"/>
    <col min="13" max="14" width="9.33203125" style="49"/>
    <col min="15" max="36" width="0" style="49" hidden="1" customWidth="1"/>
    <col min="37" max="16384" width="9.33203125" style="49"/>
  </cols>
  <sheetData>
    <row r="1" spans="1:12" ht="14.25" x14ac:dyDescent="0.2">
      <c r="A1" s="101"/>
      <c r="B1" s="101"/>
      <c r="C1" s="101"/>
      <c r="D1" s="101"/>
      <c r="E1" s="101"/>
      <c r="F1" s="101"/>
      <c r="G1" s="101"/>
      <c r="H1" s="101"/>
      <c r="I1" s="531" t="s">
        <v>15</v>
      </c>
      <c r="J1" s="531"/>
      <c r="K1" s="531"/>
      <c r="L1" s="531"/>
    </row>
    <row r="2" spans="1:12" ht="14.25" x14ac:dyDescent="0.2">
      <c r="A2" s="101"/>
      <c r="B2" s="101"/>
      <c r="C2" s="101"/>
      <c r="D2" s="101"/>
      <c r="E2" s="101"/>
      <c r="F2" s="101"/>
      <c r="G2" s="101"/>
      <c r="H2" s="101"/>
      <c r="I2" s="531" t="s">
        <v>16</v>
      </c>
      <c r="J2" s="531"/>
      <c r="K2" s="531"/>
      <c r="L2" s="531"/>
    </row>
    <row r="3" spans="1:12" ht="14.25" x14ac:dyDescent="0.2">
      <c r="A3" s="101"/>
      <c r="B3" s="101"/>
      <c r="C3" s="101"/>
      <c r="D3" s="101"/>
      <c r="E3" s="101"/>
      <c r="F3" s="101"/>
      <c r="G3" s="101"/>
      <c r="H3" s="101"/>
      <c r="I3" s="101"/>
      <c r="J3" s="532" t="s">
        <v>17</v>
      </c>
      <c r="K3" s="532"/>
      <c r="L3" s="532"/>
    </row>
    <row r="4" spans="1:12" ht="14.25" x14ac:dyDescent="0.2">
      <c r="A4" s="101"/>
      <c r="B4" s="101"/>
      <c r="C4" s="101"/>
      <c r="D4" s="101"/>
      <c r="E4" s="101"/>
      <c r="F4" s="101"/>
      <c r="G4" s="101"/>
      <c r="H4" s="101"/>
      <c r="I4" s="242" t="s">
        <v>18</v>
      </c>
      <c r="J4" s="533" t="s">
        <v>19</v>
      </c>
      <c r="K4" s="533"/>
      <c r="L4" s="533"/>
    </row>
    <row r="5" spans="1:12" ht="14.25" x14ac:dyDescent="0.2">
      <c r="A5" s="101"/>
      <c r="B5" s="101"/>
      <c r="C5" s="101"/>
      <c r="D5" s="101"/>
      <c r="E5" s="101"/>
      <c r="F5" s="101"/>
      <c r="G5" s="101"/>
      <c r="H5" s="101"/>
      <c r="I5" s="101"/>
      <c r="J5" s="534" t="s">
        <v>83</v>
      </c>
      <c r="K5" s="535"/>
      <c r="L5" s="536"/>
    </row>
    <row r="6" spans="1:12" ht="30.75" customHeight="1" x14ac:dyDescent="0.2">
      <c r="A6" s="540" t="s">
        <v>86</v>
      </c>
      <c r="B6" s="540"/>
      <c r="C6" s="541" t="s">
        <v>87</v>
      </c>
      <c r="D6" s="541"/>
      <c r="E6" s="541"/>
      <c r="F6" s="541"/>
      <c r="G6" s="541"/>
      <c r="H6" s="541"/>
      <c r="I6" s="242" t="s">
        <v>21</v>
      </c>
      <c r="J6" s="537"/>
      <c r="K6" s="538"/>
      <c r="L6" s="539"/>
    </row>
    <row r="7" spans="1:12" ht="14.25" x14ac:dyDescent="0.2">
      <c r="A7" s="102"/>
      <c r="B7" s="102"/>
      <c r="C7" s="547" t="s">
        <v>22</v>
      </c>
      <c r="D7" s="547"/>
      <c r="E7" s="547"/>
      <c r="F7" s="547"/>
      <c r="G7" s="547"/>
      <c r="H7" s="547"/>
      <c r="I7" s="101"/>
      <c r="J7" s="534" t="s">
        <v>56</v>
      </c>
      <c r="K7" s="535"/>
      <c r="L7" s="536"/>
    </row>
    <row r="8" spans="1:12" ht="30.75" customHeight="1" x14ac:dyDescent="0.2">
      <c r="A8" s="540" t="s">
        <v>88</v>
      </c>
      <c r="B8" s="540"/>
      <c r="C8" s="541" t="s">
        <v>89</v>
      </c>
      <c r="D8" s="541"/>
      <c r="E8" s="541"/>
      <c r="F8" s="541"/>
      <c r="G8" s="541"/>
      <c r="H8" s="541"/>
      <c r="I8" s="242" t="s">
        <v>21</v>
      </c>
      <c r="J8" s="537"/>
      <c r="K8" s="538"/>
      <c r="L8" s="539"/>
    </row>
    <row r="9" spans="1:12" ht="14.25" x14ac:dyDescent="0.2">
      <c r="A9" s="101"/>
      <c r="B9" s="101"/>
      <c r="C9" s="547" t="s">
        <v>22</v>
      </c>
      <c r="D9" s="547"/>
      <c r="E9" s="547"/>
      <c r="F9" s="547"/>
      <c r="G9" s="547"/>
      <c r="H9" s="547"/>
      <c r="I9" s="101"/>
      <c r="J9" s="534"/>
      <c r="K9" s="535"/>
      <c r="L9" s="536"/>
    </row>
    <row r="10" spans="1:12" ht="14.25" customHeight="1" x14ac:dyDescent="0.2">
      <c r="A10" s="101" t="s">
        <v>23</v>
      </c>
      <c r="B10" s="101"/>
      <c r="C10" s="551" t="s">
        <v>90</v>
      </c>
      <c r="D10" s="551"/>
      <c r="E10" s="551"/>
      <c r="F10" s="551"/>
      <c r="G10" s="551"/>
      <c r="H10" s="551"/>
      <c r="I10" s="101"/>
      <c r="J10" s="537"/>
      <c r="K10" s="538"/>
      <c r="L10" s="539"/>
    </row>
    <row r="11" spans="1:12" ht="14.25" x14ac:dyDescent="0.2">
      <c r="A11" s="101"/>
      <c r="B11" s="101"/>
      <c r="C11" s="547" t="s">
        <v>24</v>
      </c>
      <c r="D11" s="547"/>
      <c r="E11" s="547"/>
      <c r="F11" s="547"/>
      <c r="G11" s="547"/>
      <c r="H11" s="547"/>
      <c r="I11" s="101"/>
      <c r="J11" s="548" t="s">
        <v>20</v>
      </c>
      <c r="K11" s="548"/>
      <c r="L11" s="548"/>
    </row>
    <row r="12" spans="1:12" ht="14.25" customHeight="1" x14ac:dyDescent="0.2">
      <c r="A12" s="101" t="s">
        <v>25</v>
      </c>
      <c r="B12" s="101"/>
      <c r="C12" s="549" t="s">
        <v>91</v>
      </c>
      <c r="D12" s="549"/>
      <c r="E12" s="549"/>
      <c r="F12" s="549"/>
      <c r="G12" s="549"/>
      <c r="H12" s="549"/>
      <c r="I12" s="101"/>
      <c r="J12" s="548"/>
      <c r="K12" s="548"/>
      <c r="L12" s="548"/>
    </row>
    <row r="13" spans="1:12" ht="14.25" x14ac:dyDescent="0.2">
      <c r="A13" s="101"/>
      <c r="B13" s="101"/>
      <c r="C13" s="550" t="s">
        <v>26</v>
      </c>
      <c r="D13" s="550"/>
      <c r="E13" s="550"/>
      <c r="F13" s="550"/>
      <c r="G13" s="550"/>
      <c r="H13" s="550"/>
      <c r="I13" s="101"/>
      <c r="J13" s="101"/>
      <c r="K13" s="101"/>
      <c r="L13" s="101"/>
    </row>
    <row r="14" spans="1:12" ht="14.25" x14ac:dyDescent="0.2">
      <c r="A14" s="101"/>
      <c r="B14" s="101"/>
      <c r="C14" s="101"/>
      <c r="D14" s="101"/>
      <c r="E14" s="101"/>
      <c r="F14" s="101"/>
      <c r="G14" s="542" t="s">
        <v>27</v>
      </c>
      <c r="H14" s="542"/>
      <c r="I14" s="542"/>
      <c r="J14" s="532"/>
      <c r="K14" s="532"/>
      <c r="L14" s="532"/>
    </row>
    <row r="15" spans="1:12" ht="14.25" customHeight="1" x14ac:dyDescent="0.2">
      <c r="A15" s="101"/>
      <c r="B15" s="101"/>
      <c r="C15" s="101"/>
      <c r="D15" s="101"/>
      <c r="E15" s="101"/>
      <c r="F15" s="101"/>
      <c r="G15" s="542" t="s">
        <v>28</v>
      </c>
      <c r="H15" s="543"/>
      <c r="I15" s="103" t="s">
        <v>29</v>
      </c>
      <c r="J15" s="544" t="s">
        <v>92</v>
      </c>
      <c r="K15" s="545"/>
      <c r="L15" s="546"/>
    </row>
    <row r="16" spans="1:12" ht="14.25" x14ac:dyDescent="0.2">
      <c r="A16" s="101"/>
      <c r="B16" s="101"/>
      <c r="C16" s="101"/>
      <c r="D16" s="101"/>
      <c r="E16" s="101"/>
      <c r="F16" s="101"/>
      <c r="G16" s="101"/>
      <c r="H16" s="101"/>
      <c r="I16" s="243" t="s">
        <v>30</v>
      </c>
      <c r="J16" s="506">
        <v>41544</v>
      </c>
      <c r="K16" s="506"/>
      <c r="L16" s="506"/>
    </row>
    <row r="17" spans="1:12" ht="14.25" customHeight="1" x14ac:dyDescent="0.2">
      <c r="A17" s="101"/>
      <c r="B17" s="101"/>
      <c r="C17" s="101"/>
      <c r="D17" s="101"/>
      <c r="E17" s="101"/>
      <c r="F17" s="101"/>
      <c r="G17" s="101"/>
      <c r="H17" s="101"/>
      <c r="I17" s="104"/>
      <c r="J17" s="507">
        <v>25</v>
      </c>
      <c r="K17" s="508"/>
      <c r="L17" s="509"/>
    </row>
    <row r="18" spans="1:12" ht="14.25" x14ac:dyDescent="0.2">
      <c r="A18" s="101"/>
      <c r="B18" s="101"/>
      <c r="C18" s="101"/>
      <c r="D18" s="101"/>
      <c r="E18" s="101"/>
      <c r="F18" s="101"/>
      <c r="G18" s="101"/>
      <c r="H18" s="101"/>
      <c r="I18" s="104"/>
      <c r="J18" s="510">
        <v>44158</v>
      </c>
      <c r="K18" s="511"/>
      <c r="L18" s="512"/>
    </row>
    <row r="19" spans="1:12" ht="14.25" x14ac:dyDescent="0.2">
      <c r="A19" s="101"/>
      <c r="B19" s="101"/>
      <c r="C19" s="101"/>
      <c r="D19" s="101"/>
      <c r="E19" s="101"/>
      <c r="F19" s="101"/>
      <c r="G19" s="101"/>
      <c r="H19" s="101"/>
      <c r="I19" s="104"/>
      <c r="J19" s="205"/>
      <c r="K19" s="205"/>
      <c r="L19" s="205"/>
    </row>
    <row r="20" spans="1:12" ht="14.25" customHeight="1" x14ac:dyDescent="0.2">
      <c r="A20" s="101"/>
      <c r="B20" s="101"/>
      <c r="C20" s="101"/>
      <c r="D20" s="101"/>
      <c r="E20" s="101"/>
      <c r="F20" s="101"/>
      <c r="G20" s="513" t="s">
        <v>31</v>
      </c>
      <c r="H20" s="515" t="s">
        <v>32</v>
      </c>
      <c r="I20" s="515" t="s">
        <v>33</v>
      </c>
      <c r="J20" s="517"/>
      <c r="K20" s="205"/>
      <c r="L20" s="205"/>
    </row>
    <row r="21" spans="1:12" ht="14.25" x14ac:dyDescent="0.2">
      <c r="A21" s="101"/>
      <c r="B21" s="101"/>
      <c r="C21" s="101"/>
      <c r="D21" s="101"/>
      <c r="E21" s="101"/>
      <c r="F21" s="101"/>
      <c r="G21" s="514"/>
      <c r="H21" s="516"/>
      <c r="I21" s="241" t="s">
        <v>34</v>
      </c>
      <c r="J21" s="240" t="s">
        <v>35</v>
      </c>
      <c r="K21" s="205"/>
      <c r="L21" s="205"/>
    </row>
    <row r="22" spans="1:12" ht="14.25" x14ac:dyDescent="0.2">
      <c r="A22" s="101"/>
      <c r="B22" s="101"/>
      <c r="C22" s="101"/>
      <c r="D22" s="101"/>
      <c r="E22" s="101"/>
      <c r="F22" s="101"/>
      <c r="G22" s="208" t="s">
        <v>153</v>
      </c>
      <c r="H22" s="209">
        <v>44227</v>
      </c>
      <c r="I22" s="209">
        <v>44197</v>
      </c>
      <c r="J22" s="210">
        <f>H22</f>
        <v>44227</v>
      </c>
      <c r="K22" s="101"/>
      <c r="L22" s="101"/>
    </row>
    <row r="23" spans="1:12" ht="14.25" x14ac:dyDescent="0.2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12" ht="14.25" customHeight="1" x14ac:dyDescent="0.2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1:12" ht="18" x14ac:dyDescent="0.25">
      <c r="A25" s="525" t="s">
        <v>36</v>
      </c>
      <c r="B25" s="525"/>
      <c r="C25" s="525"/>
      <c r="D25" s="525"/>
      <c r="E25" s="525"/>
      <c r="F25" s="525"/>
      <c r="G25" s="525"/>
      <c r="H25" s="525"/>
      <c r="I25" s="525"/>
      <c r="J25" s="525"/>
      <c r="K25" s="525"/>
      <c r="L25" s="525"/>
    </row>
    <row r="26" spans="1:12" ht="18" x14ac:dyDescent="0.25">
      <c r="A26" s="525" t="s">
        <v>37</v>
      </c>
      <c r="B26" s="525"/>
      <c r="C26" s="525"/>
      <c r="D26" s="525"/>
      <c r="E26" s="525"/>
      <c r="F26" s="525"/>
      <c r="G26" s="525"/>
      <c r="H26" s="525"/>
      <c r="I26" s="525"/>
      <c r="J26" s="525"/>
      <c r="K26" s="525"/>
      <c r="L26" s="525"/>
    </row>
    <row r="27" spans="1:12" ht="14.25" x14ac:dyDescent="0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12" ht="15" hidden="1" x14ac:dyDescent="0.25">
      <c r="A28" s="44" t="s">
        <v>66</v>
      </c>
      <c r="B28" s="44"/>
      <c r="C28" s="44"/>
      <c r="D28" s="44"/>
      <c r="E28" s="44"/>
      <c r="F28" s="44"/>
      <c r="G28" s="44"/>
      <c r="H28" s="566">
        <f>([80]Source!P173/1000)</f>
        <v>276.62</v>
      </c>
      <c r="I28" s="566"/>
      <c r="J28" s="44" t="s">
        <v>67</v>
      </c>
      <c r="K28" s="44"/>
      <c r="L28" s="44"/>
    </row>
    <row r="29" spans="1:12" ht="14.25" x14ac:dyDescent="0.2">
      <c r="A29" s="526" t="s">
        <v>125</v>
      </c>
      <c r="B29" s="526"/>
      <c r="C29" s="526"/>
      <c r="D29" s="526"/>
      <c r="E29" s="526"/>
      <c r="F29" s="526"/>
      <c r="G29" s="526"/>
      <c r="H29" s="526"/>
      <c r="I29" s="526"/>
      <c r="J29" s="526"/>
      <c r="K29" s="526"/>
      <c r="L29" s="526"/>
    </row>
    <row r="30" spans="1:12" ht="14.25" x14ac:dyDescent="0.2">
      <c r="A30" s="553" t="s">
        <v>38</v>
      </c>
      <c r="B30" s="553"/>
      <c r="C30" s="553" t="s">
        <v>39</v>
      </c>
      <c r="D30" s="553" t="s">
        <v>40</v>
      </c>
      <c r="E30" s="553" t="s">
        <v>126</v>
      </c>
      <c r="F30" s="553" t="s">
        <v>68</v>
      </c>
      <c r="G30" s="553" t="s">
        <v>69</v>
      </c>
      <c r="H30" s="518" t="s">
        <v>127</v>
      </c>
      <c r="I30" s="518" t="s">
        <v>128</v>
      </c>
      <c r="J30" s="553" t="s">
        <v>129</v>
      </c>
      <c r="K30" s="553" t="s">
        <v>130</v>
      </c>
      <c r="L30" s="553" t="s">
        <v>131</v>
      </c>
    </row>
    <row r="31" spans="1:12" x14ac:dyDescent="0.2">
      <c r="A31" s="518" t="s">
        <v>41</v>
      </c>
      <c r="B31" s="518" t="s">
        <v>42</v>
      </c>
      <c r="C31" s="553"/>
      <c r="D31" s="553"/>
      <c r="E31" s="553"/>
      <c r="F31" s="553"/>
      <c r="G31" s="553"/>
      <c r="H31" s="519"/>
      <c r="I31" s="519"/>
      <c r="J31" s="553"/>
      <c r="K31" s="553"/>
      <c r="L31" s="553"/>
    </row>
    <row r="32" spans="1:12" x14ac:dyDescent="0.2">
      <c r="A32" s="519"/>
      <c r="B32" s="519"/>
      <c r="C32" s="553"/>
      <c r="D32" s="553"/>
      <c r="E32" s="553"/>
      <c r="F32" s="553"/>
      <c r="G32" s="553"/>
      <c r="H32" s="519"/>
      <c r="I32" s="519"/>
      <c r="J32" s="553"/>
      <c r="K32" s="553"/>
      <c r="L32" s="553"/>
    </row>
    <row r="33" spans="1:22" x14ac:dyDescent="0.2">
      <c r="A33" s="519"/>
      <c r="B33" s="519"/>
      <c r="C33" s="553"/>
      <c r="D33" s="553"/>
      <c r="E33" s="553"/>
      <c r="F33" s="553"/>
      <c r="G33" s="553"/>
      <c r="H33" s="519"/>
      <c r="I33" s="519"/>
      <c r="J33" s="553"/>
      <c r="K33" s="553"/>
      <c r="L33" s="553"/>
    </row>
    <row r="34" spans="1:22" x14ac:dyDescent="0.2">
      <c r="A34" s="519"/>
      <c r="B34" s="519"/>
      <c r="C34" s="553"/>
      <c r="D34" s="553"/>
      <c r="E34" s="553"/>
      <c r="F34" s="553"/>
      <c r="G34" s="553"/>
      <c r="H34" s="519"/>
      <c r="I34" s="519"/>
      <c r="J34" s="553"/>
      <c r="K34" s="553"/>
      <c r="L34" s="553"/>
    </row>
    <row r="35" spans="1:22" x14ac:dyDescent="0.2">
      <c r="A35" s="520"/>
      <c r="B35" s="520"/>
      <c r="C35" s="553"/>
      <c r="D35" s="553"/>
      <c r="E35" s="553"/>
      <c r="F35" s="553"/>
      <c r="G35" s="553"/>
      <c r="H35" s="520"/>
      <c r="I35" s="520"/>
      <c r="J35" s="553"/>
      <c r="K35" s="553"/>
      <c r="L35" s="553"/>
    </row>
    <row r="36" spans="1:22" ht="14.25" x14ac:dyDescent="0.2">
      <c r="A36" s="107">
        <v>1</v>
      </c>
      <c r="B36" s="107">
        <v>2</v>
      </c>
      <c r="C36" s="107">
        <v>3</v>
      </c>
      <c r="D36" s="107">
        <v>4</v>
      </c>
      <c r="E36" s="107">
        <v>5</v>
      </c>
      <c r="F36" s="107">
        <v>6</v>
      </c>
      <c r="G36" s="107">
        <v>7</v>
      </c>
      <c r="H36" s="107">
        <v>8</v>
      </c>
      <c r="I36" s="107">
        <v>9</v>
      </c>
      <c r="J36" s="107">
        <v>10</v>
      </c>
      <c r="K36" s="107">
        <v>11</v>
      </c>
      <c r="L36" s="107">
        <v>12</v>
      </c>
    </row>
    <row r="38" spans="1:22" ht="16.5" x14ac:dyDescent="0.25">
      <c r="A38" s="522" t="s">
        <v>154</v>
      </c>
      <c r="B38" s="522"/>
      <c r="C38" s="522"/>
      <c r="D38" s="522"/>
      <c r="E38" s="522"/>
      <c r="F38" s="522"/>
      <c r="G38" s="522"/>
      <c r="H38" s="522"/>
      <c r="I38" s="522"/>
      <c r="J38" s="522"/>
      <c r="K38" s="522"/>
      <c r="L38" s="522"/>
    </row>
    <row r="39" spans="1:22" ht="36" customHeight="1" x14ac:dyDescent="0.25">
      <c r="A39" s="522" t="s">
        <v>155</v>
      </c>
      <c r="B39" s="522"/>
      <c r="C39" s="522"/>
      <c r="D39" s="522"/>
      <c r="E39" s="522"/>
      <c r="F39" s="522"/>
      <c r="G39" s="522"/>
      <c r="H39" s="522"/>
      <c r="I39" s="522"/>
      <c r="J39" s="522"/>
      <c r="K39" s="522"/>
      <c r="L39" s="522"/>
    </row>
    <row r="40" spans="1:22" ht="16.5" x14ac:dyDescent="0.25">
      <c r="A40" s="571" t="str">
        <f>CONCATENATE("Локальная смета: ",IF([80]Source!G20&lt;&gt;"Новая локальная смета", [80]Source!G20, ""))</f>
        <v xml:space="preserve">Локальная смета: </v>
      </c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</row>
    <row r="41" spans="1:22" ht="42.75" x14ac:dyDescent="0.2">
      <c r="A41" s="108">
        <v>1</v>
      </c>
      <c r="B41" s="108" t="str">
        <f>[80]Source!E44</f>
        <v>6</v>
      </c>
      <c r="C41" s="109" t="str">
        <f>[80]Source!F44</f>
        <v>3.9-1-1</v>
      </c>
      <c r="D41" s="109" t="s">
        <v>156</v>
      </c>
      <c r="E41" s="110" t="str">
        <f>[80]Source!H44</f>
        <v>1 т конструкций</v>
      </c>
      <c r="F41" s="111">
        <f>[80]Source!I44</f>
        <v>2.8940000000000001</v>
      </c>
      <c r="G41" s="112"/>
      <c r="H41" s="113"/>
      <c r="I41" s="111"/>
      <c r="J41" s="114"/>
      <c r="K41" s="111"/>
      <c r="L41" s="114"/>
      <c r="Q41" s="49">
        <f>[80]Source!X44</f>
        <v>1206.6099999999999</v>
      </c>
      <c r="R41" s="49">
        <f>[80]Source!X45</f>
        <v>23241.84</v>
      </c>
      <c r="S41" s="49">
        <f>[80]Source!Y44</f>
        <v>1456.26</v>
      </c>
      <c r="T41" s="49">
        <f>[80]Source!Y45</f>
        <v>16601.32</v>
      </c>
      <c r="U41" s="49">
        <f>ROUND((175/100)*ROUND([80]Source!R44, 2), 2)</f>
        <v>43.49</v>
      </c>
      <c r="V41" s="49">
        <f>ROUND((157/100)*ROUND([80]Source!R45, 2), 2)</f>
        <v>934.01</v>
      </c>
    </row>
    <row r="42" spans="1:22" ht="14.25" x14ac:dyDescent="0.2">
      <c r="A42" s="108"/>
      <c r="B42" s="108"/>
      <c r="C42" s="109"/>
      <c r="D42" s="109" t="s">
        <v>43</v>
      </c>
      <c r="E42" s="110"/>
      <c r="F42" s="111"/>
      <c r="G42" s="112">
        <f>[80]Source!AO44</f>
        <v>264</v>
      </c>
      <c r="H42" s="113" t="str">
        <f>[80]Source!DG44</f>
        <v>)*1,67</v>
      </c>
      <c r="I42" s="111">
        <f>[80]Source!AV45</f>
        <v>1.087</v>
      </c>
      <c r="J42" s="114">
        <f>[80]Source!S44</f>
        <v>1386.91</v>
      </c>
      <c r="K42" s="111">
        <f>IF([80]Source!BA45&lt;&gt; 0, [80]Source!BA45, 1)</f>
        <v>23.94</v>
      </c>
      <c r="L42" s="114">
        <f>[80]Source!S45</f>
        <v>33202.629999999997</v>
      </c>
    </row>
    <row r="43" spans="1:22" ht="14.25" x14ac:dyDescent="0.2">
      <c r="A43" s="108"/>
      <c r="B43" s="108"/>
      <c r="C43" s="109"/>
      <c r="D43" s="109" t="s">
        <v>44</v>
      </c>
      <c r="E43" s="110"/>
      <c r="F43" s="111"/>
      <c r="G43" s="112">
        <f>[80]Source!AM44</f>
        <v>88.81</v>
      </c>
      <c r="H43" s="113" t="str">
        <f>[80]Source!DE44</f>
        <v/>
      </c>
      <c r="I43" s="111">
        <f>[80]Source!AV45</f>
        <v>1.087</v>
      </c>
      <c r="J43" s="114">
        <f>[80]Source!Q44-J53</f>
        <v>279.38</v>
      </c>
      <c r="K43" s="111">
        <f>IF([80]Source!BB45&lt;&gt; 0, [80]Source!BB45, 1)</f>
        <v>6.88</v>
      </c>
      <c r="L43" s="114">
        <f>[80]Source!Q45-L53</f>
        <v>1922.15</v>
      </c>
    </row>
    <row r="44" spans="1:22" ht="14.25" x14ac:dyDescent="0.2">
      <c r="A44" s="108"/>
      <c r="B44" s="108"/>
      <c r="C44" s="109"/>
      <c r="D44" s="109" t="s">
        <v>45</v>
      </c>
      <c r="E44" s="110"/>
      <c r="F44" s="111"/>
      <c r="G44" s="112">
        <f>[80]Source!AN44</f>
        <v>4.7300000000000004</v>
      </c>
      <c r="H44" s="113" t="str">
        <f>[80]Source!DE44</f>
        <v/>
      </c>
      <c r="I44" s="111">
        <f>[80]Source!AV45</f>
        <v>1.087</v>
      </c>
      <c r="J44" s="115">
        <f>[80]Source!R44-J54</f>
        <v>14.88</v>
      </c>
      <c r="K44" s="111">
        <f>IF([80]Source!BS45&lt;&gt; 0, [80]Source!BS45, 1)</f>
        <v>23.94</v>
      </c>
      <c r="L44" s="115">
        <f>[80]Source!R45-L54</f>
        <v>356.25</v>
      </c>
    </row>
    <row r="45" spans="1:22" ht="14.25" x14ac:dyDescent="0.2">
      <c r="A45" s="108"/>
      <c r="B45" s="108"/>
      <c r="C45" s="109"/>
      <c r="D45" s="109" t="s">
        <v>46</v>
      </c>
      <c r="E45" s="110"/>
      <c r="F45" s="111"/>
      <c r="G45" s="112">
        <f>[80]Source!AL44</f>
        <v>102.75</v>
      </c>
      <c r="H45" s="113" t="str">
        <f>[80]Source!DD44</f>
        <v/>
      </c>
      <c r="I45" s="111">
        <f>[80]Source!AW45</f>
        <v>1</v>
      </c>
      <c r="J45" s="114">
        <f>[80]Source!P44</f>
        <v>297.36</v>
      </c>
      <c r="K45" s="111">
        <f>IF([80]Source!BC45&lt;&gt; 0, [80]Source!BC45, 1)</f>
        <v>5.47</v>
      </c>
      <c r="L45" s="114">
        <f>[80]Source!P45</f>
        <v>1626.56</v>
      </c>
    </row>
    <row r="46" spans="1:22" ht="57" x14ac:dyDescent="0.2">
      <c r="A46" s="108">
        <v>2</v>
      </c>
      <c r="B46" s="108" t="str">
        <f>[80]Source!E46</f>
        <v>6,1</v>
      </c>
      <c r="C46" s="109" t="str">
        <f>[80]Source!F46</f>
        <v>1.6-1-271</v>
      </c>
      <c r="D46" s="109" t="s">
        <v>157</v>
      </c>
      <c r="E46" s="110" t="str">
        <f>[80]Source!H46</f>
        <v>т</v>
      </c>
      <c r="F46" s="111">
        <f>[80]Source!I46</f>
        <v>2.8940000000000001</v>
      </c>
      <c r="G46" s="112">
        <f>[80]Source!AK46</f>
        <v>12654.07</v>
      </c>
      <c r="H46" s="157" t="s">
        <v>20</v>
      </c>
      <c r="I46" s="111">
        <f>[80]Source!AW47</f>
        <v>1</v>
      </c>
      <c r="J46" s="114">
        <f>[80]Source!O46</f>
        <v>36620.879999999997</v>
      </c>
      <c r="K46" s="111">
        <f>IF([80]Source!BC47&lt;&gt; 0, [80]Source!BC47, 1)</f>
        <v>5.43</v>
      </c>
      <c r="L46" s="114">
        <f>[80]Source!O47</f>
        <v>198851.38</v>
      </c>
      <c r="Q46" s="49">
        <f>[80]Source!X46</f>
        <v>0</v>
      </c>
      <c r="R46" s="49">
        <f>[80]Source!X47</f>
        <v>0</v>
      </c>
      <c r="S46" s="49">
        <f>[80]Source!Y46</f>
        <v>0</v>
      </c>
      <c r="T46" s="49">
        <f>[80]Source!Y47</f>
        <v>0</v>
      </c>
      <c r="U46" s="49">
        <f>ROUND((175/100)*ROUND([80]Source!R46, 2), 2)</f>
        <v>0</v>
      </c>
      <c r="V46" s="49">
        <f>ROUND((157/100)*ROUND([80]Source!R47, 2), 2)</f>
        <v>0</v>
      </c>
    </row>
    <row r="47" spans="1:22" ht="14.25" x14ac:dyDescent="0.2">
      <c r="A47" s="108"/>
      <c r="B47" s="108"/>
      <c r="C47" s="109"/>
      <c r="D47" s="109" t="s">
        <v>47</v>
      </c>
      <c r="E47" s="110" t="s">
        <v>48</v>
      </c>
      <c r="F47" s="111">
        <f>[80]Source!DN45</f>
        <v>87</v>
      </c>
      <c r="G47" s="112"/>
      <c r="H47" s="113"/>
      <c r="I47" s="111"/>
      <c r="J47" s="114">
        <f>SUM(Q41:Q46)</f>
        <v>1206.6099999999999</v>
      </c>
      <c r="K47" s="111">
        <f>[80]Source!BZ45</f>
        <v>70</v>
      </c>
      <c r="L47" s="114">
        <f>SUM(R41:R46)</f>
        <v>23241.84</v>
      </c>
    </row>
    <row r="48" spans="1:22" ht="14.25" x14ac:dyDescent="0.2">
      <c r="A48" s="108"/>
      <c r="B48" s="108"/>
      <c r="C48" s="109"/>
      <c r="D48" s="109" t="s">
        <v>49</v>
      </c>
      <c r="E48" s="110" t="s">
        <v>48</v>
      </c>
      <c r="F48" s="111">
        <f>[80]Source!DO45</f>
        <v>105</v>
      </c>
      <c r="G48" s="112"/>
      <c r="H48" s="113"/>
      <c r="I48" s="111"/>
      <c r="J48" s="114">
        <f>SUM(S41:S47)</f>
        <v>1456.26</v>
      </c>
      <c r="K48" s="111">
        <f>[80]Source!CA45</f>
        <v>50</v>
      </c>
      <c r="L48" s="114">
        <f>SUM(T41:T47)</f>
        <v>16601.32</v>
      </c>
    </row>
    <row r="49" spans="1:16" ht="14.25" x14ac:dyDescent="0.2">
      <c r="A49" s="108"/>
      <c r="B49" s="108"/>
      <c r="C49" s="109"/>
      <c r="D49" s="109" t="s">
        <v>50</v>
      </c>
      <c r="E49" s="110" t="s">
        <v>48</v>
      </c>
      <c r="F49" s="111">
        <f>175</f>
        <v>175</v>
      </c>
      <c r="G49" s="112"/>
      <c r="H49" s="113"/>
      <c r="I49" s="111"/>
      <c r="J49" s="114">
        <f>SUM(U41:U48)-J55</f>
        <v>26.04</v>
      </c>
      <c r="K49" s="111">
        <f>157</f>
        <v>157</v>
      </c>
      <c r="L49" s="114">
        <f>SUM(V41:V48)-L55</f>
        <v>559.30999999999995</v>
      </c>
    </row>
    <row r="50" spans="1:16" ht="14.25" x14ac:dyDescent="0.2">
      <c r="A50" s="108"/>
      <c r="B50" s="108"/>
      <c r="C50" s="109"/>
      <c r="D50" s="109" t="s">
        <v>51</v>
      </c>
      <c r="E50" s="110" t="s">
        <v>52</v>
      </c>
      <c r="F50" s="111">
        <f>[80]Source!AQ44</f>
        <v>20</v>
      </c>
      <c r="G50" s="112"/>
      <c r="H50" s="113" t="str">
        <f>[80]Source!DI44</f>
        <v/>
      </c>
      <c r="I50" s="111">
        <f>[80]Source!AV45</f>
        <v>1.087</v>
      </c>
      <c r="J50" s="114">
        <f>[80]Source!U44</f>
        <v>62.92</v>
      </c>
      <c r="K50" s="111"/>
      <c r="L50" s="114"/>
    </row>
    <row r="51" spans="1:16" ht="15" x14ac:dyDescent="0.25">
      <c r="I51" s="567">
        <f>J42+J43+J45+J47+J48+J49+SUM(J46:J46)</f>
        <v>41273.440000000002</v>
      </c>
      <c r="J51" s="567"/>
      <c r="K51" s="567">
        <f>L42+L43+L45+L47+L48+L49+SUM(L46:L46)</f>
        <v>276005.19</v>
      </c>
      <c r="L51" s="567"/>
      <c r="O51" s="117">
        <f>J42+J43+J45+J47+J48+J49+SUM(J46:J46)</f>
        <v>41273.440000000002</v>
      </c>
      <c r="P51" s="117">
        <f>L42+L43+L45+L47+L48+L49+SUM(L46:L46)</f>
        <v>276005.19</v>
      </c>
    </row>
    <row r="52" spans="1:16" ht="28.5" x14ac:dyDescent="0.2">
      <c r="A52" s="158"/>
      <c r="B52" s="158"/>
      <c r="C52" s="159"/>
      <c r="D52" s="159" t="s">
        <v>133</v>
      </c>
      <c r="E52" s="110"/>
      <c r="F52" s="160"/>
      <c r="G52" s="161"/>
      <c r="H52" s="110"/>
      <c r="I52" s="160"/>
      <c r="J52" s="115"/>
      <c r="K52" s="160"/>
      <c r="L52" s="115"/>
    </row>
    <row r="53" spans="1:16" ht="14.25" x14ac:dyDescent="0.2">
      <c r="A53" s="158"/>
      <c r="B53" s="158"/>
      <c r="C53" s="159"/>
      <c r="D53" s="159" t="s">
        <v>44</v>
      </c>
      <c r="E53" s="110"/>
      <c r="F53" s="160"/>
      <c r="G53" s="161">
        <f t="shared" ref="G53:L53" si="0">G54</f>
        <v>4.7300000000000004</v>
      </c>
      <c r="H53" s="162" t="str">
        <f t="shared" si="0"/>
        <v>)*(1.67-1)</v>
      </c>
      <c r="I53" s="160">
        <f t="shared" si="0"/>
        <v>1.087</v>
      </c>
      <c r="J53" s="115">
        <f t="shared" si="0"/>
        <v>9.9700000000000006</v>
      </c>
      <c r="K53" s="160">
        <f t="shared" si="0"/>
        <v>23.94</v>
      </c>
      <c r="L53" s="115">
        <f t="shared" si="0"/>
        <v>238.66</v>
      </c>
    </row>
    <row r="54" spans="1:16" ht="14.25" x14ac:dyDescent="0.2">
      <c r="A54" s="158"/>
      <c r="B54" s="158"/>
      <c r="C54" s="159"/>
      <c r="D54" s="159" t="s">
        <v>45</v>
      </c>
      <c r="E54" s="110"/>
      <c r="F54" s="160"/>
      <c r="G54" s="161">
        <f>[80]Source!AN44</f>
        <v>4.7300000000000004</v>
      </c>
      <c r="H54" s="162" t="s">
        <v>53</v>
      </c>
      <c r="I54" s="160">
        <f>[80]Source!AV45</f>
        <v>1.087</v>
      </c>
      <c r="J54" s="115">
        <f>ROUND(F41*G54*I54*(1.67-1), 2)</f>
        <v>9.9700000000000006</v>
      </c>
      <c r="K54" s="160">
        <f>IF([80]Source!BS45&lt;&gt; 0, [80]Source!BS45, 1)</f>
        <v>23.94</v>
      </c>
      <c r="L54" s="115">
        <f>ROUND(F41*G54*I54*(1.67-1)*K54, 2)</f>
        <v>238.66</v>
      </c>
    </row>
    <row r="55" spans="1:16" ht="14.25" x14ac:dyDescent="0.2">
      <c r="A55" s="158"/>
      <c r="B55" s="158"/>
      <c r="C55" s="159"/>
      <c r="D55" s="159" t="s">
        <v>50</v>
      </c>
      <c r="E55" s="110" t="s">
        <v>48</v>
      </c>
      <c r="F55" s="160">
        <f>175</f>
        <v>175</v>
      </c>
      <c r="G55" s="161"/>
      <c r="H55" s="110"/>
      <c r="I55" s="160"/>
      <c r="J55" s="115">
        <f>ROUND(J54*(F55/100), 2)</f>
        <v>17.45</v>
      </c>
      <c r="K55" s="160">
        <f>157</f>
        <v>157</v>
      </c>
      <c r="L55" s="115">
        <f>ROUND(L54*(K55/100), 2)</f>
        <v>374.7</v>
      </c>
    </row>
    <row r="56" spans="1:16" ht="15" x14ac:dyDescent="0.25">
      <c r="I56" s="567">
        <f>J55+J54</f>
        <v>27.42</v>
      </c>
      <c r="J56" s="567"/>
      <c r="K56" s="567">
        <f>L55+L54</f>
        <v>613.36</v>
      </c>
      <c r="L56" s="567"/>
      <c r="O56" s="117">
        <f>I56</f>
        <v>27.42</v>
      </c>
      <c r="P56" s="117">
        <f>K56</f>
        <v>613.36</v>
      </c>
    </row>
    <row r="58" spans="1:16" ht="15" x14ac:dyDescent="0.25">
      <c r="A58" s="163"/>
      <c r="B58" s="163"/>
      <c r="C58" s="164"/>
      <c r="D58" s="164" t="s">
        <v>134</v>
      </c>
      <c r="E58" s="165"/>
      <c r="F58" s="166"/>
      <c r="G58" s="167"/>
      <c r="H58" s="168"/>
      <c r="I58" s="567">
        <f>I51+I56</f>
        <v>41300.86</v>
      </c>
      <c r="J58" s="567"/>
      <c r="K58" s="567">
        <f>K51+K56</f>
        <v>276618.55</v>
      </c>
      <c r="L58" s="567"/>
    </row>
    <row r="60" spans="1:16" ht="15" hidden="1" x14ac:dyDescent="0.25">
      <c r="A60" s="572" t="str">
        <f>CONCATENATE("Итого по локальной смете: ",IF([80]Source!G115&lt;&gt;"Новая локальная смета", [80]Source!G115, ""))</f>
        <v xml:space="preserve">Итого по локальной смете: </v>
      </c>
      <c r="B60" s="572"/>
      <c r="C60" s="572"/>
      <c r="D60" s="572"/>
      <c r="E60" s="572"/>
      <c r="F60" s="572"/>
      <c r="G60" s="572"/>
      <c r="H60" s="572"/>
      <c r="I60" s="573">
        <f>SUM(O40:O59)</f>
        <v>41300.86</v>
      </c>
      <c r="J60" s="574"/>
      <c r="K60" s="573">
        <f>SUM(P40:P59)</f>
        <v>276618.55</v>
      </c>
      <c r="L60" s="574"/>
    </row>
    <row r="61" spans="1:16" hidden="1" x14ac:dyDescent="0.2">
      <c r="A61" s="49" t="s">
        <v>54</v>
      </c>
      <c r="J61" s="49">
        <f>SUM(W40:W60)</f>
        <v>0</v>
      </c>
      <c r="K61" s="49">
        <f>SUM(X40:X60)</f>
        <v>0</v>
      </c>
    </row>
    <row r="62" spans="1:16" hidden="1" x14ac:dyDescent="0.2">
      <c r="A62" s="49" t="s">
        <v>55</v>
      </c>
      <c r="J62" s="49">
        <f>SUM(Y40:Y61)</f>
        <v>0</v>
      </c>
      <c r="K62" s="49">
        <f>SUM(Z40:Z61)</f>
        <v>0</v>
      </c>
    </row>
    <row r="63" spans="1:16" hidden="1" x14ac:dyDescent="0.2"/>
    <row r="64" spans="1:16" ht="15" customHeight="1" x14ac:dyDescent="0.25">
      <c r="A64" s="572" t="s">
        <v>74</v>
      </c>
      <c r="B64" s="572"/>
      <c r="C64" s="572"/>
      <c r="D64" s="572"/>
      <c r="E64" s="572"/>
      <c r="F64" s="572"/>
      <c r="G64" s="572"/>
      <c r="H64" s="572"/>
      <c r="I64" s="573">
        <f>SUM(O30:O63)</f>
        <v>41300.86</v>
      </c>
      <c r="J64" s="574"/>
      <c r="K64" s="573">
        <f>SUM(P30:P63)</f>
        <v>276618.55</v>
      </c>
      <c r="L64" s="574"/>
    </row>
    <row r="65" spans="1:12" hidden="1" x14ac:dyDescent="0.2">
      <c r="A65" s="49" t="s">
        <v>54</v>
      </c>
      <c r="J65" s="49">
        <f>SUM(W30:W64)</f>
        <v>0</v>
      </c>
      <c r="K65" s="49">
        <f>SUM(X30:X64)</f>
        <v>0</v>
      </c>
    </row>
    <row r="66" spans="1:12" hidden="1" x14ac:dyDescent="0.2">
      <c r="A66" s="49" t="s">
        <v>55</v>
      </c>
      <c r="J66" s="49">
        <f>SUM(Y30:Y65)</f>
        <v>0</v>
      </c>
      <c r="K66" s="49">
        <f>SUM(Z30:Z65)</f>
        <v>0</v>
      </c>
    </row>
    <row r="67" spans="1:12" ht="14.25" x14ac:dyDescent="0.2">
      <c r="D67" s="558" t="str">
        <f>[80]Source!H148</f>
        <v>Стоимость материальных ресурсов (всего)</v>
      </c>
      <c r="E67" s="558"/>
      <c r="F67" s="558"/>
      <c r="G67" s="558"/>
      <c r="H67" s="558"/>
      <c r="I67" s="559">
        <f>[80]Source!F148</f>
        <v>36918.239999999998</v>
      </c>
      <c r="J67" s="559"/>
      <c r="K67" s="559">
        <f>[80]Source!P148</f>
        <v>200477.94</v>
      </c>
      <c r="L67" s="559"/>
    </row>
    <row r="68" spans="1:12" ht="14.25" x14ac:dyDescent="0.2">
      <c r="D68" s="558" t="str">
        <f>[80]Source!H159</f>
        <v>ЗП машинистов</v>
      </c>
      <c r="E68" s="558"/>
      <c r="F68" s="558"/>
      <c r="G68" s="558"/>
      <c r="H68" s="558"/>
      <c r="I68" s="559">
        <f>[80]Source!F159</f>
        <v>24.85</v>
      </c>
      <c r="J68" s="559"/>
      <c r="K68" s="559">
        <f>[80]Source!P159</f>
        <v>594.91</v>
      </c>
      <c r="L68" s="559"/>
    </row>
    <row r="69" spans="1:12" ht="14.25" x14ac:dyDescent="0.2">
      <c r="D69" s="558" t="str">
        <f>[80]Source!H160</f>
        <v>Основная ЗП рабочих</v>
      </c>
      <c r="E69" s="558"/>
      <c r="F69" s="558"/>
      <c r="G69" s="558"/>
      <c r="H69" s="558"/>
      <c r="I69" s="559">
        <f>[80]Source!F160</f>
        <v>1386.91</v>
      </c>
      <c r="J69" s="559"/>
      <c r="K69" s="559">
        <f>[80]Source!P160</f>
        <v>33202.629999999997</v>
      </c>
      <c r="L69" s="559"/>
    </row>
    <row r="71" spans="1:12" ht="14.25" x14ac:dyDescent="0.2">
      <c r="A71" s="139"/>
      <c r="B71" s="139"/>
      <c r="C71" s="139"/>
      <c r="D71" s="170" t="s">
        <v>57</v>
      </c>
      <c r="E71" s="139"/>
      <c r="F71" s="139"/>
      <c r="G71" s="139"/>
      <c r="H71" s="139"/>
      <c r="I71" s="139"/>
      <c r="J71" s="171">
        <f>I64</f>
        <v>41300.86</v>
      </c>
      <c r="K71" s="171"/>
      <c r="L71" s="171">
        <f>K64</f>
        <v>276618.55</v>
      </c>
    </row>
    <row r="72" spans="1:12" ht="14.25" x14ac:dyDescent="0.2">
      <c r="A72" s="139"/>
      <c r="B72" s="139"/>
      <c r="C72" s="139"/>
      <c r="D72" s="170" t="s">
        <v>3</v>
      </c>
      <c r="E72" s="139"/>
      <c r="F72" s="139"/>
      <c r="G72" s="139"/>
      <c r="H72" s="139"/>
      <c r="I72" s="139"/>
      <c r="J72" s="171">
        <f>J71</f>
        <v>41300.86</v>
      </c>
      <c r="K72" s="171"/>
      <c r="L72" s="171">
        <f>L71</f>
        <v>276618.55</v>
      </c>
    </row>
    <row r="73" spans="1:12" ht="14.25" x14ac:dyDescent="0.2">
      <c r="A73" s="139"/>
      <c r="B73" s="139"/>
      <c r="C73" s="139"/>
      <c r="D73" s="170" t="s">
        <v>58</v>
      </c>
      <c r="E73" s="139"/>
      <c r="F73" s="139"/>
      <c r="G73" s="139"/>
      <c r="H73" s="139"/>
      <c r="I73" s="139"/>
      <c r="J73" s="171">
        <f>I68+I69</f>
        <v>1411.76</v>
      </c>
      <c r="K73" s="171"/>
      <c r="L73" s="171">
        <f>K68+K69</f>
        <v>33797.54</v>
      </c>
    </row>
    <row r="74" spans="1:12" ht="14.25" x14ac:dyDescent="0.2">
      <c r="A74" s="139"/>
      <c r="B74" s="139"/>
      <c r="C74" s="139"/>
      <c r="D74" s="170" t="s">
        <v>59</v>
      </c>
      <c r="E74" s="139"/>
      <c r="F74" s="139"/>
      <c r="G74" s="139"/>
      <c r="H74" s="139"/>
      <c r="I74" s="139"/>
      <c r="J74" s="171">
        <f>I67</f>
        <v>36918.239999999998</v>
      </c>
      <c r="K74" s="171"/>
      <c r="L74" s="171">
        <f>K67</f>
        <v>200477.94</v>
      </c>
    </row>
    <row r="75" spans="1:12" ht="14.25" x14ac:dyDescent="0.2">
      <c r="A75" s="139"/>
      <c r="B75" s="139"/>
      <c r="C75" s="139"/>
      <c r="D75" s="170" t="s">
        <v>60</v>
      </c>
      <c r="E75" s="139"/>
      <c r="F75" s="139"/>
      <c r="G75" s="139"/>
      <c r="H75" s="139"/>
      <c r="I75" s="139"/>
      <c r="J75" s="172">
        <v>0</v>
      </c>
      <c r="K75" s="172"/>
      <c r="L75" s="172">
        <v>0</v>
      </c>
    </row>
    <row r="76" spans="1:12" ht="14.25" x14ac:dyDescent="0.2">
      <c r="A76" s="128"/>
      <c r="B76" s="128"/>
      <c r="C76" s="128"/>
      <c r="D76" s="540" t="s">
        <v>111</v>
      </c>
      <c r="E76" s="540"/>
      <c r="F76" s="540"/>
      <c r="G76" s="540"/>
      <c r="H76" s="540"/>
      <c r="I76" s="136"/>
      <c r="J76" s="136">
        <v>0</v>
      </c>
      <c r="K76" s="136"/>
      <c r="L76" s="136">
        <v>0</v>
      </c>
    </row>
    <row r="77" spans="1:12" ht="15" x14ac:dyDescent="0.25">
      <c r="A77" s="130"/>
      <c r="B77" s="130"/>
      <c r="C77" s="130"/>
      <c r="D77" s="540" t="s">
        <v>112</v>
      </c>
      <c r="E77" s="540"/>
      <c r="F77" s="540"/>
      <c r="G77" s="540"/>
      <c r="H77" s="540"/>
      <c r="I77" s="560">
        <f>J72*5.61%</f>
        <v>2316.98</v>
      </c>
      <c r="J77" s="560"/>
      <c r="K77" s="560">
        <f>L72*5.61%</f>
        <v>15518.3</v>
      </c>
      <c r="L77" s="560"/>
    </row>
    <row r="78" spans="1:12" ht="15" x14ac:dyDescent="0.25">
      <c r="A78" s="130"/>
      <c r="B78" s="130"/>
      <c r="C78" s="130"/>
      <c r="D78" s="540" t="s">
        <v>70</v>
      </c>
      <c r="E78" s="540"/>
      <c r="F78" s="540"/>
      <c r="G78" s="540"/>
      <c r="H78" s="540"/>
      <c r="I78" s="560">
        <f>J72+J76+I77</f>
        <v>43617.84</v>
      </c>
      <c r="J78" s="560"/>
      <c r="K78" s="560">
        <f>L72+L76+K77</f>
        <v>292136.84999999998</v>
      </c>
      <c r="L78" s="560"/>
    </row>
    <row r="79" spans="1:12" ht="14.25" x14ac:dyDescent="0.2">
      <c r="A79" s="128"/>
      <c r="B79" s="128"/>
      <c r="C79" s="128"/>
      <c r="D79" s="540" t="s">
        <v>71</v>
      </c>
      <c r="E79" s="540"/>
      <c r="F79" s="540"/>
      <c r="G79" s="540"/>
      <c r="H79" s="540"/>
      <c r="I79" s="560">
        <f>J73*0.15</f>
        <v>211.76</v>
      </c>
      <c r="J79" s="560"/>
      <c r="K79" s="560">
        <f>L73*0.15</f>
        <v>5069.63</v>
      </c>
      <c r="L79" s="560"/>
    </row>
    <row r="80" spans="1:12" ht="15" x14ac:dyDescent="0.25">
      <c r="A80" s="131"/>
      <c r="B80" s="131"/>
      <c r="C80" s="131"/>
      <c r="D80" s="575" t="s">
        <v>72</v>
      </c>
      <c r="E80" s="575"/>
      <c r="F80" s="575"/>
      <c r="G80" s="575"/>
      <c r="H80" s="575"/>
      <c r="I80" s="564">
        <f>I78+I79</f>
        <v>43829.599999999999</v>
      </c>
      <c r="J80" s="564"/>
      <c r="K80" s="565">
        <f>K78+K79</f>
        <v>297206.48</v>
      </c>
      <c r="L80" s="565"/>
    </row>
    <row r="81" spans="1:12" ht="14.25" x14ac:dyDescent="0.2">
      <c r="A81" s="128"/>
      <c r="B81" s="128"/>
      <c r="C81" s="128"/>
      <c r="D81" s="540"/>
      <c r="E81" s="540"/>
      <c r="F81" s="540"/>
      <c r="G81" s="540"/>
      <c r="H81" s="540"/>
      <c r="I81" s="560"/>
      <c r="J81" s="560"/>
      <c r="K81" s="560"/>
      <c r="L81" s="560"/>
    </row>
    <row r="82" spans="1:12" ht="15" x14ac:dyDescent="0.25">
      <c r="A82" s="131"/>
      <c r="B82" s="131"/>
      <c r="C82" s="131"/>
      <c r="D82" s="575" t="s">
        <v>113</v>
      </c>
      <c r="E82" s="575"/>
      <c r="F82" s="575"/>
      <c r="G82" s="575"/>
      <c r="H82" s="575"/>
      <c r="I82" s="131"/>
      <c r="J82" s="131"/>
      <c r="K82" s="131"/>
      <c r="L82" s="133">
        <f>K83+K85</f>
        <v>272811.52000000002</v>
      </c>
    </row>
    <row r="83" spans="1:12" ht="14.25" x14ac:dyDescent="0.2">
      <c r="A83" s="128"/>
      <c r="B83" s="128"/>
      <c r="C83" s="128"/>
      <c r="D83" s="540" t="s">
        <v>3</v>
      </c>
      <c r="E83" s="540"/>
      <c r="F83" s="540"/>
      <c r="G83" s="540"/>
      <c r="H83" s="540"/>
      <c r="I83" s="128"/>
      <c r="J83" s="134"/>
      <c r="K83" s="560">
        <f>(L72-L74)*0.95+K84</f>
        <v>272811.52000000002</v>
      </c>
      <c r="L83" s="560"/>
    </row>
    <row r="84" spans="1:12" ht="14.25" x14ac:dyDescent="0.2">
      <c r="A84" s="128"/>
      <c r="B84" s="128"/>
      <c r="C84" s="128"/>
      <c r="D84" s="540" t="s">
        <v>114</v>
      </c>
      <c r="E84" s="540"/>
      <c r="F84" s="540"/>
      <c r="G84" s="540"/>
      <c r="H84" s="540"/>
      <c r="I84" s="128"/>
      <c r="J84" s="134"/>
      <c r="K84" s="560">
        <f>L74*1</f>
        <v>200477.94</v>
      </c>
      <c r="L84" s="560"/>
    </row>
    <row r="85" spans="1:12" ht="14.25" x14ac:dyDescent="0.2">
      <c r="A85" s="128"/>
      <c r="B85" s="128"/>
      <c r="C85" s="128"/>
      <c r="D85" s="540" t="s">
        <v>115</v>
      </c>
      <c r="E85" s="540"/>
      <c r="F85" s="540"/>
      <c r="G85" s="540"/>
      <c r="H85" s="540"/>
      <c r="I85" s="560"/>
      <c r="J85" s="560"/>
      <c r="K85" s="560">
        <f>L75</f>
        <v>0</v>
      </c>
      <c r="L85" s="560"/>
    </row>
    <row r="86" spans="1:12" ht="14.25" x14ac:dyDescent="0.2">
      <c r="A86" s="128"/>
      <c r="B86" s="128"/>
      <c r="C86" s="128"/>
      <c r="D86" s="540" t="s">
        <v>111</v>
      </c>
      <c r="E86" s="540"/>
      <c r="F86" s="540"/>
      <c r="G86" s="540"/>
      <c r="H86" s="540"/>
      <c r="I86" s="136"/>
      <c r="J86" s="136"/>
      <c r="K86" s="136"/>
      <c r="L86" s="136">
        <v>0</v>
      </c>
    </row>
    <row r="87" spans="1:12" ht="14.25" x14ac:dyDescent="0.2">
      <c r="A87" s="128"/>
      <c r="B87" s="128"/>
      <c r="C87" s="128"/>
      <c r="D87" s="540" t="s">
        <v>116</v>
      </c>
      <c r="E87" s="540"/>
      <c r="F87" s="540"/>
      <c r="G87" s="540"/>
      <c r="H87" s="540"/>
      <c r="I87" s="128"/>
      <c r="J87" s="134"/>
      <c r="K87" s="560">
        <f>L73*0.95</f>
        <v>32107.66</v>
      </c>
      <c r="L87" s="560"/>
    </row>
    <row r="88" spans="1:12" ht="14.25" x14ac:dyDescent="0.2">
      <c r="A88" s="128"/>
      <c r="B88" s="128"/>
      <c r="C88" s="128"/>
      <c r="D88" s="540" t="s">
        <v>117</v>
      </c>
      <c r="E88" s="540"/>
      <c r="F88" s="540"/>
      <c r="G88" s="540"/>
      <c r="H88" s="540"/>
      <c r="I88" s="560"/>
      <c r="J88" s="560"/>
      <c r="K88" s="560">
        <f>K83*5.61%</f>
        <v>15304.73</v>
      </c>
      <c r="L88" s="560"/>
    </row>
    <row r="89" spans="1:12" ht="14.25" x14ac:dyDescent="0.2">
      <c r="A89" s="128"/>
      <c r="B89" s="128"/>
      <c r="C89" s="128"/>
      <c r="D89" s="540" t="s">
        <v>70</v>
      </c>
      <c r="E89" s="540"/>
      <c r="F89" s="540"/>
      <c r="G89" s="540"/>
      <c r="H89" s="540"/>
      <c r="I89" s="128"/>
      <c r="J89" s="137"/>
      <c r="K89" s="560">
        <f>K83+L86+K88</f>
        <v>288116.25</v>
      </c>
      <c r="L89" s="560"/>
    </row>
    <row r="90" spans="1:12" ht="14.25" x14ac:dyDescent="0.2">
      <c r="A90" s="128"/>
      <c r="B90" s="128"/>
      <c r="C90" s="128"/>
      <c r="D90" s="540" t="s">
        <v>71</v>
      </c>
      <c r="E90" s="540"/>
      <c r="F90" s="540"/>
      <c r="G90" s="540"/>
      <c r="H90" s="540"/>
      <c r="I90" s="128"/>
      <c r="J90" s="128"/>
      <c r="K90" s="560">
        <f>K87*0.15</f>
        <v>4816.1499999999996</v>
      </c>
      <c r="L90" s="560"/>
    </row>
    <row r="91" spans="1:12" ht="15" x14ac:dyDescent="0.25">
      <c r="A91" s="131"/>
      <c r="B91" s="131"/>
      <c r="C91" s="131"/>
      <c r="D91" s="575" t="s">
        <v>72</v>
      </c>
      <c r="E91" s="575"/>
      <c r="F91" s="575"/>
      <c r="G91" s="575"/>
      <c r="H91" s="575"/>
      <c r="I91" s="131"/>
      <c r="J91" s="131"/>
      <c r="K91" s="564">
        <f>K89+K90+K85</f>
        <v>292932.40000000002</v>
      </c>
      <c r="L91" s="564"/>
    </row>
    <row r="92" spans="1:12" ht="12.75" x14ac:dyDescent="0.2">
      <c r="A92" s="138"/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8"/>
    </row>
    <row r="93" spans="1:12" ht="12.75" x14ac:dyDescent="0.2">
      <c r="A93" s="138"/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</row>
    <row r="94" spans="1:12" ht="12.75" x14ac:dyDescent="0.2">
      <c r="A94" s="138"/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8"/>
    </row>
    <row r="95" spans="1:12" ht="12.75" x14ac:dyDescent="0.2">
      <c r="A95" s="138"/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8"/>
    </row>
    <row r="96" spans="1:12" ht="15.75" x14ac:dyDescent="0.25">
      <c r="A96" s="138"/>
      <c r="B96" s="180" t="s">
        <v>137</v>
      </c>
      <c r="C96" s="181"/>
      <c r="D96" s="181"/>
      <c r="E96" s="138"/>
      <c r="F96" s="138"/>
      <c r="G96" s="138"/>
      <c r="H96" s="138"/>
      <c r="I96" s="138"/>
      <c r="J96" s="138"/>
      <c r="K96" s="138"/>
      <c r="L96" s="138"/>
    </row>
    <row r="97" spans="1:12" ht="15" x14ac:dyDescent="0.2">
      <c r="A97" s="138"/>
      <c r="B97" s="181"/>
      <c r="C97" s="181"/>
      <c r="D97" s="181"/>
      <c r="E97" s="138"/>
      <c r="F97" s="138"/>
      <c r="G97" s="138"/>
      <c r="H97" s="138"/>
      <c r="I97" s="138"/>
      <c r="J97" s="138"/>
      <c r="K97" s="138"/>
      <c r="L97" s="138"/>
    </row>
    <row r="98" spans="1:12" ht="15.75" x14ac:dyDescent="0.25">
      <c r="A98" s="139"/>
      <c r="B98" s="180" t="s">
        <v>118</v>
      </c>
      <c r="C98" s="180"/>
      <c r="D98" s="180"/>
      <c r="E98" s="140"/>
      <c r="F98" s="140"/>
      <c r="G98" s="140"/>
      <c r="H98" s="140"/>
      <c r="I98" s="140"/>
      <c r="J98" s="140"/>
      <c r="K98" s="140"/>
      <c r="L98" s="140"/>
    </row>
    <row r="99" spans="1:12" ht="15.75" x14ac:dyDescent="0.25">
      <c r="A99" s="139"/>
      <c r="B99" s="182" t="s">
        <v>119</v>
      </c>
      <c r="C99" s="183"/>
      <c r="D99" s="183"/>
      <c r="E99" s="142"/>
      <c r="F99" s="141"/>
      <c r="G99" s="503"/>
      <c r="H99" s="503"/>
      <c r="I99" s="143"/>
      <c r="J99" s="144" t="s">
        <v>120</v>
      </c>
      <c r="K99" s="145"/>
      <c r="L99" s="146"/>
    </row>
    <row r="100" spans="1:12" ht="15.75" x14ac:dyDescent="0.25">
      <c r="A100" s="139"/>
      <c r="B100" s="184" t="s">
        <v>138</v>
      </c>
      <c r="C100" s="185"/>
      <c r="D100" s="185"/>
      <c r="E100" s="147"/>
      <c r="F100" s="147"/>
      <c r="G100" s="147"/>
      <c r="H100" s="147"/>
      <c r="I100" s="146"/>
      <c r="J100" s="146"/>
      <c r="K100" s="146"/>
      <c r="L100" s="146"/>
    </row>
    <row r="101" spans="1:12" ht="15.75" x14ac:dyDescent="0.25">
      <c r="A101" s="139"/>
      <c r="B101" s="148"/>
      <c r="C101" s="148"/>
      <c r="D101" s="186"/>
      <c r="E101" s="149"/>
      <c r="F101" s="149"/>
      <c r="G101" s="150"/>
      <c r="H101" s="151"/>
      <c r="I101" s="149"/>
      <c r="J101" s="152"/>
      <c r="K101" s="153"/>
      <c r="L101" s="139"/>
    </row>
    <row r="102" spans="1:12" ht="15.75" x14ac:dyDescent="0.25">
      <c r="A102" s="139"/>
      <c r="B102" s="148"/>
      <c r="C102" s="148"/>
      <c r="D102" s="186"/>
      <c r="E102" s="149"/>
      <c r="F102" s="149"/>
      <c r="G102" s="150"/>
      <c r="H102" s="151"/>
      <c r="I102" s="149"/>
      <c r="J102" s="152"/>
      <c r="K102" s="153"/>
      <c r="L102" s="139"/>
    </row>
    <row r="103" spans="1:12" ht="15.75" x14ac:dyDescent="0.25">
      <c r="A103" s="139"/>
      <c r="B103" s="148"/>
      <c r="C103" s="148"/>
      <c r="D103" s="186"/>
      <c r="E103" s="149"/>
      <c r="F103" s="149"/>
      <c r="G103" s="150"/>
      <c r="H103" s="151"/>
      <c r="I103" s="149"/>
      <c r="J103" s="152"/>
      <c r="K103" s="153"/>
      <c r="L103" s="139"/>
    </row>
    <row r="104" spans="1:12" ht="15.75" x14ac:dyDescent="0.25">
      <c r="A104" s="139"/>
      <c r="B104" s="148"/>
      <c r="C104" s="148"/>
      <c r="D104" s="149"/>
      <c r="E104" s="149"/>
      <c r="F104" s="149"/>
      <c r="G104" s="149"/>
      <c r="H104" s="151"/>
      <c r="I104" s="149"/>
      <c r="J104" s="152"/>
      <c r="K104" s="153"/>
      <c r="L104" s="139"/>
    </row>
    <row r="105" spans="1:12" ht="15.75" x14ac:dyDescent="0.25">
      <c r="A105" s="139"/>
      <c r="B105" s="180" t="s">
        <v>121</v>
      </c>
      <c r="C105" s="187"/>
      <c r="D105" s="180"/>
      <c r="E105" s="147"/>
      <c r="F105" s="140"/>
      <c r="G105" s="147"/>
      <c r="H105" s="140"/>
      <c r="I105" s="146"/>
      <c r="J105" s="146"/>
      <c r="K105" s="146"/>
      <c r="L105" s="139"/>
    </row>
    <row r="106" spans="1:12" ht="15.75" x14ac:dyDescent="0.25">
      <c r="A106" s="139"/>
      <c r="B106" s="180"/>
      <c r="C106" s="187"/>
      <c r="D106" s="180"/>
      <c r="E106" s="147"/>
      <c r="F106" s="140"/>
      <c r="G106" s="147"/>
      <c r="H106" s="140"/>
      <c r="I106" s="146"/>
      <c r="J106" s="146"/>
      <c r="K106" s="146"/>
      <c r="L106" s="139"/>
    </row>
    <row r="107" spans="1:12" ht="15.75" x14ac:dyDescent="0.25">
      <c r="A107" s="139"/>
      <c r="B107" s="504" t="s">
        <v>122</v>
      </c>
      <c r="C107" s="504"/>
      <c r="D107" s="504"/>
      <c r="E107" s="147"/>
      <c r="F107" s="140"/>
      <c r="G107" s="147"/>
      <c r="H107" s="140"/>
      <c r="I107" s="146"/>
      <c r="J107" s="146"/>
      <c r="K107" s="146"/>
      <c r="L107" s="139"/>
    </row>
    <row r="108" spans="1:12" ht="15.75" x14ac:dyDescent="0.25">
      <c r="A108" s="139"/>
      <c r="B108" s="505" t="s">
        <v>123</v>
      </c>
      <c r="C108" s="505"/>
      <c r="D108" s="505"/>
      <c r="E108" s="154"/>
      <c r="F108" s="141"/>
      <c r="G108" s="142"/>
      <c r="H108" s="155"/>
      <c r="I108" s="145"/>
      <c r="J108" s="144" t="s">
        <v>84</v>
      </c>
      <c r="K108" s="145"/>
      <c r="L108" s="139"/>
    </row>
    <row r="109" spans="1:12" ht="15.75" x14ac:dyDescent="0.25">
      <c r="A109" s="139"/>
      <c r="B109" s="184" t="s">
        <v>73</v>
      </c>
      <c r="C109" s="188"/>
      <c r="D109" s="188"/>
      <c r="E109" s="156"/>
      <c r="F109" s="147"/>
      <c r="G109" s="140"/>
      <c r="H109" s="140"/>
      <c r="I109" s="146"/>
      <c r="J109" s="146"/>
      <c r="K109" s="146"/>
      <c r="L109" s="139"/>
    </row>
  </sheetData>
  <mergeCells count="108">
    <mergeCell ref="G99:H99"/>
    <mergeCell ref="B107:D107"/>
    <mergeCell ref="B108:D108"/>
    <mergeCell ref="D82:H82"/>
    <mergeCell ref="D83:H83"/>
    <mergeCell ref="K83:L83"/>
    <mergeCell ref="D84:H84"/>
    <mergeCell ref="K84:L84"/>
    <mergeCell ref="D90:H90"/>
    <mergeCell ref="K90:L90"/>
    <mergeCell ref="D91:H91"/>
    <mergeCell ref="K91:L91"/>
    <mergeCell ref="D85:H85"/>
    <mergeCell ref="I85:J85"/>
    <mergeCell ref="K85:L85"/>
    <mergeCell ref="D89:H89"/>
    <mergeCell ref="K89:L89"/>
    <mergeCell ref="D86:H86"/>
    <mergeCell ref="D87:H87"/>
    <mergeCell ref="K87:L87"/>
    <mergeCell ref="D88:H88"/>
    <mergeCell ref="I88:J88"/>
    <mergeCell ref="K88:L88"/>
    <mergeCell ref="D80:H80"/>
    <mergeCell ref="I80:J80"/>
    <mergeCell ref="K80:L80"/>
    <mergeCell ref="D81:H81"/>
    <mergeCell ref="I81:J81"/>
    <mergeCell ref="K81:L81"/>
    <mergeCell ref="D78:H78"/>
    <mergeCell ref="I78:J78"/>
    <mergeCell ref="K78:L78"/>
    <mergeCell ref="D79:H79"/>
    <mergeCell ref="I79:J79"/>
    <mergeCell ref="K79:L79"/>
    <mergeCell ref="D69:H69"/>
    <mergeCell ref="I69:J69"/>
    <mergeCell ref="K69:L69"/>
    <mergeCell ref="D76:H76"/>
    <mergeCell ref="D77:H77"/>
    <mergeCell ref="I77:J77"/>
    <mergeCell ref="K77:L77"/>
    <mergeCell ref="D67:H67"/>
    <mergeCell ref="I67:J67"/>
    <mergeCell ref="K67:L67"/>
    <mergeCell ref="D68:H68"/>
    <mergeCell ref="I68:J68"/>
    <mergeCell ref="K68:L68"/>
    <mergeCell ref="A64:H64"/>
    <mergeCell ref="H30:H35"/>
    <mergeCell ref="I64:J64"/>
    <mergeCell ref="K64:L64"/>
    <mergeCell ref="A38:L38"/>
    <mergeCell ref="A39:L39"/>
    <mergeCell ref="A40:L40"/>
    <mergeCell ref="I51:J51"/>
    <mergeCell ref="K51:L51"/>
    <mergeCell ref="I56:J56"/>
    <mergeCell ref="K56:L56"/>
    <mergeCell ref="I58:J58"/>
    <mergeCell ref="K58:L58"/>
    <mergeCell ref="A60:H60"/>
    <mergeCell ref="I60:J60"/>
    <mergeCell ref="K60:L60"/>
    <mergeCell ref="I30:I35"/>
    <mergeCell ref="J30:J35"/>
    <mergeCell ref="K30:K35"/>
    <mergeCell ref="L30:L35"/>
    <mergeCell ref="I1:L1"/>
    <mergeCell ref="I2:L2"/>
    <mergeCell ref="J3:L3"/>
    <mergeCell ref="J4:L4"/>
    <mergeCell ref="J5:L6"/>
    <mergeCell ref="C9:H9"/>
    <mergeCell ref="J9:L10"/>
    <mergeCell ref="C10:H10"/>
    <mergeCell ref="C11:H11"/>
    <mergeCell ref="J11:L12"/>
    <mergeCell ref="C12:H12"/>
    <mergeCell ref="A29:L29"/>
    <mergeCell ref="A31:A35"/>
    <mergeCell ref="B31:B35"/>
    <mergeCell ref="A30:B30"/>
    <mergeCell ref="C30:C35"/>
    <mergeCell ref="D30:D35"/>
    <mergeCell ref="E30:E35"/>
    <mergeCell ref="F30:F35"/>
    <mergeCell ref="G30:G35"/>
    <mergeCell ref="A6:B6"/>
    <mergeCell ref="C6:H6"/>
    <mergeCell ref="C7:H7"/>
    <mergeCell ref="J7:L8"/>
    <mergeCell ref="A8:B8"/>
    <mergeCell ref="C8:H8"/>
    <mergeCell ref="A25:L25"/>
    <mergeCell ref="A26:L26"/>
    <mergeCell ref="H28:I28"/>
    <mergeCell ref="J16:L16"/>
    <mergeCell ref="J17:L17"/>
    <mergeCell ref="J18:L18"/>
    <mergeCell ref="G20:G21"/>
    <mergeCell ref="H20:H21"/>
    <mergeCell ref="I20:J20"/>
    <mergeCell ref="C13:H13"/>
    <mergeCell ref="G14:I14"/>
    <mergeCell ref="J14:L14"/>
    <mergeCell ref="G15:H15"/>
    <mergeCell ref="J15:L15"/>
  </mergeCells>
  <pageMargins left="0.39370078740157483" right="0.19685039370078741" top="0.19685039370078741" bottom="0.39370078740157483" header="0.31496062992125984" footer="0.31496062992125984"/>
  <pageSetup paperSize="9" scale="65" fitToHeight="0" orientation="portrait" blackAndWhite="1" r:id="rId1"/>
  <headerFoot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F111"/>
  <sheetViews>
    <sheetView workbookViewId="0"/>
  </sheetViews>
  <sheetFormatPr defaultColWidth="9.33203125" defaultRowHeight="11.25" x14ac:dyDescent="0.2"/>
  <cols>
    <col min="1" max="1" width="10.33203125" style="49" customWidth="1"/>
    <col min="2" max="2" width="9.33203125" style="49"/>
    <col min="3" max="3" width="13.6640625" style="49" customWidth="1"/>
    <col min="4" max="4" width="47.5" style="49" customWidth="1"/>
    <col min="5" max="5" width="13.6640625" style="49" customWidth="1"/>
    <col min="6" max="6" width="9.5" style="49" bestFit="1" customWidth="1"/>
    <col min="7" max="7" width="12.1640625" style="49" customWidth="1"/>
    <col min="8" max="8" width="14.5" style="49" customWidth="1"/>
    <col min="9" max="9" width="15.6640625" style="49" customWidth="1"/>
    <col min="10" max="10" width="15" style="49" customWidth="1"/>
    <col min="11" max="11" width="9.33203125" style="49"/>
    <col min="12" max="12" width="12.1640625" style="49" customWidth="1"/>
    <col min="13" max="14" width="9.33203125" style="49"/>
    <col min="15" max="29" width="0" style="49" hidden="1" customWidth="1"/>
    <col min="30" max="30" width="106.1640625" style="49" hidden="1" customWidth="1"/>
    <col min="31" max="31" width="0" style="49" hidden="1" customWidth="1"/>
    <col min="32" max="32" width="117.83203125" style="49" hidden="1" customWidth="1"/>
    <col min="33" max="36" width="0" style="49" hidden="1" customWidth="1"/>
    <col min="37" max="16384" width="9.33203125" style="49"/>
  </cols>
  <sheetData>
    <row r="1" spans="1:30" ht="14.25" x14ac:dyDescent="0.2">
      <c r="A1" s="101"/>
      <c r="B1" s="101"/>
      <c r="C1" s="101"/>
      <c r="D1" s="101"/>
      <c r="E1" s="101"/>
      <c r="F1" s="101"/>
      <c r="G1" s="101"/>
      <c r="H1" s="101"/>
      <c r="I1" s="531" t="s">
        <v>15</v>
      </c>
      <c r="J1" s="531"/>
      <c r="K1" s="531"/>
      <c r="L1" s="531"/>
    </row>
    <row r="2" spans="1:30" ht="14.25" x14ac:dyDescent="0.2">
      <c r="A2" s="101"/>
      <c r="B2" s="101"/>
      <c r="C2" s="101"/>
      <c r="D2" s="101"/>
      <c r="E2" s="101"/>
      <c r="F2" s="101"/>
      <c r="G2" s="101"/>
      <c r="H2" s="101"/>
      <c r="I2" s="531" t="s">
        <v>16</v>
      </c>
      <c r="J2" s="531"/>
      <c r="K2" s="531"/>
      <c r="L2" s="531"/>
    </row>
    <row r="3" spans="1:30" ht="14.25" x14ac:dyDescent="0.2">
      <c r="A3" s="101"/>
      <c r="B3" s="101"/>
      <c r="C3" s="101"/>
      <c r="D3" s="101"/>
      <c r="E3" s="101"/>
      <c r="F3" s="101"/>
      <c r="G3" s="101"/>
      <c r="H3" s="101"/>
      <c r="I3" s="101"/>
      <c r="J3" s="532" t="s">
        <v>17</v>
      </c>
      <c r="K3" s="532"/>
      <c r="L3" s="532"/>
    </row>
    <row r="4" spans="1:30" ht="14.25" x14ac:dyDescent="0.2">
      <c r="A4" s="101"/>
      <c r="B4" s="101"/>
      <c r="C4" s="101"/>
      <c r="D4" s="101"/>
      <c r="E4" s="101"/>
      <c r="F4" s="101"/>
      <c r="G4" s="101"/>
      <c r="H4" s="101"/>
      <c r="I4" s="242" t="s">
        <v>18</v>
      </c>
      <c r="J4" s="533" t="s">
        <v>19</v>
      </c>
      <c r="K4" s="533"/>
      <c r="L4" s="533"/>
    </row>
    <row r="5" spans="1:30" ht="14.25" x14ac:dyDescent="0.2">
      <c r="A5" s="101"/>
      <c r="B5" s="101"/>
      <c r="C5" s="101"/>
      <c r="D5" s="101"/>
      <c r="E5" s="101"/>
      <c r="F5" s="101"/>
      <c r="G5" s="101"/>
      <c r="H5" s="101"/>
      <c r="I5" s="101"/>
      <c r="J5" s="534" t="s">
        <v>83</v>
      </c>
      <c r="K5" s="535"/>
      <c r="L5" s="536"/>
    </row>
    <row r="6" spans="1:30" ht="36.75" customHeight="1" x14ac:dyDescent="0.2">
      <c r="A6" s="540" t="s">
        <v>86</v>
      </c>
      <c r="B6" s="540"/>
      <c r="C6" s="541" t="s">
        <v>87</v>
      </c>
      <c r="D6" s="541"/>
      <c r="E6" s="541"/>
      <c r="F6" s="541"/>
      <c r="G6" s="541"/>
      <c r="H6" s="541"/>
      <c r="I6" s="242" t="s">
        <v>21</v>
      </c>
      <c r="J6" s="537"/>
      <c r="K6" s="538"/>
      <c r="L6" s="539"/>
    </row>
    <row r="7" spans="1:30" ht="14.25" x14ac:dyDescent="0.2">
      <c r="A7" s="102"/>
      <c r="B7" s="102"/>
      <c r="C7" s="547" t="s">
        <v>22</v>
      </c>
      <c r="D7" s="547"/>
      <c r="E7" s="547"/>
      <c r="F7" s="547"/>
      <c r="G7" s="547"/>
      <c r="H7" s="547"/>
      <c r="I7" s="101"/>
      <c r="J7" s="534" t="s">
        <v>56</v>
      </c>
      <c r="K7" s="535"/>
      <c r="L7" s="536"/>
    </row>
    <row r="8" spans="1:30" ht="34.5" customHeight="1" x14ac:dyDescent="0.2">
      <c r="A8" s="540" t="s">
        <v>88</v>
      </c>
      <c r="B8" s="540"/>
      <c r="C8" s="541" t="s">
        <v>89</v>
      </c>
      <c r="D8" s="541"/>
      <c r="E8" s="541"/>
      <c r="F8" s="541"/>
      <c r="G8" s="541"/>
      <c r="H8" s="541"/>
      <c r="I8" s="242" t="s">
        <v>21</v>
      </c>
      <c r="J8" s="537"/>
      <c r="K8" s="538"/>
      <c r="L8" s="539"/>
    </row>
    <row r="9" spans="1:30" ht="14.25" x14ac:dyDescent="0.2">
      <c r="A9" s="101"/>
      <c r="B9" s="101"/>
      <c r="C9" s="547" t="s">
        <v>22</v>
      </c>
      <c r="D9" s="547"/>
      <c r="E9" s="547"/>
      <c r="F9" s="547"/>
      <c r="G9" s="547"/>
      <c r="H9" s="547"/>
      <c r="I9" s="101"/>
      <c r="J9" s="534"/>
      <c r="K9" s="535"/>
      <c r="L9" s="536"/>
    </row>
    <row r="10" spans="1:30" ht="14.25" x14ac:dyDescent="0.2">
      <c r="A10" s="101" t="s">
        <v>23</v>
      </c>
      <c r="B10" s="101"/>
      <c r="C10" s="551" t="s">
        <v>90</v>
      </c>
      <c r="D10" s="551"/>
      <c r="E10" s="551"/>
      <c r="F10" s="551"/>
      <c r="G10" s="551"/>
      <c r="H10" s="551"/>
      <c r="I10" s="101"/>
      <c r="J10" s="537"/>
      <c r="K10" s="538"/>
      <c r="L10" s="539"/>
    </row>
    <row r="11" spans="1:30" ht="14.25" x14ac:dyDescent="0.2">
      <c r="A11" s="101"/>
      <c r="B11" s="101"/>
      <c r="C11" s="547" t="s">
        <v>24</v>
      </c>
      <c r="D11" s="547"/>
      <c r="E11" s="547"/>
      <c r="F11" s="547"/>
      <c r="G11" s="547"/>
      <c r="H11" s="547"/>
      <c r="I11" s="101"/>
      <c r="J11" s="548" t="s">
        <v>20</v>
      </c>
      <c r="K11" s="548"/>
      <c r="L11" s="548"/>
    </row>
    <row r="12" spans="1:30" ht="14.25" x14ac:dyDescent="0.2">
      <c r="A12" s="101" t="s">
        <v>25</v>
      </c>
      <c r="B12" s="101"/>
      <c r="C12" s="549" t="s">
        <v>91</v>
      </c>
      <c r="D12" s="549"/>
      <c r="E12" s="549"/>
      <c r="F12" s="549"/>
      <c r="G12" s="549"/>
      <c r="H12" s="549"/>
      <c r="I12" s="101"/>
      <c r="J12" s="548"/>
      <c r="K12" s="548"/>
      <c r="L12" s="548"/>
    </row>
    <row r="13" spans="1:30" ht="14.25" x14ac:dyDescent="0.2">
      <c r="A13" s="101"/>
      <c r="B13" s="101"/>
      <c r="C13" s="550" t="s">
        <v>26</v>
      </c>
      <c r="D13" s="550"/>
      <c r="E13" s="550"/>
      <c r="F13" s="550"/>
      <c r="G13" s="550"/>
      <c r="H13" s="550"/>
      <c r="I13" s="101"/>
      <c r="J13" s="101"/>
      <c r="K13" s="101"/>
      <c r="L13" s="101"/>
    </row>
    <row r="14" spans="1:30" ht="14.25" x14ac:dyDescent="0.2">
      <c r="A14" s="101"/>
      <c r="B14" s="101"/>
      <c r="C14" s="101"/>
      <c r="D14" s="101"/>
      <c r="E14" s="101"/>
      <c r="F14" s="101"/>
      <c r="G14" s="542" t="s">
        <v>27</v>
      </c>
      <c r="H14" s="542"/>
      <c r="I14" s="542"/>
      <c r="J14" s="532"/>
      <c r="K14" s="532"/>
      <c r="L14" s="532"/>
    </row>
    <row r="15" spans="1:30" ht="42.75" customHeight="1" x14ac:dyDescent="0.2">
      <c r="A15" s="101"/>
      <c r="B15" s="101"/>
      <c r="C15" s="101"/>
      <c r="D15" s="101"/>
      <c r="E15" s="101"/>
      <c r="F15" s="101"/>
      <c r="G15" s="542" t="s">
        <v>28</v>
      </c>
      <c r="H15" s="543"/>
      <c r="I15" s="103" t="s">
        <v>29</v>
      </c>
      <c r="J15" s="544" t="s">
        <v>92</v>
      </c>
      <c r="K15" s="545"/>
      <c r="L15" s="546"/>
      <c r="AD15" s="244" t="s">
        <v>233</v>
      </c>
    </row>
    <row r="16" spans="1:30" ht="14.25" x14ac:dyDescent="0.2">
      <c r="A16" s="101"/>
      <c r="B16" s="101"/>
      <c r="C16" s="101"/>
      <c r="D16" s="101"/>
      <c r="E16" s="101"/>
      <c r="F16" s="101"/>
      <c r="G16" s="101"/>
      <c r="H16" s="101"/>
      <c r="I16" s="243" t="s">
        <v>30</v>
      </c>
      <c r="J16" s="506">
        <v>41544</v>
      </c>
      <c r="K16" s="506"/>
      <c r="L16" s="506"/>
    </row>
    <row r="17" spans="1:30" ht="42.75" customHeight="1" x14ac:dyDescent="0.2">
      <c r="A17" s="101"/>
      <c r="B17" s="101"/>
      <c r="C17" s="101"/>
      <c r="D17" s="101"/>
      <c r="E17" s="101"/>
      <c r="F17" s="101"/>
      <c r="G17" s="101"/>
      <c r="H17" s="101"/>
      <c r="I17" s="104"/>
      <c r="J17" s="507">
        <v>25</v>
      </c>
      <c r="K17" s="508"/>
      <c r="L17" s="509"/>
      <c r="AD17" s="204" t="str">
        <f>IF([81]Source!G12&lt;&gt;"Новый объект", [81]Source!G12, "")</f>
        <v>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v>
      </c>
    </row>
    <row r="18" spans="1:30" ht="14.25" x14ac:dyDescent="0.2">
      <c r="A18" s="101"/>
      <c r="B18" s="101"/>
      <c r="C18" s="101"/>
      <c r="D18" s="101"/>
      <c r="E18" s="101"/>
      <c r="F18" s="101"/>
      <c r="G18" s="101"/>
      <c r="H18" s="101"/>
      <c r="I18" s="104"/>
      <c r="J18" s="510">
        <v>44158</v>
      </c>
      <c r="K18" s="511"/>
      <c r="L18" s="512"/>
    </row>
    <row r="19" spans="1:30" ht="14.25" x14ac:dyDescent="0.2">
      <c r="A19" s="101"/>
      <c r="B19" s="101"/>
      <c r="C19" s="101"/>
      <c r="D19" s="101"/>
      <c r="E19" s="101"/>
      <c r="F19" s="101"/>
      <c r="G19" s="101"/>
      <c r="H19" s="101"/>
      <c r="I19" s="104"/>
      <c r="J19" s="205"/>
      <c r="K19" s="205"/>
      <c r="L19" s="205"/>
    </row>
    <row r="20" spans="1:30" ht="14.25" x14ac:dyDescent="0.2">
      <c r="A20" s="101"/>
      <c r="B20" s="101"/>
      <c r="C20" s="101"/>
      <c r="D20" s="101"/>
      <c r="E20" s="101"/>
      <c r="F20" s="101"/>
      <c r="G20" s="513" t="s">
        <v>31</v>
      </c>
      <c r="H20" s="515" t="s">
        <v>32</v>
      </c>
      <c r="I20" s="515" t="s">
        <v>33</v>
      </c>
      <c r="J20" s="517"/>
      <c r="K20" s="205"/>
      <c r="L20" s="205"/>
    </row>
    <row r="21" spans="1:30" ht="14.25" x14ac:dyDescent="0.2">
      <c r="A21" s="101"/>
      <c r="B21" s="101"/>
      <c r="C21" s="101"/>
      <c r="D21" s="101"/>
      <c r="E21" s="101"/>
      <c r="F21" s="101"/>
      <c r="G21" s="514"/>
      <c r="H21" s="516"/>
      <c r="I21" s="241" t="s">
        <v>34</v>
      </c>
      <c r="J21" s="240" t="s">
        <v>35</v>
      </c>
      <c r="K21" s="205"/>
      <c r="L21" s="205"/>
    </row>
    <row r="22" spans="1:30" ht="14.25" x14ac:dyDescent="0.2">
      <c r="A22" s="101"/>
      <c r="B22" s="101"/>
      <c r="C22" s="101"/>
      <c r="D22" s="101"/>
      <c r="E22" s="101"/>
      <c r="F22" s="101"/>
      <c r="G22" s="208" t="s">
        <v>158</v>
      </c>
      <c r="H22" s="209">
        <v>44227</v>
      </c>
      <c r="I22" s="209">
        <v>44197</v>
      </c>
      <c r="J22" s="210">
        <f>H22</f>
        <v>44227</v>
      </c>
      <c r="K22" s="101"/>
      <c r="L22" s="101"/>
    </row>
    <row r="23" spans="1:30" ht="14.25" x14ac:dyDescent="0.2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30" ht="14.25" customHeight="1" x14ac:dyDescent="0.2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1:30" ht="18" x14ac:dyDescent="0.25">
      <c r="A25" s="525" t="s">
        <v>36</v>
      </c>
      <c r="B25" s="525"/>
      <c r="C25" s="525"/>
      <c r="D25" s="525"/>
      <c r="E25" s="525"/>
      <c r="F25" s="525"/>
      <c r="G25" s="525"/>
      <c r="H25" s="525"/>
      <c r="I25" s="525"/>
      <c r="J25" s="525"/>
      <c r="K25" s="525"/>
      <c r="L25" s="525"/>
    </row>
    <row r="26" spans="1:30" ht="18" x14ac:dyDescent="0.25">
      <c r="A26" s="525" t="s">
        <v>37</v>
      </c>
      <c r="B26" s="525"/>
      <c r="C26" s="525"/>
      <c r="D26" s="525"/>
      <c r="E26" s="525"/>
      <c r="F26" s="525"/>
      <c r="G26" s="525"/>
      <c r="H26" s="525"/>
      <c r="I26" s="525"/>
      <c r="J26" s="525"/>
      <c r="K26" s="525"/>
      <c r="L26" s="525"/>
    </row>
    <row r="27" spans="1:30" ht="14.25" x14ac:dyDescent="0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30" ht="15" hidden="1" x14ac:dyDescent="0.25">
      <c r="A28" s="44" t="s">
        <v>66</v>
      </c>
      <c r="B28" s="44"/>
      <c r="C28" s="44"/>
      <c r="D28" s="44"/>
      <c r="E28" s="44"/>
      <c r="F28" s="44"/>
      <c r="G28" s="44"/>
      <c r="H28" s="566">
        <f>([81]Source!P1593/1000)</f>
        <v>9.4700000000000006</v>
      </c>
      <c r="I28" s="566"/>
      <c r="J28" s="44" t="s">
        <v>67</v>
      </c>
      <c r="K28" s="44"/>
      <c r="L28" s="44"/>
    </row>
    <row r="29" spans="1:30" ht="14.25" x14ac:dyDescent="0.2">
      <c r="A29" s="526" t="s">
        <v>159</v>
      </c>
      <c r="B29" s="526"/>
      <c r="C29" s="526"/>
      <c r="D29" s="526"/>
      <c r="E29" s="526"/>
      <c r="F29" s="526"/>
      <c r="G29" s="526"/>
      <c r="H29" s="526"/>
      <c r="I29" s="526"/>
      <c r="J29" s="526"/>
      <c r="K29" s="526"/>
      <c r="L29" s="526"/>
    </row>
    <row r="30" spans="1:30" ht="14.25" x14ac:dyDescent="0.2">
      <c r="A30" s="553" t="s">
        <v>38</v>
      </c>
      <c r="B30" s="553"/>
      <c r="C30" s="553" t="s">
        <v>39</v>
      </c>
      <c r="D30" s="553" t="s">
        <v>40</v>
      </c>
      <c r="E30" s="553" t="s">
        <v>126</v>
      </c>
      <c r="F30" s="553" t="s">
        <v>68</v>
      </c>
      <c r="G30" s="553" t="s">
        <v>69</v>
      </c>
      <c r="H30" s="518" t="s">
        <v>127</v>
      </c>
      <c r="I30" s="518" t="s">
        <v>128</v>
      </c>
      <c r="J30" s="553" t="s">
        <v>129</v>
      </c>
      <c r="K30" s="553" t="s">
        <v>130</v>
      </c>
      <c r="L30" s="553" t="s">
        <v>131</v>
      </c>
    </row>
    <row r="31" spans="1:30" x14ac:dyDescent="0.2">
      <c r="A31" s="518" t="s">
        <v>41</v>
      </c>
      <c r="B31" s="518" t="s">
        <v>42</v>
      </c>
      <c r="C31" s="553"/>
      <c r="D31" s="553"/>
      <c r="E31" s="553"/>
      <c r="F31" s="553"/>
      <c r="G31" s="553"/>
      <c r="H31" s="519"/>
      <c r="I31" s="519"/>
      <c r="J31" s="553"/>
      <c r="K31" s="553"/>
      <c r="L31" s="553"/>
    </row>
    <row r="32" spans="1:30" x14ac:dyDescent="0.2">
      <c r="A32" s="519"/>
      <c r="B32" s="519"/>
      <c r="C32" s="553"/>
      <c r="D32" s="553"/>
      <c r="E32" s="553"/>
      <c r="F32" s="553"/>
      <c r="G32" s="553"/>
      <c r="H32" s="519"/>
      <c r="I32" s="519"/>
      <c r="J32" s="553"/>
      <c r="K32" s="553"/>
      <c r="L32" s="553"/>
    </row>
    <row r="33" spans="1:22" x14ac:dyDescent="0.2">
      <c r="A33" s="519"/>
      <c r="B33" s="519"/>
      <c r="C33" s="553"/>
      <c r="D33" s="553"/>
      <c r="E33" s="553"/>
      <c r="F33" s="553"/>
      <c r="G33" s="553"/>
      <c r="H33" s="519"/>
      <c r="I33" s="519"/>
      <c r="J33" s="553"/>
      <c r="K33" s="553"/>
      <c r="L33" s="553"/>
    </row>
    <row r="34" spans="1:22" x14ac:dyDescent="0.2">
      <c r="A34" s="519"/>
      <c r="B34" s="519"/>
      <c r="C34" s="553"/>
      <c r="D34" s="553"/>
      <c r="E34" s="553"/>
      <c r="F34" s="553"/>
      <c r="G34" s="553"/>
      <c r="H34" s="519"/>
      <c r="I34" s="519"/>
      <c r="J34" s="553"/>
      <c r="K34" s="553"/>
      <c r="L34" s="553"/>
    </row>
    <row r="35" spans="1:22" x14ac:dyDescent="0.2">
      <c r="A35" s="520"/>
      <c r="B35" s="520"/>
      <c r="C35" s="553"/>
      <c r="D35" s="553"/>
      <c r="E35" s="553"/>
      <c r="F35" s="553"/>
      <c r="G35" s="553"/>
      <c r="H35" s="520"/>
      <c r="I35" s="520"/>
      <c r="J35" s="553"/>
      <c r="K35" s="553"/>
      <c r="L35" s="553"/>
    </row>
    <row r="36" spans="1:22" ht="14.25" x14ac:dyDescent="0.2">
      <c r="A36" s="107">
        <v>1</v>
      </c>
      <c r="B36" s="107">
        <v>2</v>
      </c>
      <c r="C36" s="107">
        <v>3</v>
      </c>
      <c r="D36" s="107">
        <v>4</v>
      </c>
      <c r="E36" s="107">
        <v>5</v>
      </c>
      <c r="F36" s="107">
        <v>6</v>
      </c>
      <c r="G36" s="107">
        <v>7</v>
      </c>
      <c r="H36" s="107">
        <v>8</v>
      </c>
      <c r="I36" s="107">
        <v>9</v>
      </c>
      <c r="J36" s="107">
        <v>10</v>
      </c>
      <c r="K36" s="107">
        <v>11</v>
      </c>
      <c r="L36" s="107">
        <v>12</v>
      </c>
    </row>
    <row r="37" spans="1:22" ht="14.25" x14ac:dyDescent="0.2">
      <c r="A37" s="176"/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</row>
    <row r="38" spans="1:22" ht="16.5" x14ac:dyDescent="0.2">
      <c r="A38" s="569" t="s">
        <v>160</v>
      </c>
      <c r="B38" s="569"/>
      <c r="C38" s="569"/>
      <c r="D38" s="569"/>
      <c r="E38" s="569"/>
      <c r="F38" s="569"/>
      <c r="G38" s="569"/>
      <c r="H38" s="569"/>
      <c r="I38" s="569"/>
      <c r="J38" s="569"/>
      <c r="K38" s="569"/>
      <c r="L38" s="569"/>
    </row>
    <row r="39" spans="1:22" ht="51.75" customHeight="1" x14ac:dyDescent="0.2">
      <c r="A39" s="569" t="s">
        <v>161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</row>
    <row r="40" spans="1:22" ht="14.25" hidden="1" x14ac:dyDescent="0.2">
      <c r="A40" s="570" t="s">
        <v>162</v>
      </c>
      <c r="B40" s="570"/>
      <c r="C40" s="570"/>
      <c r="D40" s="570"/>
      <c r="E40" s="173"/>
      <c r="F40" s="173"/>
      <c r="G40" s="173"/>
      <c r="H40" s="173"/>
      <c r="I40" s="173"/>
      <c r="J40" s="173"/>
      <c r="K40" s="173"/>
      <c r="L40" s="173"/>
    </row>
    <row r="42" spans="1:22" ht="16.5" x14ac:dyDescent="0.25">
      <c r="A42" s="571" t="str">
        <f>CONCATENATE("Подраздел: ",IF([81]Source!G1388&lt;&gt;"Новый подраздел", [81]Source!G1388, ""))</f>
        <v>Подраздел: Закладные элементы в полах</v>
      </c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</row>
    <row r="43" spans="1:22" ht="42.75" x14ac:dyDescent="0.2">
      <c r="A43" s="108">
        <v>1</v>
      </c>
      <c r="B43" s="108" t="str">
        <f>[81]Source!E1398</f>
        <v>182</v>
      </c>
      <c r="C43" s="109" t="str">
        <f>[81]Source!F1398</f>
        <v>3.6-6-6</v>
      </c>
      <c r="D43" s="109" t="s">
        <v>163</v>
      </c>
      <c r="E43" s="110" t="str">
        <f>[81]Source!H1398</f>
        <v>1 Т</v>
      </c>
      <c r="F43" s="111">
        <f>[81]Source!I1398</f>
        <v>9.5000000000000001E-2</v>
      </c>
      <c r="G43" s="112"/>
      <c r="H43" s="113"/>
      <c r="I43" s="111"/>
      <c r="J43" s="114"/>
      <c r="K43" s="111"/>
      <c r="L43" s="114"/>
      <c r="Q43" s="49">
        <f>[81]Source!X1398</f>
        <v>87.31</v>
      </c>
      <c r="R43" s="49">
        <f>[81]Source!X1399</f>
        <v>1962.19</v>
      </c>
      <c r="S43" s="49">
        <f>[81]Source!Y1398</f>
        <v>62.36</v>
      </c>
      <c r="T43" s="49">
        <f>[81]Source!Y1399</f>
        <v>1386.33</v>
      </c>
      <c r="U43" s="49">
        <f>ROUND((175/100)*ROUND([81]Source!R1398, 2), 2)</f>
        <v>11.38</v>
      </c>
      <c r="V43" s="49">
        <f>ROUND((157/100)*ROUND([81]Source!R1399, 2), 2)</f>
        <v>244.31</v>
      </c>
    </row>
    <row r="44" spans="1:22" ht="14.25" x14ac:dyDescent="0.2">
      <c r="A44" s="108"/>
      <c r="B44" s="108"/>
      <c r="C44" s="109"/>
      <c r="D44" s="109" t="s">
        <v>43</v>
      </c>
      <c r="E44" s="110"/>
      <c r="F44" s="111"/>
      <c r="G44" s="112">
        <f>[81]Source!AO1398</f>
        <v>536.35</v>
      </c>
      <c r="H44" s="113" t="str">
        <f>[81]Source!DG1398</f>
        <v>)*1,67</v>
      </c>
      <c r="I44" s="111">
        <f>[81]Source!AV1399</f>
        <v>1.0469999999999999</v>
      </c>
      <c r="J44" s="114">
        <f>[81]Source!S1398</f>
        <v>89.09</v>
      </c>
      <c r="K44" s="111">
        <f>IF([81]Source!BA1399&lt;&gt; 0, [81]Source!BA1399, 1)</f>
        <v>23.94</v>
      </c>
      <c r="L44" s="114">
        <f>[81]Source!S1399</f>
        <v>2132.81</v>
      </c>
    </row>
    <row r="45" spans="1:22" ht="14.25" x14ac:dyDescent="0.2">
      <c r="A45" s="108"/>
      <c r="B45" s="108"/>
      <c r="C45" s="109"/>
      <c r="D45" s="109" t="s">
        <v>44</v>
      </c>
      <c r="E45" s="110"/>
      <c r="F45" s="111"/>
      <c r="G45" s="112">
        <f>[81]Source!AM1398</f>
        <v>258.33999999999997</v>
      </c>
      <c r="H45" s="113" t="str">
        <f>[81]Source!DE1398</f>
        <v/>
      </c>
      <c r="I45" s="111">
        <f>[81]Source!AV1399</f>
        <v>1.0469999999999999</v>
      </c>
      <c r="J45" s="114">
        <f>[81]Source!Q1398-J55</f>
        <v>25.7</v>
      </c>
      <c r="K45" s="111">
        <f>IF([81]Source!BB1399&lt;&gt; 0, [81]Source!BB1399, 1)</f>
        <v>8.39</v>
      </c>
      <c r="L45" s="114">
        <f>[81]Source!Q1399-L55</f>
        <v>215.67</v>
      </c>
    </row>
    <row r="46" spans="1:22" ht="14.25" x14ac:dyDescent="0.2">
      <c r="A46" s="108"/>
      <c r="B46" s="108"/>
      <c r="C46" s="109"/>
      <c r="D46" s="109" t="s">
        <v>45</v>
      </c>
      <c r="E46" s="110"/>
      <c r="F46" s="111"/>
      <c r="G46" s="112">
        <f>[81]Source!AN1398</f>
        <v>39.130000000000003</v>
      </c>
      <c r="H46" s="113" t="str">
        <f>[81]Source!DE1398</f>
        <v/>
      </c>
      <c r="I46" s="111">
        <f>[81]Source!AV1399</f>
        <v>1.0469999999999999</v>
      </c>
      <c r="J46" s="115">
        <f>[81]Source!R1398-J56</f>
        <v>3.89</v>
      </c>
      <c r="K46" s="111">
        <f>IF([81]Source!BS1399&lt;&gt; 0, [81]Source!BS1399, 1)</f>
        <v>23.94</v>
      </c>
      <c r="L46" s="115">
        <f>[81]Source!R1399-L56</f>
        <v>93.18</v>
      </c>
    </row>
    <row r="47" spans="1:22" ht="14.25" x14ac:dyDescent="0.2">
      <c r="A47" s="108"/>
      <c r="B47" s="108"/>
      <c r="C47" s="109"/>
      <c r="D47" s="109" t="s">
        <v>46</v>
      </c>
      <c r="E47" s="110"/>
      <c r="F47" s="111"/>
      <c r="G47" s="112">
        <f>[81]Source!AL1398</f>
        <v>50.34</v>
      </c>
      <c r="H47" s="113" t="str">
        <f>[81]Source!DD1398</f>
        <v/>
      </c>
      <c r="I47" s="111">
        <f>[81]Source!AW1399</f>
        <v>1.022</v>
      </c>
      <c r="J47" s="114">
        <f>[81]Source!P1398</f>
        <v>4.8899999999999997</v>
      </c>
      <c r="K47" s="111">
        <f>IF([81]Source!BC1399&lt;&gt; 0, [81]Source!BC1399, 1)</f>
        <v>11.43</v>
      </c>
      <c r="L47" s="114">
        <f>[81]Source!P1399</f>
        <v>55.89</v>
      </c>
    </row>
    <row r="48" spans="1:22" ht="57" x14ac:dyDescent="0.2">
      <c r="A48" s="108">
        <v>2</v>
      </c>
      <c r="B48" s="108" t="str">
        <f>[81]Source!E1402</f>
        <v>182,2</v>
      </c>
      <c r="C48" s="109" t="str">
        <f>[81]Source!F1402</f>
        <v>1.12-6-25</v>
      </c>
      <c r="D48" s="109" t="s">
        <v>164</v>
      </c>
      <c r="E48" s="110" t="str">
        <f>[81]Source!H1402</f>
        <v>м</v>
      </c>
      <c r="F48" s="111">
        <f>[81]Source!I1402</f>
        <v>12.9</v>
      </c>
      <c r="G48" s="112">
        <f>[81]Source!AK1402</f>
        <v>86.91</v>
      </c>
      <c r="H48" s="157" t="s">
        <v>20</v>
      </c>
      <c r="I48" s="111">
        <f>[81]Source!AW1403</f>
        <v>1.022</v>
      </c>
      <c r="J48" s="114">
        <f>[81]Source!O1402</f>
        <v>1145.8</v>
      </c>
      <c r="K48" s="111">
        <f>IF([81]Source!BC1403&lt;&gt; 0, [81]Source!BC1403, 1)</f>
        <v>2.98</v>
      </c>
      <c r="L48" s="114">
        <f>[81]Source!O1403</f>
        <v>3414.48</v>
      </c>
      <c r="Q48" s="49">
        <f>[81]Source!X1402</f>
        <v>0</v>
      </c>
      <c r="R48" s="49">
        <f>[81]Source!X1403</f>
        <v>0</v>
      </c>
      <c r="S48" s="49">
        <f>[81]Source!Y1402</f>
        <v>0</v>
      </c>
      <c r="T48" s="49">
        <f>[81]Source!Y1403</f>
        <v>0</v>
      </c>
      <c r="U48" s="49">
        <f>ROUND((175/100)*ROUND([81]Source!R1402, 2), 2)</f>
        <v>0</v>
      </c>
      <c r="V48" s="49">
        <f>ROUND((157/100)*ROUND([81]Source!R1403, 2), 2)</f>
        <v>0</v>
      </c>
    </row>
    <row r="49" spans="1:16" ht="14.25" x14ac:dyDescent="0.2">
      <c r="A49" s="108"/>
      <c r="B49" s="108"/>
      <c r="C49" s="109"/>
      <c r="D49" s="109" t="s">
        <v>47</v>
      </c>
      <c r="E49" s="110" t="s">
        <v>48</v>
      </c>
      <c r="F49" s="111">
        <f>[81]Source!DN1399</f>
        <v>98</v>
      </c>
      <c r="G49" s="112"/>
      <c r="H49" s="113"/>
      <c r="I49" s="111"/>
      <c r="J49" s="114">
        <f>SUM(Q43:Q48)</f>
        <v>87.31</v>
      </c>
      <c r="K49" s="111">
        <f>[81]Source!BZ1399</f>
        <v>92</v>
      </c>
      <c r="L49" s="114">
        <f>SUM(R43:R48)</f>
        <v>1962.19</v>
      </c>
    </row>
    <row r="50" spans="1:16" ht="14.25" x14ac:dyDescent="0.2">
      <c r="A50" s="108"/>
      <c r="B50" s="108"/>
      <c r="C50" s="109"/>
      <c r="D50" s="109" t="s">
        <v>49</v>
      </c>
      <c r="E50" s="110" t="s">
        <v>48</v>
      </c>
      <c r="F50" s="111">
        <f>[81]Source!DO1399</f>
        <v>70</v>
      </c>
      <c r="G50" s="112"/>
      <c r="H50" s="113"/>
      <c r="I50" s="111"/>
      <c r="J50" s="114">
        <f>SUM(S43:S49)</f>
        <v>62.36</v>
      </c>
      <c r="K50" s="111">
        <f>[81]Source!CA1399</f>
        <v>65</v>
      </c>
      <c r="L50" s="114">
        <f>SUM(T43:T49)</f>
        <v>1386.33</v>
      </c>
    </row>
    <row r="51" spans="1:16" ht="14.25" x14ac:dyDescent="0.2">
      <c r="A51" s="108"/>
      <c r="B51" s="108"/>
      <c r="C51" s="109"/>
      <c r="D51" s="109" t="s">
        <v>50</v>
      </c>
      <c r="E51" s="110" t="s">
        <v>48</v>
      </c>
      <c r="F51" s="111">
        <f>175</f>
        <v>175</v>
      </c>
      <c r="G51" s="112"/>
      <c r="H51" s="113"/>
      <c r="I51" s="111"/>
      <c r="J51" s="114">
        <f>SUM(U43:U50)-J57</f>
        <v>6.81</v>
      </c>
      <c r="K51" s="111">
        <f>157</f>
        <v>157</v>
      </c>
      <c r="L51" s="114">
        <f>SUM(V43:V50)-L57</f>
        <v>146.29</v>
      </c>
    </row>
    <row r="52" spans="1:16" ht="14.25" x14ac:dyDescent="0.2">
      <c r="A52" s="108"/>
      <c r="B52" s="108"/>
      <c r="C52" s="109"/>
      <c r="D52" s="109" t="s">
        <v>51</v>
      </c>
      <c r="E52" s="110" t="s">
        <v>52</v>
      </c>
      <c r="F52" s="111">
        <f>[81]Source!AQ1398</f>
        <v>42.5</v>
      </c>
      <c r="G52" s="112"/>
      <c r="H52" s="113" t="str">
        <f>[81]Source!DI1398</f>
        <v/>
      </c>
      <c r="I52" s="111">
        <f>[81]Source!AV1399</f>
        <v>1.0469999999999999</v>
      </c>
      <c r="J52" s="114">
        <f>[81]Source!U1398</f>
        <v>4.2300000000000004</v>
      </c>
      <c r="K52" s="111"/>
      <c r="L52" s="114"/>
    </row>
    <row r="53" spans="1:16" ht="15" x14ac:dyDescent="0.25">
      <c r="I53" s="567">
        <f>J44+J45+J47+J49+J50+J51+SUM(J48:J48)</f>
        <v>1421.96</v>
      </c>
      <c r="J53" s="567"/>
      <c r="K53" s="567">
        <f>L44+L45+L47+L49+L50+L51+SUM(L48:L48)</f>
        <v>9313.66</v>
      </c>
      <c r="L53" s="567"/>
      <c r="O53" s="117">
        <f>J44+J45+J47+J49+J50+J51+SUM(J48:J48)</f>
        <v>1421.96</v>
      </c>
      <c r="P53" s="117">
        <f>L44+L45+L47+L49+L50+L51+SUM(L48:L48)</f>
        <v>9313.66</v>
      </c>
    </row>
    <row r="54" spans="1:16" ht="28.5" x14ac:dyDescent="0.2">
      <c r="A54" s="158"/>
      <c r="B54" s="158"/>
      <c r="C54" s="159"/>
      <c r="D54" s="159" t="s">
        <v>133</v>
      </c>
      <c r="E54" s="110"/>
      <c r="F54" s="160"/>
      <c r="G54" s="161"/>
      <c r="H54" s="110"/>
      <c r="I54" s="160"/>
      <c r="J54" s="115"/>
      <c r="K54" s="160"/>
      <c r="L54" s="115"/>
    </row>
    <row r="55" spans="1:16" ht="14.25" x14ac:dyDescent="0.2">
      <c r="A55" s="158"/>
      <c r="B55" s="158"/>
      <c r="C55" s="159"/>
      <c r="D55" s="159" t="s">
        <v>44</v>
      </c>
      <c r="E55" s="110"/>
      <c r="F55" s="160"/>
      <c r="G55" s="161">
        <f t="shared" ref="G55:L55" si="0">G56</f>
        <v>39.130000000000003</v>
      </c>
      <c r="H55" s="162" t="str">
        <f t="shared" si="0"/>
        <v>)*(1.67-1)</v>
      </c>
      <c r="I55" s="160">
        <f t="shared" si="0"/>
        <v>1.0469999999999999</v>
      </c>
      <c r="J55" s="115">
        <f t="shared" si="0"/>
        <v>2.61</v>
      </c>
      <c r="K55" s="160">
        <f t="shared" si="0"/>
        <v>23.94</v>
      </c>
      <c r="L55" s="115">
        <f t="shared" si="0"/>
        <v>62.43</v>
      </c>
    </row>
    <row r="56" spans="1:16" ht="14.25" x14ac:dyDescent="0.2">
      <c r="A56" s="158"/>
      <c r="B56" s="158"/>
      <c r="C56" s="159"/>
      <c r="D56" s="159" t="s">
        <v>45</v>
      </c>
      <c r="E56" s="110"/>
      <c r="F56" s="160"/>
      <c r="G56" s="161">
        <f>[81]Source!AN1398</f>
        <v>39.130000000000003</v>
      </c>
      <c r="H56" s="162" t="s">
        <v>53</v>
      </c>
      <c r="I56" s="160">
        <f>[81]Source!AV1399</f>
        <v>1.0469999999999999</v>
      </c>
      <c r="J56" s="115">
        <f>ROUND(F43*G56*I56*(1.67-1), 2)</f>
        <v>2.61</v>
      </c>
      <c r="K56" s="160">
        <f>IF([81]Source!BS1399&lt;&gt; 0, [81]Source!BS1399, 1)</f>
        <v>23.94</v>
      </c>
      <c r="L56" s="115">
        <f>ROUND(F43*G56*I56*(1.67-1)*K56, 2)</f>
        <v>62.43</v>
      </c>
    </row>
    <row r="57" spans="1:16" ht="14.25" x14ac:dyDescent="0.2">
      <c r="A57" s="158"/>
      <c r="B57" s="158"/>
      <c r="C57" s="159"/>
      <c r="D57" s="159" t="s">
        <v>50</v>
      </c>
      <c r="E57" s="110" t="s">
        <v>48</v>
      </c>
      <c r="F57" s="160">
        <f>175</f>
        <v>175</v>
      </c>
      <c r="G57" s="161"/>
      <c r="H57" s="110"/>
      <c r="I57" s="160"/>
      <c r="J57" s="115">
        <f>ROUND(J56*(F57/100), 2)</f>
        <v>4.57</v>
      </c>
      <c r="K57" s="160">
        <f>157</f>
        <v>157</v>
      </c>
      <c r="L57" s="115">
        <f>ROUND(L56*(K57/100), 2)</f>
        <v>98.02</v>
      </c>
    </row>
    <row r="58" spans="1:16" ht="15" x14ac:dyDescent="0.25">
      <c r="I58" s="567">
        <f>J57+J56</f>
        <v>7.18</v>
      </c>
      <c r="J58" s="567"/>
      <c r="K58" s="567">
        <f>L57+L56</f>
        <v>160.44999999999999</v>
      </c>
      <c r="L58" s="567"/>
      <c r="O58" s="117">
        <f>I58</f>
        <v>7.18</v>
      </c>
      <c r="P58" s="117">
        <f>K58</f>
        <v>160.44999999999999</v>
      </c>
    </row>
    <row r="60" spans="1:16" ht="15" x14ac:dyDescent="0.25">
      <c r="A60" s="163"/>
      <c r="B60" s="163"/>
      <c r="C60" s="164"/>
      <c r="D60" s="164" t="s">
        <v>134</v>
      </c>
      <c r="E60" s="165"/>
      <c r="F60" s="166"/>
      <c r="G60" s="167"/>
      <c r="H60" s="168"/>
      <c r="I60" s="567">
        <f>I53+I58</f>
        <v>1429.14</v>
      </c>
      <c r="J60" s="567"/>
      <c r="K60" s="567">
        <f>K53+K58</f>
        <v>9474.11</v>
      </c>
      <c r="L60" s="567"/>
    </row>
    <row r="62" spans="1:16" ht="15" x14ac:dyDescent="0.25">
      <c r="A62" s="572" t="str">
        <f>CONCATENATE("Итого по подразделу: ",IF([81]Source!G1407&lt;&gt;"Новый подраздел", [81]Source!G1407, ""))</f>
        <v>Итого по подразделу: Закладные элементы в полах</v>
      </c>
      <c r="B62" s="572"/>
      <c r="C62" s="572"/>
      <c r="D62" s="572"/>
      <c r="E62" s="572"/>
      <c r="F62" s="572"/>
      <c r="G62" s="572"/>
      <c r="H62" s="572"/>
      <c r="I62" s="573">
        <f>SUM(O42:O61)</f>
        <v>1429.14</v>
      </c>
      <c r="J62" s="574"/>
      <c r="K62" s="573">
        <f>SUM(P42:P61)</f>
        <v>9474.11</v>
      </c>
      <c r="L62" s="574"/>
    </row>
    <row r="63" spans="1:16" hidden="1" x14ac:dyDescent="0.2">
      <c r="A63" s="49" t="s">
        <v>54</v>
      </c>
      <c r="J63" s="49">
        <f>SUM(W42:W62)</f>
        <v>0</v>
      </c>
      <c r="K63" s="49">
        <f>SUM(X42:X62)</f>
        <v>0</v>
      </c>
    </row>
    <row r="64" spans="1:16" hidden="1" x14ac:dyDescent="0.2">
      <c r="A64" s="49" t="s">
        <v>55</v>
      </c>
      <c r="J64" s="49">
        <f>SUM(Y42:Y63)</f>
        <v>0</v>
      </c>
      <c r="K64" s="49">
        <f>SUM(Z42:Z63)</f>
        <v>0</v>
      </c>
    </row>
    <row r="66" spans="1:32" ht="16.5" customHeight="1" x14ac:dyDescent="0.25">
      <c r="A66" s="572" t="s">
        <v>74</v>
      </c>
      <c r="B66" s="572"/>
      <c r="C66" s="572"/>
      <c r="D66" s="572"/>
      <c r="E66" s="572"/>
      <c r="F66" s="572"/>
      <c r="G66" s="572"/>
      <c r="H66" s="572"/>
      <c r="I66" s="573">
        <f>SUM(O30:O65)</f>
        <v>1429.14</v>
      </c>
      <c r="J66" s="574"/>
      <c r="K66" s="573">
        <f>SUM(P30:P65)</f>
        <v>9474.11</v>
      </c>
      <c r="L66" s="574"/>
      <c r="AF66" s="98" t="str">
        <f>CONCATENATE("Итого по акту: ",IF([81]Source!G1565&lt;&gt;"Новый объект", [81]Source!G1565, ""))</f>
        <v>Итого по акту: 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v>
      </c>
    </row>
    <row r="67" spans="1:32" hidden="1" x14ac:dyDescent="0.2">
      <c r="A67" s="49" t="s">
        <v>54</v>
      </c>
      <c r="J67" s="49">
        <f>SUM(W30:W66)</f>
        <v>0</v>
      </c>
      <c r="K67" s="49">
        <f>SUM(X30:X66)</f>
        <v>0</v>
      </c>
    </row>
    <row r="68" spans="1:32" hidden="1" x14ac:dyDescent="0.2">
      <c r="A68" s="49" t="s">
        <v>55</v>
      </c>
      <c r="J68" s="49">
        <f>SUM(Y30:Y67)</f>
        <v>0</v>
      </c>
      <c r="K68" s="49">
        <f>SUM(Z30:Z67)</f>
        <v>0</v>
      </c>
    </row>
    <row r="69" spans="1:32" ht="14.25" x14ac:dyDescent="0.2">
      <c r="D69" s="558" t="str">
        <f>[81]Source!H1568</f>
        <v>Стоимость материальных ресурсов (всего)</v>
      </c>
      <c r="E69" s="558"/>
      <c r="F69" s="558"/>
      <c r="G69" s="558"/>
      <c r="H69" s="558"/>
      <c r="I69" s="559">
        <f>[81]Source!F1568</f>
        <v>1150.69</v>
      </c>
      <c r="J69" s="559"/>
      <c r="K69" s="559">
        <f>[81]Source!P1568</f>
        <v>3470.37</v>
      </c>
      <c r="L69" s="559"/>
    </row>
    <row r="70" spans="1:32" ht="14.25" x14ac:dyDescent="0.2">
      <c r="D70" s="558" t="str">
        <f>[81]Source!H1579</f>
        <v>ЗП машинистов</v>
      </c>
      <c r="E70" s="558"/>
      <c r="F70" s="558"/>
      <c r="G70" s="558"/>
      <c r="H70" s="558"/>
      <c r="I70" s="559">
        <f>[81]Source!F1579</f>
        <v>6.5</v>
      </c>
      <c r="J70" s="559"/>
      <c r="K70" s="559">
        <f>[81]Source!P1579</f>
        <v>155.61000000000001</v>
      </c>
      <c r="L70" s="559"/>
    </row>
    <row r="71" spans="1:32" ht="14.25" x14ac:dyDescent="0.2">
      <c r="D71" s="558" t="str">
        <f>[81]Source!H1580</f>
        <v>Основная ЗП рабочих</v>
      </c>
      <c r="E71" s="558"/>
      <c r="F71" s="558"/>
      <c r="G71" s="558"/>
      <c r="H71" s="558"/>
      <c r="I71" s="559">
        <f>[81]Source!F1580</f>
        <v>89.09</v>
      </c>
      <c r="J71" s="559"/>
      <c r="K71" s="559">
        <f>[81]Source!P1580</f>
        <v>2132.81</v>
      </c>
      <c r="L71" s="559"/>
    </row>
    <row r="72" spans="1:32" ht="15" x14ac:dyDescent="0.25">
      <c r="D72" s="97"/>
      <c r="I72" s="106"/>
      <c r="J72" s="106"/>
      <c r="K72" s="169"/>
      <c r="L72" s="169"/>
    </row>
    <row r="73" spans="1:32" ht="14.25" x14ac:dyDescent="0.2">
      <c r="A73" s="139"/>
      <c r="B73" s="139"/>
      <c r="C73" s="139"/>
      <c r="D73" s="170" t="s">
        <v>57</v>
      </c>
      <c r="E73" s="139"/>
      <c r="F73" s="139"/>
      <c r="G73" s="139"/>
      <c r="H73" s="139"/>
      <c r="I73" s="139"/>
      <c r="J73" s="171">
        <f>I66</f>
        <v>1429.14</v>
      </c>
      <c r="K73" s="171"/>
      <c r="L73" s="171">
        <f>K66</f>
        <v>9474.11</v>
      </c>
    </row>
    <row r="74" spans="1:32" ht="14.25" x14ac:dyDescent="0.2">
      <c r="A74" s="139"/>
      <c r="B74" s="139"/>
      <c r="C74" s="139"/>
      <c r="D74" s="170" t="s">
        <v>3</v>
      </c>
      <c r="E74" s="139"/>
      <c r="F74" s="139"/>
      <c r="G74" s="139"/>
      <c r="H74" s="139"/>
      <c r="I74" s="139"/>
      <c r="J74" s="171">
        <f>J73</f>
        <v>1429.14</v>
      </c>
      <c r="K74" s="171"/>
      <c r="L74" s="171">
        <f>L73</f>
        <v>9474.11</v>
      </c>
    </row>
    <row r="75" spans="1:32" ht="14.25" x14ac:dyDescent="0.2">
      <c r="A75" s="139"/>
      <c r="B75" s="139"/>
      <c r="C75" s="139"/>
      <c r="D75" s="170" t="s">
        <v>58</v>
      </c>
      <c r="E75" s="139"/>
      <c r="F75" s="139"/>
      <c r="G75" s="139"/>
      <c r="H75" s="139"/>
      <c r="I75" s="139"/>
      <c r="J75" s="171">
        <f>I70+I71</f>
        <v>95.59</v>
      </c>
      <c r="K75" s="171"/>
      <c r="L75" s="171">
        <f>K70+K71</f>
        <v>2288.42</v>
      </c>
    </row>
    <row r="76" spans="1:32" ht="14.25" x14ac:dyDescent="0.2">
      <c r="A76" s="139"/>
      <c r="B76" s="139"/>
      <c r="C76" s="139"/>
      <c r="D76" s="170" t="s">
        <v>59</v>
      </c>
      <c r="E76" s="139"/>
      <c r="F76" s="139"/>
      <c r="G76" s="139"/>
      <c r="H76" s="139"/>
      <c r="I76" s="139"/>
      <c r="J76" s="171">
        <f>I69</f>
        <v>1150.69</v>
      </c>
      <c r="K76" s="171"/>
      <c r="L76" s="171">
        <f>K69</f>
        <v>3470.37</v>
      </c>
    </row>
    <row r="77" spans="1:32" ht="14.25" x14ac:dyDescent="0.2">
      <c r="A77" s="139"/>
      <c r="B77" s="139"/>
      <c r="C77" s="139"/>
      <c r="D77" s="170" t="s">
        <v>60</v>
      </c>
      <c r="E77" s="139"/>
      <c r="F77" s="139"/>
      <c r="G77" s="139"/>
      <c r="H77" s="139"/>
      <c r="I77" s="139"/>
      <c r="J77" s="172">
        <v>0</v>
      </c>
      <c r="K77" s="172"/>
      <c r="L77" s="172">
        <v>0</v>
      </c>
    </row>
    <row r="78" spans="1:32" ht="14.25" x14ac:dyDescent="0.2">
      <c r="A78" s="128"/>
      <c r="B78" s="128"/>
      <c r="C78" s="128"/>
      <c r="D78" s="540" t="s">
        <v>111</v>
      </c>
      <c r="E78" s="540"/>
      <c r="F78" s="540"/>
      <c r="G78" s="540"/>
      <c r="H78" s="540"/>
      <c r="I78" s="136"/>
      <c r="J78" s="136">
        <v>0</v>
      </c>
      <c r="K78" s="136"/>
      <c r="L78" s="136">
        <v>0</v>
      </c>
    </row>
    <row r="79" spans="1:32" ht="15" x14ac:dyDescent="0.25">
      <c r="A79" s="130"/>
      <c r="B79" s="130"/>
      <c r="C79" s="130"/>
      <c r="D79" s="540" t="s">
        <v>112</v>
      </c>
      <c r="E79" s="540"/>
      <c r="F79" s="540"/>
      <c r="G79" s="540"/>
      <c r="H79" s="540"/>
      <c r="I79" s="560">
        <f>J74*5.61%</f>
        <v>80.17</v>
      </c>
      <c r="J79" s="560"/>
      <c r="K79" s="560">
        <f>L74*5.61%</f>
        <v>531.5</v>
      </c>
      <c r="L79" s="560"/>
    </row>
    <row r="80" spans="1:32" ht="15" x14ac:dyDescent="0.25">
      <c r="A80" s="130"/>
      <c r="B80" s="130"/>
      <c r="C80" s="130"/>
      <c r="D80" s="540" t="s">
        <v>70</v>
      </c>
      <c r="E80" s="540"/>
      <c r="F80" s="540"/>
      <c r="G80" s="540"/>
      <c r="H80" s="540"/>
      <c r="I80" s="560">
        <f>J74+J78+I79</f>
        <v>1509.31</v>
      </c>
      <c r="J80" s="560"/>
      <c r="K80" s="560">
        <f>L74+L78+K79</f>
        <v>10005.61</v>
      </c>
      <c r="L80" s="560"/>
    </row>
    <row r="81" spans="1:12" ht="14.25" x14ac:dyDescent="0.2">
      <c r="A81" s="128"/>
      <c r="B81" s="128"/>
      <c r="C81" s="128"/>
      <c r="D81" s="540" t="s">
        <v>71</v>
      </c>
      <c r="E81" s="540"/>
      <c r="F81" s="540"/>
      <c r="G81" s="540"/>
      <c r="H81" s="540"/>
      <c r="I81" s="560">
        <f>J75*0.15</f>
        <v>14.34</v>
      </c>
      <c r="J81" s="560"/>
      <c r="K81" s="560">
        <f>L75*0.15</f>
        <v>343.26</v>
      </c>
      <c r="L81" s="560"/>
    </row>
    <row r="82" spans="1:12" ht="15" x14ac:dyDescent="0.25">
      <c r="A82" s="131"/>
      <c r="B82" s="131"/>
      <c r="C82" s="131"/>
      <c r="D82" s="575" t="s">
        <v>72</v>
      </c>
      <c r="E82" s="575"/>
      <c r="F82" s="575"/>
      <c r="G82" s="575"/>
      <c r="H82" s="575"/>
      <c r="I82" s="564">
        <f>I80+I81</f>
        <v>1523.65</v>
      </c>
      <c r="J82" s="564"/>
      <c r="K82" s="565">
        <f>K80+K81</f>
        <v>10348.870000000001</v>
      </c>
      <c r="L82" s="565"/>
    </row>
    <row r="83" spans="1:12" ht="14.25" x14ac:dyDescent="0.2">
      <c r="A83" s="128"/>
      <c r="B83" s="128"/>
      <c r="C83" s="128"/>
      <c r="D83" s="540"/>
      <c r="E83" s="540"/>
      <c r="F83" s="540"/>
      <c r="G83" s="540"/>
      <c r="H83" s="540"/>
      <c r="I83" s="560"/>
      <c r="J83" s="560"/>
      <c r="K83" s="560"/>
      <c r="L83" s="560"/>
    </row>
    <row r="84" spans="1:12" ht="15" x14ac:dyDescent="0.25">
      <c r="A84" s="131"/>
      <c r="B84" s="131"/>
      <c r="C84" s="131"/>
      <c r="D84" s="575" t="s">
        <v>113</v>
      </c>
      <c r="E84" s="575"/>
      <c r="F84" s="575"/>
      <c r="G84" s="575"/>
      <c r="H84" s="575"/>
      <c r="I84" s="131"/>
      <c r="J84" s="131"/>
      <c r="K84" s="131"/>
      <c r="L84" s="133">
        <f>K85+K87</f>
        <v>9173.92</v>
      </c>
    </row>
    <row r="85" spans="1:12" ht="14.25" x14ac:dyDescent="0.2">
      <c r="A85" s="128"/>
      <c r="B85" s="128"/>
      <c r="C85" s="128"/>
      <c r="D85" s="540" t="s">
        <v>3</v>
      </c>
      <c r="E85" s="540"/>
      <c r="F85" s="540"/>
      <c r="G85" s="540"/>
      <c r="H85" s="540"/>
      <c r="I85" s="128"/>
      <c r="J85" s="134"/>
      <c r="K85" s="560">
        <f>(L74-L76)*0.95+K86</f>
        <v>9173.92</v>
      </c>
      <c r="L85" s="560"/>
    </row>
    <row r="86" spans="1:12" ht="14.25" x14ac:dyDescent="0.2">
      <c r="A86" s="128"/>
      <c r="B86" s="128"/>
      <c r="C86" s="128"/>
      <c r="D86" s="540" t="s">
        <v>114</v>
      </c>
      <c r="E86" s="540"/>
      <c r="F86" s="540"/>
      <c r="G86" s="540"/>
      <c r="H86" s="540"/>
      <c r="I86" s="128"/>
      <c r="J86" s="134"/>
      <c r="K86" s="560">
        <f>L76*1</f>
        <v>3470.37</v>
      </c>
      <c r="L86" s="560"/>
    </row>
    <row r="87" spans="1:12" ht="14.25" x14ac:dyDescent="0.2">
      <c r="A87" s="128"/>
      <c r="B87" s="128"/>
      <c r="C87" s="128"/>
      <c r="D87" s="540" t="s">
        <v>115</v>
      </c>
      <c r="E87" s="540"/>
      <c r="F87" s="540"/>
      <c r="G87" s="540"/>
      <c r="H87" s="540"/>
      <c r="I87" s="560"/>
      <c r="J87" s="560"/>
      <c r="K87" s="560">
        <f>L77</f>
        <v>0</v>
      </c>
      <c r="L87" s="560"/>
    </row>
    <row r="88" spans="1:12" ht="14.25" x14ac:dyDescent="0.2">
      <c r="A88" s="128"/>
      <c r="B88" s="128"/>
      <c r="C88" s="128"/>
      <c r="D88" s="540" t="s">
        <v>111</v>
      </c>
      <c r="E88" s="540"/>
      <c r="F88" s="540"/>
      <c r="G88" s="540"/>
      <c r="H88" s="540"/>
      <c r="I88" s="136"/>
      <c r="J88" s="136"/>
      <c r="K88" s="136"/>
      <c r="L88" s="136">
        <v>0</v>
      </c>
    </row>
    <row r="89" spans="1:12" ht="14.25" x14ac:dyDescent="0.2">
      <c r="A89" s="128"/>
      <c r="B89" s="128"/>
      <c r="C89" s="128"/>
      <c r="D89" s="540" t="s">
        <v>116</v>
      </c>
      <c r="E89" s="540"/>
      <c r="F89" s="540"/>
      <c r="G89" s="540"/>
      <c r="H89" s="540"/>
      <c r="I89" s="128"/>
      <c r="J89" s="134"/>
      <c r="K89" s="560">
        <f>L75*0.95</f>
        <v>2174</v>
      </c>
      <c r="L89" s="560"/>
    </row>
    <row r="90" spans="1:12" ht="14.25" x14ac:dyDescent="0.2">
      <c r="A90" s="128"/>
      <c r="B90" s="128"/>
      <c r="C90" s="128"/>
      <c r="D90" s="540" t="s">
        <v>117</v>
      </c>
      <c r="E90" s="540"/>
      <c r="F90" s="540"/>
      <c r="G90" s="540"/>
      <c r="H90" s="540"/>
      <c r="I90" s="560"/>
      <c r="J90" s="560"/>
      <c r="K90" s="560">
        <f>K85*5.61%</f>
        <v>514.66</v>
      </c>
      <c r="L90" s="560"/>
    </row>
    <row r="91" spans="1:12" ht="14.25" x14ac:dyDescent="0.2">
      <c r="A91" s="128"/>
      <c r="B91" s="128"/>
      <c r="C91" s="128"/>
      <c r="D91" s="540" t="s">
        <v>70</v>
      </c>
      <c r="E91" s="540"/>
      <c r="F91" s="540"/>
      <c r="G91" s="540"/>
      <c r="H91" s="540"/>
      <c r="I91" s="128"/>
      <c r="J91" s="137"/>
      <c r="K91" s="560">
        <f>K85+L88+K90</f>
        <v>9688.58</v>
      </c>
      <c r="L91" s="560"/>
    </row>
    <row r="92" spans="1:12" ht="14.25" x14ac:dyDescent="0.2">
      <c r="A92" s="128"/>
      <c r="B92" s="128"/>
      <c r="C92" s="128"/>
      <c r="D92" s="540" t="s">
        <v>71</v>
      </c>
      <c r="E92" s="540"/>
      <c r="F92" s="540"/>
      <c r="G92" s="540"/>
      <c r="H92" s="540"/>
      <c r="I92" s="128"/>
      <c r="J92" s="128"/>
      <c r="K92" s="560">
        <f>K89*0.15</f>
        <v>326.10000000000002</v>
      </c>
      <c r="L92" s="560"/>
    </row>
    <row r="93" spans="1:12" ht="15" x14ac:dyDescent="0.25">
      <c r="A93" s="131"/>
      <c r="B93" s="131"/>
      <c r="C93" s="131"/>
      <c r="D93" s="575" t="s">
        <v>72</v>
      </c>
      <c r="E93" s="575"/>
      <c r="F93" s="575"/>
      <c r="G93" s="575"/>
      <c r="H93" s="575"/>
      <c r="I93" s="131"/>
      <c r="J93" s="131"/>
      <c r="K93" s="564">
        <f>K91+K92+K87</f>
        <v>10014.68</v>
      </c>
      <c r="L93" s="564"/>
    </row>
    <row r="94" spans="1:12" ht="12.75" x14ac:dyDescent="0.2">
      <c r="A94" s="138"/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8"/>
    </row>
    <row r="95" spans="1:12" ht="12.75" x14ac:dyDescent="0.2">
      <c r="A95" s="138"/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8"/>
    </row>
    <row r="96" spans="1:12" ht="12.75" x14ac:dyDescent="0.2">
      <c r="A96" s="138"/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8"/>
    </row>
    <row r="97" spans="1:12" ht="12.75" x14ac:dyDescent="0.2">
      <c r="A97" s="138"/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8"/>
    </row>
    <row r="98" spans="1:12" ht="15.75" x14ac:dyDescent="0.25">
      <c r="A98" s="138"/>
      <c r="B98" s="180" t="s">
        <v>137</v>
      </c>
      <c r="C98" s="181"/>
      <c r="D98" s="181"/>
      <c r="E98" s="138"/>
      <c r="F98" s="138"/>
      <c r="G98" s="138"/>
      <c r="H98" s="138"/>
      <c r="I98" s="138"/>
      <c r="J98" s="138"/>
      <c r="K98" s="138"/>
      <c r="L98" s="138"/>
    </row>
    <row r="99" spans="1:12" ht="15" x14ac:dyDescent="0.2">
      <c r="A99" s="138"/>
      <c r="B99" s="181"/>
      <c r="C99" s="181"/>
      <c r="D99" s="181"/>
      <c r="E99" s="138"/>
      <c r="F99" s="138"/>
      <c r="G99" s="138"/>
      <c r="H99" s="138"/>
      <c r="I99" s="138"/>
      <c r="J99" s="138"/>
      <c r="K99" s="138"/>
      <c r="L99" s="138"/>
    </row>
    <row r="100" spans="1:12" ht="15.75" x14ac:dyDescent="0.25">
      <c r="A100" s="139"/>
      <c r="B100" s="180" t="s">
        <v>118</v>
      </c>
      <c r="C100" s="180"/>
      <c r="D100" s="180"/>
      <c r="E100" s="140"/>
      <c r="F100" s="140"/>
      <c r="G100" s="140"/>
      <c r="H100" s="140"/>
      <c r="I100" s="140"/>
      <c r="J100" s="140"/>
      <c r="K100" s="140"/>
      <c r="L100" s="140"/>
    </row>
    <row r="101" spans="1:12" ht="15.75" x14ac:dyDescent="0.25">
      <c r="A101" s="139"/>
      <c r="B101" s="182" t="s">
        <v>119</v>
      </c>
      <c r="C101" s="183"/>
      <c r="D101" s="183"/>
      <c r="E101" s="142"/>
      <c r="F101" s="141"/>
      <c r="G101" s="503"/>
      <c r="H101" s="503"/>
      <c r="I101" s="143"/>
      <c r="J101" s="144" t="s">
        <v>120</v>
      </c>
      <c r="K101" s="145"/>
      <c r="L101" s="146"/>
    </row>
    <row r="102" spans="1:12" ht="15.75" x14ac:dyDescent="0.25">
      <c r="A102" s="139"/>
      <c r="B102" s="184" t="s">
        <v>138</v>
      </c>
      <c r="C102" s="185"/>
      <c r="D102" s="185"/>
      <c r="E102" s="147"/>
      <c r="F102" s="147"/>
      <c r="G102" s="147"/>
      <c r="H102" s="147"/>
      <c r="I102" s="146"/>
      <c r="J102" s="146"/>
      <c r="K102" s="146"/>
      <c r="L102" s="146"/>
    </row>
    <row r="103" spans="1:12" ht="15.75" x14ac:dyDescent="0.25">
      <c r="A103" s="139"/>
      <c r="B103" s="148"/>
      <c r="C103" s="148"/>
      <c r="D103" s="186"/>
      <c r="E103" s="149"/>
      <c r="F103" s="149"/>
      <c r="G103" s="150"/>
      <c r="H103" s="151"/>
      <c r="I103" s="149"/>
      <c r="J103" s="152"/>
      <c r="K103" s="153"/>
      <c r="L103" s="139"/>
    </row>
    <row r="104" spans="1:12" ht="15.75" x14ac:dyDescent="0.25">
      <c r="A104" s="139"/>
      <c r="B104" s="148"/>
      <c r="C104" s="148"/>
      <c r="D104" s="186"/>
      <c r="E104" s="149"/>
      <c r="F104" s="149"/>
      <c r="G104" s="150"/>
      <c r="H104" s="151"/>
      <c r="I104" s="149"/>
      <c r="J104" s="152"/>
      <c r="K104" s="153"/>
      <c r="L104" s="139"/>
    </row>
    <row r="105" spans="1:12" ht="15.75" x14ac:dyDescent="0.25">
      <c r="A105" s="139"/>
      <c r="B105" s="148"/>
      <c r="C105" s="148"/>
      <c r="D105" s="186"/>
      <c r="E105" s="149"/>
      <c r="F105" s="149"/>
      <c r="G105" s="150"/>
      <c r="H105" s="151"/>
      <c r="I105" s="149"/>
      <c r="J105" s="152"/>
      <c r="K105" s="153"/>
      <c r="L105" s="139"/>
    </row>
    <row r="106" spans="1:12" ht="15.75" x14ac:dyDescent="0.25">
      <c r="A106" s="139"/>
      <c r="B106" s="148"/>
      <c r="C106" s="148"/>
      <c r="D106" s="149"/>
      <c r="E106" s="149"/>
      <c r="F106" s="149"/>
      <c r="G106" s="149"/>
      <c r="H106" s="151"/>
      <c r="I106" s="149"/>
      <c r="J106" s="152"/>
      <c r="K106" s="153"/>
      <c r="L106" s="139"/>
    </row>
    <row r="107" spans="1:12" ht="15.75" x14ac:dyDescent="0.25">
      <c r="A107" s="139"/>
      <c r="B107" s="180" t="s">
        <v>121</v>
      </c>
      <c r="C107" s="187"/>
      <c r="D107" s="180"/>
      <c r="E107" s="147"/>
      <c r="F107" s="140"/>
      <c r="G107" s="147"/>
      <c r="H107" s="140"/>
      <c r="I107" s="146"/>
      <c r="J107" s="146"/>
      <c r="K107" s="146"/>
      <c r="L107" s="139"/>
    </row>
    <row r="108" spans="1:12" ht="15.75" x14ac:dyDescent="0.25">
      <c r="A108" s="139"/>
      <c r="B108" s="180"/>
      <c r="C108" s="187"/>
      <c r="D108" s="180"/>
      <c r="E108" s="147"/>
      <c r="F108" s="140"/>
      <c r="G108" s="147"/>
      <c r="H108" s="140"/>
      <c r="I108" s="146"/>
      <c r="J108" s="146"/>
      <c r="K108" s="146"/>
      <c r="L108" s="139"/>
    </row>
    <row r="109" spans="1:12" ht="15.75" x14ac:dyDescent="0.25">
      <c r="A109" s="139"/>
      <c r="B109" s="504" t="s">
        <v>122</v>
      </c>
      <c r="C109" s="504"/>
      <c r="D109" s="504"/>
      <c r="E109" s="147"/>
      <c r="F109" s="140"/>
      <c r="G109" s="147"/>
      <c r="H109" s="140"/>
      <c r="I109" s="146"/>
      <c r="J109" s="146"/>
      <c r="K109" s="146"/>
      <c r="L109" s="139"/>
    </row>
    <row r="110" spans="1:12" ht="15.75" x14ac:dyDescent="0.25">
      <c r="A110" s="139"/>
      <c r="B110" s="505" t="s">
        <v>123</v>
      </c>
      <c r="C110" s="505"/>
      <c r="D110" s="505"/>
      <c r="E110" s="154"/>
      <c r="F110" s="141"/>
      <c r="G110" s="142"/>
      <c r="H110" s="155"/>
      <c r="I110" s="145"/>
      <c r="J110" s="144" t="s">
        <v>84</v>
      </c>
      <c r="K110" s="145"/>
      <c r="L110" s="139"/>
    </row>
    <row r="111" spans="1:12" ht="15.75" x14ac:dyDescent="0.25">
      <c r="A111" s="139"/>
      <c r="B111" s="184" t="s">
        <v>73</v>
      </c>
      <c r="C111" s="188"/>
      <c r="D111" s="188"/>
      <c r="E111" s="156"/>
      <c r="F111" s="147"/>
      <c r="G111" s="140"/>
      <c r="H111" s="140"/>
      <c r="I111" s="146"/>
      <c r="J111" s="146"/>
      <c r="K111" s="146"/>
      <c r="L111" s="139"/>
    </row>
  </sheetData>
  <mergeCells count="109">
    <mergeCell ref="G101:H101"/>
    <mergeCell ref="B109:D109"/>
    <mergeCell ref="B110:D110"/>
    <mergeCell ref="D92:H92"/>
    <mergeCell ref="K92:L92"/>
    <mergeCell ref="D93:H93"/>
    <mergeCell ref="K93:L93"/>
    <mergeCell ref="D89:H89"/>
    <mergeCell ref="K89:L89"/>
    <mergeCell ref="D90:H90"/>
    <mergeCell ref="I90:J90"/>
    <mergeCell ref="K90:L90"/>
    <mergeCell ref="D91:H91"/>
    <mergeCell ref="K91:L91"/>
    <mergeCell ref="D88:H88"/>
    <mergeCell ref="D83:H83"/>
    <mergeCell ref="I83:J83"/>
    <mergeCell ref="K83:L83"/>
    <mergeCell ref="D84:H84"/>
    <mergeCell ref="D85:H85"/>
    <mergeCell ref="K85:L85"/>
    <mergeCell ref="D86:H86"/>
    <mergeCell ref="K86:L86"/>
    <mergeCell ref="D87:H87"/>
    <mergeCell ref="I87:J87"/>
    <mergeCell ref="K87:L87"/>
    <mergeCell ref="D81:H81"/>
    <mergeCell ref="I81:J81"/>
    <mergeCell ref="K81:L81"/>
    <mergeCell ref="D82:H82"/>
    <mergeCell ref="I82:J82"/>
    <mergeCell ref="K82:L82"/>
    <mergeCell ref="D78:H78"/>
    <mergeCell ref="D79:H79"/>
    <mergeCell ref="I79:J79"/>
    <mergeCell ref="K79:L79"/>
    <mergeCell ref="D80:H80"/>
    <mergeCell ref="I80:J80"/>
    <mergeCell ref="K80:L80"/>
    <mergeCell ref="D70:H70"/>
    <mergeCell ref="I70:J70"/>
    <mergeCell ref="K70:L70"/>
    <mergeCell ref="D71:H71"/>
    <mergeCell ref="I71:J71"/>
    <mergeCell ref="K71:L71"/>
    <mergeCell ref="A66:H66"/>
    <mergeCell ref="I66:J66"/>
    <mergeCell ref="K66:L66"/>
    <mergeCell ref="D69:H69"/>
    <mergeCell ref="I69:J69"/>
    <mergeCell ref="K69:L69"/>
    <mergeCell ref="A62:H62"/>
    <mergeCell ref="I62:J62"/>
    <mergeCell ref="K62:L62"/>
    <mergeCell ref="A38:L38"/>
    <mergeCell ref="A39:L39"/>
    <mergeCell ref="A40:D40"/>
    <mergeCell ref="A42:L42"/>
    <mergeCell ref="I53:J53"/>
    <mergeCell ref="K53:L53"/>
    <mergeCell ref="I58:J58"/>
    <mergeCell ref="H30:H35"/>
    <mergeCell ref="I30:I35"/>
    <mergeCell ref="J30:J35"/>
    <mergeCell ref="K58:L58"/>
    <mergeCell ref="I60:J60"/>
    <mergeCell ref="K60:L60"/>
    <mergeCell ref="K30:K35"/>
    <mergeCell ref="L30:L35"/>
    <mergeCell ref="A29:L29"/>
    <mergeCell ref="A31:A35"/>
    <mergeCell ref="B31:B35"/>
    <mergeCell ref="A30:B30"/>
    <mergeCell ref="C30:C35"/>
    <mergeCell ref="D30:D35"/>
    <mergeCell ref="E30:E35"/>
    <mergeCell ref="F30:F35"/>
    <mergeCell ref="G30:G35"/>
    <mergeCell ref="I1:L1"/>
    <mergeCell ref="I2:L2"/>
    <mergeCell ref="J3:L3"/>
    <mergeCell ref="J4:L4"/>
    <mergeCell ref="J5:L6"/>
    <mergeCell ref="C9:H9"/>
    <mergeCell ref="J9:L10"/>
    <mergeCell ref="C10:H10"/>
    <mergeCell ref="C11:H11"/>
    <mergeCell ref="J11:L12"/>
    <mergeCell ref="C12:H12"/>
    <mergeCell ref="A6:B6"/>
    <mergeCell ref="C6:H6"/>
    <mergeCell ref="C7:H7"/>
    <mergeCell ref="J7:L8"/>
    <mergeCell ref="A8:B8"/>
    <mergeCell ref="C8:H8"/>
    <mergeCell ref="A25:L25"/>
    <mergeCell ref="A26:L26"/>
    <mergeCell ref="H28:I28"/>
    <mergeCell ref="J16:L16"/>
    <mergeCell ref="J17:L17"/>
    <mergeCell ref="J18:L18"/>
    <mergeCell ref="G20:G21"/>
    <mergeCell ref="H20:H21"/>
    <mergeCell ref="I20:J20"/>
    <mergeCell ref="C13:H13"/>
    <mergeCell ref="G14:I14"/>
    <mergeCell ref="J14:L14"/>
    <mergeCell ref="G15:H15"/>
    <mergeCell ref="J15:L15"/>
  </mergeCells>
  <pageMargins left="0.39370078740157483" right="0.19685039370078741" top="0.19685039370078741" bottom="0.39370078740157483" header="0.31496062992125984" footer="0.31496062992125984"/>
  <pageSetup paperSize="9" scale="67" fitToHeight="0" orientation="portrait" blackAndWhite="1" r:id="rId1"/>
  <headerFoot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F110"/>
  <sheetViews>
    <sheetView workbookViewId="0"/>
  </sheetViews>
  <sheetFormatPr defaultColWidth="9.33203125" defaultRowHeight="11.25" x14ac:dyDescent="0.2"/>
  <cols>
    <col min="1" max="2" width="9" style="49" customWidth="1"/>
    <col min="3" max="3" width="13.6640625" style="49" customWidth="1"/>
    <col min="4" max="4" width="47.5" style="49" customWidth="1"/>
    <col min="5" max="5" width="13.6640625" style="49" customWidth="1"/>
    <col min="6" max="6" width="9.5" style="49" bestFit="1" customWidth="1"/>
    <col min="7" max="7" width="12.6640625" style="49" customWidth="1"/>
    <col min="8" max="9" width="15" style="49" customWidth="1"/>
    <col min="10" max="10" width="13.83203125" style="49" customWidth="1"/>
    <col min="11" max="11" width="9.33203125" style="49"/>
    <col min="12" max="12" width="11.83203125" style="49" customWidth="1"/>
    <col min="13" max="14" width="9.33203125" style="49"/>
    <col min="15" max="29" width="0" style="49" hidden="1" customWidth="1"/>
    <col min="30" max="30" width="106.1640625" style="49" hidden="1" customWidth="1"/>
    <col min="31" max="31" width="0" style="49" hidden="1" customWidth="1"/>
    <col min="32" max="32" width="117.83203125" style="49" hidden="1" customWidth="1"/>
    <col min="33" max="36" width="0" style="49" hidden="1" customWidth="1"/>
    <col min="37" max="16384" width="9.33203125" style="49"/>
  </cols>
  <sheetData>
    <row r="1" spans="1:30" ht="14.25" x14ac:dyDescent="0.2">
      <c r="A1" s="101"/>
      <c r="B1" s="101"/>
      <c r="C1" s="101"/>
      <c r="D1" s="101"/>
      <c r="E1" s="101"/>
      <c r="F1" s="101"/>
      <c r="G1" s="101"/>
      <c r="H1" s="101"/>
      <c r="I1" s="531" t="s">
        <v>15</v>
      </c>
      <c r="J1" s="531"/>
      <c r="K1" s="531"/>
      <c r="L1" s="531"/>
    </row>
    <row r="2" spans="1:30" ht="14.25" x14ac:dyDescent="0.2">
      <c r="A2" s="101"/>
      <c r="B2" s="101"/>
      <c r="C2" s="101"/>
      <c r="D2" s="101"/>
      <c r="E2" s="101"/>
      <c r="F2" s="101"/>
      <c r="G2" s="101"/>
      <c r="H2" s="101"/>
      <c r="I2" s="531" t="s">
        <v>16</v>
      </c>
      <c r="J2" s="531"/>
      <c r="K2" s="531"/>
      <c r="L2" s="531"/>
    </row>
    <row r="3" spans="1:30" ht="14.25" x14ac:dyDescent="0.2">
      <c r="A3" s="101"/>
      <c r="B3" s="101"/>
      <c r="C3" s="101"/>
      <c r="D3" s="101"/>
      <c r="E3" s="101"/>
      <c r="F3" s="101"/>
      <c r="G3" s="101"/>
      <c r="H3" s="101"/>
      <c r="I3" s="101"/>
      <c r="J3" s="532" t="s">
        <v>17</v>
      </c>
      <c r="K3" s="532"/>
      <c r="L3" s="532"/>
    </row>
    <row r="4" spans="1:30" ht="14.25" x14ac:dyDescent="0.2">
      <c r="A4" s="101"/>
      <c r="B4" s="101"/>
      <c r="C4" s="101"/>
      <c r="D4" s="101"/>
      <c r="E4" s="101"/>
      <c r="F4" s="101"/>
      <c r="G4" s="101"/>
      <c r="H4" s="101"/>
      <c r="I4" s="242" t="s">
        <v>18</v>
      </c>
      <c r="J4" s="533" t="s">
        <v>19</v>
      </c>
      <c r="K4" s="533"/>
      <c r="L4" s="533"/>
    </row>
    <row r="5" spans="1:30" ht="14.25" x14ac:dyDescent="0.2">
      <c r="A5" s="101"/>
      <c r="B5" s="101"/>
      <c r="C5" s="101"/>
      <c r="D5" s="101"/>
      <c r="E5" s="101"/>
      <c r="F5" s="101"/>
      <c r="G5" s="101"/>
      <c r="H5" s="101"/>
      <c r="I5" s="101"/>
      <c r="J5" s="534" t="s">
        <v>83</v>
      </c>
      <c r="K5" s="535"/>
      <c r="L5" s="536"/>
    </row>
    <row r="6" spans="1:30" ht="32.25" customHeight="1" x14ac:dyDescent="0.2">
      <c r="A6" s="540" t="s">
        <v>86</v>
      </c>
      <c r="B6" s="540"/>
      <c r="C6" s="541" t="s">
        <v>87</v>
      </c>
      <c r="D6" s="541"/>
      <c r="E6" s="541"/>
      <c r="F6" s="541"/>
      <c r="G6" s="541"/>
      <c r="H6" s="541"/>
      <c r="I6" s="242" t="s">
        <v>21</v>
      </c>
      <c r="J6" s="537"/>
      <c r="K6" s="538"/>
      <c r="L6" s="539"/>
    </row>
    <row r="7" spans="1:30" ht="14.25" x14ac:dyDescent="0.2">
      <c r="A7" s="102"/>
      <c r="B7" s="102"/>
      <c r="C7" s="547" t="s">
        <v>22</v>
      </c>
      <c r="D7" s="547"/>
      <c r="E7" s="547"/>
      <c r="F7" s="547"/>
      <c r="G7" s="547"/>
      <c r="H7" s="547"/>
      <c r="I7" s="101"/>
      <c r="J7" s="534" t="s">
        <v>56</v>
      </c>
      <c r="K7" s="535"/>
      <c r="L7" s="536"/>
    </row>
    <row r="8" spans="1:30" ht="26.25" customHeight="1" x14ac:dyDescent="0.2">
      <c r="A8" s="540" t="s">
        <v>88</v>
      </c>
      <c r="B8" s="540"/>
      <c r="C8" s="541" t="s">
        <v>89</v>
      </c>
      <c r="D8" s="541"/>
      <c r="E8" s="541"/>
      <c r="F8" s="541"/>
      <c r="G8" s="541"/>
      <c r="H8" s="541"/>
      <c r="I8" s="242" t="s">
        <v>21</v>
      </c>
      <c r="J8" s="537"/>
      <c r="K8" s="538"/>
      <c r="L8" s="539"/>
    </row>
    <row r="9" spans="1:30" ht="14.25" x14ac:dyDescent="0.2">
      <c r="A9" s="101"/>
      <c r="B9" s="101"/>
      <c r="C9" s="547" t="s">
        <v>22</v>
      </c>
      <c r="D9" s="547"/>
      <c r="E9" s="547"/>
      <c r="F9" s="547"/>
      <c r="G9" s="547"/>
      <c r="H9" s="547"/>
      <c r="I9" s="101"/>
      <c r="J9" s="534"/>
      <c r="K9" s="535"/>
      <c r="L9" s="536"/>
    </row>
    <row r="10" spans="1:30" ht="14.25" x14ac:dyDescent="0.2">
      <c r="A10" s="101" t="s">
        <v>23</v>
      </c>
      <c r="B10" s="101"/>
      <c r="C10" s="551" t="s">
        <v>90</v>
      </c>
      <c r="D10" s="551"/>
      <c r="E10" s="551"/>
      <c r="F10" s="551"/>
      <c r="G10" s="551"/>
      <c r="H10" s="551"/>
      <c r="I10" s="101"/>
      <c r="J10" s="537"/>
      <c r="K10" s="538"/>
      <c r="L10" s="539"/>
    </row>
    <row r="11" spans="1:30" ht="14.25" x14ac:dyDescent="0.2">
      <c r="A11" s="101"/>
      <c r="B11" s="101"/>
      <c r="C11" s="547" t="s">
        <v>24</v>
      </c>
      <c r="D11" s="547"/>
      <c r="E11" s="547"/>
      <c r="F11" s="547"/>
      <c r="G11" s="547"/>
      <c r="H11" s="547"/>
      <c r="I11" s="101"/>
      <c r="J11" s="548" t="s">
        <v>20</v>
      </c>
      <c r="K11" s="548"/>
      <c r="L11" s="548"/>
    </row>
    <row r="12" spans="1:30" ht="14.25" x14ac:dyDescent="0.2">
      <c r="A12" s="101" t="s">
        <v>25</v>
      </c>
      <c r="B12" s="101"/>
      <c r="C12" s="549" t="s">
        <v>91</v>
      </c>
      <c r="D12" s="549"/>
      <c r="E12" s="549"/>
      <c r="F12" s="549"/>
      <c r="G12" s="549"/>
      <c r="H12" s="549"/>
      <c r="I12" s="101"/>
      <c r="J12" s="548"/>
      <c r="K12" s="548"/>
      <c r="L12" s="548"/>
    </row>
    <row r="13" spans="1:30" ht="14.25" x14ac:dyDescent="0.2">
      <c r="A13" s="101"/>
      <c r="B13" s="101"/>
      <c r="C13" s="550" t="s">
        <v>26</v>
      </c>
      <c r="D13" s="550"/>
      <c r="E13" s="550"/>
      <c r="F13" s="550"/>
      <c r="G13" s="550"/>
      <c r="H13" s="550"/>
      <c r="I13" s="101"/>
      <c r="J13" s="101"/>
      <c r="K13" s="101"/>
      <c r="L13" s="101"/>
    </row>
    <row r="14" spans="1:30" ht="14.25" x14ac:dyDescent="0.2">
      <c r="A14" s="101"/>
      <c r="B14" s="101"/>
      <c r="C14" s="101"/>
      <c r="D14" s="101"/>
      <c r="E14" s="101"/>
      <c r="F14" s="101"/>
      <c r="G14" s="542" t="s">
        <v>27</v>
      </c>
      <c r="H14" s="542"/>
      <c r="I14" s="542"/>
      <c r="J14" s="532"/>
      <c r="K14" s="532"/>
      <c r="L14" s="532"/>
    </row>
    <row r="15" spans="1:30" ht="42.75" customHeight="1" x14ac:dyDescent="0.2">
      <c r="A15" s="101"/>
      <c r="B15" s="101"/>
      <c r="C15" s="101"/>
      <c r="D15" s="101"/>
      <c r="E15" s="101"/>
      <c r="F15" s="101"/>
      <c r="G15" s="542" t="s">
        <v>28</v>
      </c>
      <c r="H15" s="543"/>
      <c r="I15" s="103" t="s">
        <v>29</v>
      </c>
      <c r="J15" s="544" t="s">
        <v>92</v>
      </c>
      <c r="K15" s="545"/>
      <c r="L15" s="546"/>
      <c r="AD15" s="244" t="s">
        <v>233</v>
      </c>
    </row>
    <row r="16" spans="1:30" ht="14.25" x14ac:dyDescent="0.2">
      <c r="A16" s="101"/>
      <c r="B16" s="101"/>
      <c r="C16" s="101"/>
      <c r="D16" s="101"/>
      <c r="E16" s="101"/>
      <c r="F16" s="101"/>
      <c r="G16" s="101"/>
      <c r="H16" s="101"/>
      <c r="I16" s="243" t="s">
        <v>30</v>
      </c>
      <c r="J16" s="506">
        <v>41544</v>
      </c>
      <c r="K16" s="506"/>
      <c r="L16" s="506"/>
    </row>
    <row r="17" spans="1:30" ht="42.75" customHeight="1" x14ac:dyDescent="0.2">
      <c r="A17" s="101"/>
      <c r="B17" s="101"/>
      <c r="C17" s="101"/>
      <c r="D17" s="101"/>
      <c r="E17" s="101"/>
      <c r="F17" s="101"/>
      <c r="G17" s="101"/>
      <c r="H17" s="101"/>
      <c r="I17" s="104"/>
      <c r="J17" s="507">
        <v>25</v>
      </c>
      <c r="K17" s="508"/>
      <c r="L17" s="509"/>
      <c r="AD17" s="204" t="str">
        <f>IF([82]Source!G12&lt;&gt;"Новый объект", [82]Source!G12, "")</f>
        <v>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v>
      </c>
    </row>
    <row r="18" spans="1:30" ht="14.25" x14ac:dyDescent="0.2">
      <c r="A18" s="101"/>
      <c r="B18" s="101"/>
      <c r="C18" s="101"/>
      <c r="D18" s="101"/>
      <c r="E18" s="101"/>
      <c r="F18" s="101"/>
      <c r="G18" s="101"/>
      <c r="H18" s="101"/>
      <c r="I18" s="104"/>
      <c r="J18" s="510">
        <v>44158</v>
      </c>
      <c r="K18" s="511"/>
      <c r="L18" s="512"/>
    </row>
    <row r="19" spans="1:30" ht="14.25" x14ac:dyDescent="0.2">
      <c r="A19" s="101"/>
      <c r="B19" s="101"/>
      <c r="C19" s="101"/>
      <c r="D19" s="101"/>
      <c r="E19" s="101"/>
      <c r="F19" s="101"/>
      <c r="G19" s="101"/>
      <c r="H19" s="101"/>
      <c r="I19" s="104"/>
      <c r="J19" s="205"/>
      <c r="K19" s="205"/>
      <c r="L19" s="205"/>
    </row>
    <row r="20" spans="1:30" ht="14.25" x14ac:dyDescent="0.2">
      <c r="A20" s="101"/>
      <c r="B20" s="101"/>
      <c r="C20" s="101"/>
      <c r="D20" s="101"/>
      <c r="E20" s="101"/>
      <c r="F20" s="101"/>
      <c r="G20" s="513" t="s">
        <v>31</v>
      </c>
      <c r="H20" s="515" t="s">
        <v>32</v>
      </c>
      <c r="I20" s="515" t="s">
        <v>33</v>
      </c>
      <c r="J20" s="517"/>
      <c r="K20" s="205"/>
      <c r="L20" s="205"/>
    </row>
    <row r="21" spans="1:30" ht="14.25" x14ac:dyDescent="0.2">
      <c r="A21" s="101"/>
      <c r="B21" s="101"/>
      <c r="C21" s="101"/>
      <c r="D21" s="101"/>
      <c r="E21" s="101"/>
      <c r="F21" s="101"/>
      <c r="G21" s="514"/>
      <c r="H21" s="516"/>
      <c r="I21" s="241" t="s">
        <v>34</v>
      </c>
      <c r="J21" s="240" t="s">
        <v>35</v>
      </c>
      <c r="K21" s="205"/>
      <c r="L21" s="205"/>
    </row>
    <row r="22" spans="1:30" ht="14.25" x14ac:dyDescent="0.2">
      <c r="A22" s="101"/>
      <c r="B22" s="101"/>
      <c r="C22" s="101"/>
      <c r="D22" s="101"/>
      <c r="E22" s="101"/>
      <c r="F22" s="101"/>
      <c r="G22" s="208" t="s">
        <v>165</v>
      </c>
      <c r="H22" s="209">
        <v>44227</v>
      </c>
      <c r="I22" s="209">
        <v>44197</v>
      </c>
      <c r="J22" s="210">
        <f>H22</f>
        <v>44227</v>
      </c>
      <c r="K22" s="101"/>
      <c r="L22" s="101"/>
    </row>
    <row r="23" spans="1:30" ht="14.25" x14ac:dyDescent="0.2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30" ht="14.25" customHeight="1" x14ac:dyDescent="0.2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1:30" ht="18" x14ac:dyDescent="0.25">
      <c r="A25" s="525" t="s">
        <v>36</v>
      </c>
      <c r="B25" s="525"/>
      <c r="C25" s="525"/>
      <c r="D25" s="525"/>
      <c r="E25" s="525"/>
      <c r="F25" s="525"/>
      <c r="G25" s="525"/>
      <c r="H25" s="525"/>
      <c r="I25" s="525"/>
      <c r="J25" s="525"/>
      <c r="K25" s="525"/>
      <c r="L25" s="525"/>
    </row>
    <row r="26" spans="1:30" ht="18" x14ac:dyDescent="0.25">
      <c r="A26" s="525" t="s">
        <v>37</v>
      </c>
      <c r="B26" s="525"/>
      <c r="C26" s="525"/>
      <c r="D26" s="525"/>
      <c r="E26" s="525"/>
      <c r="F26" s="525"/>
      <c r="G26" s="525"/>
      <c r="H26" s="525"/>
      <c r="I26" s="525"/>
      <c r="J26" s="525"/>
      <c r="K26" s="525"/>
      <c r="L26" s="525"/>
    </row>
    <row r="27" spans="1:30" ht="14.25" x14ac:dyDescent="0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30" ht="15" hidden="1" x14ac:dyDescent="0.25">
      <c r="A28" s="44" t="s">
        <v>66</v>
      </c>
      <c r="B28" s="44"/>
      <c r="C28" s="44"/>
      <c r="D28" s="44"/>
      <c r="E28" s="44"/>
      <c r="F28" s="44"/>
      <c r="G28" s="44"/>
      <c r="H28" s="566">
        <f>([82]Source!P1593/1000)</f>
        <v>2.4300000000000002</v>
      </c>
      <c r="I28" s="566"/>
      <c r="J28" s="44" t="s">
        <v>67</v>
      </c>
      <c r="K28" s="44"/>
      <c r="L28" s="44"/>
    </row>
    <row r="29" spans="1:30" ht="14.25" x14ac:dyDescent="0.2">
      <c r="A29" s="526" t="s">
        <v>125</v>
      </c>
      <c r="B29" s="526"/>
      <c r="C29" s="526"/>
      <c r="D29" s="526"/>
      <c r="E29" s="526"/>
      <c r="F29" s="526"/>
      <c r="G29" s="526"/>
      <c r="H29" s="526"/>
      <c r="I29" s="526"/>
      <c r="J29" s="526"/>
      <c r="K29" s="526"/>
      <c r="L29" s="526"/>
    </row>
    <row r="30" spans="1:30" ht="14.25" x14ac:dyDescent="0.2">
      <c r="A30" s="553" t="s">
        <v>38</v>
      </c>
      <c r="B30" s="553"/>
      <c r="C30" s="553" t="s">
        <v>39</v>
      </c>
      <c r="D30" s="553" t="s">
        <v>40</v>
      </c>
      <c r="E30" s="553" t="s">
        <v>126</v>
      </c>
      <c r="F30" s="553" t="s">
        <v>68</v>
      </c>
      <c r="G30" s="553" t="s">
        <v>69</v>
      </c>
      <c r="H30" s="518" t="s">
        <v>127</v>
      </c>
      <c r="I30" s="518" t="s">
        <v>128</v>
      </c>
      <c r="J30" s="553" t="s">
        <v>129</v>
      </c>
      <c r="K30" s="553" t="s">
        <v>130</v>
      </c>
      <c r="L30" s="553" t="s">
        <v>131</v>
      </c>
    </row>
    <row r="31" spans="1:30" x14ac:dyDescent="0.2">
      <c r="A31" s="518" t="s">
        <v>41</v>
      </c>
      <c r="B31" s="518" t="s">
        <v>42</v>
      </c>
      <c r="C31" s="553"/>
      <c r="D31" s="553"/>
      <c r="E31" s="553"/>
      <c r="F31" s="553"/>
      <c r="G31" s="553"/>
      <c r="H31" s="519"/>
      <c r="I31" s="519"/>
      <c r="J31" s="553"/>
      <c r="K31" s="553"/>
      <c r="L31" s="553"/>
    </row>
    <row r="32" spans="1:30" x14ac:dyDescent="0.2">
      <c r="A32" s="519"/>
      <c r="B32" s="519"/>
      <c r="C32" s="553"/>
      <c r="D32" s="553"/>
      <c r="E32" s="553"/>
      <c r="F32" s="553"/>
      <c r="G32" s="553"/>
      <c r="H32" s="519"/>
      <c r="I32" s="519"/>
      <c r="J32" s="553"/>
      <c r="K32" s="553"/>
      <c r="L32" s="553"/>
    </row>
    <row r="33" spans="1:22" x14ac:dyDescent="0.2">
      <c r="A33" s="519"/>
      <c r="B33" s="519"/>
      <c r="C33" s="553"/>
      <c r="D33" s="553"/>
      <c r="E33" s="553"/>
      <c r="F33" s="553"/>
      <c r="G33" s="553"/>
      <c r="H33" s="519"/>
      <c r="I33" s="519"/>
      <c r="J33" s="553"/>
      <c r="K33" s="553"/>
      <c r="L33" s="553"/>
    </row>
    <row r="34" spans="1:22" x14ac:dyDescent="0.2">
      <c r="A34" s="519"/>
      <c r="B34" s="519"/>
      <c r="C34" s="553"/>
      <c r="D34" s="553"/>
      <c r="E34" s="553"/>
      <c r="F34" s="553"/>
      <c r="G34" s="553"/>
      <c r="H34" s="519"/>
      <c r="I34" s="519"/>
      <c r="J34" s="553"/>
      <c r="K34" s="553"/>
      <c r="L34" s="553"/>
    </row>
    <row r="35" spans="1:22" x14ac:dyDescent="0.2">
      <c r="A35" s="520"/>
      <c r="B35" s="520"/>
      <c r="C35" s="553"/>
      <c r="D35" s="553"/>
      <c r="E35" s="553"/>
      <c r="F35" s="553"/>
      <c r="G35" s="553"/>
      <c r="H35" s="520"/>
      <c r="I35" s="520"/>
      <c r="J35" s="553"/>
      <c r="K35" s="553"/>
      <c r="L35" s="553"/>
    </row>
    <row r="36" spans="1:22" ht="14.25" x14ac:dyDescent="0.2">
      <c r="A36" s="107">
        <v>1</v>
      </c>
      <c r="B36" s="107">
        <v>2</v>
      </c>
      <c r="C36" s="107">
        <v>3</v>
      </c>
      <c r="D36" s="107">
        <v>4</v>
      </c>
      <c r="E36" s="107">
        <v>5</v>
      </c>
      <c r="F36" s="107">
        <v>6</v>
      </c>
      <c r="G36" s="107">
        <v>7</v>
      </c>
      <c r="H36" s="107">
        <v>8</v>
      </c>
      <c r="I36" s="107">
        <v>9</v>
      </c>
      <c r="J36" s="107">
        <v>10</v>
      </c>
      <c r="K36" s="107">
        <v>11</v>
      </c>
      <c r="L36" s="107">
        <v>12</v>
      </c>
    </row>
    <row r="38" spans="1:22" ht="16.5" x14ac:dyDescent="0.25">
      <c r="A38" s="568" t="s">
        <v>160</v>
      </c>
      <c r="B38" s="568"/>
      <c r="C38" s="568"/>
      <c r="D38" s="568"/>
      <c r="E38" s="568"/>
      <c r="F38" s="568"/>
      <c r="G38" s="568"/>
      <c r="H38" s="568"/>
      <c r="I38" s="568"/>
      <c r="J38" s="568"/>
      <c r="K38" s="568"/>
      <c r="L38" s="568"/>
    </row>
    <row r="39" spans="1:22" ht="51.75" customHeight="1" x14ac:dyDescent="0.2">
      <c r="A39" s="569" t="s">
        <v>161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</row>
    <row r="40" spans="1:22" ht="14.25" hidden="1" x14ac:dyDescent="0.2">
      <c r="A40" s="570" t="s">
        <v>132</v>
      </c>
      <c r="B40" s="570"/>
      <c r="C40" s="570"/>
      <c r="D40" s="570"/>
      <c r="E40" s="173"/>
      <c r="F40" s="173"/>
      <c r="G40" s="173"/>
      <c r="H40" s="173"/>
      <c r="I40" s="173"/>
      <c r="J40" s="173"/>
      <c r="K40" s="173"/>
      <c r="L40" s="173"/>
    </row>
    <row r="41" spans="1:22" ht="16.5" x14ac:dyDescent="0.25">
      <c r="A41" s="571" t="str">
        <f>CONCATENATE("Подраздел: ",IF([82]Source!G1437&lt;&gt;"Новый подраздел", [82]Source!G1437, ""))</f>
        <v>Подраздел: Закладные элементы в кирпичных стенах</v>
      </c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</row>
    <row r="42" spans="1:22" ht="65.25" x14ac:dyDescent="0.2">
      <c r="A42" s="108">
        <v>1</v>
      </c>
      <c r="B42" s="108" t="str">
        <f>[82]Source!E1447</f>
        <v>185</v>
      </c>
      <c r="C42" s="109" t="s">
        <v>166</v>
      </c>
      <c r="D42" s="109" t="s">
        <v>167</v>
      </c>
      <c r="E42" s="110" t="str">
        <f>[82]Source!H1447</f>
        <v>1 Т</v>
      </c>
      <c r="F42" s="111">
        <f>[82]Source!I1447</f>
        <v>2.4E-2</v>
      </c>
      <c r="G42" s="112"/>
      <c r="H42" s="113"/>
      <c r="I42" s="111"/>
      <c r="J42" s="114"/>
      <c r="K42" s="111"/>
      <c r="L42" s="114"/>
      <c r="Q42" s="49">
        <f>[82]Source!X1447</f>
        <v>28.38</v>
      </c>
      <c r="R42" s="49">
        <f>[82]Source!X1448</f>
        <v>637.84</v>
      </c>
      <c r="S42" s="49">
        <f>[82]Source!Y1447</f>
        <v>20.27</v>
      </c>
      <c r="T42" s="49">
        <f>[82]Source!Y1448</f>
        <v>450.65</v>
      </c>
      <c r="U42" s="49">
        <f>ROUND((175/100)*ROUND([82]Source!R1447, 2), 2)</f>
        <v>0.51</v>
      </c>
      <c r="V42" s="49">
        <f>ROUND((157/100)*ROUND([82]Source!R1448, 2), 2)</f>
        <v>10.9</v>
      </c>
    </row>
    <row r="43" spans="1:22" ht="14.25" x14ac:dyDescent="0.2">
      <c r="A43" s="108"/>
      <c r="B43" s="108"/>
      <c r="C43" s="109"/>
      <c r="D43" s="109" t="s">
        <v>43</v>
      </c>
      <c r="E43" s="110"/>
      <c r="F43" s="111"/>
      <c r="G43" s="112">
        <f>[82]Source!AO1447</f>
        <v>690.2</v>
      </c>
      <c r="H43" s="113" t="str">
        <f>[82]Source!DG1447</f>
        <v>)*1,67</v>
      </c>
      <c r="I43" s="111">
        <f>[82]Source!AV1448</f>
        <v>1.0469999999999999</v>
      </c>
      <c r="J43" s="114">
        <f>[82]Source!S1447</f>
        <v>28.96</v>
      </c>
      <c r="K43" s="111">
        <f>IF([82]Source!BA1448&lt;&gt; 0, [82]Source!BA1448, 1)</f>
        <v>23.94</v>
      </c>
      <c r="L43" s="114">
        <f>[82]Source!S1448</f>
        <v>693.3</v>
      </c>
    </row>
    <row r="44" spans="1:22" ht="14.25" x14ac:dyDescent="0.2">
      <c r="A44" s="108"/>
      <c r="B44" s="108"/>
      <c r="C44" s="109"/>
      <c r="D44" s="109" t="s">
        <v>44</v>
      </c>
      <c r="E44" s="110"/>
      <c r="F44" s="111"/>
      <c r="G44" s="112">
        <f>[82]Source!AM1447</f>
        <v>31.93</v>
      </c>
      <c r="H44" s="113" t="str">
        <f>[82]Source!DE1447</f>
        <v/>
      </c>
      <c r="I44" s="111">
        <f>[82]Source!AV1448</f>
        <v>1.0469999999999999</v>
      </c>
      <c r="J44" s="114">
        <f>[82]Source!Q1447-J54</f>
        <v>0.8</v>
      </c>
      <c r="K44" s="111">
        <f>IF([82]Source!BB1448&lt;&gt; 0, [82]Source!BB1448, 1)</f>
        <v>8.3699999999999992</v>
      </c>
      <c r="L44" s="114">
        <f>[82]Source!Q1448-L54</f>
        <v>6.75</v>
      </c>
    </row>
    <row r="45" spans="1:22" ht="14.25" x14ac:dyDescent="0.2">
      <c r="A45" s="108"/>
      <c r="B45" s="108"/>
      <c r="C45" s="109"/>
      <c r="D45" s="109" t="s">
        <v>45</v>
      </c>
      <c r="E45" s="110"/>
      <c r="F45" s="111"/>
      <c r="G45" s="112">
        <f>[82]Source!AN1447</f>
        <v>6.99</v>
      </c>
      <c r="H45" s="113" t="str">
        <f>[82]Source!DE1447</f>
        <v/>
      </c>
      <c r="I45" s="111">
        <f>[82]Source!AV1448</f>
        <v>1.0469999999999999</v>
      </c>
      <c r="J45" s="115">
        <f>[82]Source!R1447-J55</f>
        <v>0.17</v>
      </c>
      <c r="K45" s="111">
        <f>IF([82]Source!BS1448&lt;&gt; 0, [82]Source!BS1448, 1)</f>
        <v>23.94</v>
      </c>
      <c r="L45" s="115">
        <f>[82]Source!R1448-L55</f>
        <v>4.12</v>
      </c>
    </row>
    <row r="46" spans="1:22" ht="42.75" x14ac:dyDescent="0.2">
      <c r="A46" s="108">
        <v>2</v>
      </c>
      <c r="B46" s="108" t="str">
        <f>[82]Source!E1455</f>
        <v>185,4</v>
      </c>
      <c r="C46" s="109" t="str">
        <f>[82]Source!F1455</f>
        <v>1.1-1-1111</v>
      </c>
      <c r="D46" s="109" t="s">
        <v>168</v>
      </c>
      <c r="E46" s="110" t="str">
        <f>[82]Source!H1455</f>
        <v>т</v>
      </c>
      <c r="F46" s="111">
        <f>[82]Source!I1455</f>
        <v>2.1999999999999999E-2</v>
      </c>
      <c r="G46" s="112">
        <f>[82]Source!AK1455</f>
        <v>7879.13</v>
      </c>
      <c r="H46" s="157" t="s">
        <v>20</v>
      </c>
      <c r="I46" s="111">
        <f>[82]Source!AW1456</f>
        <v>1.022</v>
      </c>
      <c r="J46" s="114">
        <f>[82]Source!O1455</f>
        <v>173.34</v>
      </c>
      <c r="K46" s="111">
        <f>IF([82]Source!BC1456&lt;&gt; 0, [82]Source!BC1456, 1)</f>
        <v>3.1</v>
      </c>
      <c r="L46" s="114">
        <f>[82]Source!O1456</f>
        <v>549.16999999999996</v>
      </c>
      <c r="Q46" s="49">
        <f>[82]Source!X1455</f>
        <v>0</v>
      </c>
      <c r="R46" s="49">
        <f>[82]Source!X1456</f>
        <v>0</v>
      </c>
      <c r="S46" s="49">
        <f>[82]Source!Y1455</f>
        <v>0</v>
      </c>
      <c r="T46" s="49">
        <f>[82]Source!Y1456</f>
        <v>0</v>
      </c>
      <c r="U46" s="49">
        <f>ROUND((175/100)*ROUND([82]Source!R1455, 2), 2)</f>
        <v>0</v>
      </c>
      <c r="V46" s="49">
        <f>ROUND((157/100)*ROUND([82]Source!R1456, 2), 2)</f>
        <v>0</v>
      </c>
    </row>
    <row r="47" spans="1:22" ht="85.5" x14ac:dyDescent="0.2">
      <c r="A47" s="108">
        <v>3</v>
      </c>
      <c r="B47" s="108" t="str">
        <f>[82]Source!E1457</f>
        <v>185,5</v>
      </c>
      <c r="C47" s="109" t="str">
        <f>[82]Source!F1457</f>
        <v>1.3-4-3</v>
      </c>
      <c r="D47" s="109" t="s">
        <v>169</v>
      </c>
      <c r="E47" s="110" t="str">
        <f>[82]Source!H1457</f>
        <v>т</v>
      </c>
      <c r="F47" s="111">
        <f>[82]Source!I1457</f>
        <v>2E-3</v>
      </c>
      <c r="G47" s="112">
        <f>[82]Source!AK1457</f>
        <v>5681.92</v>
      </c>
      <c r="H47" s="157" t="s">
        <v>20</v>
      </c>
      <c r="I47" s="111">
        <f>[82]Source!AW1458</f>
        <v>1.022</v>
      </c>
      <c r="J47" s="114">
        <f>[82]Source!O1457</f>
        <v>11.36</v>
      </c>
      <c r="K47" s="111">
        <f>IF([82]Source!BC1458&lt;&gt; 0, [82]Source!BC1458, 1)</f>
        <v>7.1</v>
      </c>
      <c r="L47" s="114">
        <f>[82]Source!O1458</f>
        <v>82.43</v>
      </c>
      <c r="Q47" s="49">
        <f>[82]Source!X1457</f>
        <v>0</v>
      </c>
      <c r="R47" s="49">
        <f>[82]Source!X1458</f>
        <v>0</v>
      </c>
      <c r="S47" s="49">
        <f>[82]Source!Y1457</f>
        <v>0</v>
      </c>
      <c r="T47" s="49">
        <f>[82]Source!Y1458</f>
        <v>0</v>
      </c>
      <c r="U47" s="49">
        <f>ROUND((175/100)*ROUND([82]Source!R1457, 2), 2)</f>
        <v>0</v>
      </c>
      <c r="V47" s="49">
        <f>ROUND((157/100)*ROUND([82]Source!R1458, 2), 2)</f>
        <v>0</v>
      </c>
    </row>
    <row r="48" spans="1:22" ht="14.25" x14ac:dyDescent="0.2">
      <c r="A48" s="108"/>
      <c r="B48" s="108"/>
      <c r="C48" s="109"/>
      <c r="D48" s="109" t="s">
        <v>47</v>
      </c>
      <c r="E48" s="110" t="s">
        <v>48</v>
      </c>
      <c r="F48" s="111">
        <f>[82]Source!DN1448</f>
        <v>98</v>
      </c>
      <c r="G48" s="112"/>
      <c r="H48" s="113"/>
      <c r="I48" s="111"/>
      <c r="J48" s="114">
        <f>SUM(Q42:Q47)</f>
        <v>28.38</v>
      </c>
      <c r="K48" s="111">
        <f>[82]Source!BZ1448</f>
        <v>92</v>
      </c>
      <c r="L48" s="114">
        <f>SUM(R42:R47)</f>
        <v>637.84</v>
      </c>
    </row>
    <row r="49" spans="1:16" ht="14.25" x14ac:dyDescent="0.2">
      <c r="A49" s="108"/>
      <c r="B49" s="108"/>
      <c r="C49" s="109"/>
      <c r="D49" s="109" t="s">
        <v>49</v>
      </c>
      <c r="E49" s="110" t="s">
        <v>48</v>
      </c>
      <c r="F49" s="111">
        <f>[82]Source!DO1448</f>
        <v>70</v>
      </c>
      <c r="G49" s="112"/>
      <c r="H49" s="113"/>
      <c r="I49" s="111"/>
      <c r="J49" s="114">
        <f>SUM(S42:S48)</f>
        <v>20.27</v>
      </c>
      <c r="K49" s="111">
        <f>[82]Source!CA1448</f>
        <v>65</v>
      </c>
      <c r="L49" s="114">
        <f>SUM(T42:T48)</f>
        <v>450.65</v>
      </c>
    </row>
    <row r="50" spans="1:16" ht="14.25" x14ac:dyDescent="0.2">
      <c r="A50" s="108"/>
      <c r="B50" s="108"/>
      <c r="C50" s="109"/>
      <c r="D50" s="109" t="s">
        <v>50</v>
      </c>
      <c r="E50" s="110" t="s">
        <v>48</v>
      </c>
      <c r="F50" s="111">
        <f>175</f>
        <v>175</v>
      </c>
      <c r="G50" s="112"/>
      <c r="H50" s="113"/>
      <c r="I50" s="111"/>
      <c r="J50" s="114">
        <f>SUM(U42:U49)-J56</f>
        <v>0.3</v>
      </c>
      <c r="K50" s="111">
        <f>157</f>
        <v>157</v>
      </c>
      <c r="L50" s="114">
        <f>SUM(V42:V49)-L56</f>
        <v>6.47</v>
      </c>
    </row>
    <row r="51" spans="1:16" ht="14.25" x14ac:dyDescent="0.2">
      <c r="A51" s="108"/>
      <c r="B51" s="108"/>
      <c r="C51" s="109"/>
      <c r="D51" s="109" t="s">
        <v>51</v>
      </c>
      <c r="E51" s="110" t="s">
        <v>52</v>
      </c>
      <c r="F51" s="111">
        <f>[82]Source!AQ1447</f>
        <v>58</v>
      </c>
      <c r="G51" s="112"/>
      <c r="H51" s="113" t="str">
        <f>[82]Source!DI1447</f>
        <v/>
      </c>
      <c r="I51" s="111">
        <f>[82]Source!AV1448</f>
        <v>1.0469999999999999</v>
      </c>
      <c r="J51" s="114">
        <f>[82]Source!U1447</f>
        <v>1.46</v>
      </c>
      <c r="K51" s="111"/>
      <c r="L51" s="114"/>
    </row>
    <row r="52" spans="1:16" ht="15" x14ac:dyDescent="0.25">
      <c r="I52" s="567">
        <f>J43+J44+J48+J49+J50+SUM(J46:J47)</f>
        <v>263.41000000000003</v>
      </c>
      <c r="J52" s="567"/>
      <c r="K52" s="567">
        <f>L43+L44+L48+L49+L50+SUM(L46:L47)</f>
        <v>2426.61</v>
      </c>
      <c r="L52" s="567"/>
      <c r="O52" s="117">
        <f>J43+J44+J48+J49+J50+SUM(J46:J47)</f>
        <v>263.41000000000003</v>
      </c>
      <c r="P52" s="117">
        <f>L43+L44+L48+L49+L50+SUM(L46:L47)</f>
        <v>2426.61</v>
      </c>
    </row>
    <row r="53" spans="1:16" ht="28.5" x14ac:dyDescent="0.2">
      <c r="A53" s="158"/>
      <c r="B53" s="158"/>
      <c r="C53" s="159"/>
      <c r="D53" s="159" t="s">
        <v>133</v>
      </c>
      <c r="E53" s="110"/>
      <c r="F53" s="160"/>
      <c r="G53" s="161"/>
      <c r="H53" s="110"/>
      <c r="I53" s="160"/>
      <c r="J53" s="115"/>
      <c r="K53" s="160"/>
      <c r="L53" s="115"/>
    </row>
    <row r="54" spans="1:16" ht="14.25" x14ac:dyDescent="0.2">
      <c r="A54" s="158"/>
      <c r="B54" s="158"/>
      <c r="C54" s="159"/>
      <c r="D54" s="159" t="s">
        <v>44</v>
      </c>
      <c r="E54" s="110"/>
      <c r="F54" s="160"/>
      <c r="G54" s="161">
        <f t="shared" ref="G54:L54" si="0">G55</f>
        <v>6.99</v>
      </c>
      <c r="H54" s="162" t="str">
        <f t="shared" si="0"/>
        <v>)*(1.67-1)</v>
      </c>
      <c r="I54" s="160">
        <f t="shared" si="0"/>
        <v>1.0469999999999999</v>
      </c>
      <c r="J54" s="115">
        <f t="shared" si="0"/>
        <v>0.12</v>
      </c>
      <c r="K54" s="160">
        <f t="shared" si="0"/>
        <v>23.94</v>
      </c>
      <c r="L54" s="115">
        <f t="shared" si="0"/>
        <v>2.82</v>
      </c>
    </row>
    <row r="55" spans="1:16" ht="14.25" x14ac:dyDescent="0.2">
      <c r="A55" s="158"/>
      <c r="B55" s="158"/>
      <c r="C55" s="159"/>
      <c r="D55" s="159" t="s">
        <v>45</v>
      </c>
      <c r="E55" s="110"/>
      <c r="F55" s="160"/>
      <c r="G55" s="161">
        <f>[82]Source!AN1447</f>
        <v>6.99</v>
      </c>
      <c r="H55" s="162" t="s">
        <v>53</v>
      </c>
      <c r="I55" s="160">
        <f>[82]Source!AV1448</f>
        <v>1.0469999999999999</v>
      </c>
      <c r="J55" s="115">
        <f>ROUND(F42*G55*I55*(1.67-1), 2)</f>
        <v>0.12</v>
      </c>
      <c r="K55" s="160">
        <f>IF([82]Source!BS1448&lt;&gt; 0, [82]Source!BS1448, 1)</f>
        <v>23.94</v>
      </c>
      <c r="L55" s="115">
        <f>ROUND(F42*G55*I55*(1.67-1)*K55, 2)</f>
        <v>2.82</v>
      </c>
    </row>
    <row r="56" spans="1:16" ht="14.25" x14ac:dyDescent="0.2">
      <c r="A56" s="158"/>
      <c r="B56" s="158"/>
      <c r="C56" s="159"/>
      <c r="D56" s="159" t="s">
        <v>50</v>
      </c>
      <c r="E56" s="110" t="s">
        <v>48</v>
      </c>
      <c r="F56" s="160">
        <f>175</f>
        <v>175</v>
      </c>
      <c r="G56" s="161"/>
      <c r="H56" s="110"/>
      <c r="I56" s="160"/>
      <c r="J56" s="115">
        <f>ROUND(J55*(F56/100), 2)</f>
        <v>0.21</v>
      </c>
      <c r="K56" s="160">
        <f>157</f>
        <v>157</v>
      </c>
      <c r="L56" s="115">
        <f>ROUND(L55*(K56/100), 2)</f>
        <v>4.43</v>
      </c>
    </row>
    <row r="57" spans="1:16" ht="15" x14ac:dyDescent="0.25">
      <c r="I57" s="567">
        <f>J56+J55</f>
        <v>0.33</v>
      </c>
      <c r="J57" s="567"/>
      <c r="K57" s="567">
        <f>L56+L55</f>
        <v>7.25</v>
      </c>
      <c r="L57" s="567"/>
      <c r="O57" s="117">
        <f>I57</f>
        <v>0.33</v>
      </c>
      <c r="P57" s="117">
        <f>K57</f>
        <v>7.25</v>
      </c>
    </row>
    <row r="59" spans="1:16" ht="15" x14ac:dyDescent="0.25">
      <c r="A59" s="163"/>
      <c r="B59" s="163"/>
      <c r="C59" s="164"/>
      <c r="D59" s="164" t="s">
        <v>134</v>
      </c>
      <c r="E59" s="165"/>
      <c r="F59" s="166"/>
      <c r="G59" s="167"/>
      <c r="H59" s="168"/>
      <c r="I59" s="567">
        <f>I52+I57</f>
        <v>263.74</v>
      </c>
      <c r="J59" s="567"/>
      <c r="K59" s="567">
        <f>K52+K57</f>
        <v>2433.86</v>
      </c>
      <c r="L59" s="567"/>
    </row>
    <row r="61" spans="1:16" ht="15" x14ac:dyDescent="0.25">
      <c r="A61" s="572" t="str">
        <f>CONCATENATE("Итого по подразделу: ",IF([82]Source!G1474&lt;&gt;"Новый подраздел", [82]Source!G1474, ""))</f>
        <v>Итого по подразделу: Закладные элементы в кирпичных стенах</v>
      </c>
      <c r="B61" s="572"/>
      <c r="C61" s="572"/>
      <c r="D61" s="572"/>
      <c r="E61" s="572"/>
      <c r="F61" s="572"/>
      <c r="G61" s="572"/>
      <c r="H61" s="572"/>
      <c r="I61" s="573">
        <f>SUM(O41:O60)</f>
        <v>263.74</v>
      </c>
      <c r="J61" s="574"/>
      <c r="K61" s="573">
        <f>SUM(P41:P60)</f>
        <v>2433.86</v>
      </c>
      <c r="L61" s="574"/>
    </row>
    <row r="62" spans="1:16" hidden="1" x14ac:dyDescent="0.2">
      <c r="A62" s="49" t="s">
        <v>54</v>
      </c>
      <c r="J62" s="49">
        <f>SUM(W41:W61)</f>
        <v>0</v>
      </c>
      <c r="K62" s="49">
        <f>SUM(X41:X61)</f>
        <v>0</v>
      </c>
    </row>
    <row r="63" spans="1:16" hidden="1" x14ac:dyDescent="0.2">
      <c r="A63" s="49" t="s">
        <v>55</v>
      </c>
      <c r="J63" s="49">
        <f>SUM(Y41:Y62)</f>
        <v>0</v>
      </c>
      <c r="K63" s="49">
        <f>SUM(Z41:Z62)</f>
        <v>0</v>
      </c>
    </row>
    <row r="65" spans="1:32" ht="16.5" customHeight="1" x14ac:dyDescent="0.25">
      <c r="A65" s="572" t="s">
        <v>74</v>
      </c>
      <c r="B65" s="572"/>
      <c r="C65" s="572"/>
      <c r="D65" s="572"/>
      <c r="E65" s="572"/>
      <c r="F65" s="572"/>
      <c r="G65" s="572"/>
      <c r="H65" s="572"/>
      <c r="I65" s="573">
        <f>SUM(O30:O64)</f>
        <v>263.74</v>
      </c>
      <c r="J65" s="574"/>
      <c r="K65" s="573">
        <f>SUM(P30:P64)</f>
        <v>2433.86</v>
      </c>
      <c r="L65" s="574"/>
      <c r="AF65" s="98" t="str">
        <f>CONCATENATE("Итого по акту: ",IF([82]Source!G1565&lt;&gt;"Новый объект", [82]Source!G1565, ""))</f>
        <v>Итого по акту: 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v>
      </c>
    </row>
    <row r="66" spans="1:32" hidden="1" x14ac:dyDescent="0.2">
      <c r="A66" s="49" t="s">
        <v>54</v>
      </c>
      <c r="J66" s="49">
        <f>SUM(W30:W65)</f>
        <v>0</v>
      </c>
      <c r="K66" s="49">
        <f>SUM(X30:X65)</f>
        <v>0</v>
      </c>
    </row>
    <row r="67" spans="1:32" hidden="1" x14ac:dyDescent="0.2">
      <c r="A67" s="49" t="s">
        <v>55</v>
      </c>
      <c r="J67" s="49">
        <f>SUM(Y30:Y66)</f>
        <v>0</v>
      </c>
      <c r="K67" s="49">
        <f>SUM(Z30:Z66)</f>
        <v>0</v>
      </c>
    </row>
    <row r="68" spans="1:32" ht="14.25" x14ac:dyDescent="0.2">
      <c r="D68" s="558" t="str">
        <f>[82]Source!H1568</f>
        <v>Стоимость материальных ресурсов (всего)</v>
      </c>
      <c r="E68" s="558"/>
      <c r="F68" s="558"/>
      <c r="G68" s="558"/>
      <c r="H68" s="558"/>
      <c r="I68" s="559">
        <f>[82]Source!F1568</f>
        <v>184.7</v>
      </c>
      <c r="J68" s="559"/>
      <c r="K68" s="559">
        <f>[82]Source!P1568</f>
        <v>631.6</v>
      </c>
      <c r="L68" s="559"/>
    </row>
    <row r="69" spans="1:32" ht="14.25" x14ac:dyDescent="0.2">
      <c r="D69" s="558" t="str">
        <f>[82]Source!H1579</f>
        <v>ЗП машинистов</v>
      </c>
      <c r="E69" s="558"/>
      <c r="F69" s="558"/>
      <c r="G69" s="558"/>
      <c r="H69" s="558"/>
      <c r="I69" s="559">
        <f>[82]Source!F1579</f>
        <v>0.28999999999999998</v>
      </c>
      <c r="J69" s="559"/>
      <c r="K69" s="559">
        <f>[82]Source!P1579</f>
        <v>6.94</v>
      </c>
      <c r="L69" s="559"/>
    </row>
    <row r="70" spans="1:32" ht="14.25" x14ac:dyDescent="0.2">
      <c r="D70" s="558" t="str">
        <f>[82]Source!H1580</f>
        <v>Основная ЗП рабочих</v>
      </c>
      <c r="E70" s="558"/>
      <c r="F70" s="558"/>
      <c r="G70" s="558"/>
      <c r="H70" s="558"/>
      <c r="I70" s="559">
        <f>[82]Source!F1580</f>
        <v>28.96</v>
      </c>
      <c r="J70" s="559"/>
      <c r="K70" s="559">
        <f>[82]Source!P1580</f>
        <v>693.3</v>
      </c>
      <c r="L70" s="559"/>
    </row>
    <row r="71" spans="1:32" ht="15" x14ac:dyDescent="0.25">
      <c r="D71" s="97"/>
      <c r="I71" s="106"/>
      <c r="J71" s="106"/>
      <c r="K71" s="169"/>
      <c r="L71" s="169"/>
    </row>
    <row r="72" spans="1:32" ht="14.25" x14ac:dyDescent="0.2">
      <c r="A72" s="139"/>
      <c r="B72" s="139"/>
      <c r="C72" s="139"/>
      <c r="D72" s="170" t="s">
        <v>57</v>
      </c>
      <c r="E72" s="139"/>
      <c r="F72" s="139"/>
      <c r="G72" s="139"/>
      <c r="H72" s="139"/>
      <c r="I72" s="139"/>
      <c r="J72" s="171">
        <f>I65</f>
        <v>263.74</v>
      </c>
      <c r="K72" s="171"/>
      <c r="L72" s="171">
        <f>K65</f>
        <v>2433.86</v>
      </c>
    </row>
    <row r="73" spans="1:32" ht="14.25" x14ac:dyDescent="0.2">
      <c r="A73" s="139"/>
      <c r="B73" s="139"/>
      <c r="C73" s="139"/>
      <c r="D73" s="170" t="s">
        <v>3</v>
      </c>
      <c r="E73" s="139"/>
      <c r="F73" s="139"/>
      <c r="G73" s="139"/>
      <c r="H73" s="139"/>
      <c r="I73" s="139"/>
      <c r="J73" s="171">
        <f>J72</f>
        <v>263.74</v>
      </c>
      <c r="K73" s="171"/>
      <c r="L73" s="171">
        <f>L72</f>
        <v>2433.86</v>
      </c>
    </row>
    <row r="74" spans="1:32" ht="14.25" x14ac:dyDescent="0.2">
      <c r="A74" s="139"/>
      <c r="B74" s="139"/>
      <c r="C74" s="139"/>
      <c r="D74" s="170" t="s">
        <v>58</v>
      </c>
      <c r="E74" s="139"/>
      <c r="F74" s="139"/>
      <c r="G74" s="139"/>
      <c r="H74" s="139"/>
      <c r="I74" s="139"/>
      <c r="J74" s="171">
        <f>I69+I70</f>
        <v>29.25</v>
      </c>
      <c r="K74" s="171"/>
      <c r="L74" s="171">
        <f>K69+K70</f>
        <v>700.24</v>
      </c>
    </row>
    <row r="75" spans="1:32" ht="14.25" x14ac:dyDescent="0.2">
      <c r="A75" s="139"/>
      <c r="B75" s="139"/>
      <c r="C75" s="139"/>
      <c r="D75" s="170" t="s">
        <v>59</v>
      </c>
      <c r="E75" s="139"/>
      <c r="F75" s="139"/>
      <c r="G75" s="139"/>
      <c r="H75" s="139"/>
      <c r="I75" s="139"/>
      <c r="J75" s="171">
        <f>I68</f>
        <v>184.7</v>
      </c>
      <c r="K75" s="171"/>
      <c r="L75" s="171">
        <f>K68</f>
        <v>631.6</v>
      </c>
    </row>
    <row r="76" spans="1:32" ht="14.25" x14ac:dyDescent="0.2">
      <c r="A76" s="139"/>
      <c r="B76" s="139"/>
      <c r="C76" s="139"/>
      <c r="D76" s="170" t="s">
        <v>60</v>
      </c>
      <c r="E76" s="139"/>
      <c r="F76" s="139"/>
      <c r="G76" s="139"/>
      <c r="H76" s="139"/>
      <c r="I76" s="139"/>
      <c r="J76" s="172">
        <v>0</v>
      </c>
      <c r="K76" s="172"/>
      <c r="L76" s="172">
        <v>0</v>
      </c>
    </row>
    <row r="77" spans="1:32" ht="14.25" x14ac:dyDescent="0.2">
      <c r="A77" s="128"/>
      <c r="B77" s="128"/>
      <c r="C77" s="128"/>
      <c r="D77" s="540" t="s">
        <v>111</v>
      </c>
      <c r="E77" s="540"/>
      <c r="F77" s="540"/>
      <c r="G77" s="540"/>
      <c r="H77" s="540"/>
      <c r="I77" s="136"/>
      <c r="J77" s="136">
        <v>0</v>
      </c>
      <c r="K77" s="136"/>
      <c r="L77" s="136">
        <v>0</v>
      </c>
    </row>
    <row r="78" spans="1:32" ht="15" x14ac:dyDescent="0.25">
      <c r="A78" s="130"/>
      <c r="B78" s="130"/>
      <c r="C78" s="130"/>
      <c r="D78" s="540" t="s">
        <v>112</v>
      </c>
      <c r="E78" s="540"/>
      <c r="F78" s="540"/>
      <c r="G78" s="540"/>
      <c r="H78" s="540"/>
      <c r="I78" s="560">
        <f>J73*5.61%</f>
        <v>14.8</v>
      </c>
      <c r="J78" s="560"/>
      <c r="K78" s="560">
        <f>L73*5.61%</f>
        <v>136.54</v>
      </c>
      <c r="L78" s="560"/>
    </row>
    <row r="79" spans="1:32" ht="15" x14ac:dyDescent="0.25">
      <c r="A79" s="130"/>
      <c r="B79" s="130"/>
      <c r="C79" s="130"/>
      <c r="D79" s="540" t="s">
        <v>70</v>
      </c>
      <c r="E79" s="540"/>
      <c r="F79" s="540"/>
      <c r="G79" s="540"/>
      <c r="H79" s="540"/>
      <c r="I79" s="560">
        <f>J73+J77+I78</f>
        <v>278.54000000000002</v>
      </c>
      <c r="J79" s="560"/>
      <c r="K79" s="560">
        <f>L73+L77+K78</f>
        <v>2570.4</v>
      </c>
      <c r="L79" s="560"/>
    </row>
    <row r="80" spans="1:32" ht="14.25" x14ac:dyDescent="0.2">
      <c r="A80" s="128"/>
      <c r="B80" s="128"/>
      <c r="C80" s="128"/>
      <c r="D80" s="540" t="s">
        <v>71</v>
      </c>
      <c r="E80" s="540"/>
      <c r="F80" s="540"/>
      <c r="G80" s="540"/>
      <c r="H80" s="540"/>
      <c r="I80" s="560">
        <f>J74*0.15</f>
        <v>4.3899999999999997</v>
      </c>
      <c r="J80" s="560"/>
      <c r="K80" s="560">
        <f>L74*0.15</f>
        <v>105.04</v>
      </c>
      <c r="L80" s="560"/>
    </row>
    <row r="81" spans="1:12" ht="15" x14ac:dyDescent="0.25">
      <c r="A81" s="131"/>
      <c r="B81" s="131"/>
      <c r="C81" s="131"/>
      <c r="D81" s="575" t="s">
        <v>72</v>
      </c>
      <c r="E81" s="575"/>
      <c r="F81" s="575"/>
      <c r="G81" s="575"/>
      <c r="H81" s="575"/>
      <c r="I81" s="564">
        <f>I79+I80</f>
        <v>282.93</v>
      </c>
      <c r="J81" s="564"/>
      <c r="K81" s="565">
        <f>K79+K80</f>
        <v>2675.44</v>
      </c>
      <c r="L81" s="565"/>
    </row>
    <row r="82" spans="1:12" ht="14.25" x14ac:dyDescent="0.2">
      <c r="A82" s="128"/>
      <c r="B82" s="128"/>
      <c r="C82" s="128"/>
      <c r="D82" s="540"/>
      <c r="E82" s="540"/>
      <c r="F82" s="540"/>
      <c r="G82" s="540"/>
      <c r="H82" s="540"/>
      <c r="I82" s="560"/>
      <c r="J82" s="560"/>
      <c r="K82" s="560"/>
      <c r="L82" s="560"/>
    </row>
    <row r="83" spans="1:12" ht="15" x14ac:dyDescent="0.25">
      <c r="A83" s="131"/>
      <c r="B83" s="131"/>
      <c r="C83" s="131"/>
      <c r="D83" s="575" t="s">
        <v>113</v>
      </c>
      <c r="E83" s="575"/>
      <c r="F83" s="575"/>
      <c r="G83" s="575"/>
      <c r="H83" s="575"/>
      <c r="I83" s="131"/>
      <c r="J83" s="131"/>
      <c r="K83" s="131"/>
      <c r="L83" s="133">
        <f>K84+K86</f>
        <v>2343.75</v>
      </c>
    </row>
    <row r="84" spans="1:12" ht="14.25" x14ac:dyDescent="0.2">
      <c r="A84" s="128"/>
      <c r="B84" s="128"/>
      <c r="C84" s="128"/>
      <c r="D84" s="540" t="s">
        <v>3</v>
      </c>
      <c r="E84" s="540"/>
      <c r="F84" s="540"/>
      <c r="G84" s="540"/>
      <c r="H84" s="540"/>
      <c r="I84" s="128"/>
      <c r="J84" s="134"/>
      <c r="K84" s="560">
        <f>(L73-L75)*0.95+K85</f>
        <v>2343.75</v>
      </c>
      <c r="L84" s="560"/>
    </row>
    <row r="85" spans="1:12" ht="14.25" x14ac:dyDescent="0.2">
      <c r="A85" s="128"/>
      <c r="B85" s="128"/>
      <c r="C85" s="128"/>
      <c r="D85" s="540" t="s">
        <v>114</v>
      </c>
      <c r="E85" s="540"/>
      <c r="F85" s="540"/>
      <c r="G85" s="540"/>
      <c r="H85" s="540"/>
      <c r="I85" s="128"/>
      <c r="J85" s="134"/>
      <c r="K85" s="560">
        <f>L75*1</f>
        <v>631.6</v>
      </c>
      <c r="L85" s="560"/>
    </row>
    <row r="86" spans="1:12" ht="14.25" x14ac:dyDescent="0.2">
      <c r="A86" s="128"/>
      <c r="B86" s="128"/>
      <c r="C86" s="128"/>
      <c r="D86" s="540" t="s">
        <v>115</v>
      </c>
      <c r="E86" s="540"/>
      <c r="F86" s="540"/>
      <c r="G86" s="540"/>
      <c r="H86" s="540"/>
      <c r="I86" s="560"/>
      <c r="J86" s="560"/>
      <c r="K86" s="560">
        <f>L76</f>
        <v>0</v>
      </c>
      <c r="L86" s="560"/>
    </row>
    <row r="87" spans="1:12" ht="14.25" x14ac:dyDescent="0.2">
      <c r="A87" s="128"/>
      <c r="B87" s="128"/>
      <c r="C87" s="128"/>
      <c r="D87" s="540" t="s">
        <v>111</v>
      </c>
      <c r="E87" s="540"/>
      <c r="F87" s="540"/>
      <c r="G87" s="540"/>
      <c r="H87" s="540"/>
      <c r="I87" s="136"/>
      <c r="J87" s="136"/>
      <c r="K87" s="136"/>
      <c r="L87" s="136">
        <v>0</v>
      </c>
    </row>
    <row r="88" spans="1:12" ht="14.25" x14ac:dyDescent="0.2">
      <c r="A88" s="128"/>
      <c r="B88" s="128"/>
      <c r="C88" s="128"/>
      <c r="D88" s="540" t="s">
        <v>116</v>
      </c>
      <c r="E88" s="540"/>
      <c r="F88" s="540"/>
      <c r="G88" s="540"/>
      <c r="H88" s="540"/>
      <c r="I88" s="128"/>
      <c r="J88" s="134"/>
      <c r="K88" s="560">
        <f>L74*0.95</f>
        <v>665.23</v>
      </c>
      <c r="L88" s="560"/>
    </row>
    <row r="89" spans="1:12" ht="14.25" x14ac:dyDescent="0.2">
      <c r="A89" s="128"/>
      <c r="B89" s="128"/>
      <c r="C89" s="128"/>
      <c r="D89" s="540" t="s">
        <v>117</v>
      </c>
      <c r="E89" s="540"/>
      <c r="F89" s="540"/>
      <c r="G89" s="540"/>
      <c r="H89" s="540"/>
      <c r="I89" s="560"/>
      <c r="J89" s="560"/>
      <c r="K89" s="560">
        <f>K84*5.61%</f>
        <v>131.47999999999999</v>
      </c>
      <c r="L89" s="560"/>
    </row>
    <row r="90" spans="1:12" ht="14.25" x14ac:dyDescent="0.2">
      <c r="A90" s="128"/>
      <c r="B90" s="128"/>
      <c r="C90" s="128"/>
      <c r="D90" s="540" t="s">
        <v>70</v>
      </c>
      <c r="E90" s="540"/>
      <c r="F90" s="540"/>
      <c r="G90" s="540"/>
      <c r="H90" s="540"/>
      <c r="I90" s="128"/>
      <c r="J90" s="137"/>
      <c r="K90" s="560">
        <f>K84+L87+K89</f>
        <v>2475.23</v>
      </c>
      <c r="L90" s="560"/>
    </row>
    <row r="91" spans="1:12" ht="14.25" x14ac:dyDescent="0.2">
      <c r="A91" s="128"/>
      <c r="B91" s="128"/>
      <c r="C91" s="128"/>
      <c r="D91" s="540" t="s">
        <v>71</v>
      </c>
      <c r="E91" s="540"/>
      <c r="F91" s="540"/>
      <c r="G91" s="540"/>
      <c r="H91" s="540"/>
      <c r="I91" s="128"/>
      <c r="J91" s="128"/>
      <c r="K91" s="560">
        <f>K88*0.15</f>
        <v>99.78</v>
      </c>
      <c r="L91" s="560"/>
    </row>
    <row r="92" spans="1:12" ht="15" x14ac:dyDescent="0.25">
      <c r="A92" s="131"/>
      <c r="B92" s="131"/>
      <c r="C92" s="131"/>
      <c r="D92" s="575" t="s">
        <v>72</v>
      </c>
      <c r="E92" s="575"/>
      <c r="F92" s="575"/>
      <c r="G92" s="575"/>
      <c r="H92" s="575"/>
      <c r="I92" s="131"/>
      <c r="J92" s="131"/>
      <c r="K92" s="564">
        <f>K90+K91+K86</f>
        <v>2575.0100000000002</v>
      </c>
      <c r="L92" s="564"/>
    </row>
    <row r="93" spans="1:12" ht="12.75" x14ac:dyDescent="0.2">
      <c r="A93" s="138"/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</row>
    <row r="94" spans="1:12" ht="12.75" x14ac:dyDescent="0.2">
      <c r="A94" s="138"/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8"/>
    </row>
    <row r="95" spans="1:12" ht="12.75" x14ac:dyDescent="0.2">
      <c r="A95" s="138"/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8"/>
    </row>
    <row r="96" spans="1:12" ht="12.75" x14ac:dyDescent="0.2">
      <c r="A96" s="138"/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8"/>
    </row>
    <row r="97" spans="1:12" ht="15.75" x14ac:dyDescent="0.25">
      <c r="A97" s="138"/>
      <c r="B97" s="180" t="s">
        <v>137</v>
      </c>
      <c r="C97" s="181"/>
      <c r="D97" s="181"/>
      <c r="E97" s="138"/>
      <c r="F97" s="138"/>
      <c r="G97" s="138"/>
      <c r="H97" s="138"/>
      <c r="I97" s="138"/>
      <c r="J97" s="138"/>
      <c r="K97" s="138"/>
      <c r="L97" s="138"/>
    </row>
    <row r="98" spans="1:12" ht="15" x14ac:dyDescent="0.2">
      <c r="A98" s="138"/>
      <c r="B98" s="181"/>
      <c r="C98" s="181"/>
      <c r="D98" s="181"/>
      <c r="E98" s="138"/>
      <c r="F98" s="138"/>
      <c r="G98" s="138"/>
      <c r="H98" s="138"/>
      <c r="I98" s="138"/>
      <c r="J98" s="138"/>
      <c r="K98" s="138"/>
      <c r="L98" s="138"/>
    </row>
    <row r="99" spans="1:12" ht="15.75" x14ac:dyDescent="0.25">
      <c r="A99" s="139"/>
      <c r="B99" s="180" t="s">
        <v>118</v>
      </c>
      <c r="C99" s="180"/>
      <c r="D99" s="180"/>
      <c r="E99" s="140"/>
      <c r="F99" s="140"/>
      <c r="G99" s="140"/>
      <c r="H99" s="140"/>
      <c r="I99" s="140"/>
      <c r="J99" s="140"/>
      <c r="K99" s="140"/>
      <c r="L99" s="140"/>
    </row>
    <row r="100" spans="1:12" ht="15.75" x14ac:dyDescent="0.25">
      <c r="A100" s="139"/>
      <c r="B100" s="182" t="s">
        <v>119</v>
      </c>
      <c r="C100" s="183"/>
      <c r="D100" s="183"/>
      <c r="E100" s="142"/>
      <c r="F100" s="141"/>
      <c r="G100" s="503"/>
      <c r="H100" s="503"/>
      <c r="I100" s="143"/>
      <c r="J100" s="144" t="s">
        <v>120</v>
      </c>
      <c r="K100" s="145"/>
      <c r="L100" s="146"/>
    </row>
    <row r="101" spans="1:12" ht="15.75" x14ac:dyDescent="0.25">
      <c r="A101" s="139"/>
      <c r="B101" s="184" t="s">
        <v>138</v>
      </c>
      <c r="C101" s="185"/>
      <c r="D101" s="185"/>
      <c r="E101" s="147"/>
      <c r="F101" s="147"/>
      <c r="G101" s="147"/>
      <c r="H101" s="147"/>
      <c r="I101" s="146"/>
      <c r="J101" s="146"/>
      <c r="K101" s="146"/>
      <c r="L101" s="146"/>
    </row>
    <row r="102" spans="1:12" ht="15.75" x14ac:dyDescent="0.25">
      <c r="A102" s="139"/>
      <c r="B102" s="148"/>
      <c r="C102" s="148"/>
      <c r="D102" s="186"/>
      <c r="E102" s="149"/>
      <c r="F102" s="149"/>
      <c r="G102" s="150"/>
      <c r="H102" s="151"/>
      <c r="I102" s="149"/>
      <c r="J102" s="152"/>
      <c r="K102" s="153"/>
      <c r="L102" s="139"/>
    </row>
    <row r="103" spans="1:12" ht="15.75" x14ac:dyDescent="0.25">
      <c r="A103" s="139"/>
      <c r="B103" s="148"/>
      <c r="C103" s="148"/>
      <c r="D103" s="186"/>
      <c r="E103" s="149"/>
      <c r="F103" s="149"/>
      <c r="G103" s="150"/>
      <c r="H103" s="151"/>
      <c r="I103" s="149"/>
      <c r="J103" s="152"/>
      <c r="K103" s="153"/>
      <c r="L103" s="139"/>
    </row>
    <row r="104" spans="1:12" ht="15.75" x14ac:dyDescent="0.25">
      <c r="A104" s="139"/>
      <c r="B104" s="148"/>
      <c r="C104" s="148"/>
      <c r="D104" s="186"/>
      <c r="E104" s="149"/>
      <c r="F104" s="149"/>
      <c r="G104" s="150"/>
      <c r="H104" s="151"/>
      <c r="I104" s="149"/>
      <c r="J104" s="152"/>
      <c r="K104" s="153"/>
      <c r="L104" s="139"/>
    </row>
    <row r="105" spans="1:12" ht="15.75" x14ac:dyDescent="0.25">
      <c r="A105" s="139"/>
      <c r="B105" s="148"/>
      <c r="C105" s="148"/>
      <c r="D105" s="149"/>
      <c r="E105" s="149"/>
      <c r="F105" s="149"/>
      <c r="G105" s="149"/>
      <c r="H105" s="151"/>
      <c r="I105" s="149"/>
      <c r="J105" s="152"/>
      <c r="K105" s="153"/>
      <c r="L105" s="139"/>
    </row>
    <row r="106" spans="1:12" ht="15.75" x14ac:dyDescent="0.25">
      <c r="A106" s="139"/>
      <c r="B106" s="180" t="s">
        <v>121</v>
      </c>
      <c r="C106" s="187"/>
      <c r="D106" s="180"/>
      <c r="E106" s="147"/>
      <c r="F106" s="140"/>
      <c r="G106" s="147"/>
      <c r="H106" s="140"/>
      <c r="I106" s="146"/>
      <c r="J106" s="146"/>
      <c r="K106" s="146"/>
      <c r="L106" s="139"/>
    </row>
    <row r="107" spans="1:12" ht="15.75" x14ac:dyDescent="0.25">
      <c r="A107" s="139"/>
      <c r="B107" s="180"/>
      <c r="C107" s="187"/>
      <c r="D107" s="180"/>
      <c r="E107" s="147"/>
      <c r="F107" s="140"/>
      <c r="G107" s="147"/>
      <c r="H107" s="140"/>
      <c r="I107" s="146"/>
      <c r="J107" s="146"/>
      <c r="K107" s="146"/>
      <c r="L107" s="139"/>
    </row>
    <row r="108" spans="1:12" ht="15.75" x14ac:dyDescent="0.25">
      <c r="A108" s="139"/>
      <c r="B108" s="504" t="s">
        <v>122</v>
      </c>
      <c r="C108" s="504"/>
      <c r="D108" s="504"/>
      <c r="E108" s="147"/>
      <c r="F108" s="140"/>
      <c r="G108" s="147"/>
      <c r="H108" s="140"/>
      <c r="I108" s="146"/>
      <c r="J108" s="146"/>
      <c r="K108" s="146"/>
      <c r="L108" s="139"/>
    </row>
    <row r="109" spans="1:12" ht="15.75" x14ac:dyDescent="0.25">
      <c r="A109" s="139"/>
      <c r="B109" s="505" t="s">
        <v>123</v>
      </c>
      <c r="C109" s="505"/>
      <c r="D109" s="505"/>
      <c r="E109" s="154"/>
      <c r="F109" s="141"/>
      <c r="G109" s="142"/>
      <c r="H109" s="155"/>
      <c r="I109" s="145"/>
      <c r="J109" s="144" t="s">
        <v>84</v>
      </c>
      <c r="K109" s="145"/>
      <c r="L109" s="139"/>
    </row>
    <row r="110" spans="1:12" ht="15.75" x14ac:dyDescent="0.25">
      <c r="A110" s="139"/>
      <c r="B110" s="184" t="s">
        <v>73</v>
      </c>
      <c r="C110" s="188"/>
      <c r="D110" s="188"/>
      <c r="E110" s="156"/>
      <c r="F110" s="147"/>
      <c r="G110" s="140"/>
      <c r="H110" s="140"/>
      <c r="I110" s="146"/>
      <c r="J110" s="146"/>
      <c r="K110" s="146"/>
      <c r="L110" s="139"/>
    </row>
  </sheetData>
  <mergeCells count="109">
    <mergeCell ref="G100:H100"/>
    <mergeCell ref="B108:D108"/>
    <mergeCell ref="B109:D109"/>
    <mergeCell ref="D91:H91"/>
    <mergeCell ref="K91:L91"/>
    <mergeCell ref="D92:H92"/>
    <mergeCell ref="K92:L92"/>
    <mergeCell ref="D88:H88"/>
    <mergeCell ref="K88:L88"/>
    <mergeCell ref="D89:H89"/>
    <mergeCell ref="I89:J89"/>
    <mergeCell ref="K89:L89"/>
    <mergeCell ref="D90:H90"/>
    <mergeCell ref="K90:L90"/>
    <mergeCell ref="D87:H87"/>
    <mergeCell ref="D82:H82"/>
    <mergeCell ref="I82:J82"/>
    <mergeCell ref="K82:L82"/>
    <mergeCell ref="D83:H83"/>
    <mergeCell ref="D84:H84"/>
    <mergeCell ref="K84:L84"/>
    <mergeCell ref="D85:H85"/>
    <mergeCell ref="K85:L85"/>
    <mergeCell ref="D86:H86"/>
    <mergeCell ref="I86:J86"/>
    <mergeCell ref="K86:L86"/>
    <mergeCell ref="D80:H80"/>
    <mergeCell ref="I80:J80"/>
    <mergeCell ref="K80:L80"/>
    <mergeCell ref="D81:H81"/>
    <mergeCell ref="I81:J81"/>
    <mergeCell ref="K81:L81"/>
    <mergeCell ref="D77:H77"/>
    <mergeCell ref="D78:H78"/>
    <mergeCell ref="I78:J78"/>
    <mergeCell ref="K78:L78"/>
    <mergeCell ref="D79:H79"/>
    <mergeCell ref="I79:J79"/>
    <mergeCell ref="K79:L79"/>
    <mergeCell ref="D69:H69"/>
    <mergeCell ref="I69:J69"/>
    <mergeCell ref="K69:L69"/>
    <mergeCell ref="D70:H70"/>
    <mergeCell ref="I70:J70"/>
    <mergeCell ref="K70:L70"/>
    <mergeCell ref="A65:H65"/>
    <mergeCell ref="I65:J65"/>
    <mergeCell ref="K65:L65"/>
    <mergeCell ref="D68:H68"/>
    <mergeCell ref="I68:J68"/>
    <mergeCell ref="K68:L68"/>
    <mergeCell ref="A61:H61"/>
    <mergeCell ref="I61:J61"/>
    <mergeCell ref="K61:L61"/>
    <mergeCell ref="A38:L38"/>
    <mergeCell ref="A39:L39"/>
    <mergeCell ref="A40:D40"/>
    <mergeCell ref="A41:L41"/>
    <mergeCell ref="I52:J52"/>
    <mergeCell ref="K52:L52"/>
    <mergeCell ref="I57:J57"/>
    <mergeCell ref="H30:H35"/>
    <mergeCell ref="I30:I35"/>
    <mergeCell ref="J30:J35"/>
    <mergeCell ref="K57:L57"/>
    <mergeCell ref="I59:J59"/>
    <mergeCell ref="K59:L59"/>
    <mergeCell ref="K30:K35"/>
    <mergeCell ref="L30:L35"/>
    <mergeCell ref="A29:L29"/>
    <mergeCell ref="A31:A35"/>
    <mergeCell ref="B31:B35"/>
    <mergeCell ref="A30:B30"/>
    <mergeCell ref="C30:C35"/>
    <mergeCell ref="D30:D35"/>
    <mergeCell ref="E30:E35"/>
    <mergeCell ref="F30:F35"/>
    <mergeCell ref="G30:G35"/>
    <mergeCell ref="I1:L1"/>
    <mergeCell ref="I2:L2"/>
    <mergeCell ref="J3:L3"/>
    <mergeCell ref="J4:L4"/>
    <mergeCell ref="J5:L6"/>
    <mergeCell ref="C9:H9"/>
    <mergeCell ref="J9:L10"/>
    <mergeCell ref="C10:H10"/>
    <mergeCell ref="C11:H11"/>
    <mergeCell ref="J11:L12"/>
    <mergeCell ref="C12:H12"/>
    <mergeCell ref="A6:B6"/>
    <mergeCell ref="C6:H6"/>
    <mergeCell ref="C7:H7"/>
    <mergeCell ref="J7:L8"/>
    <mergeCell ref="A8:B8"/>
    <mergeCell ref="C8:H8"/>
    <mergeCell ref="A25:L25"/>
    <mergeCell ref="A26:L26"/>
    <mergeCell ref="H28:I28"/>
    <mergeCell ref="J16:L16"/>
    <mergeCell ref="J17:L17"/>
    <mergeCell ref="J18:L18"/>
    <mergeCell ref="G20:G21"/>
    <mergeCell ref="H20:H21"/>
    <mergeCell ref="I20:J20"/>
    <mergeCell ref="C13:H13"/>
    <mergeCell ref="G14:I14"/>
    <mergeCell ref="J14:L14"/>
    <mergeCell ref="G15:H15"/>
    <mergeCell ref="J15:L15"/>
  </mergeCells>
  <pageMargins left="0.39370078740157483" right="0.19685039370078741" top="0.19685039370078741" bottom="0.39370078740157483" header="0.31496062992125984" footer="0.31496062992125984"/>
  <pageSetup paperSize="9" scale="68" fitToHeight="0" orientation="portrait" blackAndWhite="1" r:id="rId1"/>
  <headerFoot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F112"/>
  <sheetViews>
    <sheetView workbookViewId="0"/>
  </sheetViews>
  <sheetFormatPr defaultColWidth="9.33203125" defaultRowHeight="11.25" x14ac:dyDescent="0.2"/>
  <cols>
    <col min="1" max="2" width="9.33203125" style="49"/>
    <col min="3" max="3" width="13.6640625" style="49" customWidth="1"/>
    <col min="4" max="4" width="47.5" style="49" customWidth="1"/>
    <col min="5" max="5" width="13.6640625" style="49" customWidth="1"/>
    <col min="6" max="6" width="9.5" style="49" bestFit="1" customWidth="1"/>
    <col min="7" max="10" width="15" style="49" customWidth="1"/>
    <col min="11" max="11" width="10.6640625" style="49" bestFit="1" customWidth="1"/>
    <col min="12" max="12" width="14.5" style="49" customWidth="1"/>
    <col min="13" max="14" width="9.33203125" style="49"/>
    <col min="15" max="29" width="0" style="49" hidden="1" customWidth="1"/>
    <col min="30" max="30" width="106.1640625" style="49" hidden="1" customWidth="1"/>
    <col min="31" max="31" width="0" style="49" hidden="1" customWidth="1"/>
    <col min="32" max="32" width="117.83203125" style="49" hidden="1" customWidth="1"/>
    <col min="33" max="36" width="0" style="49" hidden="1" customWidth="1"/>
    <col min="37" max="16384" width="9.33203125" style="49"/>
  </cols>
  <sheetData>
    <row r="1" spans="1:30" ht="14.25" x14ac:dyDescent="0.2">
      <c r="A1" s="101"/>
      <c r="B1" s="101"/>
      <c r="C1" s="101"/>
      <c r="D1" s="101"/>
      <c r="E1" s="101"/>
      <c r="F1" s="101"/>
      <c r="G1" s="101"/>
      <c r="H1" s="101"/>
      <c r="I1" s="531" t="s">
        <v>15</v>
      </c>
      <c r="J1" s="531"/>
      <c r="K1" s="531"/>
      <c r="L1" s="531"/>
    </row>
    <row r="2" spans="1:30" ht="14.25" x14ac:dyDescent="0.2">
      <c r="A2" s="101"/>
      <c r="B2" s="101"/>
      <c r="C2" s="101"/>
      <c r="D2" s="101"/>
      <c r="E2" s="101"/>
      <c r="F2" s="101"/>
      <c r="G2" s="101"/>
      <c r="H2" s="101"/>
      <c r="I2" s="531" t="s">
        <v>16</v>
      </c>
      <c r="J2" s="531"/>
      <c r="K2" s="531"/>
      <c r="L2" s="531"/>
    </row>
    <row r="3" spans="1:30" ht="14.25" x14ac:dyDescent="0.2">
      <c r="A3" s="101"/>
      <c r="B3" s="101"/>
      <c r="C3" s="101"/>
      <c r="D3" s="101"/>
      <c r="E3" s="101"/>
      <c r="F3" s="101"/>
      <c r="G3" s="101"/>
      <c r="H3" s="101"/>
      <c r="I3" s="101"/>
      <c r="J3" s="532" t="s">
        <v>17</v>
      </c>
      <c r="K3" s="532"/>
      <c r="L3" s="532"/>
    </row>
    <row r="4" spans="1:30" ht="14.25" x14ac:dyDescent="0.2">
      <c r="A4" s="101"/>
      <c r="B4" s="101"/>
      <c r="C4" s="101"/>
      <c r="D4" s="101"/>
      <c r="E4" s="101"/>
      <c r="F4" s="101"/>
      <c r="G4" s="101"/>
      <c r="H4" s="101"/>
      <c r="I4" s="242" t="s">
        <v>18</v>
      </c>
      <c r="J4" s="533" t="s">
        <v>19</v>
      </c>
      <c r="K4" s="533"/>
      <c r="L4" s="533"/>
    </row>
    <row r="5" spans="1:30" ht="14.25" x14ac:dyDescent="0.2">
      <c r="A5" s="101"/>
      <c r="B5" s="101"/>
      <c r="C5" s="101"/>
      <c r="D5" s="101"/>
      <c r="E5" s="101"/>
      <c r="F5" s="101"/>
      <c r="G5" s="101"/>
      <c r="H5" s="101"/>
      <c r="I5" s="101"/>
      <c r="J5" s="534" t="s">
        <v>83</v>
      </c>
      <c r="K5" s="535"/>
      <c r="L5" s="536"/>
    </row>
    <row r="6" spans="1:30" ht="29.25" customHeight="1" x14ac:dyDescent="0.2">
      <c r="A6" s="540" t="s">
        <v>86</v>
      </c>
      <c r="B6" s="540"/>
      <c r="C6" s="541" t="s">
        <v>87</v>
      </c>
      <c r="D6" s="541"/>
      <c r="E6" s="541"/>
      <c r="F6" s="541"/>
      <c r="G6" s="541"/>
      <c r="H6" s="541"/>
      <c r="I6" s="242" t="s">
        <v>21</v>
      </c>
      <c r="J6" s="537"/>
      <c r="K6" s="538"/>
      <c r="L6" s="539"/>
    </row>
    <row r="7" spans="1:30" ht="14.25" x14ac:dyDescent="0.2">
      <c r="A7" s="102"/>
      <c r="B7" s="102"/>
      <c r="C7" s="547" t="s">
        <v>22</v>
      </c>
      <c r="D7" s="547"/>
      <c r="E7" s="547"/>
      <c r="F7" s="547"/>
      <c r="G7" s="547"/>
      <c r="H7" s="547"/>
      <c r="I7" s="101"/>
      <c r="J7" s="534" t="s">
        <v>56</v>
      </c>
      <c r="K7" s="535"/>
      <c r="L7" s="536"/>
    </row>
    <row r="8" spans="1:30" ht="27" customHeight="1" x14ac:dyDescent="0.2">
      <c r="A8" s="540" t="s">
        <v>88</v>
      </c>
      <c r="B8" s="540"/>
      <c r="C8" s="541" t="s">
        <v>89</v>
      </c>
      <c r="D8" s="541"/>
      <c r="E8" s="541"/>
      <c r="F8" s="541"/>
      <c r="G8" s="541"/>
      <c r="H8" s="541"/>
      <c r="I8" s="242" t="s">
        <v>21</v>
      </c>
      <c r="J8" s="537"/>
      <c r="K8" s="538"/>
      <c r="L8" s="539"/>
    </row>
    <row r="9" spans="1:30" ht="14.25" x14ac:dyDescent="0.2">
      <c r="A9" s="101"/>
      <c r="B9" s="101"/>
      <c r="C9" s="547" t="s">
        <v>22</v>
      </c>
      <c r="D9" s="547"/>
      <c r="E9" s="547"/>
      <c r="F9" s="547"/>
      <c r="G9" s="547"/>
      <c r="H9" s="547"/>
      <c r="I9" s="101"/>
      <c r="J9" s="534"/>
      <c r="K9" s="535"/>
      <c r="L9" s="536"/>
    </row>
    <row r="10" spans="1:30" ht="14.25" x14ac:dyDescent="0.2">
      <c r="A10" s="101" t="s">
        <v>23</v>
      </c>
      <c r="B10" s="101"/>
      <c r="C10" s="551" t="s">
        <v>90</v>
      </c>
      <c r="D10" s="551"/>
      <c r="E10" s="551"/>
      <c r="F10" s="551"/>
      <c r="G10" s="551"/>
      <c r="H10" s="551"/>
      <c r="I10" s="101"/>
      <c r="J10" s="537"/>
      <c r="K10" s="538"/>
      <c r="L10" s="539"/>
    </row>
    <row r="11" spans="1:30" ht="14.25" x14ac:dyDescent="0.2">
      <c r="A11" s="101"/>
      <c r="B11" s="101"/>
      <c r="C11" s="547" t="s">
        <v>24</v>
      </c>
      <c r="D11" s="547"/>
      <c r="E11" s="547"/>
      <c r="F11" s="547"/>
      <c r="G11" s="547"/>
      <c r="H11" s="547"/>
      <c r="I11" s="101"/>
      <c r="J11" s="548" t="s">
        <v>20</v>
      </c>
      <c r="K11" s="548"/>
      <c r="L11" s="548"/>
    </row>
    <row r="12" spans="1:30" ht="14.25" x14ac:dyDescent="0.2">
      <c r="A12" s="101" t="s">
        <v>25</v>
      </c>
      <c r="B12" s="101"/>
      <c r="C12" s="549" t="s">
        <v>91</v>
      </c>
      <c r="D12" s="549"/>
      <c r="E12" s="549"/>
      <c r="F12" s="549"/>
      <c r="G12" s="549"/>
      <c r="H12" s="549"/>
      <c r="I12" s="101"/>
      <c r="J12" s="548"/>
      <c r="K12" s="548"/>
      <c r="L12" s="548"/>
    </row>
    <row r="13" spans="1:30" ht="14.25" x14ac:dyDescent="0.2">
      <c r="A13" s="101"/>
      <c r="B13" s="101"/>
      <c r="C13" s="550" t="s">
        <v>26</v>
      </c>
      <c r="D13" s="550"/>
      <c r="E13" s="550"/>
      <c r="F13" s="550"/>
      <c r="G13" s="550"/>
      <c r="H13" s="550"/>
      <c r="I13" s="101"/>
      <c r="J13" s="101"/>
      <c r="K13" s="101"/>
      <c r="L13" s="101"/>
    </row>
    <row r="14" spans="1:30" ht="14.25" x14ac:dyDescent="0.2">
      <c r="A14" s="101"/>
      <c r="B14" s="101"/>
      <c r="C14" s="101"/>
      <c r="D14" s="101"/>
      <c r="E14" s="101"/>
      <c r="F14" s="101"/>
      <c r="G14" s="542" t="s">
        <v>27</v>
      </c>
      <c r="H14" s="542"/>
      <c r="I14" s="542"/>
      <c r="J14" s="532"/>
      <c r="K14" s="532"/>
      <c r="L14" s="532"/>
    </row>
    <row r="15" spans="1:30" ht="15" customHeight="1" x14ac:dyDescent="0.2">
      <c r="A15" s="101"/>
      <c r="B15" s="101"/>
      <c r="C15" s="101"/>
      <c r="D15" s="101"/>
      <c r="E15" s="101"/>
      <c r="F15" s="101"/>
      <c r="G15" s="542" t="s">
        <v>28</v>
      </c>
      <c r="H15" s="543"/>
      <c r="I15" s="103" t="s">
        <v>29</v>
      </c>
      <c r="J15" s="544" t="s">
        <v>92</v>
      </c>
      <c r="K15" s="545"/>
      <c r="L15" s="546"/>
      <c r="AD15" s="244" t="s">
        <v>233</v>
      </c>
    </row>
    <row r="16" spans="1:30" ht="14.25" x14ac:dyDescent="0.2">
      <c r="A16" s="101"/>
      <c r="B16" s="101"/>
      <c r="C16" s="101"/>
      <c r="D16" s="101"/>
      <c r="E16" s="101"/>
      <c r="F16" s="101"/>
      <c r="G16" s="101"/>
      <c r="H16" s="101"/>
      <c r="I16" s="243" t="s">
        <v>30</v>
      </c>
      <c r="J16" s="506">
        <v>41544</v>
      </c>
      <c r="K16" s="506"/>
      <c r="L16" s="506"/>
    </row>
    <row r="17" spans="1:30" ht="15.75" customHeight="1" x14ac:dyDescent="0.2">
      <c r="A17" s="101"/>
      <c r="B17" s="101"/>
      <c r="C17" s="101"/>
      <c r="D17" s="101"/>
      <c r="E17" s="101"/>
      <c r="F17" s="101"/>
      <c r="G17" s="101"/>
      <c r="H17" s="101"/>
      <c r="I17" s="104"/>
      <c r="J17" s="507">
        <v>25</v>
      </c>
      <c r="K17" s="508"/>
      <c r="L17" s="509"/>
      <c r="AD17" s="204" t="str">
        <f>IF([83]Source!G12&lt;&gt;"Новый объект", [83]Source!G12, "")</f>
        <v>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v>
      </c>
    </row>
    <row r="18" spans="1:30" ht="14.25" x14ac:dyDescent="0.2">
      <c r="A18" s="101"/>
      <c r="B18" s="101"/>
      <c r="C18" s="101"/>
      <c r="D18" s="101"/>
      <c r="E18" s="101"/>
      <c r="F18" s="101"/>
      <c r="G18" s="101"/>
      <c r="H18" s="101"/>
      <c r="I18" s="104"/>
      <c r="J18" s="510">
        <v>44158</v>
      </c>
      <c r="K18" s="511"/>
      <c r="L18" s="512"/>
    </row>
    <row r="19" spans="1:30" ht="14.25" x14ac:dyDescent="0.2">
      <c r="A19" s="101"/>
      <c r="B19" s="101"/>
      <c r="C19" s="101"/>
      <c r="D19" s="101"/>
      <c r="E19" s="101"/>
      <c r="F19" s="101"/>
      <c r="G19" s="101"/>
      <c r="H19" s="101"/>
      <c r="I19" s="104"/>
      <c r="J19" s="205"/>
      <c r="K19" s="205"/>
      <c r="L19" s="205"/>
    </row>
    <row r="20" spans="1:30" ht="14.25" x14ac:dyDescent="0.2">
      <c r="A20" s="101"/>
      <c r="B20" s="101"/>
      <c r="C20" s="101"/>
      <c r="D20" s="101"/>
      <c r="E20" s="101"/>
      <c r="F20" s="101"/>
      <c r="G20" s="513" t="s">
        <v>31</v>
      </c>
      <c r="H20" s="515" t="s">
        <v>32</v>
      </c>
      <c r="I20" s="515" t="s">
        <v>33</v>
      </c>
      <c r="J20" s="517"/>
      <c r="K20" s="205"/>
      <c r="L20" s="205"/>
    </row>
    <row r="21" spans="1:30" ht="14.25" x14ac:dyDescent="0.2">
      <c r="A21" s="101"/>
      <c r="B21" s="101"/>
      <c r="C21" s="101"/>
      <c r="D21" s="101"/>
      <c r="E21" s="101"/>
      <c r="F21" s="101"/>
      <c r="G21" s="514"/>
      <c r="H21" s="516"/>
      <c r="I21" s="241" t="s">
        <v>34</v>
      </c>
      <c r="J21" s="240" t="s">
        <v>35</v>
      </c>
      <c r="K21" s="205"/>
      <c r="L21" s="205"/>
    </row>
    <row r="22" spans="1:30" ht="14.25" x14ac:dyDescent="0.2">
      <c r="A22" s="101"/>
      <c r="B22" s="101"/>
      <c r="C22" s="101"/>
      <c r="D22" s="101"/>
      <c r="E22" s="101"/>
      <c r="F22" s="101"/>
      <c r="G22" s="208" t="s">
        <v>170</v>
      </c>
      <c r="H22" s="209">
        <v>44227</v>
      </c>
      <c r="I22" s="209">
        <v>44197</v>
      </c>
      <c r="J22" s="210">
        <f>H22</f>
        <v>44227</v>
      </c>
      <c r="K22" s="101"/>
      <c r="L22" s="101"/>
    </row>
    <row r="23" spans="1:30" ht="14.25" x14ac:dyDescent="0.2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30" ht="14.25" customHeight="1" x14ac:dyDescent="0.2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1:30" ht="18" x14ac:dyDescent="0.25">
      <c r="A25" s="525" t="s">
        <v>36</v>
      </c>
      <c r="B25" s="525"/>
      <c r="C25" s="525"/>
      <c r="D25" s="525"/>
      <c r="E25" s="525"/>
      <c r="F25" s="525"/>
      <c r="G25" s="525"/>
      <c r="H25" s="525"/>
      <c r="I25" s="525"/>
      <c r="J25" s="525"/>
      <c r="K25" s="525"/>
      <c r="L25" s="525"/>
    </row>
    <row r="26" spans="1:30" ht="18" x14ac:dyDescent="0.25">
      <c r="A26" s="525" t="s">
        <v>37</v>
      </c>
      <c r="B26" s="525"/>
      <c r="C26" s="525"/>
      <c r="D26" s="525"/>
      <c r="E26" s="525"/>
      <c r="F26" s="525"/>
      <c r="G26" s="525"/>
      <c r="H26" s="525"/>
      <c r="I26" s="525"/>
      <c r="J26" s="525"/>
      <c r="K26" s="525"/>
      <c r="L26" s="525"/>
    </row>
    <row r="27" spans="1:30" ht="14.25" x14ac:dyDescent="0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30" ht="15" hidden="1" x14ac:dyDescent="0.25">
      <c r="A28" s="44" t="s">
        <v>66</v>
      </c>
      <c r="B28" s="44"/>
      <c r="C28" s="44"/>
      <c r="D28" s="44"/>
      <c r="E28" s="44"/>
      <c r="F28" s="44"/>
      <c r="G28" s="44"/>
      <c r="H28" s="566">
        <f>([83]Source!P1593/1000)</f>
        <v>163.93</v>
      </c>
      <c r="I28" s="566"/>
      <c r="J28" s="44" t="s">
        <v>67</v>
      </c>
      <c r="K28" s="44"/>
      <c r="L28" s="44"/>
    </row>
    <row r="29" spans="1:30" ht="14.25" x14ac:dyDescent="0.2">
      <c r="A29" s="526" t="s">
        <v>125</v>
      </c>
      <c r="B29" s="526"/>
      <c r="C29" s="526"/>
      <c r="D29" s="526"/>
      <c r="E29" s="526"/>
      <c r="F29" s="526"/>
      <c r="G29" s="526"/>
      <c r="H29" s="526"/>
      <c r="I29" s="526"/>
      <c r="J29" s="526"/>
      <c r="K29" s="526"/>
      <c r="L29" s="526"/>
    </row>
    <row r="30" spans="1:30" ht="14.25" x14ac:dyDescent="0.2">
      <c r="A30" s="553" t="s">
        <v>38</v>
      </c>
      <c r="B30" s="553"/>
      <c r="C30" s="553" t="s">
        <v>39</v>
      </c>
      <c r="D30" s="553" t="s">
        <v>40</v>
      </c>
      <c r="E30" s="553" t="s">
        <v>126</v>
      </c>
      <c r="F30" s="553" t="s">
        <v>68</v>
      </c>
      <c r="G30" s="553" t="s">
        <v>69</v>
      </c>
      <c r="H30" s="518" t="s">
        <v>127</v>
      </c>
      <c r="I30" s="518" t="s">
        <v>128</v>
      </c>
      <c r="J30" s="553" t="s">
        <v>129</v>
      </c>
      <c r="K30" s="553" t="s">
        <v>130</v>
      </c>
      <c r="L30" s="553" t="s">
        <v>131</v>
      </c>
    </row>
    <row r="31" spans="1:30" x14ac:dyDescent="0.2">
      <c r="A31" s="518" t="s">
        <v>41</v>
      </c>
      <c r="B31" s="518" t="s">
        <v>42</v>
      </c>
      <c r="C31" s="553"/>
      <c r="D31" s="553"/>
      <c r="E31" s="553"/>
      <c r="F31" s="553"/>
      <c r="G31" s="553"/>
      <c r="H31" s="519"/>
      <c r="I31" s="519"/>
      <c r="J31" s="553"/>
      <c r="K31" s="553"/>
      <c r="L31" s="553"/>
    </row>
    <row r="32" spans="1:30" x14ac:dyDescent="0.2">
      <c r="A32" s="519"/>
      <c r="B32" s="519"/>
      <c r="C32" s="553"/>
      <c r="D32" s="553"/>
      <c r="E32" s="553"/>
      <c r="F32" s="553"/>
      <c r="G32" s="553"/>
      <c r="H32" s="519"/>
      <c r="I32" s="519"/>
      <c r="J32" s="553"/>
      <c r="K32" s="553"/>
      <c r="L32" s="553"/>
    </row>
    <row r="33" spans="1:22" x14ac:dyDescent="0.2">
      <c r="A33" s="519"/>
      <c r="B33" s="519"/>
      <c r="C33" s="553"/>
      <c r="D33" s="553"/>
      <c r="E33" s="553"/>
      <c r="F33" s="553"/>
      <c r="G33" s="553"/>
      <c r="H33" s="519"/>
      <c r="I33" s="519"/>
      <c r="J33" s="553"/>
      <c r="K33" s="553"/>
      <c r="L33" s="553"/>
    </row>
    <row r="34" spans="1:22" x14ac:dyDescent="0.2">
      <c r="A34" s="519"/>
      <c r="B34" s="519"/>
      <c r="C34" s="553"/>
      <c r="D34" s="553"/>
      <c r="E34" s="553"/>
      <c r="F34" s="553"/>
      <c r="G34" s="553"/>
      <c r="H34" s="519"/>
      <c r="I34" s="519"/>
      <c r="J34" s="553"/>
      <c r="K34" s="553"/>
      <c r="L34" s="553"/>
    </row>
    <row r="35" spans="1:22" x14ac:dyDescent="0.2">
      <c r="A35" s="520"/>
      <c r="B35" s="520"/>
      <c r="C35" s="553"/>
      <c r="D35" s="553"/>
      <c r="E35" s="553"/>
      <c r="F35" s="553"/>
      <c r="G35" s="553"/>
      <c r="H35" s="520"/>
      <c r="I35" s="520"/>
      <c r="J35" s="553"/>
      <c r="K35" s="553"/>
      <c r="L35" s="553"/>
    </row>
    <row r="36" spans="1:22" ht="14.25" x14ac:dyDescent="0.2">
      <c r="A36" s="107">
        <v>1</v>
      </c>
      <c r="B36" s="107">
        <v>2</v>
      </c>
      <c r="C36" s="107">
        <v>3</v>
      </c>
      <c r="D36" s="107">
        <v>4</v>
      </c>
      <c r="E36" s="107">
        <v>5</v>
      </c>
      <c r="F36" s="107">
        <v>6</v>
      </c>
      <c r="G36" s="107">
        <v>7</v>
      </c>
      <c r="H36" s="107">
        <v>8</v>
      </c>
      <c r="I36" s="107">
        <v>9</v>
      </c>
      <c r="J36" s="107">
        <v>10</v>
      </c>
      <c r="K36" s="107">
        <v>11</v>
      </c>
      <c r="L36" s="107">
        <v>12</v>
      </c>
    </row>
    <row r="38" spans="1:22" ht="16.5" x14ac:dyDescent="0.25">
      <c r="A38" s="568" t="s">
        <v>171</v>
      </c>
      <c r="B38" s="568"/>
      <c r="C38" s="568"/>
      <c r="D38" s="568"/>
      <c r="E38" s="568"/>
      <c r="F38" s="568"/>
      <c r="G38" s="568"/>
      <c r="H38" s="568"/>
      <c r="I38" s="568"/>
      <c r="J38" s="568"/>
      <c r="K38" s="568"/>
      <c r="L38" s="568"/>
    </row>
    <row r="39" spans="1:22" ht="51.75" customHeight="1" x14ac:dyDescent="0.2">
      <c r="A39" s="569" t="s">
        <v>161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</row>
    <row r="40" spans="1:22" ht="14.25" hidden="1" x14ac:dyDescent="0.2">
      <c r="A40" s="570" t="s">
        <v>162</v>
      </c>
      <c r="B40" s="570"/>
      <c r="C40" s="570"/>
      <c r="D40" s="570"/>
      <c r="E40" s="173"/>
      <c r="F40" s="173"/>
      <c r="G40" s="173"/>
      <c r="H40" s="173"/>
      <c r="I40" s="173"/>
      <c r="J40" s="173"/>
      <c r="K40" s="173"/>
      <c r="L40" s="173"/>
    </row>
    <row r="41" spans="1:22" ht="16.5" x14ac:dyDescent="0.25">
      <c r="A41" s="571" t="str">
        <f>CONCATENATE("Подраздел: ",IF([83]Source!G1388&lt;&gt;"Новый подраздел", [83]Source!G1388, ""))</f>
        <v>Подраздел: Закладные элементы в полах</v>
      </c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</row>
    <row r="42" spans="1:22" ht="42.75" x14ac:dyDescent="0.2">
      <c r="A42" s="108">
        <v>1</v>
      </c>
      <c r="B42" s="108" t="str">
        <f>[83]Source!E1398</f>
        <v>182</v>
      </c>
      <c r="C42" s="109" t="str">
        <f>[83]Source!F1398</f>
        <v>3.6-6-6</v>
      </c>
      <c r="D42" s="109" t="s">
        <v>163</v>
      </c>
      <c r="E42" s="110" t="str">
        <f>[83]Source!H1398</f>
        <v>1 Т</v>
      </c>
      <c r="F42" s="111">
        <f>[83]Source!I1398</f>
        <v>2.5539999999999998</v>
      </c>
      <c r="G42" s="112"/>
      <c r="H42" s="113"/>
      <c r="I42" s="111"/>
      <c r="J42" s="122"/>
      <c r="K42" s="111"/>
      <c r="L42" s="122"/>
      <c r="Q42" s="49">
        <f>[83]Source!X1398</f>
        <v>2347.25</v>
      </c>
      <c r="R42" s="49">
        <f>[83]Source!X1399</f>
        <v>52752.7</v>
      </c>
      <c r="S42" s="49">
        <f>[83]Source!Y1398</f>
        <v>1676.61</v>
      </c>
      <c r="T42" s="49">
        <f>[83]Source!Y1399</f>
        <v>37270.93</v>
      </c>
      <c r="U42" s="49">
        <f>ROUND((175/100)*ROUND([83]Source!R1398, 2), 2)</f>
        <v>305.8</v>
      </c>
      <c r="V42" s="49">
        <f>ROUND((157/100)*ROUND([83]Source!R1399, 2), 2)</f>
        <v>6567.75</v>
      </c>
    </row>
    <row r="43" spans="1:22" ht="14.25" x14ac:dyDescent="0.2">
      <c r="A43" s="108"/>
      <c r="B43" s="108"/>
      <c r="C43" s="109"/>
      <c r="D43" s="109" t="s">
        <v>43</v>
      </c>
      <c r="E43" s="110"/>
      <c r="F43" s="111"/>
      <c r="G43" s="112">
        <f>[83]Source!AO1398</f>
        <v>536.35</v>
      </c>
      <c r="H43" s="113" t="str">
        <f>[83]Source!DG1398</f>
        <v>)*1,67</v>
      </c>
      <c r="I43" s="111">
        <f>[83]Source!AV1399</f>
        <v>1.0469999999999999</v>
      </c>
      <c r="J43" s="122">
        <f>[83]Source!S1398</f>
        <v>2395.15</v>
      </c>
      <c r="K43" s="111">
        <f>IF([83]Source!BA1399&lt;&gt; 0, [83]Source!BA1399, 1)</f>
        <v>23.94</v>
      </c>
      <c r="L43" s="122">
        <f>[83]Source!S1399</f>
        <v>57339.89</v>
      </c>
    </row>
    <row r="44" spans="1:22" ht="14.25" x14ac:dyDescent="0.2">
      <c r="A44" s="108"/>
      <c r="B44" s="108"/>
      <c r="C44" s="109"/>
      <c r="D44" s="109" t="s">
        <v>44</v>
      </c>
      <c r="E44" s="110"/>
      <c r="F44" s="111"/>
      <c r="G44" s="112">
        <f>[83]Source!AM1398</f>
        <v>258.33999999999997</v>
      </c>
      <c r="H44" s="113" t="str">
        <f>[83]Source!DE1398</f>
        <v/>
      </c>
      <c r="I44" s="111">
        <f>[83]Source!AV1399</f>
        <v>1.0469999999999999</v>
      </c>
      <c r="J44" s="122">
        <f>[83]Source!Q1398-J56</f>
        <v>690.81</v>
      </c>
      <c r="K44" s="111">
        <f>IF([83]Source!BB1399&lt;&gt; 0, [83]Source!BB1399, 1)</f>
        <v>8.84</v>
      </c>
      <c r="L44" s="122">
        <f>[83]Source!Q1399-L56</f>
        <v>6106.86</v>
      </c>
    </row>
    <row r="45" spans="1:22" ht="14.25" x14ac:dyDescent="0.2">
      <c r="A45" s="108"/>
      <c r="B45" s="108"/>
      <c r="C45" s="109"/>
      <c r="D45" s="109" t="s">
        <v>45</v>
      </c>
      <c r="E45" s="110"/>
      <c r="F45" s="111"/>
      <c r="G45" s="112">
        <f>[83]Source!AN1398</f>
        <v>39.130000000000003</v>
      </c>
      <c r="H45" s="113" t="str">
        <f>[83]Source!DE1398</f>
        <v/>
      </c>
      <c r="I45" s="111">
        <f>[83]Source!AV1399</f>
        <v>1.0469999999999999</v>
      </c>
      <c r="J45" s="115">
        <f>[83]Source!R1398-J57</f>
        <v>104.63</v>
      </c>
      <c r="K45" s="111">
        <f>IF([83]Source!BS1399&lt;&gt; 0, [83]Source!BS1399, 1)</f>
        <v>23.94</v>
      </c>
      <c r="L45" s="115">
        <f>[83]Source!R1399-L57</f>
        <v>2504.9499999999998</v>
      </c>
    </row>
    <row r="46" spans="1:22" ht="14.25" x14ac:dyDescent="0.2">
      <c r="A46" s="108"/>
      <c r="B46" s="108"/>
      <c r="C46" s="109"/>
      <c r="D46" s="109" t="s">
        <v>46</v>
      </c>
      <c r="E46" s="110"/>
      <c r="F46" s="111"/>
      <c r="G46" s="112">
        <f>[83]Source!AL1398</f>
        <v>50.34</v>
      </c>
      <c r="H46" s="113" t="str">
        <f>[83]Source!DD1398</f>
        <v/>
      </c>
      <c r="I46" s="111">
        <f>[83]Source!AW1399</f>
        <v>1.022</v>
      </c>
      <c r="J46" s="122">
        <f>[83]Source!P1398</f>
        <v>131.4</v>
      </c>
      <c r="K46" s="111">
        <f>IF([83]Source!BC1399&lt;&gt; 0, [83]Source!BC1399, 1)</f>
        <v>11.43</v>
      </c>
      <c r="L46" s="122">
        <f>[83]Source!P1399</f>
        <v>1501.9</v>
      </c>
    </row>
    <row r="47" spans="1:22" ht="57" x14ac:dyDescent="0.2">
      <c r="A47" s="108">
        <v>2</v>
      </c>
      <c r="B47" s="108" t="str">
        <f>[83]Source!E1400</f>
        <v>182,1</v>
      </c>
      <c r="C47" s="109" t="str">
        <f>[83]Source!F1400</f>
        <v>1.12-6-17</v>
      </c>
      <c r="D47" s="109" t="s">
        <v>172</v>
      </c>
      <c r="E47" s="110" t="str">
        <f>[83]Source!H1400</f>
        <v>м</v>
      </c>
      <c r="F47" s="111">
        <f>[83]Source!I1400</f>
        <v>6.6000000000000003E-2</v>
      </c>
      <c r="G47" s="112">
        <f>[83]Source!AK1400</f>
        <v>41.37</v>
      </c>
      <c r="H47" s="157" t="s">
        <v>20</v>
      </c>
      <c r="I47" s="111">
        <f>[83]Source!AW1401</f>
        <v>1.022</v>
      </c>
      <c r="J47" s="122">
        <f>[83]Source!O1400</f>
        <v>2.79</v>
      </c>
      <c r="K47" s="111">
        <f>IF([83]Source!BC1401&lt;&gt; 0, [83]Source!BC1401, 1)</f>
        <v>3.05</v>
      </c>
      <c r="L47" s="122">
        <f>[83]Source!O1401</f>
        <v>8.51</v>
      </c>
      <c r="Q47" s="49">
        <f>[83]Source!X1400</f>
        <v>0</v>
      </c>
      <c r="R47" s="49">
        <f>[83]Source!X1401</f>
        <v>0</v>
      </c>
      <c r="S47" s="49">
        <f>[83]Source!Y1400</f>
        <v>0</v>
      </c>
      <c r="T47" s="49">
        <f>[83]Source!Y1401</f>
        <v>0</v>
      </c>
      <c r="U47" s="49">
        <f>ROUND((175/100)*ROUND([83]Source!R1400, 2), 2)</f>
        <v>0</v>
      </c>
      <c r="V47" s="49">
        <f>ROUND((157/100)*ROUND([83]Source!R1401, 2), 2)</f>
        <v>0</v>
      </c>
    </row>
    <row r="48" spans="1:22" ht="57" x14ac:dyDescent="0.2">
      <c r="A48" s="108">
        <v>3</v>
      </c>
      <c r="B48" s="108" t="str">
        <f>[83]Source!E1402</f>
        <v>182,2</v>
      </c>
      <c r="C48" s="109" t="str">
        <f>[83]Source!F1402</f>
        <v>1.12-6-25</v>
      </c>
      <c r="D48" s="109" t="s">
        <v>164</v>
      </c>
      <c r="E48" s="110" t="str">
        <f>[83]Source!H1402</f>
        <v>м</v>
      </c>
      <c r="F48" s="111">
        <f>[83]Source!I1402</f>
        <v>2.4460000000000002</v>
      </c>
      <c r="G48" s="112">
        <f>[83]Source!AK1402</f>
        <v>86.91</v>
      </c>
      <c r="H48" s="157" t="s">
        <v>20</v>
      </c>
      <c r="I48" s="111">
        <f>[83]Source!AW1403</f>
        <v>1.022</v>
      </c>
      <c r="J48" s="122">
        <f>[83]Source!O1402</f>
        <v>217.26</v>
      </c>
      <c r="K48" s="111">
        <f>IF([83]Source!BC1403&lt;&gt; 0, [83]Source!BC1403, 1)</f>
        <v>3.16</v>
      </c>
      <c r="L48" s="122">
        <f>[83]Source!O1403</f>
        <v>686.54</v>
      </c>
      <c r="Q48" s="49">
        <f>[83]Source!X1402</f>
        <v>0</v>
      </c>
      <c r="R48" s="49">
        <f>[83]Source!X1403</f>
        <v>0</v>
      </c>
      <c r="S48" s="49">
        <f>[83]Source!Y1402</f>
        <v>0</v>
      </c>
      <c r="T48" s="49">
        <f>[83]Source!Y1403</f>
        <v>0</v>
      </c>
      <c r="U48" s="49">
        <f>ROUND((175/100)*ROUND([83]Source!R1402, 2), 2)</f>
        <v>0</v>
      </c>
      <c r="V48" s="49">
        <f>ROUND((157/100)*ROUND([83]Source!R1403, 2), 2)</f>
        <v>0</v>
      </c>
    </row>
    <row r="49" spans="1:22" ht="57" x14ac:dyDescent="0.2">
      <c r="A49" s="108">
        <v>4</v>
      </c>
      <c r="B49" s="108" t="str">
        <f>[83]Source!E1404</f>
        <v>182,3</v>
      </c>
      <c r="C49" s="109" t="str">
        <f>[83]Source!F1404</f>
        <v>1.12-6-32</v>
      </c>
      <c r="D49" s="109" t="s">
        <v>173</v>
      </c>
      <c r="E49" s="110" t="str">
        <f>[83]Source!H1404</f>
        <v>м</v>
      </c>
      <c r="F49" s="111">
        <f>[83]Source!I1404</f>
        <v>4.2000000000000003E-2</v>
      </c>
      <c r="G49" s="112">
        <f>[83]Source!AK1404</f>
        <v>103.48</v>
      </c>
      <c r="H49" s="157" t="s">
        <v>20</v>
      </c>
      <c r="I49" s="111">
        <f>[83]Source!AW1405</f>
        <v>1.022</v>
      </c>
      <c r="J49" s="122">
        <f>[83]Source!O1404</f>
        <v>4.4400000000000004</v>
      </c>
      <c r="K49" s="111">
        <f>IF([83]Source!BC1405&lt;&gt; 0, [83]Source!BC1405, 1)</f>
        <v>3.01</v>
      </c>
      <c r="L49" s="122">
        <f>[83]Source!O1405</f>
        <v>13.36</v>
      </c>
      <c r="Q49" s="49">
        <f>[83]Source!X1404</f>
        <v>0</v>
      </c>
      <c r="R49" s="49">
        <f>[83]Source!X1405</f>
        <v>0</v>
      </c>
      <c r="S49" s="49">
        <f>[83]Source!Y1404</f>
        <v>0</v>
      </c>
      <c r="T49" s="49">
        <f>[83]Source!Y1405</f>
        <v>0</v>
      </c>
      <c r="U49" s="49">
        <f>ROUND((175/100)*ROUND([83]Source!R1404, 2), 2)</f>
        <v>0</v>
      </c>
      <c r="V49" s="49">
        <f>ROUND((157/100)*ROUND([83]Source!R1405, 2), 2)</f>
        <v>0</v>
      </c>
    </row>
    <row r="50" spans="1:22" ht="14.25" x14ac:dyDescent="0.2">
      <c r="A50" s="108"/>
      <c r="B50" s="108"/>
      <c r="C50" s="109"/>
      <c r="D50" s="109" t="s">
        <v>47</v>
      </c>
      <c r="E50" s="110" t="s">
        <v>48</v>
      </c>
      <c r="F50" s="111">
        <f>[83]Source!DN1399</f>
        <v>98</v>
      </c>
      <c r="G50" s="112"/>
      <c r="H50" s="113"/>
      <c r="I50" s="111"/>
      <c r="J50" s="122">
        <f>SUM(Q42:Q49)</f>
        <v>2347.25</v>
      </c>
      <c r="K50" s="111">
        <f>[83]Source!BZ1399</f>
        <v>92</v>
      </c>
      <c r="L50" s="122">
        <f>SUM(R42:R49)</f>
        <v>52752.7</v>
      </c>
    </row>
    <row r="51" spans="1:22" ht="14.25" x14ac:dyDescent="0.2">
      <c r="A51" s="108"/>
      <c r="B51" s="108"/>
      <c r="C51" s="109"/>
      <c r="D51" s="109" t="s">
        <v>49</v>
      </c>
      <c r="E51" s="110" t="s">
        <v>48</v>
      </c>
      <c r="F51" s="111">
        <f>[83]Source!DO1399</f>
        <v>70</v>
      </c>
      <c r="G51" s="112"/>
      <c r="H51" s="113"/>
      <c r="I51" s="111"/>
      <c r="J51" s="122">
        <f>SUM(S42:S50)</f>
        <v>1676.61</v>
      </c>
      <c r="K51" s="111">
        <f>[83]Source!CA1399</f>
        <v>65</v>
      </c>
      <c r="L51" s="122">
        <f>SUM(T42:T50)</f>
        <v>37270.93</v>
      </c>
    </row>
    <row r="52" spans="1:22" ht="14.25" x14ac:dyDescent="0.2">
      <c r="A52" s="108"/>
      <c r="B52" s="108"/>
      <c r="C52" s="109"/>
      <c r="D52" s="109" t="s">
        <v>50</v>
      </c>
      <c r="E52" s="110" t="s">
        <v>48</v>
      </c>
      <c r="F52" s="111">
        <f>175</f>
        <v>175</v>
      </c>
      <c r="G52" s="112"/>
      <c r="H52" s="113"/>
      <c r="I52" s="111"/>
      <c r="J52" s="122">
        <f>SUM(U42:U51)-J58</f>
        <v>183.11</v>
      </c>
      <c r="K52" s="111">
        <f>157</f>
        <v>157</v>
      </c>
      <c r="L52" s="122">
        <f>SUM(V42:V51)-L58</f>
        <v>3932.77</v>
      </c>
    </row>
    <row r="53" spans="1:22" ht="14.25" x14ac:dyDescent="0.2">
      <c r="A53" s="108"/>
      <c r="B53" s="108"/>
      <c r="C53" s="109"/>
      <c r="D53" s="109" t="s">
        <v>51</v>
      </c>
      <c r="E53" s="110" t="s">
        <v>52</v>
      </c>
      <c r="F53" s="111">
        <f>[83]Source!AQ1398</f>
        <v>42.5</v>
      </c>
      <c r="G53" s="112"/>
      <c r="H53" s="113" t="str">
        <f>[83]Source!DI1398</f>
        <v/>
      </c>
      <c r="I53" s="111">
        <f>[83]Source!AV1399</f>
        <v>1.0469999999999999</v>
      </c>
      <c r="J53" s="122">
        <f>[83]Source!U1398</f>
        <v>113.65</v>
      </c>
      <c r="K53" s="111"/>
      <c r="L53" s="122"/>
    </row>
    <row r="54" spans="1:22" ht="15" x14ac:dyDescent="0.25">
      <c r="I54" s="567">
        <f>J43+J44+J46+J50+J51+J52+SUM(J47:J49)</f>
        <v>7648.82</v>
      </c>
      <c r="J54" s="567"/>
      <c r="K54" s="567">
        <f>L43+L44+L46+L50+L51+L52+SUM(L47:L49)</f>
        <v>159613.46</v>
      </c>
      <c r="L54" s="567"/>
      <c r="O54" s="117">
        <f>J43+J44+J46+J50+J51+J52+SUM(J47:J49)</f>
        <v>7648.82</v>
      </c>
      <c r="P54" s="117">
        <f>L43+L44+L46+L50+L51+L52+SUM(L47:L49)</f>
        <v>159613.46</v>
      </c>
    </row>
    <row r="55" spans="1:22" ht="28.5" x14ac:dyDescent="0.2">
      <c r="A55" s="158"/>
      <c r="B55" s="158"/>
      <c r="C55" s="159"/>
      <c r="D55" s="159" t="s">
        <v>133</v>
      </c>
      <c r="E55" s="110"/>
      <c r="F55" s="160"/>
      <c r="G55" s="161"/>
      <c r="H55" s="110"/>
      <c r="I55" s="160"/>
      <c r="J55" s="115"/>
      <c r="K55" s="160"/>
      <c r="L55" s="115"/>
    </row>
    <row r="56" spans="1:22" ht="14.25" x14ac:dyDescent="0.2">
      <c r="A56" s="158"/>
      <c r="B56" s="158"/>
      <c r="C56" s="159"/>
      <c r="D56" s="159" t="s">
        <v>44</v>
      </c>
      <c r="E56" s="110"/>
      <c r="F56" s="160"/>
      <c r="G56" s="161">
        <f t="shared" ref="G56:L56" si="0">G57</f>
        <v>39.130000000000003</v>
      </c>
      <c r="H56" s="162" t="str">
        <f t="shared" si="0"/>
        <v>)*(1.67-1)</v>
      </c>
      <c r="I56" s="160">
        <f t="shared" si="0"/>
        <v>1.0469999999999999</v>
      </c>
      <c r="J56" s="115">
        <f t="shared" si="0"/>
        <v>70.11</v>
      </c>
      <c r="K56" s="160">
        <f t="shared" si="0"/>
        <v>23.94</v>
      </c>
      <c r="L56" s="115">
        <f t="shared" si="0"/>
        <v>1678.33</v>
      </c>
    </row>
    <row r="57" spans="1:22" ht="14.25" x14ac:dyDescent="0.2">
      <c r="A57" s="158"/>
      <c r="B57" s="158"/>
      <c r="C57" s="159"/>
      <c r="D57" s="159" t="s">
        <v>45</v>
      </c>
      <c r="E57" s="110"/>
      <c r="F57" s="160"/>
      <c r="G57" s="161">
        <f>[83]Source!AN1398</f>
        <v>39.130000000000003</v>
      </c>
      <c r="H57" s="162" t="s">
        <v>53</v>
      </c>
      <c r="I57" s="160">
        <f>[83]Source!AV1399</f>
        <v>1.0469999999999999</v>
      </c>
      <c r="J57" s="115">
        <f>ROUND(F42*G57*I57*(1.67-1), 2)</f>
        <v>70.11</v>
      </c>
      <c r="K57" s="160">
        <f>IF([83]Source!BS1399&lt;&gt; 0, [83]Source!BS1399, 1)</f>
        <v>23.94</v>
      </c>
      <c r="L57" s="115">
        <f>ROUND(F42*G57*I57*(1.67-1)*K57, 2)</f>
        <v>1678.33</v>
      </c>
    </row>
    <row r="58" spans="1:22" ht="14.25" x14ac:dyDescent="0.2">
      <c r="A58" s="158"/>
      <c r="B58" s="158"/>
      <c r="C58" s="159"/>
      <c r="D58" s="159" t="s">
        <v>50</v>
      </c>
      <c r="E58" s="110" t="s">
        <v>48</v>
      </c>
      <c r="F58" s="160">
        <f>175</f>
        <v>175</v>
      </c>
      <c r="G58" s="161"/>
      <c r="H58" s="110"/>
      <c r="I58" s="160"/>
      <c r="J58" s="115">
        <f>ROUND(J57*(F58/100), 2)</f>
        <v>122.69</v>
      </c>
      <c r="K58" s="160">
        <f>157</f>
        <v>157</v>
      </c>
      <c r="L58" s="115">
        <f>ROUND(L57*(K58/100), 2)</f>
        <v>2634.98</v>
      </c>
    </row>
    <row r="59" spans="1:22" ht="15" x14ac:dyDescent="0.25">
      <c r="I59" s="567">
        <f>J58+J57</f>
        <v>192.8</v>
      </c>
      <c r="J59" s="567"/>
      <c r="K59" s="567">
        <f>L58+L57</f>
        <v>4313.3100000000004</v>
      </c>
      <c r="L59" s="567"/>
      <c r="O59" s="117">
        <f>I59</f>
        <v>192.8</v>
      </c>
      <c r="P59" s="117">
        <f>K59</f>
        <v>4313.3100000000004</v>
      </c>
    </row>
    <row r="61" spans="1:22" ht="15" x14ac:dyDescent="0.25">
      <c r="A61" s="163"/>
      <c r="B61" s="163"/>
      <c r="C61" s="164"/>
      <c r="D61" s="164" t="s">
        <v>134</v>
      </c>
      <c r="E61" s="165"/>
      <c r="F61" s="166"/>
      <c r="G61" s="167"/>
      <c r="H61" s="168"/>
      <c r="I61" s="567">
        <f>I54+I59</f>
        <v>7841.62</v>
      </c>
      <c r="J61" s="567"/>
      <c r="K61" s="567">
        <f>K54+K59</f>
        <v>163926.76999999999</v>
      </c>
      <c r="L61" s="567"/>
    </row>
    <row r="63" spans="1:22" ht="15" x14ac:dyDescent="0.25">
      <c r="A63" s="572" t="str">
        <f>CONCATENATE("Итого по подразделу: ",IF([83]Source!G1407&lt;&gt;"Новый подраздел", [83]Source!G1407, ""))</f>
        <v>Итого по подразделу: Закладные элементы в полах</v>
      </c>
      <c r="B63" s="572"/>
      <c r="C63" s="572"/>
      <c r="D63" s="572"/>
      <c r="E63" s="572"/>
      <c r="F63" s="572"/>
      <c r="G63" s="572"/>
      <c r="H63" s="572"/>
      <c r="I63" s="573">
        <f>SUM(O41:O62)</f>
        <v>7841.62</v>
      </c>
      <c r="J63" s="574"/>
      <c r="K63" s="573">
        <f>SUM(P41:P62)</f>
        <v>163926.76999999999</v>
      </c>
      <c r="L63" s="574"/>
    </row>
    <row r="64" spans="1:22" hidden="1" x14ac:dyDescent="0.2">
      <c r="A64" s="49" t="s">
        <v>54</v>
      </c>
      <c r="J64" s="49">
        <f>SUM(W41:W63)</f>
        <v>0</v>
      </c>
      <c r="K64" s="49">
        <f>SUM(X41:X63)</f>
        <v>0</v>
      </c>
    </row>
    <row r="65" spans="1:32" hidden="1" x14ac:dyDescent="0.2">
      <c r="A65" s="49" t="s">
        <v>55</v>
      </c>
      <c r="J65" s="49">
        <f>SUM(Y41:Y64)</f>
        <v>0</v>
      </c>
      <c r="K65" s="49">
        <f>SUM(Z41:Z64)</f>
        <v>0</v>
      </c>
    </row>
    <row r="67" spans="1:32" ht="18.75" customHeight="1" x14ac:dyDescent="0.25">
      <c r="A67" s="572" t="s">
        <v>74</v>
      </c>
      <c r="B67" s="572"/>
      <c r="C67" s="572"/>
      <c r="D67" s="572"/>
      <c r="E67" s="572"/>
      <c r="F67" s="572"/>
      <c r="G67" s="572"/>
      <c r="H67" s="572"/>
      <c r="I67" s="573">
        <f>SUM(O30:O66)</f>
        <v>7841.62</v>
      </c>
      <c r="J67" s="574"/>
      <c r="K67" s="573">
        <f>SUM(P30:P66)</f>
        <v>163926.76999999999</v>
      </c>
      <c r="L67" s="574"/>
      <c r="AF67" s="100" t="str">
        <f>CONCATENATE("Итого по акту: ",IF([83]Source!G1565&lt;&gt;"Новый объект", [83]Source!G1565, ""))</f>
        <v>Итого по акту: 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v>
      </c>
    </row>
    <row r="68" spans="1:32" hidden="1" x14ac:dyDescent="0.2">
      <c r="A68" s="49" t="s">
        <v>54</v>
      </c>
      <c r="J68" s="49">
        <f>SUM(W30:W67)</f>
        <v>0</v>
      </c>
      <c r="K68" s="49">
        <f>SUM(X30:X67)</f>
        <v>0</v>
      </c>
    </row>
    <row r="69" spans="1:32" hidden="1" x14ac:dyDescent="0.2">
      <c r="A69" s="49" t="s">
        <v>55</v>
      </c>
      <c r="J69" s="49">
        <f>SUM(Y30:Y68)</f>
        <v>0</v>
      </c>
      <c r="K69" s="49">
        <f>SUM(Z30:Z68)</f>
        <v>0</v>
      </c>
    </row>
    <row r="70" spans="1:32" ht="14.25" x14ac:dyDescent="0.2">
      <c r="D70" s="558" t="str">
        <f>[83]Source!H1568</f>
        <v>Стоимость материальных ресурсов (всего)</v>
      </c>
      <c r="E70" s="558"/>
      <c r="F70" s="558"/>
      <c r="G70" s="558"/>
      <c r="H70" s="558"/>
      <c r="I70" s="559">
        <f>[83]Source!F1568</f>
        <v>355.89</v>
      </c>
      <c r="J70" s="559"/>
      <c r="K70" s="559">
        <f>[83]Source!P1568</f>
        <v>2210.31</v>
      </c>
      <c r="L70" s="559"/>
    </row>
    <row r="71" spans="1:32" ht="14.25" x14ac:dyDescent="0.2">
      <c r="D71" s="558" t="str">
        <f>[83]Source!H1579</f>
        <v>ЗП машинистов</v>
      </c>
      <c r="E71" s="558"/>
      <c r="F71" s="558"/>
      <c r="G71" s="558"/>
      <c r="H71" s="558"/>
      <c r="I71" s="559">
        <f>[83]Source!F1579</f>
        <v>174.74</v>
      </c>
      <c r="J71" s="559"/>
      <c r="K71" s="559">
        <f>[83]Source!P1579</f>
        <v>4183.28</v>
      </c>
      <c r="L71" s="559"/>
    </row>
    <row r="72" spans="1:32" ht="14.25" x14ac:dyDescent="0.2">
      <c r="D72" s="558" t="str">
        <f>[83]Source!H1580</f>
        <v>Основная ЗП рабочих</v>
      </c>
      <c r="E72" s="558"/>
      <c r="F72" s="558"/>
      <c r="G72" s="558"/>
      <c r="H72" s="558"/>
      <c r="I72" s="559">
        <f>[83]Source!F1580</f>
        <v>2395.15</v>
      </c>
      <c r="J72" s="559"/>
      <c r="K72" s="559">
        <f>[83]Source!P1580</f>
        <v>57339.89</v>
      </c>
      <c r="L72" s="559"/>
    </row>
    <row r="73" spans="1:32" ht="15" x14ac:dyDescent="0.25">
      <c r="D73" s="99"/>
      <c r="I73" s="116"/>
      <c r="J73" s="116"/>
      <c r="K73" s="169"/>
      <c r="L73" s="169"/>
    </row>
    <row r="74" spans="1:32" ht="14.25" x14ac:dyDescent="0.2">
      <c r="A74" s="139"/>
      <c r="B74" s="139"/>
      <c r="C74" s="139"/>
      <c r="D74" s="170" t="s">
        <v>57</v>
      </c>
      <c r="E74" s="139"/>
      <c r="F74" s="139"/>
      <c r="G74" s="139"/>
      <c r="H74" s="139"/>
      <c r="I74" s="139"/>
      <c r="J74" s="171">
        <f>I67</f>
        <v>7841.62</v>
      </c>
      <c r="K74" s="171"/>
      <c r="L74" s="171">
        <f>K67</f>
        <v>163926.76999999999</v>
      </c>
    </row>
    <row r="75" spans="1:32" ht="14.25" x14ac:dyDescent="0.2">
      <c r="A75" s="139"/>
      <c r="B75" s="139"/>
      <c r="C75" s="139"/>
      <c r="D75" s="170" t="s">
        <v>3</v>
      </c>
      <c r="E75" s="139"/>
      <c r="F75" s="139"/>
      <c r="G75" s="139"/>
      <c r="H75" s="139"/>
      <c r="I75" s="139"/>
      <c r="J75" s="171">
        <f>J74</f>
        <v>7841.62</v>
      </c>
      <c r="K75" s="171"/>
      <c r="L75" s="171">
        <f>L74</f>
        <v>163926.76999999999</v>
      </c>
    </row>
    <row r="76" spans="1:32" ht="14.25" x14ac:dyDescent="0.2">
      <c r="A76" s="139"/>
      <c r="B76" s="139"/>
      <c r="C76" s="139"/>
      <c r="D76" s="170" t="s">
        <v>58</v>
      </c>
      <c r="E76" s="139"/>
      <c r="F76" s="139"/>
      <c r="G76" s="139"/>
      <c r="H76" s="139"/>
      <c r="I76" s="139"/>
      <c r="J76" s="171">
        <f>I71+I72</f>
        <v>2569.89</v>
      </c>
      <c r="K76" s="171"/>
      <c r="L76" s="171">
        <f>K71+K72</f>
        <v>61523.17</v>
      </c>
    </row>
    <row r="77" spans="1:32" ht="14.25" x14ac:dyDescent="0.2">
      <c r="A77" s="139"/>
      <c r="B77" s="139"/>
      <c r="C77" s="139"/>
      <c r="D77" s="170" t="s">
        <v>59</v>
      </c>
      <c r="E77" s="139"/>
      <c r="F77" s="139"/>
      <c r="G77" s="139"/>
      <c r="H77" s="139"/>
      <c r="I77" s="139"/>
      <c r="J77" s="171">
        <f>I70</f>
        <v>355.89</v>
      </c>
      <c r="K77" s="171"/>
      <c r="L77" s="171">
        <f>K70</f>
        <v>2210.31</v>
      </c>
    </row>
    <row r="78" spans="1:32" ht="14.25" x14ac:dyDescent="0.2">
      <c r="A78" s="139"/>
      <c r="B78" s="139"/>
      <c r="C78" s="139"/>
      <c r="D78" s="170" t="s">
        <v>60</v>
      </c>
      <c r="E78" s="139"/>
      <c r="F78" s="139"/>
      <c r="G78" s="139"/>
      <c r="H78" s="139"/>
      <c r="I78" s="139"/>
      <c r="J78" s="172">
        <v>0</v>
      </c>
      <c r="K78" s="172"/>
      <c r="L78" s="172">
        <v>0</v>
      </c>
    </row>
    <row r="79" spans="1:32" ht="14.25" x14ac:dyDescent="0.2">
      <c r="A79" s="128"/>
      <c r="B79" s="128"/>
      <c r="C79" s="128"/>
      <c r="D79" s="540" t="s">
        <v>111</v>
      </c>
      <c r="E79" s="540"/>
      <c r="F79" s="540"/>
      <c r="G79" s="540"/>
      <c r="H79" s="540"/>
      <c r="I79" s="136"/>
      <c r="J79" s="136">
        <v>0</v>
      </c>
      <c r="K79" s="136"/>
      <c r="L79" s="136">
        <v>0</v>
      </c>
    </row>
    <row r="80" spans="1:32" ht="15" x14ac:dyDescent="0.25">
      <c r="A80" s="130"/>
      <c r="B80" s="130"/>
      <c r="C80" s="130"/>
      <c r="D80" s="540" t="s">
        <v>112</v>
      </c>
      <c r="E80" s="540"/>
      <c r="F80" s="540"/>
      <c r="G80" s="540"/>
      <c r="H80" s="540"/>
      <c r="I80" s="560">
        <f>J75*5.61%</f>
        <v>439.91</v>
      </c>
      <c r="J80" s="560"/>
      <c r="K80" s="560">
        <f>L75*5.61%</f>
        <v>9196.2900000000009</v>
      </c>
      <c r="L80" s="560"/>
    </row>
    <row r="81" spans="1:12" ht="15" x14ac:dyDescent="0.25">
      <c r="A81" s="130"/>
      <c r="B81" s="130"/>
      <c r="C81" s="130"/>
      <c r="D81" s="540" t="s">
        <v>70</v>
      </c>
      <c r="E81" s="540"/>
      <c r="F81" s="540"/>
      <c r="G81" s="540"/>
      <c r="H81" s="540"/>
      <c r="I81" s="560">
        <f>J75+J79+I80</f>
        <v>8281.5300000000007</v>
      </c>
      <c r="J81" s="560"/>
      <c r="K81" s="560">
        <f>L75+L79+K80</f>
        <v>173123.06</v>
      </c>
      <c r="L81" s="560"/>
    </row>
    <row r="82" spans="1:12" ht="14.25" x14ac:dyDescent="0.2">
      <c r="A82" s="128"/>
      <c r="B82" s="128"/>
      <c r="C82" s="128"/>
      <c r="D82" s="540" t="s">
        <v>71</v>
      </c>
      <c r="E82" s="540"/>
      <c r="F82" s="540"/>
      <c r="G82" s="540"/>
      <c r="H82" s="540"/>
      <c r="I82" s="560">
        <f>J76*0.15</f>
        <v>385.48</v>
      </c>
      <c r="J82" s="560"/>
      <c r="K82" s="560">
        <f>L76*0.15</f>
        <v>9228.48</v>
      </c>
      <c r="L82" s="560"/>
    </row>
    <row r="83" spans="1:12" ht="15" x14ac:dyDescent="0.25">
      <c r="A83" s="131"/>
      <c r="B83" s="131"/>
      <c r="C83" s="131"/>
      <c r="D83" s="575" t="s">
        <v>72</v>
      </c>
      <c r="E83" s="575"/>
      <c r="F83" s="575"/>
      <c r="G83" s="575"/>
      <c r="H83" s="575"/>
      <c r="I83" s="564">
        <f>I81+I82</f>
        <v>8667.01</v>
      </c>
      <c r="J83" s="564"/>
      <c r="K83" s="565">
        <f>K81+K82</f>
        <v>182351.54</v>
      </c>
      <c r="L83" s="565"/>
    </row>
    <row r="84" spans="1:12" ht="14.25" x14ac:dyDescent="0.2">
      <c r="A84" s="128"/>
      <c r="B84" s="128"/>
      <c r="C84" s="128"/>
      <c r="D84" s="540"/>
      <c r="E84" s="540"/>
      <c r="F84" s="540"/>
      <c r="G84" s="540"/>
      <c r="H84" s="540"/>
      <c r="I84" s="560"/>
      <c r="J84" s="560"/>
      <c r="K84" s="560"/>
      <c r="L84" s="560"/>
    </row>
    <row r="85" spans="1:12" ht="15" x14ac:dyDescent="0.25">
      <c r="A85" s="131"/>
      <c r="B85" s="131"/>
      <c r="C85" s="131"/>
      <c r="D85" s="575" t="s">
        <v>113</v>
      </c>
      <c r="E85" s="575"/>
      <c r="F85" s="575"/>
      <c r="G85" s="575"/>
      <c r="H85" s="575"/>
      <c r="I85" s="131"/>
      <c r="J85" s="131"/>
      <c r="K85" s="131"/>
      <c r="L85" s="133">
        <f>K86+K88</f>
        <v>155840.95000000001</v>
      </c>
    </row>
    <row r="86" spans="1:12" ht="14.25" x14ac:dyDescent="0.2">
      <c r="A86" s="128"/>
      <c r="B86" s="128"/>
      <c r="C86" s="128"/>
      <c r="D86" s="540" t="s">
        <v>3</v>
      </c>
      <c r="E86" s="540"/>
      <c r="F86" s="540"/>
      <c r="G86" s="540"/>
      <c r="H86" s="540"/>
      <c r="I86" s="128"/>
      <c r="J86" s="134"/>
      <c r="K86" s="560">
        <f>(L75-L77)*0.95+K87</f>
        <v>155840.95000000001</v>
      </c>
      <c r="L86" s="560"/>
    </row>
    <row r="87" spans="1:12" ht="14.25" x14ac:dyDescent="0.2">
      <c r="A87" s="128"/>
      <c r="B87" s="128"/>
      <c r="C87" s="128"/>
      <c r="D87" s="540" t="s">
        <v>114</v>
      </c>
      <c r="E87" s="540"/>
      <c r="F87" s="540"/>
      <c r="G87" s="540"/>
      <c r="H87" s="540"/>
      <c r="I87" s="128"/>
      <c r="J87" s="134"/>
      <c r="K87" s="560">
        <f>L77*1</f>
        <v>2210.31</v>
      </c>
      <c r="L87" s="560"/>
    </row>
    <row r="88" spans="1:12" ht="14.25" x14ac:dyDescent="0.2">
      <c r="A88" s="128"/>
      <c r="B88" s="128"/>
      <c r="C88" s="128"/>
      <c r="D88" s="540" t="s">
        <v>115</v>
      </c>
      <c r="E88" s="540"/>
      <c r="F88" s="540"/>
      <c r="G88" s="540"/>
      <c r="H88" s="540"/>
      <c r="I88" s="560"/>
      <c r="J88" s="560"/>
      <c r="K88" s="560">
        <f>L78</f>
        <v>0</v>
      </c>
      <c r="L88" s="560"/>
    </row>
    <row r="89" spans="1:12" ht="14.25" x14ac:dyDescent="0.2">
      <c r="A89" s="128"/>
      <c r="B89" s="128"/>
      <c r="C89" s="128"/>
      <c r="D89" s="540" t="s">
        <v>111</v>
      </c>
      <c r="E89" s="540"/>
      <c r="F89" s="540"/>
      <c r="G89" s="540"/>
      <c r="H89" s="540"/>
      <c r="I89" s="136"/>
      <c r="J89" s="136"/>
      <c r="K89" s="136"/>
      <c r="L89" s="136">
        <v>0</v>
      </c>
    </row>
    <row r="90" spans="1:12" ht="14.25" x14ac:dyDescent="0.2">
      <c r="A90" s="128"/>
      <c r="B90" s="128"/>
      <c r="C90" s="128"/>
      <c r="D90" s="540" t="s">
        <v>116</v>
      </c>
      <c r="E90" s="540"/>
      <c r="F90" s="540"/>
      <c r="G90" s="540"/>
      <c r="H90" s="540"/>
      <c r="I90" s="128"/>
      <c r="J90" s="134"/>
      <c r="K90" s="560">
        <f>L76*0.95</f>
        <v>58447.01</v>
      </c>
      <c r="L90" s="560"/>
    </row>
    <row r="91" spans="1:12" ht="14.25" x14ac:dyDescent="0.2">
      <c r="A91" s="128"/>
      <c r="B91" s="128"/>
      <c r="C91" s="128"/>
      <c r="D91" s="540" t="s">
        <v>117</v>
      </c>
      <c r="E91" s="540"/>
      <c r="F91" s="540"/>
      <c r="G91" s="540"/>
      <c r="H91" s="540"/>
      <c r="I91" s="560"/>
      <c r="J91" s="560"/>
      <c r="K91" s="560">
        <f>K86*5.61%</f>
        <v>8742.68</v>
      </c>
      <c r="L91" s="560"/>
    </row>
    <row r="92" spans="1:12" ht="14.25" x14ac:dyDescent="0.2">
      <c r="A92" s="128"/>
      <c r="B92" s="128"/>
      <c r="C92" s="128"/>
      <c r="D92" s="540" t="s">
        <v>70</v>
      </c>
      <c r="E92" s="540"/>
      <c r="F92" s="540"/>
      <c r="G92" s="540"/>
      <c r="H92" s="540"/>
      <c r="I92" s="128"/>
      <c r="J92" s="137"/>
      <c r="K92" s="560">
        <f>K86+L89+K91</f>
        <v>164583.63</v>
      </c>
      <c r="L92" s="560"/>
    </row>
    <row r="93" spans="1:12" ht="14.25" x14ac:dyDescent="0.2">
      <c r="A93" s="128"/>
      <c r="B93" s="128"/>
      <c r="C93" s="128"/>
      <c r="D93" s="540" t="s">
        <v>71</v>
      </c>
      <c r="E93" s="540"/>
      <c r="F93" s="540"/>
      <c r="G93" s="540"/>
      <c r="H93" s="540"/>
      <c r="I93" s="128"/>
      <c r="J93" s="128"/>
      <c r="K93" s="560">
        <f>K90*0.15</f>
        <v>8767.0499999999993</v>
      </c>
      <c r="L93" s="560"/>
    </row>
    <row r="94" spans="1:12" ht="15" x14ac:dyDescent="0.25">
      <c r="A94" s="131"/>
      <c r="B94" s="131"/>
      <c r="C94" s="131"/>
      <c r="D94" s="575" t="s">
        <v>72</v>
      </c>
      <c r="E94" s="575"/>
      <c r="F94" s="575"/>
      <c r="G94" s="575"/>
      <c r="H94" s="575"/>
      <c r="I94" s="131"/>
      <c r="J94" s="131"/>
      <c r="K94" s="564">
        <f>K92+K93+K88</f>
        <v>173350.68</v>
      </c>
      <c r="L94" s="564"/>
    </row>
    <row r="95" spans="1:12" ht="12.75" x14ac:dyDescent="0.2">
      <c r="A95" s="138"/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8"/>
    </row>
    <row r="96" spans="1:12" ht="12.75" x14ac:dyDescent="0.2">
      <c r="A96" s="138"/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8"/>
    </row>
    <row r="97" spans="1:12" ht="12.75" x14ac:dyDescent="0.2">
      <c r="A97" s="138"/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8"/>
    </row>
    <row r="98" spans="1:12" ht="12.75" x14ac:dyDescent="0.2">
      <c r="A98" s="138"/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8"/>
    </row>
    <row r="99" spans="1:12" ht="15.75" x14ac:dyDescent="0.25">
      <c r="A99" s="138"/>
      <c r="B99" s="180" t="s">
        <v>137</v>
      </c>
      <c r="C99" s="181"/>
      <c r="D99" s="181"/>
      <c r="E99" s="138"/>
      <c r="F99" s="138"/>
      <c r="G99" s="138"/>
      <c r="H99" s="138"/>
      <c r="I99" s="138"/>
      <c r="J99" s="138"/>
      <c r="K99" s="138"/>
      <c r="L99" s="138"/>
    </row>
    <row r="100" spans="1:12" ht="15" x14ac:dyDescent="0.2">
      <c r="A100" s="138"/>
      <c r="B100" s="181"/>
      <c r="C100" s="181"/>
      <c r="D100" s="181"/>
      <c r="E100" s="138"/>
      <c r="F100" s="138"/>
      <c r="G100" s="138"/>
      <c r="H100" s="138"/>
      <c r="I100" s="138"/>
      <c r="J100" s="138"/>
      <c r="K100" s="138"/>
      <c r="L100" s="138"/>
    </row>
    <row r="101" spans="1:12" ht="15.75" x14ac:dyDescent="0.25">
      <c r="A101" s="139"/>
      <c r="B101" s="180" t="s">
        <v>118</v>
      </c>
      <c r="C101" s="180"/>
      <c r="D101" s="180"/>
      <c r="E101" s="140"/>
      <c r="F101" s="140"/>
      <c r="G101" s="140"/>
      <c r="H101" s="140"/>
      <c r="I101" s="140"/>
      <c r="J101" s="140"/>
      <c r="K101" s="140"/>
      <c r="L101" s="140"/>
    </row>
    <row r="102" spans="1:12" ht="15.75" x14ac:dyDescent="0.25">
      <c r="A102" s="139"/>
      <c r="B102" s="182" t="s">
        <v>119</v>
      </c>
      <c r="C102" s="183"/>
      <c r="D102" s="183"/>
      <c r="E102" s="142"/>
      <c r="F102" s="141"/>
      <c r="G102" s="503"/>
      <c r="H102" s="503"/>
      <c r="I102" s="143"/>
      <c r="J102" s="144" t="s">
        <v>120</v>
      </c>
      <c r="K102" s="145"/>
      <c r="L102" s="146"/>
    </row>
    <row r="103" spans="1:12" ht="15.75" x14ac:dyDescent="0.25">
      <c r="A103" s="139"/>
      <c r="B103" s="184" t="s">
        <v>138</v>
      </c>
      <c r="C103" s="185"/>
      <c r="D103" s="185"/>
      <c r="E103" s="147"/>
      <c r="F103" s="147"/>
      <c r="G103" s="147"/>
      <c r="H103" s="147"/>
      <c r="I103" s="146"/>
      <c r="J103" s="146"/>
      <c r="K103" s="146"/>
      <c r="L103" s="146"/>
    </row>
    <row r="104" spans="1:12" ht="15.75" x14ac:dyDescent="0.25">
      <c r="A104" s="139"/>
      <c r="B104" s="148"/>
      <c r="C104" s="148"/>
      <c r="D104" s="186"/>
      <c r="E104" s="149"/>
      <c r="F104" s="149"/>
      <c r="G104" s="150"/>
      <c r="H104" s="151"/>
      <c r="I104" s="149"/>
      <c r="J104" s="152"/>
      <c r="K104" s="153"/>
      <c r="L104" s="139"/>
    </row>
    <row r="105" spans="1:12" ht="15.75" x14ac:dyDescent="0.25">
      <c r="A105" s="139"/>
      <c r="B105" s="148"/>
      <c r="C105" s="148"/>
      <c r="D105" s="186"/>
      <c r="E105" s="149"/>
      <c r="F105" s="149"/>
      <c r="G105" s="150"/>
      <c r="H105" s="151"/>
      <c r="I105" s="149"/>
      <c r="J105" s="152"/>
      <c r="K105" s="153"/>
      <c r="L105" s="139"/>
    </row>
    <row r="106" spans="1:12" ht="15.75" x14ac:dyDescent="0.25">
      <c r="A106" s="139"/>
      <c r="B106" s="148"/>
      <c r="C106" s="148"/>
      <c r="D106" s="186"/>
      <c r="E106" s="149"/>
      <c r="F106" s="149"/>
      <c r="G106" s="150"/>
      <c r="H106" s="151"/>
      <c r="I106" s="149"/>
      <c r="J106" s="152"/>
      <c r="K106" s="153"/>
      <c r="L106" s="139"/>
    </row>
    <row r="107" spans="1:12" ht="15.75" x14ac:dyDescent="0.25">
      <c r="A107" s="139"/>
      <c r="B107" s="148"/>
      <c r="C107" s="148"/>
      <c r="D107" s="149"/>
      <c r="E107" s="149"/>
      <c r="F107" s="149"/>
      <c r="G107" s="149"/>
      <c r="H107" s="151"/>
      <c r="I107" s="149"/>
      <c r="J107" s="152"/>
      <c r="K107" s="153"/>
      <c r="L107" s="139"/>
    </row>
    <row r="108" spans="1:12" ht="15.75" x14ac:dyDescent="0.25">
      <c r="A108" s="139"/>
      <c r="B108" s="180" t="s">
        <v>121</v>
      </c>
      <c r="C108" s="187"/>
      <c r="D108" s="180"/>
      <c r="E108" s="147"/>
      <c r="F108" s="140"/>
      <c r="G108" s="147"/>
      <c r="H108" s="140"/>
      <c r="I108" s="146"/>
      <c r="J108" s="146"/>
      <c r="K108" s="146"/>
      <c r="L108" s="139"/>
    </row>
    <row r="109" spans="1:12" ht="15.75" x14ac:dyDescent="0.25">
      <c r="A109" s="139"/>
      <c r="B109" s="180"/>
      <c r="C109" s="187"/>
      <c r="D109" s="180"/>
      <c r="E109" s="147"/>
      <c r="F109" s="140"/>
      <c r="G109" s="147"/>
      <c r="H109" s="140"/>
      <c r="I109" s="146"/>
      <c r="J109" s="146"/>
      <c r="K109" s="146"/>
      <c r="L109" s="139"/>
    </row>
    <row r="110" spans="1:12" ht="15.75" x14ac:dyDescent="0.25">
      <c r="A110" s="139"/>
      <c r="B110" s="504" t="s">
        <v>122</v>
      </c>
      <c r="C110" s="504"/>
      <c r="D110" s="504"/>
      <c r="E110" s="147"/>
      <c r="F110" s="140"/>
      <c r="G110" s="147"/>
      <c r="H110" s="140"/>
      <c r="I110" s="146"/>
      <c r="J110" s="146"/>
      <c r="K110" s="146"/>
      <c r="L110" s="139"/>
    </row>
    <row r="111" spans="1:12" ht="15.75" x14ac:dyDescent="0.25">
      <c r="A111" s="139"/>
      <c r="B111" s="505" t="s">
        <v>123</v>
      </c>
      <c r="C111" s="505"/>
      <c r="D111" s="505"/>
      <c r="E111" s="154"/>
      <c r="F111" s="141"/>
      <c r="G111" s="142"/>
      <c r="H111" s="155"/>
      <c r="I111" s="145"/>
      <c r="J111" s="144" t="s">
        <v>84</v>
      </c>
      <c r="K111" s="145"/>
      <c r="L111" s="139"/>
    </row>
    <row r="112" spans="1:12" ht="15.75" x14ac:dyDescent="0.25">
      <c r="A112" s="139"/>
      <c r="B112" s="184" t="s">
        <v>73</v>
      </c>
      <c r="C112" s="188"/>
      <c r="D112" s="188"/>
      <c r="E112" s="156"/>
      <c r="F112" s="147"/>
      <c r="G112" s="140"/>
      <c r="H112" s="140"/>
      <c r="I112" s="146"/>
      <c r="J112" s="146"/>
      <c r="K112" s="146"/>
      <c r="L112" s="139"/>
    </row>
  </sheetData>
  <mergeCells count="109">
    <mergeCell ref="I30:I35"/>
    <mergeCell ref="J30:J35"/>
    <mergeCell ref="K30:K35"/>
    <mergeCell ref="L30:L35"/>
    <mergeCell ref="G102:H102"/>
    <mergeCell ref="B110:D110"/>
    <mergeCell ref="B111:D111"/>
    <mergeCell ref="A31:A35"/>
    <mergeCell ref="B31:B35"/>
    <mergeCell ref="A30:B30"/>
    <mergeCell ref="C30:C35"/>
    <mergeCell ref="D30:D35"/>
    <mergeCell ref="E30:E35"/>
    <mergeCell ref="F30:F35"/>
    <mergeCell ref="G30:G35"/>
    <mergeCell ref="H30:H35"/>
    <mergeCell ref="I59:J59"/>
    <mergeCell ref="K59:L59"/>
    <mergeCell ref="I61:J61"/>
    <mergeCell ref="K61:L61"/>
    <mergeCell ref="A63:H63"/>
    <mergeCell ref="I63:J63"/>
    <mergeCell ref="K63:L63"/>
    <mergeCell ref="A38:L38"/>
    <mergeCell ref="A39:L39"/>
    <mergeCell ref="A40:D40"/>
    <mergeCell ref="A41:L41"/>
    <mergeCell ref="I54:J54"/>
    <mergeCell ref="K54:L54"/>
    <mergeCell ref="D71:H71"/>
    <mergeCell ref="I71:J71"/>
    <mergeCell ref="K71:L71"/>
    <mergeCell ref="D72:H72"/>
    <mergeCell ref="I72:J72"/>
    <mergeCell ref="K72:L72"/>
    <mergeCell ref="A67:H67"/>
    <mergeCell ref="I67:J67"/>
    <mergeCell ref="K67:L67"/>
    <mergeCell ref="D70:H70"/>
    <mergeCell ref="I70:J70"/>
    <mergeCell ref="K70:L70"/>
    <mergeCell ref="D82:H82"/>
    <mergeCell ref="I82:J82"/>
    <mergeCell ref="K82:L82"/>
    <mergeCell ref="D83:H83"/>
    <mergeCell ref="I83:J83"/>
    <mergeCell ref="K83:L83"/>
    <mergeCell ref="D79:H79"/>
    <mergeCell ref="D80:H80"/>
    <mergeCell ref="I80:J80"/>
    <mergeCell ref="K80:L80"/>
    <mergeCell ref="D81:H81"/>
    <mergeCell ref="I81:J81"/>
    <mergeCell ref="K81:L81"/>
    <mergeCell ref="D87:H87"/>
    <mergeCell ref="K87:L87"/>
    <mergeCell ref="D88:H88"/>
    <mergeCell ref="I88:J88"/>
    <mergeCell ref="K88:L88"/>
    <mergeCell ref="D89:H89"/>
    <mergeCell ref="D84:H84"/>
    <mergeCell ref="I84:J84"/>
    <mergeCell ref="K84:L84"/>
    <mergeCell ref="D85:H85"/>
    <mergeCell ref="D86:H86"/>
    <mergeCell ref="K86:L86"/>
    <mergeCell ref="D93:H93"/>
    <mergeCell ref="K93:L93"/>
    <mergeCell ref="D94:H94"/>
    <mergeCell ref="K94:L94"/>
    <mergeCell ref="D90:H90"/>
    <mergeCell ref="K90:L90"/>
    <mergeCell ref="D91:H91"/>
    <mergeCell ref="I91:J91"/>
    <mergeCell ref="K91:L91"/>
    <mergeCell ref="D92:H92"/>
    <mergeCell ref="K92:L92"/>
    <mergeCell ref="A6:B6"/>
    <mergeCell ref="C6:H6"/>
    <mergeCell ref="C7:H7"/>
    <mergeCell ref="J7:L8"/>
    <mergeCell ref="A8:B8"/>
    <mergeCell ref="C8:H8"/>
    <mergeCell ref="I1:L1"/>
    <mergeCell ref="I2:L2"/>
    <mergeCell ref="J3:L3"/>
    <mergeCell ref="J4:L4"/>
    <mergeCell ref="J5:L6"/>
    <mergeCell ref="C13:H13"/>
    <mergeCell ref="G14:I14"/>
    <mergeCell ref="J14:L14"/>
    <mergeCell ref="G15:H15"/>
    <mergeCell ref="J15:L15"/>
    <mergeCell ref="C9:H9"/>
    <mergeCell ref="J9:L10"/>
    <mergeCell ref="C10:H10"/>
    <mergeCell ref="C11:H11"/>
    <mergeCell ref="J11:L12"/>
    <mergeCell ref="C12:H12"/>
    <mergeCell ref="A25:L25"/>
    <mergeCell ref="A26:L26"/>
    <mergeCell ref="H28:I28"/>
    <mergeCell ref="A29:L29"/>
    <mergeCell ref="J16:L16"/>
    <mergeCell ref="J17:L17"/>
    <mergeCell ref="J18:L18"/>
    <mergeCell ref="G20:G21"/>
    <mergeCell ref="H20:H21"/>
    <mergeCell ref="I20:J20"/>
  </mergeCells>
  <pageMargins left="0.39370078740157483" right="0.19685039370078741" top="0.19685039370078741" bottom="0.39370078740157483" header="0.31496062992125984" footer="0.31496062992125984"/>
  <pageSetup paperSize="9" scale="66" fitToHeight="0" orientation="portrait" blackAndWhite="1" r:id="rId1"/>
  <headerFoot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F184"/>
  <sheetViews>
    <sheetView workbookViewId="0"/>
  </sheetViews>
  <sheetFormatPr defaultColWidth="9.33203125" defaultRowHeight="11.25" x14ac:dyDescent="0.2"/>
  <cols>
    <col min="1" max="2" width="8.83203125" style="49" customWidth="1"/>
    <col min="3" max="3" width="13.6640625" style="49" customWidth="1"/>
    <col min="4" max="4" width="47.5" style="49" customWidth="1"/>
    <col min="5" max="5" width="13.6640625" style="49" customWidth="1"/>
    <col min="6" max="6" width="11.83203125" style="49" bestFit="1" customWidth="1"/>
    <col min="7" max="10" width="17.83203125" style="49" customWidth="1"/>
    <col min="11" max="11" width="10.6640625" style="49" bestFit="1" customWidth="1"/>
    <col min="12" max="12" width="16.1640625" style="49" customWidth="1"/>
    <col min="13" max="14" width="9.33203125" style="49"/>
    <col min="15" max="29" width="0" style="49" hidden="1" customWidth="1"/>
    <col min="30" max="30" width="106.1640625" style="49" hidden="1" customWidth="1"/>
    <col min="31" max="31" width="0" style="49" hidden="1" customWidth="1"/>
    <col min="32" max="32" width="117.83203125" style="49" hidden="1" customWidth="1"/>
    <col min="33" max="36" width="0" style="49" hidden="1" customWidth="1"/>
    <col min="37" max="16384" width="9.33203125" style="49"/>
  </cols>
  <sheetData>
    <row r="1" spans="1:30" ht="14.25" x14ac:dyDescent="0.2">
      <c r="A1" s="101"/>
      <c r="B1" s="101"/>
      <c r="C1" s="101"/>
      <c r="D1" s="101"/>
      <c r="E1" s="101"/>
      <c r="F1" s="101"/>
      <c r="G1" s="101"/>
      <c r="H1" s="101"/>
      <c r="I1" s="531" t="s">
        <v>15</v>
      </c>
      <c r="J1" s="531"/>
      <c r="K1" s="531"/>
      <c r="L1" s="531"/>
    </row>
    <row r="2" spans="1:30" ht="14.25" x14ac:dyDescent="0.2">
      <c r="A2" s="101"/>
      <c r="B2" s="101"/>
      <c r="C2" s="101"/>
      <c r="D2" s="101"/>
      <c r="E2" s="101"/>
      <c r="F2" s="101"/>
      <c r="G2" s="101"/>
      <c r="H2" s="101"/>
      <c r="I2" s="531" t="s">
        <v>16</v>
      </c>
      <c r="J2" s="531"/>
      <c r="K2" s="531"/>
      <c r="L2" s="531"/>
    </row>
    <row r="3" spans="1:30" ht="14.25" x14ac:dyDescent="0.2">
      <c r="A3" s="101"/>
      <c r="B3" s="101"/>
      <c r="C3" s="101"/>
      <c r="D3" s="101"/>
      <c r="E3" s="101"/>
      <c r="F3" s="101"/>
      <c r="G3" s="101"/>
      <c r="H3" s="101"/>
      <c r="I3" s="101"/>
      <c r="J3" s="532" t="s">
        <v>17</v>
      </c>
      <c r="K3" s="532"/>
      <c r="L3" s="532"/>
    </row>
    <row r="4" spans="1:30" ht="14.25" x14ac:dyDescent="0.2">
      <c r="A4" s="101"/>
      <c r="B4" s="101"/>
      <c r="C4" s="101"/>
      <c r="D4" s="101"/>
      <c r="E4" s="101"/>
      <c r="F4" s="101"/>
      <c r="G4" s="101"/>
      <c r="H4" s="101"/>
      <c r="I4" s="242" t="s">
        <v>18</v>
      </c>
      <c r="J4" s="533" t="s">
        <v>19</v>
      </c>
      <c r="K4" s="533"/>
      <c r="L4" s="533"/>
    </row>
    <row r="5" spans="1:30" ht="14.25" x14ac:dyDescent="0.2">
      <c r="A5" s="101"/>
      <c r="B5" s="101"/>
      <c r="C5" s="101"/>
      <c r="D5" s="101"/>
      <c r="E5" s="101"/>
      <c r="F5" s="101"/>
      <c r="G5" s="101"/>
      <c r="H5" s="101"/>
      <c r="I5" s="101"/>
      <c r="J5" s="534" t="s">
        <v>83</v>
      </c>
      <c r="K5" s="535"/>
      <c r="L5" s="536"/>
    </row>
    <row r="6" spans="1:30" ht="31.5" customHeight="1" x14ac:dyDescent="0.2">
      <c r="A6" s="540" t="s">
        <v>86</v>
      </c>
      <c r="B6" s="540"/>
      <c r="C6" s="541" t="s">
        <v>87</v>
      </c>
      <c r="D6" s="541"/>
      <c r="E6" s="541"/>
      <c r="F6" s="541"/>
      <c r="G6" s="541"/>
      <c r="H6" s="541"/>
      <c r="I6" s="242" t="s">
        <v>21</v>
      </c>
      <c r="J6" s="537"/>
      <c r="K6" s="538"/>
      <c r="L6" s="539"/>
    </row>
    <row r="7" spans="1:30" ht="14.25" x14ac:dyDescent="0.2">
      <c r="A7" s="102"/>
      <c r="B7" s="102"/>
      <c r="C7" s="547" t="s">
        <v>22</v>
      </c>
      <c r="D7" s="547"/>
      <c r="E7" s="547"/>
      <c r="F7" s="547"/>
      <c r="G7" s="547"/>
      <c r="H7" s="547"/>
      <c r="I7" s="101"/>
      <c r="J7" s="534" t="s">
        <v>56</v>
      </c>
      <c r="K7" s="535"/>
      <c r="L7" s="536"/>
    </row>
    <row r="8" spans="1:30" ht="33.75" customHeight="1" x14ac:dyDescent="0.2">
      <c r="A8" s="540" t="s">
        <v>88</v>
      </c>
      <c r="B8" s="540"/>
      <c r="C8" s="541" t="s">
        <v>89</v>
      </c>
      <c r="D8" s="541"/>
      <c r="E8" s="541"/>
      <c r="F8" s="541"/>
      <c r="G8" s="541"/>
      <c r="H8" s="541"/>
      <c r="I8" s="242" t="s">
        <v>21</v>
      </c>
      <c r="J8" s="537"/>
      <c r="K8" s="538"/>
      <c r="L8" s="539"/>
    </row>
    <row r="9" spans="1:30" ht="14.25" x14ac:dyDescent="0.2">
      <c r="A9" s="101"/>
      <c r="B9" s="101"/>
      <c r="C9" s="547" t="s">
        <v>22</v>
      </c>
      <c r="D9" s="547"/>
      <c r="E9" s="547"/>
      <c r="F9" s="547"/>
      <c r="G9" s="547"/>
      <c r="H9" s="547"/>
      <c r="I9" s="101"/>
      <c r="J9" s="534"/>
      <c r="K9" s="535"/>
      <c r="L9" s="536"/>
    </row>
    <row r="10" spans="1:30" ht="14.25" customHeight="1" x14ac:dyDescent="0.2">
      <c r="A10" s="101" t="s">
        <v>23</v>
      </c>
      <c r="B10" s="101"/>
      <c r="C10" s="551" t="s">
        <v>90</v>
      </c>
      <c r="D10" s="551"/>
      <c r="E10" s="551"/>
      <c r="F10" s="551"/>
      <c r="G10" s="551"/>
      <c r="H10" s="551"/>
      <c r="I10" s="101"/>
      <c r="J10" s="537"/>
      <c r="K10" s="538"/>
      <c r="L10" s="539"/>
    </row>
    <row r="11" spans="1:30" ht="14.25" x14ac:dyDescent="0.2">
      <c r="A11" s="101"/>
      <c r="B11" s="101"/>
      <c r="C11" s="547" t="s">
        <v>24</v>
      </c>
      <c r="D11" s="547"/>
      <c r="E11" s="547"/>
      <c r="F11" s="547"/>
      <c r="G11" s="547"/>
      <c r="H11" s="547"/>
      <c r="I11" s="101"/>
      <c r="J11" s="548" t="s">
        <v>20</v>
      </c>
      <c r="K11" s="548"/>
      <c r="L11" s="548"/>
    </row>
    <row r="12" spans="1:30" ht="14.25" customHeight="1" x14ac:dyDescent="0.2">
      <c r="A12" s="101" t="s">
        <v>25</v>
      </c>
      <c r="B12" s="101"/>
      <c r="C12" s="549" t="s">
        <v>91</v>
      </c>
      <c r="D12" s="549"/>
      <c r="E12" s="549"/>
      <c r="F12" s="549"/>
      <c r="G12" s="549"/>
      <c r="H12" s="549"/>
      <c r="I12" s="101"/>
      <c r="J12" s="548"/>
      <c r="K12" s="548"/>
      <c r="L12" s="548"/>
    </row>
    <row r="13" spans="1:30" ht="14.25" x14ac:dyDescent="0.2">
      <c r="A13" s="101"/>
      <c r="B13" s="101"/>
      <c r="C13" s="550" t="s">
        <v>26</v>
      </c>
      <c r="D13" s="550"/>
      <c r="E13" s="550"/>
      <c r="F13" s="550"/>
      <c r="G13" s="550"/>
      <c r="H13" s="550"/>
      <c r="I13" s="101"/>
      <c r="J13" s="101"/>
      <c r="K13" s="101"/>
      <c r="L13" s="101"/>
    </row>
    <row r="14" spans="1:30" ht="14.25" x14ac:dyDescent="0.2">
      <c r="A14" s="101"/>
      <c r="B14" s="101"/>
      <c r="C14" s="101"/>
      <c r="D14" s="101"/>
      <c r="E14" s="101"/>
      <c r="F14" s="101"/>
      <c r="G14" s="542" t="s">
        <v>27</v>
      </c>
      <c r="H14" s="542"/>
      <c r="I14" s="542"/>
      <c r="J14" s="532"/>
      <c r="K14" s="532"/>
      <c r="L14" s="532"/>
    </row>
    <row r="15" spans="1:30" ht="42.75" customHeight="1" x14ac:dyDescent="0.2">
      <c r="A15" s="101"/>
      <c r="B15" s="101"/>
      <c r="C15" s="101"/>
      <c r="D15" s="101"/>
      <c r="E15" s="101"/>
      <c r="F15" s="101"/>
      <c r="G15" s="542" t="s">
        <v>28</v>
      </c>
      <c r="H15" s="543"/>
      <c r="I15" s="103" t="s">
        <v>29</v>
      </c>
      <c r="J15" s="544" t="s">
        <v>92</v>
      </c>
      <c r="K15" s="545"/>
      <c r="L15" s="546"/>
      <c r="AD15" s="244" t="s">
        <v>233</v>
      </c>
    </row>
    <row r="16" spans="1:30" ht="14.25" x14ac:dyDescent="0.2">
      <c r="A16" s="101"/>
      <c r="B16" s="101"/>
      <c r="C16" s="101"/>
      <c r="D16" s="101"/>
      <c r="E16" s="101"/>
      <c r="F16" s="101"/>
      <c r="G16" s="101"/>
      <c r="H16" s="101"/>
      <c r="I16" s="243" t="s">
        <v>30</v>
      </c>
      <c r="J16" s="506">
        <v>41544</v>
      </c>
      <c r="K16" s="506"/>
      <c r="L16" s="506"/>
    </row>
    <row r="17" spans="1:30" ht="42.75" customHeight="1" x14ac:dyDescent="0.2">
      <c r="A17" s="101"/>
      <c r="B17" s="101"/>
      <c r="C17" s="101"/>
      <c r="D17" s="101"/>
      <c r="E17" s="101"/>
      <c r="F17" s="101"/>
      <c r="G17" s="101"/>
      <c r="H17" s="101"/>
      <c r="I17" s="104"/>
      <c r="J17" s="507">
        <v>25</v>
      </c>
      <c r="K17" s="508"/>
      <c r="L17" s="509"/>
      <c r="AD17" s="204" t="str">
        <f>IF([84]Source!G12&lt;&gt;"Новый объект", [84]Source!G12, "")</f>
        <v>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v>
      </c>
    </row>
    <row r="18" spans="1:30" ht="14.25" x14ac:dyDescent="0.2">
      <c r="A18" s="101"/>
      <c r="B18" s="101"/>
      <c r="C18" s="101"/>
      <c r="D18" s="101"/>
      <c r="E18" s="101"/>
      <c r="F18" s="101"/>
      <c r="G18" s="101"/>
      <c r="H18" s="101"/>
      <c r="I18" s="104"/>
      <c r="J18" s="510">
        <v>44158</v>
      </c>
      <c r="K18" s="511"/>
      <c r="L18" s="512"/>
    </row>
    <row r="19" spans="1:30" ht="14.25" x14ac:dyDescent="0.2">
      <c r="A19" s="101"/>
      <c r="B19" s="101"/>
      <c r="C19" s="101"/>
      <c r="D19" s="101"/>
      <c r="E19" s="101"/>
      <c r="F19" s="101"/>
      <c r="G19" s="101"/>
      <c r="H19" s="101"/>
      <c r="I19" s="104"/>
      <c r="J19" s="205"/>
      <c r="K19" s="205"/>
      <c r="L19" s="205"/>
    </row>
    <row r="20" spans="1:30" ht="14.25" customHeight="1" x14ac:dyDescent="0.2">
      <c r="A20" s="101"/>
      <c r="B20" s="101"/>
      <c r="C20" s="101"/>
      <c r="D20" s="101"/>
      <c r="E20" s="101"/>
      <c r="F20" s="101"/>
      <c r="G20" s="513" t="s">
        <v>31</v>
      </c>
      <c r="H20" s="515" t="s">
        <v>32</v>
      </c>
      <c r="I20" s="515" t="s">
        <v>33</v>
      </c>
      <c r="J20" s="517"/>
      <c r="K20" s="205"/>
      <c r="L20" s="205"/>
    </row>
    <row r="21" spans="1:30" ht="14.25" x14ac:dyDescent="0.2">
      <c r="A21" s="101"/>
      <c r="B21" s="101"/>
      <c r="C21" s="101"/>
      <c r="D21" s="101"/>
      <c r="E21" s="101"/>
      <c r="F21" s="101"/>
      <c r="G21" s="514"/>
      <c r="H21" s="516"/>
      <c r="I21" s="241" t="s">
        <v>34</v>
      </c>
      <c r="J21" s="240" t="s">
        <v>35</v>
      </c>
      <c r="K21" s="205"/>
      <c r="L21" s="205"/>
    </row>
    <row r="22" spans="1:30" ht="14.25" x14ac:dyDescent="0.2">
      <c r="A22" s="101"/>
      <c r="B22" s="101"/>
      <c r="C22" s="101"/>
      <c r="D22" s="101"/>
      <c r="E22" s="101"/>
      <c r="F22" s="101"/>
      <c r="G22" s="208" t="s">
        <v>174</v>
      </c>
      <c r="H22" s="209">
        <v>44227</v>
      </c>
      <c r="I22" s="209">
        <v>44197</v>
      </c>
      <c r="J22" s="210">
        <f>H22</f>
        <v>44227</v>
      </c>
      <c r="K22" s="101"/>
      <c r="L22" s="101"/>
    </row>
    <row r="23" spans="1:30" ht="14.25" x14ac:dyDescent="0.2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30" ht="14.25" customHeight="1" x14ac:dyDescent="0.2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1:30" ht="18" x14ac:dyDescent="0.25">
      <c r="A25" s="525" t="s">
        <v>36</v>
      </c>
      <c r="B25" s="525"/>
      <c r="C25" s="525"/>
      <c r="D25" s="525"/>
      <c r="E25" s="525"/>
      <c r="F25" s="525"/>
      <c r="G25" s="525"/>
      <c r="H25" s="525"/>
      <c r="I25" s="525"/>
      <c r="J25" s="525"/>
      <c r="K25" s="525"/>
      <c r="L25" s="525"/>
    </row>
    <row r="26" spans="1:30" ht="18" x14ac:dyDescent="0.25">
      <c r="A26" s="525" t="s">
        <v>37</v>
      </c>
      <c r="B26" s="525"/>
      <c r="C26" s="525"/>
      <c r="D26" s="525"/>
      <c r="E26" s="525"/>
      <c r="F26" s="525"/>
      <c r="G26" s="525"/>
      <c r="H26" s="525"/>
      <c r="I26" s="525"/>
      <c r="J26" s="525"/>
      <c r="K26" s="525"/>
      <c r="L26" s="525"/>
    </row>
    <row r="27" spans="1:30" ht="14.25" x14ac:dyDescent="0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1:30" ht="15" hidden="1" x14ac:dyDescent="0.25">
      <c r="A28" s="44" t="s">
        <v>66</v>
      </c>
      <c r="B28" s="44"/>
      <c r="C28" s="44"/>
      <c r="D28" s="44"/>
      <c r="E28" s="44"/>
      <c r="F28" s="44"/>
      <c r="G28" s="44"/>
      <c r="H28" s="566">
        <f>([84]Source!P1593/1000)</f>
        <v>53.55</v>
      </c>
      <c r="I28" s="566"/>
      <c r="J28" s="44" t="s">
        <v>67</v>
      </c>
      <c r="K28" s="44"/>
      <c r="L28" s="44"/>
    </row>
    <row r="29" spans="1:30" ht="14.25" x14ac:dyDescent="0.2">
      <c r="A29" s="526" t="s">
        <v>141</v>
      </c>
      <c r="B29" s="526"/>
      <c r="C29" s="526"/>
      <c r="D29" s="526"/>
      <c r="E29" s="526"/>
      <c r="F29" s="526"/>
      <c r="G29" s="526"/>
      <c r="H29" s="526"/>
      <c r="I29" s="526"/>
      <c r="J29" s="526"/>
      <c r="K29" s="526"/>
      <c r="L29" s="526"/>
    </row>
    <row r="30" spans="1:30" ht="14.25" x14ac:dyDescent="0.2">
      <c r="A30" s="553" t="s">
        <v>38</v>
      </c>
      <c r="B30" s="553"/>
      <c r="C30" s="553" t="s">
        <v>39</v>
      </c>
      <c r="D30" s="553" t="s">
        <v>40</v>
      </c>
      <c r="E30" s="553" t="s">
        <v>126</v>
      </c>
      <c r="F30" s="553" t="s">
        <v>68</v>
      </c>
      <c r="G30" s="553" t="s">
        <v>69</v>
      </c>
      <c r="H30" s="518" t="s">
        <v>127</v>
      </c>
      <c r="I30" s="518" t="s">
        <v>128</v>
      </c>
      <c r="J30" s="553" t="s">
        <v>129</v>
      </c>
      <c r="K30" s="553" t="s">
        <v>130</v>
      </c>
      <c r="L30" s="553" t="s">
        <v>131</v>
      </c>
    </row>
    <row r="31" spans="1:30" x14ac:dyDescent="0.2">
      <c r="A31" s="518" t="s">
        <v>41</v>
      </c>
      <c r="B31" s="518" t="s">
        <v>42</v>
      </c>
      <c r="C31" s="553"/>
      <c r="D31" s="553"/>
      <c r="E31" s="553"/>
      <c r="F31" s="553"/>
      <c r="G31" s="553"/>
      <c r="H31" s="519"/>
      <c r="I31" s="519"/>
      <c r="J31" s="553"/>
      <c r="K31" s="553"/>
      <c r="L31" s="553"/>
    </row>
    <row r="32" spans="1:30" x14ac:dyDescent="0.2">
      <c r="A32" s="519"/>
      <c r="B32" s="519"/>
      <c r="C32" s="553"/>
      <c r="D32" s="553"/>
      <c r="E32" s="553"/>
      <c r="F32" s="553"/>
      <c r="G32" s="553"/>
      <c r="H32" s="519"/>
      <c r="I32" s="519"/>
      <c r="J32" s="553"/>
      <c r="K32" s="553"/>
      <c r="L32" s="553"/>
    </row>
    <row r="33" spans="1:22" x14ac:dyDescent="0.2">
      <c r="A33" s="519"/>
      <c r="B33" s="519"/>
      <c r="C33" s="553"/>
      <c r="D33" s="553"/>
      <c r="E33" s="553"/>
      <c r="F33" s="553"/>
      <c r="G33" s="553"/>
      <c r="H33" s="519"/>
      <c r="I33" s="519"/>
      <c r="J33" s="553"/>
      <c r="K33" s="553"/>
      <c r="L33" s="553"/>
    </row>
    <row r="34" spans="1:22" x14ac:dyDescent="0.2">
      <c r="A34" s="519"/>
      <c r="B34" s="519"/>
      <c r="C34" s="553"/>
      <c r="D34" s="553"/>
      <c r="E34" s="553"/>
      <c r="F34" s="553"/>
      <c r="G34" s="553"/>
      <c r="H34" s="519"/>
      <c r="I34" s="519"/>
      <c r="J34" s="553"/>
      <c r="K34" s="553"/>
      <c r="L34" s="553"/>
    </row>
    <row r="35" spans="1:22" x14ac:dyDescent="0.2">
      <c r="A35" s="520"/>
      <c r="B35" s="520"/>
      <c r="C35" s="553"/>
      <c r="D35" s="553"/>
      <c r="E35" s="553"/>
      <c r="F35" s="553"/>
      <c r="G35" s="553"/>
      <c r="H35" s="520"/>
      <c r="I35" s="520"/>
      <c r="J35" s="553"/>
      <c r="K35" s="553"/>
      <c r="L35" s="553"/>
    </row>
    <row r="36" spans="1:22" ht="14.25" x14ac:dyDescent="0.2">
      <c r="A36" s="107">
        <v>1</v>
      </c>
      <c r="B36" s="107">
        <v>2</v>
      </c>
      <c r="C36" s="107">
        <v>3</v>
      </c>
      <c r="D36" s="107">
        <v>4</v>
      </c>
      <c r="E36" s="107">
        <v>5</v>
      </c>
      <c r="F36" s="107">
        <v>6</v>
      </c>
      <c r="G36" s="107">
        <v>7</v>
      </c>
      <c r="H36" s="107">
        <v>8</v>
      </c>
      <c r="I36" s="107">
        <v>9</v>
      </c>
      <c r="J36" s="107">
        <v>10</v>
      </c>
      <c r="K36" s="107">
        <v>11</v>
      </c>
      <c r="L36" s="107">
        <v>12</v>
      </c>
    </row>
    <row r="37" spans="1:22" ht="14.25" x14ac:dyDescent="0.2">
      <c r="A37" s="173"/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</row>
    <row r="38" spans="1:22" ht="16.5" x14ac:dyDescent="0.2">
      <c r="A38" s="569" t="s">
        <v>175</v>
      </c>
      <c r="B38" s="569"/>
      <c r="C38" s="569"/>
      <c r="D38" s="569"/>
      <c r="E38" s="569"/>
      <c r="F38" s="569"/>
      <c r="G38" s="569"/>
      <c r="H38" s="569"/>
      <c r="I38" s="569"/>
      <c r="J38" s="569"/>
      <c r="K38" s="569"/>
      <c r="L38" s="569"/>
    </row>
    <row r="39" spans="1:22" ht="39" customHeight="1" x14ac:dyDescent="0.2">
      <c r="A39" s="569" t="s">
        <v>176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</row>
    <row r="40" spans="1:22" ht="16.5" x14ac:dyDescent="0.25">
      <c r="A40" s="571" t="str">
        <f>CONCATENATE("Подраздел: ",IF([84]Source!G619&lt;&gt;"Новый подраздел", [84]Source!G619, ""))</f>
        <v>Подраздел: Тип В2-2а</v>
      </c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</row>
    <row r="41" spans="1:22" ht="65.25" x14ac:dyDescent="0.2">
      <c r="A41" s="108">
        <v>1</v>
      </c>
      <c r="B41" s="108" t="str">
        <f>[84]Source!E657</f>
        <v>128</v>
      </c>
      <c r="C41" s="109" t="s">
        <v>177</v>
      </c>
      <c r="D41" s="109" t="s">
        <v>178</v>
      </c>
      <c r="E41" s="110" t="str">
        <f>[84]Source!H657</f>
        <v>100 м2 пола</v>
      </c>
      <c r="F41" s="111">
        <f>[84]Source!I657</f>
        <v>0.27500000000000002</v>
      </c>
      <c r="G41" s="112"/>
      <c r="H41" s="113"/>
      <c r="I41" s="111"/>
      <c r="J41" s="122"/>
      <c r="K41" s="111"/>
      <c r="L41" s="122"/>
      <c r="Q41" s="49">
        <f>[84]Source!X657</f>
        <v>569.48</v>
      </c>
      <c r="R41" s="49">
        <f>[84]Source!X658</f>
        <v>9884.25</v>
      </c>
      <c r="S41" s="49">
        <f>[84]Source!Y657</f>
        <v>398.64</v>
      </c>
      <c r="T41" s="49">
        <f>[84]Source!Y658</f>
        <v>4658.1000000000004</v>
      </c>
      <c r="U41" s="49">
        <f>ROUND((175/100)*ROUND([84]Source!R657, 2), 2)</f>
        <v>10.54</v>
      </c>
      <c r="V41" s="49">
        <f>ROUND((157/100)*ROUND([84]Source!R658, 2), 2)</f>
        <v>226.27</v>
      </c>
    </row>
    <row r="42" spans="1:22" ht="14.25" x14ac:dyDescent="0.2">
      <c r="A42" s="108"/>
      <c r="B42" s="108"/>
      <c r="C42" s="109"/>
      <c r="D42" s="109" t="s">
        <v>43</v>
      </c>
      <c r="E42" s="110"/>
      <c r="F42" s="111"/>
      <c r="G42" s="112">
        <f>[84]Source!AO657</f>
        <v>986.98</v>
      </c>
      <c r="H42" s="113" t="str">
        <f>[84]Source!DG657</f>
        <v>)*1,67</v>
      </c>
      <c r="I42" s="111">
        <f>[84]Source!AV658</f>
        <v>1.0469999999999999</v>
      </c>
      <c r="J42" s="122">
        <f>[84]Source!S657</f>
        <v>474.57</v>
      </c>
      <c r="K42" s="111">
        <f>IF([84]Source!BA658&lt;&gt; 0, [84]Source!BA658, 1)</f>
        <v>23.94</v>
      </c>
      <c r="L42" s="122">
        <f>[84]Source!S658</f>
        <v>11361.21</v>
      </c>
    </row>
    <row r="43" spans="1:22" ht="14.25" x14ac:dyDescent="0.2">
      <c r="A43" s="108"/>
      <c r="B43" s="108"/>
      <c r="C43" s="109"/>
      <c r="D43" s="109" t="s">
        <v>44</v>
      </c>
      <c r="E43" s="110"/>
      <c r="F43" s="111"/>
      <c r="G43" s="112">
        <f>[84]Source!AM657</f>
        <v>99.77</v>
      </c>
      <c r="H43" s="113" t="str">
        <f>[84]Source!DE657</f>
        <v/>
      </c>
      <c r="I43" s="111">
        <f>[84]Source!AV658</f>
        <v>1.0469999999999999</v>
      </c>
      <c r="J43" s="122">
        <f>[84]Source!Q657-J55</f>
        <v>28.73</v>
      </c>
      <c r="K43" s="111">
        <f>IF([84]Source!BB658&lt;&gt; 0, [84]Source!BB658, 1)</f>
        <v>11.97</v>
      </c>
      <c r="L43" s="122">
        <f>[84]Source!Q658-L55</f>
        <v>343.83</v>
      </c>
    </row>
    <row r="44" spans="1:22" ht="14.25" x14ac:dyDescent="0.2">
      <c r="A44" s="108"/>
      <c r="B44" s="108"/>
      <c r="C44" s="109"/>
      <c r="D44" s="109" t="s">
        <v>45</v>
      </c>
      <c r="E44" s="110"/>
      <c r="F44" s="111"/>
      <c r="G44" s="112">
        <f>[84]Source!AN657</f>
        <v>12.51</v>
      </c>
      <c r="H44" s="113" t="str">
        <f>[84]Source!DE657</f>
        <v/>
      </c>
      <c r="I44" s="111">
        <f>[84]Source!AV658</f>
        <v>1.0469999999999999</v>
      </c>
      <c r="J44" s="115">
        <f>[84]Source!R657-J56</f>
        <v>3.61</v>
      </c>
      <c r="K44" s="111">
        <f>IF([84]Source!BS658&lt;&gt; 0, [84]Source!BS658, 1)</f>
        <v>23.94</v>
      </c>
      <c r="L44" s="115">
        <f>[84]Source!R658-L56</f>
        <v>86.35</v>
      </c>
    </row>
    <row r="45" spans="1:22" ht="14.25" x14ac:dyDescent="0.2">
      <c r="A45" s="108"/>
      <c r="B45" s="108"/>
      <c r="C45" s="109"/>
      <c r="D45" s="109" t="s">
        <v>46</v>
      </c>
      <c r="E45" s="110"/>
      <c r="F45" s="111"/>
      <c r="G45" s="112">
        <f>[84]Source!AL657</f>
        <v>699.78</v>
      </c>
      <c r="H45" s="113" t="str">
        <f>[84]Source!DD657</f>
        <v/>
      </c>
      <c r="I45" s="111">
        <f>[84]Source!AW658</f>
        <v>1</v>
      </c>
      <c r="J45" s="122">
        <f>[84]Source!P657</f>
        <v>192.44</v>
      </c>
      <c r="K45" s="111">
        <f>IF([84]Source!BC658&lt;&gt; 0, [84]Source!BC658, 1)</f>
        <v>0.88</v>
      </c>
      <c r="L45" s="122">
        <f>[84]Source!P658</f>
        <v>169.35</v>
      </c>
    </row>
    <row r="46" spans="1:22" ht="28.5" x14ac:dyDescent="0.2">
      <c r="A46" s="108">
        <v>2</v>
      </c>
      <c r="B46" s="108" t="str">
        <f>[84]Source!E659</f>
        <v>128,1</v>
      </c>
      <c r="C46" s="109" t="str">
        <f>[84]Source!F659</f>
        <v>1.3-2-138</v>
      </c>
      <c r="D46" s="109" t="s">
        <v>179</v>
      </c>
      <c r="E46" s="110" t="str">
        <f>[84]Source!H659</f>
        <v>т</v>
      </c>
      <c r="F46" s="111">
        <f>[84]Source!I659</f>
        <v>1.6500000000000001E-2</v>
      </c>
      <c r="G46" s="112">
        <f>[84]Source!AK659</f>
        <v>27362.67</v>
      </c>
      <c r="H46" s="157" t="s">
        <v>20</v>
      </c>
      <c r="I46" s="111">
        <f>[84]Source!AW660</f>
        <v>1</v>
      </c>
      <c r="J46" s="122">
        <f>[84]Source!O659</f>
        <v>451.48</v>
      </c>
      <c r="K46" s="111">
        <f>IF([84]Source!BC660&lt;&gt; 0, [84]Source!BC660, 1)</f>
        <v>1.02</v>
      </c>
      <c r="L46" s="122">
        <f>[84]Source!O660</f>
        <v>460.51</v>
      </c>
      <c r="Q46" s="49">
        <f>[84]Source!X659</f>
        <v>0</v>
      </c>
      <c r="R46" s="49">
        <f>[84]Source!X660</f>
        <v>0</v>
      </c>
      <c r="S46" s="49">
        <f>[84]Source!Y659</f>
        <v>0</v>
      </c>
      <c r="T46" s="49">
        <f>[84]Source!Y660</f>
        <v>0</v>
      </c>
      <c r="U46" s="49">
        <f>ROUND((175/100)*ROUND([84]Source!R659, 2), 2)</f>
        <v>0</v>
      </c>
      <c r="V46" s="49">
        <f>ROUND((157/100)*ROUND([84]Source!R660, 2), 2)</f>
        <v>0</v>
      </c>
    </row>
    <row r="47" spans="1:22" ht="99.75" x14ac:dyDescent="0.2">
      <c r="A47" s="108">
        <v>3</v>
      </c>
      <c r="B47" s="108" t="str">
        <f>[84]Source!E661</f>
        <v>128,2</v>
      </c>
      <c r="C47" s="109" t="str">
        <f>[84]Source!F661</f>
        <v>1.3-2-168</v>
      </c>
      <c r="D47" s="109" t="s">
        <v>180</v>
      </c>
      <c r="E47" s="110" t="str">
        <f>[84]Source!H661</f>
        <v>т</v>
      </c>
      <c r="F47" s="111">
        <f>[84]Source!I661</f>
        <v>0.12925</v>
      </c>
      <c r="G47" s="112">
        <f>[84]Source!AK661</f>
        <v>6529.05</v>
      </c>
      <c r="H47" s="157" t="s">
        <v>20</v>
      </c>
      <c r="I47" s="111">
        <f>[84]Source!AW662</f>
        <v>1</v>
      </c>
      <c r="J47" s="122">
        <f>[84]Source!O661</f>
        <v>843.88</v>
      </c>
      <c r="K47" s="111">
        <f>IF([84]Source!BC662&lt;&gt; 0, [84]Source!BC662, 1)</f>
        <v>1.66</v>
      </c>
      <c r="L47" s="122">
        <f>[84]Source!O662</f>
        <v>1400.84</v>
      </c>
      <c r="Q47" s="49">
        <f>[84]Source!X661</f>
        <v>0</v>
      </c>
      <c r="R47" s="49">
        <f>[84]Source!X662</f>
        <v>0</v>
      </c>
      <c r="S47" s="49">
        <f>[84]Source!Y661</f>
        <v>0</v>
      </c>
      <c r="T47" s="49">
        <f>[84]Source!Y662</f>
        <v>0</v>
      </c>
      <c r="U47" s="49">
        <f>ROUND((175/100)*ROUND([84]Source!R661, 2), 2)</f>
        <v>0</v>
      </c>
      <c r="V47" s="49">
        <f>ROUND((157/100)*ROUND([84]Source!R662, 2), 2)</f>
        <v>0</v>
      </c>
    </row>
    <row r="48" spans="1:22" ht="57" x14ac:dyDescent="0.2">
      <c r="A48" s="108">
        <v>4</v>
      </c>
      <c r="B48" s="108" t="str">
        <f>[84]Source!E663</f>
        <v>128,3</v>
      </c>
      <c r="C48" s="109" t="str">
        <f>[84]Source!F663</f>
        <v>1.1-1-2399</v>
      </c>
      <c r="D48" s="109" t="s">
        <v>181</v>
      </c>
      <c r="E48" s="110" t="str">
        <f>[84]Source!H663</f>
        <v>м2</v>
      </c>
      <c r="F48" s="111">
        <f>[84]Source!I663</f>
        <v>28.05</v>
      </c>
      <c r="G48" s="112">
        <f>[84]Source!AK663</f>
        <v>114.81</v>
      </c>
      <c r="H48" s="157" t="s">
        <v>20</v>
      </c>
      <c r="I48" s="111">
        <f>[84]Source!AW664</f>
        <v>1</v>
      </c>
      <c r="J48" s="122">
        <f>[84]Source!O663</f>
        <v>3220.42</v>
      </c>
      <c r="K48" s="111">
        <f>IF([84]Source!BC664&lt;&gt; 0, [84]Source!BC664, 1)</f>
        <v>4.6399999999999997</v>
      </c>
      <c r="L48" s="122">
        <f>[84]Source!O664</f>
        <v>14942.75</v>
      </c>
      <c r="Q48" s="49">
        <f>[84]Source!X663</f>
        <v>0</v>
      </c>
      <c r="R48" s="49">
        <f>[84]Source!X664</f>
        <v>0</v>
      </c>
      <c r="S48" s="49">
        <f>[84]Source!Y663</f>
        <v>0</v>
      </c>
      <c r="T48" s="49">
        <f>[84]Source!Y664</f>
        <v>0</v>
      </c>
      <c r="U48" s="49">
        <f>ROUND((175/100)*ROUND([84]Source!R663, 2), 2)</f>
        <v>0</v>
      </c>
      <c r="V48" s="49">
        <f>ROUND((157/100)*ROUND([84]Source!R664, 2), 2)</f>
        <v>0</v>
      </c>
    </row>
    <row r="49" spans="1:22" ht="14.25" x14ac:dyDescent="0.2">
      <c r="A49" s="108"/>
      <c r="B49" s="108"/>
      <c r="C49" s="109"/>
      <c r="D49" s="109" t="s">
        <v>47</v>
      </c>
      <c r="E49" s="110" t="s">
        <v>48</v>
      </c>
      <c r="F49" s="111">
        <f>[84]Source!DN658</f>
        <v>120</v>
      </c>
      <c r="G49" s="112"/>
      <c r="H49" s="113"/>
      <c r="I49" s="111"/>
      <c r="J49" s="122">
        <f>SUM(Q41:Q48)</f>
        <v>569.48</v>
      </c>
      <c r="K49" s="111">
        <f>[84]Source!BZ658</f>
        <v>87</v>
      </c>
      <c r="L49" s="122">
        <f>SUM(R41:R48)</f>
        <v>9884.25</v>
      </c>
    </row>
    <row r="50" spans="1:22" ht="14.25" x14ac:dyDescent="0.2">
      <c r="A50" s="108"/>
      <c r="B50" s="108"/>
      <c r="C50" s="109"/>
      <c r="D50" s="109" t="s">
        <v>49</v>
      </c>
      <c r="E50" s="110" t="s">
        <v>48</v>
      </c>
      <c r="F50" s="111">
        <f>[84]Source!DO658</f>
        <v>84</v>
      </c>
      <c r="G50" s="112"/>
      <c r="H50" s="113"/>
      <c r="I50" s="111"/>
      <c r="J50" s="122">
        <f>SUM(S41:S49)</f>
        <v>398.64</v>
      </c>
      <c r="K50" s="111">
        <f>[84]Source!CA658</f>
        <v>41</v>
      </c>
      <c r="L50" s="122">
        <f>SUM(T41:T49)</f>
        <v>4658.1000000000004</v>
      </c>
    </row>
    <row r="51" spans="1:22" ht="14.25" x14ac:dyDescent="0.2">
      <c r="A51" s="108"/>
      <c r="B51" s="108"/>
      <c r="C51" s="109"/>
      <c r="D51" s="109" t="s">
        <v>50</v>
      </c>
      <c r="E51" s="110" t="s">
        <v>48</v>
      </c>
      <c r="F51" s="111">
        <f>175</f>
        <v>175</v>
      </c>
      <c r="G51" s="112"/>
      <c r="H51" s="113"/>
      <c r="I51" s="111"/>
      <c r="J51" s="122">
        <f>SUM(U41:U50)-J57</f>
        <v>6.32</v>
      </c>
      <c r="K51" s="111">
        <f>157</f>
        <v>157</v>
      </c>
      <c r="L51" s="122">
        <f>SUM(V41:V50)-L57</f>
        <v>135.57</v>
      </c>
    </row>
    <row r="52" spans="1:22" ht="14.25" x14ac:dyDescent="0.2">
      <c r="A52" s="108"/>
      <c r="B52" s="108"/>
      <c r="C52" s="109"/>
      <c r="D52" s="109" t="s">
        <v>51</v>
      </c>
      <c r="E52" s="110" t="s">
        <v>52</v>
      </c>
      <c r="F52" s="111">
        <f>[84]Source!AQ657</f>
        <v>84.08</v>
      </c>
      <c r="G52" s="112"/>
      <c r="H52" s="113" t="str">
        <f>[84]Source!DI657</f>
        <v/>
      </c>
      <c r="I52" s="111">
        <f>[84]Source!AV658</f>
        <v>1.0469999999999999</v>
      </c>
      <c r="J52" s="122">
        <f>[84]Source!U657</f>
        <v>24.21</v>
      </c>
      <c r="K52" s="111"/>
      <c r="L52" s="122"/>
    </row>
    <row r="53" spans="1:22" ht="15" x14ac:dyDescent="0.25">
      <c r="I53" s="567">
        <f>J42+J43+J45+J49+J50+J51+SUM(J46:J48)</f>
        <v>6185.96</v>
      </c>
      <c r="J53" s="567"/>
      <c r="K53" s="567">
        <f>L42+L43+L45+L49+L50+L51+SUM(L46:L48)</f>
        <v>43356.41</v>
      </c>
      <c r="L53" s="567"/>
      <c r="O53" s="117">
        <f>J42+J43+J45+J49+J50+J51+SUM(J46:J48)</f>
        <v>6185.96</v>
      </c>
      <c r="P53" s="117">
        <f>L42+L43+L45+L49+L50+L51+SUM(L46:L48)</f>
        <v>43356.41</v>
      </c>
    </row>
    <row r="54" spans="1:22" ht="28.5" x14ac:dyDescent="0.2">
      <c r="A54" s="158"/>
      <c r="B54" s="158"/>
      <c r="C54" s="159"/>
      <c r="D54" s="159" t="s">
        <v>133</v>
      </c>
      <c r="E54" s="110"/>
      <c r="F54" s="160"/>
      <c r="G54" s="161"/>
      <c r="H54" s="110"/>
      <c r="I54" s="160"/>
      <c r="J54" s="115"/>
      <c r="K54" s="160"/>
      <c r="L54" s="115"/>
    </row>
    <row r="55" spans="1:22" ht="14.25" x14ac:dyDescent="0.2">
      <c r="A55" s="158"/>
      <c r="B55" s="158"/>
      <c r="C55" s="159"/>
      <c r="D55" s="159" t="s">
        <v>44</v>
      </c>
      <c r="E55" s="110"/>
      <c r="F55" s="160"/>
      <c r="G55" s="161">
        <f t="shared" ref="G55:L55" si="0">G56</f>
        <v>12.51</v>
      </c>
      <c r="H55" s="162" t="str">
        <f t="shared" si="0"/>
        <v>)*(1.67-1)</v>
      </c>
      <c r="I55" s="160">
        <f t="shared" si="0"/>
        <v>1.0469999999999999</v>
      </c>
      <c r="J55" s="115">
        <f t="shared" si="0"/>
        <v>2.41</v>
      </c>
      <c r="K55" s="160">
        <f t="shared" si="0"/>
        <v>23.94</v>
      </c>
      <c r="L55" s="115">
        <f t="shared" si="0"/>
        <v>57.77</v>
      </c>
    </row>
    <row r="56" spans="1:22" ht="14.25" x14ac:dyDescent="0.2">
      <c r="A56" s="158"/>
      <c r="B56" s="158"/>
      <c r="C56" s="159"/>
      <c r="D56" s="159" t="s">
        <v>45</v>
      </c>
      <c r="E56" s="110"/>
      <c r="F56" s="160"/>
      <c r="G56" s="161">
        <f>[84]Source!AN657</f>
        <v>12.51</v>
      </c>
      <c r="H56" s="162" t="s">
        <v>53</v>
      </c>
      <c r="I56" s="160">
        <f>[84]Source!AV658</f>
        <v>1.0469999999999999</v>
      </c>
      <c r="J56" s="115">
        <f>ROUND(F41*G56*I56*(1.67-1), 2)</f>
        <v>2.41</v>
      </c>
      <c r="K56" s="160">
        <f>IF([84]Source!BS658&lt;&gt; 0, [84]Source!BS658, 1)</f>
        <v>23.94</v>
      </c>
      <c r="L56" s="115">
        <f>ROUND(F41*G56*I56*(1.67-1)*K56, 2)</f>
        <v>57.77</v>
      </c>
    </row>
    <row r="57" spans="1:22" ht="14.25" x14ac:dyDescent="0.2">
      <c r="A57" s="158"/>
      <c r="B57" s="158"/>
      <c r="C57" s="159"/>
      <c r="D57" s="159" t="s">
        <v>50</v>
      </c>
      <c r="E57" s="110" t="s">
        <v>48</v>
      </c>
      <c r="F57" s="160">
        <f>175</f>
        <v>175</v>
      </c>
      <c r="G57" s="161"/>
      <c r="H57" s="110"/>
      <c r="I57" s="160"/>
      <c r="J57" s="115">
        <f>ROUND(J56*(F57/100), 2)</f>
        <v>4.22</v>
      </c>
      <c r="K57" s="160">
        <f>157</f>
        <v>157</v>
      </c>
      <c r="L57" s="115">
        <f>ROUND(L56*(K57/100), 2)</f>
        <v>90.7</v>
      </c>
    </row>
    <row r="58" spans="1:22" ht="15" x14ac:dyDescent="0.25">
      <c r="I58" s="567">
        <f>J57+J56</f>
        <v>6.63</v>
      </c>
      <c r="J58" s="567"/>
      <c r="K58" s="567">
        <f>L57+L56</f>
        <v>148.47</v>
      </c>
      <c r="L58" s="567"/>
      <c r="O58" s="117">
        <f>I58</f>
        <v>6.63</v>
      </c>
      <c r="P58" s="117">
        <f>K58</f>
        <v>148.47</v>
      </c>
    </row>
    <row r="60" spans="1:22" ht="15" x14ac:dyDescent="0.25">
      <c r="A60" s="163"/>
      <c r="B60" s="163"/>
      <c r="C60" s="164"/>
      <c r="D60" s="164" t="s">
        <v>134</v>
      </c>
      <c r="E60" s="165"/>
      <c r="F60" s="166"/>
      <c r="G60" s="167"/>
      <c r="H60" s="168"/>
      <c r="I60" s="567">
        <f>I53+I58</f>
        <v>6192.59</v>
      </c>
      <c r="J60" s="567"/>
      <c r="K60" s="567">
        <f>K53+K58</f>
        <v>43504.88</v>
      </c>
      <c r="L60" s="567"/>
    </row>
    <row r="61" spans="1:22" ht="71.25" x14ac:dyDescent="0.2">
      <c r="A61" s="108">
        <v>5</v>
      </c>
      <c r="B61" s="108" t="str">
        <f>[84]Source!E665</f>
        <v>129</v>
      </c>
      <c r="C61" s="109" t="s">
        <v>182</v>
      </c>
      <c r="D61" s="109" t="s">
        <v>183</v>
      </c>
      <c r="E61" s="110" t="str">
        <f>[84]Source!H665</f>
        <v>100 м2</v>
      </c>
      <c r="F61" s="111">
        <f>[84]Source!I665</f>
        <v>0.27500000000000002</v>
      </c>
      <c r="G61" s="112"/>
      <c r="H61" s="113"/>
      <c r="I61" s="111"/>
      <c r="J61" s="122"/>
      <c r="K61" s="111"/>
      <c r="L61" s="122"/>
      <c r="Q61" s="49">
        <f>[84]Source!X665</f>
        <v>61.79</v>
      </c>
      <c r="R61" s="49">
        <f>[84]Source!X666</f>
        <v>1072.42</v>
      </c>
      <c r="S61" s="49">
        <f>[84]Source!Y665</f>
        <v>43.25</v>
      </c>
      <c r="T61" s="49">
        <f>[84]Source!Y666</f>
        <v>505.39</v>
      </c>
      <c r="U61" s="49">
        <f>ROUND((175/100)*ROUND([84]Source!R665, 2), 2)</f>
        <v>1.26</v>
      </c>
      <c r="V61" s="49">
        <f>ROUND((157/100)*ROUND([84]Source!R666, 2), 2)</f>
        <v>27.07</v>
      </c>
    </row>
    <row r="62" spans="1:22" ht="14.25" x14ac:dyDescent="0.2">
      <c r="A62" s="108"/>
      <c r="B62" s="108"/>
      <c r="C62" s="109"/>
      <c r="D62" s="109" t="s">
        <v>43</v>
      </c>
      <c r="E62" s="110"/>
      <c r="F62" s="111"/>
      <c r="G62" s="112">
        <f>[84]Source!AO665</f>
        <v>107.09</v>
      </c>
      <c r="H62" s="113" t="str">
        <f>[84]Source!DG665</f>
        <v>)*1,67</v>
      </c>
      <c r="I62" s="111">
        <f>[84]Source!AV666</f>
        <v>1.0469999999999999</v>
      </c>
      <c r="J62" s="122">
        <f>[84]Source!S665</f>
        <v>51.49</v>
      </c>
      <c r="K62" s="111">
        <f>IF([84]Source!BA666&lt;&gt; 0, [84]Source!BA666, 1)</f>
        <v>23.94</v>
      </c>
      <c r="L62" s="122">
        <f>[84]Source!S666</f>
        <v>1232.67</v>
      </c>
    </row>
    <row r="63" spans="1:22" ht="14.25" x14ac:dyDescent="0.2">
      <c r="A63" s="108"/>
      <c r="B63" s="108"/>
      <c r="C63" s="109"/>
      <c r="D63" s="109" t="s">
        <v>44</v>
      </c>
      <c r="E63" s="110"/>
      <c r="F63" s="111"/>
      <c r="G63" s="112">
        <f>[84]Source!AM665</f>
        <v>23.02</v>
      </c>
      <c r="H63" s="113" t="str">
        <f>[84]Source!DE665</f>
        <v/>
      </c>
      <c r="I63" s="111">
        <f>[84]Source!AV666</f>
        <v>1.0469999999999999</v>
      </c>
      <c r="J63" s="122">
        <f>[84]Source!Q665-J73</f>
        <v>6.63</v>
      </c>
      <c r="K63" s="111">
        <f>IF([84]Source!BB666&lt;&gt; 0, [84]Source!BB666, 1)</f>
        <v>12.16</v>
      </c>
      <c r="L63" s="122">
        <f>[84]Source!Q666-L73</f>
        <v>80.680000000000007</v>
      </c>
    </row>
    <row r="64" spans="1:22" ht="14.25" x14ac:dyDescent="0.2">
      <c r="A64" s="108"/>
      <c r="B64" s="108"/>
      <c r="C64" s="109"/>
      <c r="D64" s="109" t="s">
        <v>45</v>
      </c>
      <c r="E64" s="110"/>
      <c r="F64" s="111"/>
      <c r="G64" s="112">
        <f>[84]Source!AN665</f>
        <v>1.49</v>
      </c>
      <c r="H64" s="113" t="str">
        <f>[84]Source!DE665</f>
        <v/>
      </c>
      <c r="I64" s="111">
        <f>[84]Source!AV666</f>
        <v>1.0469999999999999</v>
      </c>
      <c r="J64" s="115">
        <f>[84]Source!R665-J74</f>
        <v>0.43</v>
      </c>
      <c r="K64" s="111">
        <f>IF([84]Source!BS666&lt;&gt; 0, [84]Source!BS666, 1)</f>
        <v>23.94</v>
      </c>
      <c r="L64" s="115">
        <f>[84]Source!R666-L74</f>
        <v>10.36</v>
      </c>
    </row>
    <row r="65" spans="1:22" ht="14.25" x14ac:dyDescent="0.2">
      <c r="A65" s="108"/>
      <c r="B65" s="108"/>
      <c r="C65" s="109"/>
      <c r="D65" s="109" t="s">
        <v>46</v>
      </c>
      <c r="E65" s="110"/>
      <c r="F65" s="111"/>
      <c r="G65" s="112">
        <f>[84]Source!AL665</f>
        <v>0.23</v>
      </c>
      <c r="H65" s="113" t="str">
        <f>[84]Source!DD665</f>
        <v/>
      </c>
      <c r="I65" s="111">
        <f>[84]Source!AW666</f>
        <v>1</v>
      </c>
      <c r="J65" s="122">
        <f>[84]Source!P665</f>
        <v>0.06</v>
      </c>
      <c r="K65" s="111">
        <f>IF([84]Source!BC666&lt;&gt; 0, [84]Source!BC666, 1)</f>
        <v>4.83</v>
      </c>
      <c r="L65" s="122">
        <f>[84]Source!P666</f>
        <v>0.28999999999999998</v>
      </c>
    </row>
    <row r="66" spans="1:22" ht="42.75" x14ac:dyDescent="0.2">
      <c r="A66" s="108">
        <v>6</v>
      </c>
      <c r="B66" s="108" t="str">
        <f>[84]Source!E667</f>
        <v>129,1</v>
      </c>
      <c r="C66" s="109" t="str">
        <f>[84]Source!F667</f>
        <v>1.3-2-166</v>
      </c>
      <c r="D66" s="109" t="s">
        <v>184</v>
      </c>
      <c r="E66" s="110" t="str">
        <f>[84]Source!H667</f>
        <v>т</v>
      </c>
      <c r="F66" s="111">
        <f>[84]Source!I667</f>
        <v>3.3000000000000002E-2</v>
      </c>
      <c r="G66" s="112">
        <f>[84]Source!AK667</f>
        <v>2948.66</v>
      </c>
      <c r="H66" s="157" t="s">
        <v>20</v>
      </c>
      <c r="I66" s="111">
        <f>[84]Source!AW668</f>
        <v>1</v>
      </c>
      <c r="J66" s="122">
        <f>[84]Source!O667</f>
        <v>97.31</v>
      </c>
      <c r="K66" s="111">
        <f>IF([84]Source!BC668&lt;&gt; 0, [84]Source!BC668, 1)</f>
        <v>2.2799999999999998</v>
      </c>
      <c r="L66" s="122">
        <f>[84]Source!O668</f>
        <v>221.87</v>
      </c>
      <c r="Q66" s="49">
        <f>[84]Source!X667</f>
        <v>0</v>
      </c>
      <c r="R66" s="49">
        <f>[84]Source!X668</f>
        <v>0</v>
      </c>
      <c r="S66" s="49">
        <f>[84]Source!Y667</f>
        <v>0</v>
      </c>
      <c r="T66" s="49">
        <f>[84]Source!Y668</f>
        <v>0</v>
      </c>
      <c r="U66" s="49">
        <f>ROUND((175/100)*ROUND([84]Source!R667, 2), 2)</f>
        <v>0</v>
      </c>
      <c r="V66" s="49">
        <f>ROUND((157/100)*ROUND([84]Source!R668, 2), 2)</f>
        <v>0</v>
      </c>
    </row>
    <row r="67" spans="1:22" ht="14.25" x14ac:dyDescent="0.2">
      <c r="A67" s="108"/>
      <c r="B67" s="108"/>
      <c r="C67" s="109"/>
      <c r="D67" s="109" t="s">
        <v>47</v>
      </c>
      <c r="E67" s="110" t="s">
        <v>48</v>
      </c>
      <c r="F67" s="111">
        <f>[84]Source!DN666</f>
        <v>120</v>
      </c>
      <c r="G67" s="112"/>
      <c r="H67" s="113"/>
      <c r="I67" s="111"/>
      <c r="J67" s="122">
        <f>SUM(Q61:Q66)</f>
        <v>61.79</v>
      </c>
      <c r="K67" s="111">
        <f>[84]Source!BZ666</f>
        <v>87</v>
      </c>
      <c r="L67" s="122">
        <f>SUM(R61:R66)</f>
        <v>1072.42</v>
      </c>
    </row>
    <row r="68" spans="1:22" ht="14.25" x14ac:dyDescent="0.2">
      <c r="A68" s="108"/>
      <c r="B68" s="108"/>
      <c r="C68" s="109"/>
      <c r="D68" s="109" t="s">
        <v>49</v>
      </c>
      <c r="E68" s="110" t="s">
        <v>48</v>
      </c>
      <c r="F68" s="111">
        <f>[84]Source!DO666</f>
        <v>84</v>
      </c>
      <c r="G68" s="112"/>
      <c r="H68" s="113"/>
      <c r="I68" s="111"/>
      <c r="J68" s="122">
        <f>SUM(S61:S67)</f>
        <v>43.25</v>
      </c>
      <c r="K68" s="111">
        <f>[84]Source!CA666</f>
        <v>41</v>
      </c>
      <c r="L68" s="122">
        <f>SUM(T61:T67)</f>
        <v>505.39</v>
      </c>
    </row>
    <row r="69" spans="1:22" ht="14.25" x14ac:dyDescent="0.2">
      <c r="A69" s="108"/>
      <c r="B69" s="108"/>
      <c r="C69" s="109"/>
      <c r="D69" s="109" t="s">
        <v>50</v>
      </c>
      <c r="E69" s="110" t="s">
        <v>48</v>
      </c>
      <c r="F69" s="111">
        <f>175</f>
        <v>175</v>
      </c>
      <c r="G69" s="112"/>
      <c r="H69" s="113"/>
      <c r="I69" s="111"/>
      <c r="J69" s="122">
        <f>SUM(U61:U68)-J75</f>
        <v>0.75</v>
      </c>
      <c r="K69" s="111">
        <f>157</f>
        <v>157</v>
      </c>
      <c r="L69" s="122">
        <f>SUM(V61:V68)-L75</f>
        <v>16.27</v>
      </c>
    </row>
    <row r="70" spans="1:22" ht="14.25" x14ac:dyDescent="0.2">
      <c r="A70" s="108"/>
      <c r="B70" s="108"/>
      <c r="C70" s="109"/>
      <c r="D70" s="109" t="s">
        <v>51</v>
      </c>
      <c r="E70" s="110" t="s">
        <v>52</v>
      </c>
      <c r="F70" s="111">
        <f>[84]Source!AQ665</f>
        <v>9.06</v>
      </c>
      <c r="G70" s="112"/>
      <c r="H70" s="113" t="str">
        <f>[84]Source!DI665</f>
        <v/>
      </c>
      <c r="I70" s="111">
        <f>[84]Source!AV666</f>
        <v>1.0469999999999999</v>
      </c>
      <c r="J70" s="122">
        <f>[84]Source!U665</f>
        <v>2.61</v>
      </c>
      <c r="K70" s="111"/>
      <c r="L70" s="122"/>
    </row>
    <row r="71" spans="1:22" ht="15" x14ac:dyDescent="0.25">
      <c r="I71" s="567">
        <f>J62+J63+J65+J67+J68+J69+SUM(J66:J66)</f>
        <v>261.27999999999997</v>
      </c>
      <c r="J71" s="567"/>
      <c r="K71" s="567">
        <f>L62+L63+L65+L67+L68+L69+SUM(L66:L66)</f>
        <v>3129.59</v>
      </c>
      <c r="L71" s="567"/>
      <c r="O71" s="117">
        <f>J62+J63+J65+J67+J68+J69+SUM(J66:J66)</f>
        <v>261.27999999999997</v>
      </c>
      <c r="P71" s="117">
        <f>L62+L63+L65+L67+L68+L69+SUM(L66:L66)</f>
        <v>3129.59</v>
      </c>
    </row>
    <row r="72" spans="1:22" ht="28.5" x14ac:dyDescent="0.2">
      <c r="A72" s="158"/>
      <c r="B72" s="158"/>
      <c r="C72" s="159"/>
      <c r="D72" s="159" t="s">
        <v>133</v>
      </c>
      <c r="E72" s="110"/>
      <c r="F72" s="160"/>
      <c r="G72" s="161"/>
      <c r="H72" s="110"/>
      <c r="I72" s="160"/>
      <c r="J72" s="115"/>
      <c r="K72" s="160"/>
      <c r="L72" s="115"/>
    </row>
    <row r="73" spans="1:22" ht="14.25" x14ac:dyDescent="0.2">
      <c r="A73" s="158"/>
      <c r="B73" s="158"/>
      <c r="C73" s="159"/>
      <c r="D73" s="159" t="s">
        <v>44</v>
      </c>
      <c r="E73" s="110"/>
      <c r="F73" s="160"/>
      <c r="G73" s="161">
        <f t="shared" ref="G73:L73" si="1">G74</f>
        <v>1.49</v>
      </c>
      <c r="H73" s="162" t="str">
        <f t="shared" si="1"/>
        <v>)*(1.67-1)</v>
      </c>
      <c r="I73" s="160">
        <f t="shared" si="1"/>
        <v>1.0469999999999999</v>
      </c>
      <c r="J73" s="115">
        <f t="shared" si="1"/>
        <v>0.28999999999999998</v>
      </c>
      <c r="K73" s="160">
        <f t="shared" si="1"/>
        <v>23.94</v>
      </c>
      <c r="L73" s="115">
        <f t="shared" si="1"/>
        <v>6.88</v>
      </c>
    </row>
    <row r="74" spans="1:22" ht="14.25" x14ac:dyDescent="0.2">
      <c r="A74" s="158"/>
      <c r="B74" s="158"/>
      <c r="C74" s="159"/>
      <c r="D74" s="159" t="s">
        <v>45</v>
      </c>
      <c r="E74" s="110"/>
      <c r="F74" s="160"/>
      <c r="G74" s="161">
        <f>[84]Source!AN665</f>
        <v>1.49</v>
      </c>
      <c r="H74" s="162" t="s">
        <v>53</v>
      </c>
      <c r="I74" s="160">
        <f>[84]Source!AV666</f>
        <v>1.0469999999999999</v>
      </c>
      <c r="J74" s="115">
        <f>ROUND(F61*G74*I74*(1.67-1), 2)</f>
        <v>0.28999999999999998</v>
      </c>
      <c r="K74" s="160">
        <f>IF([84]Source!BS666&lt;&gt; 0, [84]Source!BS666, 1)</f>
        <v>23.94</v>
      </c>
      <c r="L74" s="115">
        <f>ROUND(F61*G74*I74*(1.67-1)*K74, 2)</f>
        <v>6.88</v>
      </c>
    </row>
    <row r="75" spans="1:22" ht="14.25" x14ac:dyDescent="0.2">
      <c r="A75" s="158"/>
      <c r="B75" s="158"/>
      <c r="C75" s="159"/>
      <c r="D75" s="159" t="s">
        <v>50</v>
      </c>
      <c r="E75" s="110" t="s">
        <v>48</v>
      </c>
      <c r="F75" s="160">
        <f>175</f>
        <v>175</v>
      </c>
      <c r="G75" s="161"/>
      <c r="H75" s="110"/>
      <c r="I75" s="160"/>
      <c r="J75" s="115">
        <f>ROUND(J74*(F75/100), 2)</f>
        <v>0.51</v>
      </c>
      <c r="K75" s="160">
        <f>157</f>
        <v>157</v>
      </c>
      <c r="L75" s="115">
        <f>ROUND(L74*(K75/100), 2)</f>
        <v>10.8</v>
      </c>
    </row>
    <row r="76" spans="1:22" ht="15" x14ac:dyDescent="0.25">
      <c r="I76" s="567">
        <f>J75+J74</f>
        <v>0.8</v>
      </c>
      <c r="J76" s="567"/>
      <c r="K76" s="567">
        <f>L75+L74</f>
        <v>17.68</v>
      </c>
      <c r="L76" s="567"/>
      <c r="O76" s="117">
        <f>I76</f>
        <v>0.8</v>
      </c>
      <c r="P76" s="117">
        <f>K76</f>
        <v>17.68</v>
      </c>
    </row>
    <row r="78" spans="1:22" ht="15" x14ac:dyDescent="0.25">
      <c r="A78" s="163"/>
      <c r="B78" s="163"/>
      <c r="C78" s="164"/>
      <c r="D78" s="164" t="s">
        <v>134</v>
      </c>
      <c r="E78" s="165"/>
      <c r="F78" s="166"/>
      <c r="G78" s="167"/>
      <c r="H78" s="168"/>
      <c r="I78" s="567">
        <f>I71+I76</f>
        <v>262.08</v>
      </c>
      <c r="J78" s="567"/>
      <c r="K78" s="567">
        <f>K71+K76</f>
        <v>3147.27</v>
      </c>
      <c r="L78" s="567"/>
    </row>
    <row r="80" spans="1:22" ht="15" x14ac:dyDescent="0.25">
      <c r="A80" s="572" t="str">
        <f>CONCATENATE("Итого по подразделу: ",IF([84]Source!G670&lt;&gt;"Новый подраздел", [84]Source!G670, ""))</f>
        <v>Итого по подразделу: Тип В2-2а</v>
      </c>
      <c r="B80" s="572"/>
      <c r="C80" s="572"/>
      <c r="D80" s="572"/>
      <c r="E80" s="572"/>
      <c r="F80" s="572"/>
      <c r="G80" s="572"/>
      <c r="H80" s="572"/>
      <c r="I80" s="573">
        <f>SUM(O40:O79)</f>
        <v>6454.67</v>
      </c>
      <c r="J80" s="574"/>
      <c r="K80" s="573">
        <f>SUM(P40:P79)</f>
        <v>46652.15</v>
      </c>
      <c r="L80" s="574"/>
    </row>
    <row r="81" spans="1:22" hidden="1" x14ac:dyDescent="0.2">
      <c r="A81" s="49" t="s">
        <v>54</v>
      </c>
      <c r="J81" s="49">
        <f>SUM(W40:W80)</f>
        <v>0</v>
      </c>
      <c r="K81" s="49">
        <f>SUM(X40:X80)</f>
        <v>0</v>
      </c>
    </row>
    <row r="82" spans="1:22" hidden="1" x14ac:dyDescent="0.2">
      <c r="A82" s="49" t="s">
        <v>55</v>
      </c>
      <c r="J82" s="49">
        <f>SUM(Y40:Y81)</f>
        <v>0</v>
      </c>
      <c r="K82" s="49">
        <f>SUM(Z40:Z81)</f>
        <v>0</v>
      </c>
    </row>
    <row r="84" spans="1:22" ht="16.5" x14ac:dyDescent="0.25">
      <c r="A84" s="571" t="str">
        <f>CONCATENATE("Подраздел: ",IF([84]Source!G979&lt;&gt;"Новый подраздел", [84]Source!G979, ""))</f>
        <v>Подраздел: 3. Стены</v>
      </c>
      <c r="B84" s="571"/>
      <c r="C84" s="571"/>
      <c r="D84" s="571"/>
      <c r="E84" s="571"/>
      <c r="F84" s="571"/>
      <c r="G84" s="571"/>
      <c r="H84" s="571"/>
      <c r="I84" s="571"/>
      <c r="J84" s="571"/>
      <c r="K84" s="571"/>
      <c r="L84" s="571"/>
    </row>
    <row r="85" spans="1:22" ht="65.25" x14ac:dyDescent="0.2">
      <c r="A85" s="108">
        <v>7</v>
      </c>
      <c r="B85" s="108" t="str">
        <f>[84]Source!E1012</f>
        <v>154</v>
      </c>
      <c r="C85" s="109" t="s">
        <v>185</v>
      </c>
      <c r="D85" s="109" t="s">
        <v>186</v>
      </c>
      <c r="E85" s="110" t="str">
        <f>[84]Source!H1012</f>
        <v>100 м2</v>
      </c>
      <c r="F85" s="111">
        <f>[84]Source!I1012</f>
        <v>1.0844</v>
      </c>
      <c r="G85" s="112"/>
      <c r="H85" s="113"/>
      <c r="I85" s="111"/>
      <c r="J85" s="122"/>
      <c r="K85" s="111"/>
      <c r="L85" s="122"/>
      <c r="Q85" s="49">
        <f>[84]Source!X1012</f>
        <v>115.79</v>
      </c>
      <c r="R85" s="49">
        <f>[84]Source!X1013</f>
        <v>2032.77</v>
      </c>
      <c r="S85" s="49">
        <f>[84]Source!Y1012</f>
        <v>81.05</v>
      </c>
      <c r="T85" s="49">
        <f>[84]Source!Y1013</f>
        <v>970.19</v>
      </c>
      <c r="U85" s="49">
        <f>ROUND((175/100)*ROUND([84]Source!R1012, 2), 2)</f>
        <v>0.46</v>
      </c>
      <c r="V85" s="49">
        <f>ROUND((157/100)*ROUND([84]Source!R1013, 2), 2)</f>
        <v>9.77</v>
      </c>
    </row>
    <row r="86" spans="1:22" ht="14.25" x14ac:dyDescent="0.2">
      <c r="A86" s="108"/>
      <c r="B86" s="108"/>
      <c r="C86" s="109"/>
      <c r="D86" s="109" t="s">
        <v>43</v>
      </c>
      <c r="E86" s="110"/>
      <c r="F86" s="111"/>
      <c r="G86" s="112">
        <f>[84]Source!AO1012</f>
        <v>51.98</v>
      </c>
      <c r="H86" s="113" t="str">
        <f>[84]Source!DG1012</f>
        <v>)*1,67</v>
      </c>
      <c r="I86" s="111">
        <f>[84]Source!AV1013</f>
        <v>1.0249999999999999</v>
      </c>
      <c r="J86" s="122">
        <f>[84]Source!S1012</f>
        <v>96.49</v>
      </c>
      <c r="K86" s="111">
        <f>IF([84]Source!BA1013&lt;&gt; 0, [84]Source!BA1013, 1)</f>
        <v>23.94</v>
      </c>
      <c r="L86" s="122">
        <f>[84]Source!S1013</f>
        <v>2309.9699999999998</v>
      </c>
    </row>
    <row r="87" spans="1:22" ht="14.25" x14ac:dyDescent="0.2">
      <c r="A87" s="108"/>
      <c r="B87" s="108"/>
      <c r="C87" s="109"/>
      <c r="D87" s="109" t="s">
        <v>44</v>
      </c>
      <c r="E87" s="110"/>
      <c r="F87" s="111"/>
      <c r="G87" s="112">
        <f>[84]Source!AM1012</f>
        <v>0.82</v>
      </c>
      <c r="H87" s="113" t="str">
        <f>[84]Source!DE1012</f>
        <v/>
      </c>
      <c r="I87" s="111">
        <f>[84]Source!AV1013</f>
        <v>1.0249999999999999</v>
      </c>
      <c r="J87" s="122">
        <f>[84]Source!Q1012-J96</f>
        <v>0.91</v>
      </c>
      <c r="K87" s="111">
        <f>IF([84]Source!BB1013&lt;&gt; 0, [84]Source!BB1013, 1)</f>
        <v>8.83</v>
      </c>
      <c r="L87" s="122">
        <f>[84]Source!Q1013-L96</f>
        <v>7.93</v>
      </c>
    </row>
    <row r="88" spans="1:22" ht="14.25" x14ac:dyDescent="0.2">
      <c r="A88" s="108"/>
      <c r="B88" s="108"/>
      <c r="C88" s="109"/>
      <c r="D88" s="109" t="s">
        <v>45</v>
      </c>
      <c r="E88" s="110"/>
      <c r="F88" s="111"/>
      <c r="G88" s="112">
        <f>[84]Source!AN1012</f>
        <v>0.14000000000000001</v>
      </c>
      <c r="H88" s="113" t="str">
        <f>[84]Source!DE1012</f>
        <v/>
      </c>
      <c r="I88" s="111">
        <f>[84]Source!AV1013</f>
        <v>1.0249999999999999</v>
      </c>
      <c r="J88" s="115">
        <f>[84]Source!R1012-J97</f>
        <v>0.16</v>
      </c>
      <c r="K88" s="111">
        <f>IF([84]Source!BS1013&lt;&gt; 0, [84]Source!BS1013, 1)</f>
        <v>23.94</v>
      </c>
      <c r="L88" s="115">
        <f>[84]Source!R1013-L97</f>
        <v>3.72</v>
      </c>
    </row>
    <row r="89" spans="1:22" ht="57" x14ac:dyDescent="0.2">
      <c r="A89" s="108">
        <v>8</v>
      </c>
      <c r="B89" s="108" t="str">
        <f>[84]Source!E1014</f>
        <v>154,1</v>
      </c>
      <c r="C89" s="109" t="str">
        <f>[84]Source!F1014</f>
        <v>1.1-1-3552</v>
      </c>
      <c r="D89" s="109" t="s">
        <v>187</v>
      </c>
      <c r="E89" s="110" t="str">
        <f>[84]Source!H1014</f>
        <v>л</v>
      </c>
      <c r="F89" s="111">
        <f>[84]Source!I1014</f>
        <v>11.169320000000001</v>
      </c>
      <c r="G89" s="112">
        <f>[84]Source!AK1014</f>
        <v>40.17</v>
      </c>
      <c r="H89" s="157" t="s">
        <v>20</v>
      </c>
      <c r="I89" s="111">
        <f>[84]Source!AW1015</f>
        <v>1</v>
      </c>
      <c r="J89" s="122">
        <f>[84]Source!O1014</f>
        <v>448.67</v>
      </c>
      <c r="K89" s="111">
        <f>IF([84]Source!BC1015&lt;&gt; 0, [84]Source!BC1015, 1)</f>
        <v>1.45</v>
      </c>
      <c r="L89" s="122">
        <f>[84]Source!O1015</f>
        <v>650.57000000000005</v>
      </c>
      <c r="Q89" s="49">
        <f>[84]Source!X1014</f>
        <v>0</v>
      </c>
      <c r="R89" s="49">
        <f>[84]Source!X1015</f>
        <v>0</v>
      </c>
      <c r="S89" s="49">
        <f>[84]Source!Y1014</f>
        <v>0</v>
      </c>
      <c r="T89" s="49">
        <f>[84]Source!Y1015</f>
        <v>0</v>
      </c>
      <c r="U89" s="49">
        <f>ROUND((175/100)*ROUND([84]Source!R1014, 2), 2)</f>
        <v>0</v>
      </c>
      <c r="V89" s="49">
        <f>ROUND((157/100)*ROUND([84]Source!R1015, 2), 2)</f>
        <v>0</v>
      </c>
    </row>
    <row r="90" spans="1:22" ht="14.25" x14ac:dyDescent="0.2">
      <c r="A90" s="108"/>
      <c r="B90" s="108"/>
      <c r="C90" s="109"/>
      <c r="D90" s="109" t="s">
        <v>47</v>
      </c>
      <c r="E90" s="110" t="s">
        <v>48</v>
      </c>
      <c r="F90" s="111">
        <f>[84]Source!DN1013</f>
        <v>120</v>
      </c>
      <c r="G90" s="112"/>
      <c r="H90" s="113"/>
      <c r="I90" s="111"/>
      <c r="J90" s="122">
        <f>SUM(Q85:Q89)</f>
        <v>115.79</v>
      </c>
      <c r="K90" s="111">
        <f>[84]Source!BZ1013</f>
        <v>88</v>
      </c>
      <c r="L90" s="122">
        <f>SUM(R85:R89)</f>
        <v>2032.77</v>
      </c>
    </row>
    <row r="91" spans="1:22" ht="14.25" x14ac:dyDescent="0.2">
      <c r="A91" s="108"/>
      <c r="B91" s="108"/>
      <c r="C91" s="109"/>
      <c r="D91" s="109" t="s">
        <v>49</v>
      </c>
      <c r="E91" s="110" t="s">
        <v>48</v>
      </c>
      <c r="F91" s="111">
        <f>[84]Source!DO1013</f>
        <v>84</v>
      </c>
      <c r="G91" s="112"/>
      <c r="H91" s="113"/>
      <c r="I91" s="111"/>
      <c r="J91" s="122">
        <f>SUM(S85:S90)</f>
        <v>81.05</v>
      </c>
      <c r="K91" s="111">
        <f>[84]Source!CA1013</f>
        <v>42</v>
      </c>
      <c r="L91" s="122">
        <f>SUM(T85:T90)</f>
        <v>970.19</v>
      </c>
    </row>
    <row r="92" spans="1:22" ht="14.25" x14ac:dyDescent="0.2">
      <c r="A92" s="108"/>
      <c r="B92" s="108"/>
      <c r="C92" s="109"/>
      <c r="D92" s="109" t="s">
        <v>50</v>
      </c>
      <c r="E92" s="110" t="s">
        <v>48</v>
      </c>
      <c r="F92" s="111">
        <f>175</f>
        <v>175</v>
      </c>
      <c r="G92" s="112"/>
      <c r="H92" s="113"/>
      <c r="I92" s="111"/>
      <c r="J92" s="122">
        <f>SUM(U85:U91)-J98</f>
        <v>0.28000000000000003</v>
      </c>
      <c r="K92" s="111">
        <f>157</f>
        <v>157</v>
      </c>
      <c r="L92" s="122">
        <f>SUM(V85:V91)-L98</f>
        <v>5.84</v>
      </c>
    </row>
    <row r="93" spans="1:22" ht="14.25" x14ac:dyDescent="0.2">
      <c r="A93" s="108"/>
      <c r="B93" s="108"/>
      <c r="C93" s="109"/>
      <c r="D93" s="109" t="s">
        <v>51</v>
      </c>
      <c r="E93" s="110" t="s">
        <v>52</v>
      </c>
      <c r="F93" s="111">
        <f>[84]Source!AQ1012</f>
        <v>4.6500000000000004</v>
      </c>
      <c r="G93" s="112"/>
      <c r="H93" s="113" t="str">
        <f>[84]Source!DI1012</f>
        <v/>
      </c>
      <c r="I93" s="111">
        <f>[84]Source!AV1013</f>
        <v>1.0249999999999999</v>
      </c>
      <c r="J93" s="122">
        <f>[84]Source!U1012</f>
        <v>5.17</v>
      </c>
      <c r="K93" s="111"/>
      <c r="L93" s="122"/>
    </row>
    <row r="94" spans="1:22" ht="15" x14ac:dyDescent="0.25">
      <c r="I94" s="567">
        <f>J86+J87+J90+J91+J92+SUM(J89:J89)</f>
        <v>743.19</v>
      </c>
      <c r="J94" s="567"/>
      <c r="K94" s="567">
        <f>L86+L87+L90+L91+L92+SUM(L89:L89)</f>
        <v>5977.27</v>
      </c>
      <c r="L94" s="567"/>
      <c r="O94" s="117">
        <f>J86+J87+J90+J91+J92+SUM(J89:J89)</f>
        <v>743.19</v>
      </c>
      <c r="P94" s="117">
        <f>L86+L87+L90+L91+L92+SUM(L89:L89)</f>
        <v>5977.27</v>
      </c>
    </row>
    <row r="95" spans="1:22" ht="28.5" x14ac:dyDescent="0.2">
      <c r="A95" s="158"/>
      <c r="B95" s="158"/>
      <c r="C95" s="159"/>
      <c r="D95" s="159" t="s">
        <v>133</v>
      </c>
      <c r="E95" s="110"/>
      <c r="F95" s="160"/>
      <c r="G95" s="161"/>
      <c r="H95" s="110"/>
      <c r="I95" s="160"/>
      <c r="J95" s="115"/>
      <c r="K95" s="160"/>
      <c r="L95" s="115"/>
    </row>
    <row r="96" spans="1:22" ht="14.25" x14ac:dyDescent="0.2">
      <c r="A96" s="158"/>
      <c r="B96" s="158"/>
      <c r="C96" s="159"/>
      <c r="D96" s="159" t="s">
        <v>44</v>
      </c>
      <c r="E96" s="110"/>
      <c r="F96" s="160"/>
      <c r="G96" s="161">
        <f t="shared" ref="G96:L96" si="2">G97</f>
        <v>0.14000000000000001</v>
      </c>
      <c r="H96" s="162" t="str">
        <f t="shared" si="2"/>
        <v>)*(1.67-1)</v>
      </c>
      <c r="I96" s="160">
        <f t="shared" si="2"/>
        <v>1.0249999999999999</v>
      </c>
      <c r="J96" s="115">
        <f t="shared" si="2"/>
        <v>0.1</v>
      </c>
      <c r="K96" s="160">
        <f t="shared" si="2"/>
        <v>23.94</v>
      </c>
      <c r="L96" s="115">
        <f t="shared" si="2"/>
        <v>2.5</v>
      </c>
    </row>
    <row r="97" spans="1:22" ht="14.25" x14ac:dyDescent="0.2">
      <c r="A97" s="158"/>
      <c r="B97" s="158"/>
      <c r="C97" s="159"/>
      <c r="D97" s="159" t="s">
        <v>45</v>
      </c>
      <c r="E97" s="110"/>
      <c r="F97" s="160"/>
      <c r="G97" s="161">
        <f>[84]Source!AN1012</f>
        <v>0.14000000000000001</v>
      </c>
      <c r="H97" s="162" t="s">
        <v>53</v>
      </c>
      <c r="I97" s="160">
        <f>[84]Source!AV1013</f>
        <v>1.0249999999999999</v>
      </c>
      <c r="J97" s="115">
        <f>ROUND(F85*G97*I97*(1.67-1), 2)</f>
        <v>0.1</v>
      </c>
      <c r="K97" s="160">
        <f>IF([84]Source!BS1013&lt;&gt; 0, [84]Source!BS1013, 1)</f>
        <v>23.94</v>
      </c>
      <c r="L97" s="115">
        <f>ROUND(F85*G97*I97*(1.67-1)*K97, 2)</f>
        <v>2.5</v>
      </c>
    </row>
    <row r="98" spans="1:22" ht="14.25" x14ac:dyDescent="0.2">
      <c r="A98" s="158"/>
      <c r="B98" s="158"/>
      <c r="C98" s="159"/>
      <c r="D98" s="159" t="s">
        <v>50</v>
      </c>
      <c r="E98" s="110" t="s">
        <v>48</v>
      </c>
      <c r="F98" s="160">
        <f>175</f>
        <v>175</v>
      </c>
      <c r="G98" s="161"/>
      <c r="H98" s="110"/>
      <c r="I98" s="160"/>
      <c r="J98" s="115">
        <f>ROUND(J97*(F98/100), 2)</f>
        <v>0.18</v>
      </c>
      <c r="K98" s="160">
        <f>157</f>
        <v>157</v>
      </c>
      <c r="L98" s="115">
        <f>ROUND(L97*(K98/100), 2)</f>
        <v>3.93</v>
      </c>
    </row>
    <row r="99" spans="1:22" ht="15" x14ac:dyDescent="0.25">
      <c r="I99" s="567">
        <f>J98+J97</f>
        <v>0.28000000000000003</v>
      </c>
      <c r="J99" s="567"/>
      <c r="K99" s="567">
        <f>L98+L97</f>
        <v>6.43</v>
      </c>
      <c r="L99" s="567"/>
      <c r="O99" s="117">
        <f>I99</f>
        <v>0.28000000000000003</v>
      </c>
      <c r="P99" s="117">
        <f>K99</f>
        <v>6.43</v>
      </c>
    </row>
    <row r="101" spans="1:22" ht="15" x14ac:dyDescent="0.25">
      <c r="A101" s="163"/>
      <c r="B101" s="163"/>
      <c r="C101" s="164"/>
      <c r="D101" s="164" t="s">
        <v>134</v>
      </c>
      <c r="E101" s="165"/>
      <c r="F101" s="166"/>
      <c r="G101" s="167"/>
      <c r="H101" s="168"/>
      <c r="I101" s="567">
        <f>I94+I99</f>
        <v>743.47</v>
      </c>
      <c r="J101" s="567"/>
      <c r="K101" s="567">
        <f>K94+K99</f>
        <v>5983.7</v>
      </c>
      <c r="L101" s="567"/>
    </row>
    <row r="103" spans="1:22" ht="15" x14ac:dyDescent="0.25">
      <c r="A103" s="572" t="str">
        <f>CONCATENATE("Итого по подразделу: ",IF([84]Source!G1119&lt;&gt;"Новый подраздел", [84]Source!G1119, ""))</f>
        <v>Итого по подразделу: 3. Стены</v>
      </c>
      <c r="B103" s="572"/>
      <c r="C103" s="572"/>
      <c r="D103" s="572"/>
      <c r="E103" s="572"/>
      <c r="F103" s="572"/>
      <c r="G103" s="572"/>
      <c r="H103" s="572"/>
      <c r="I103" s="573">
        <f>SUM(O84:O102)</f>
        <v>743.47</v>
      </c>
      <c r="J103" s="574"/>
      <c r="K103" s="573">
        <f>SUM(P84:P102)</f>
        <v>5983.7</v>
      </c>
      <c r="L103" s="574"/>
    </row>
    <row r="104" spans="1:22" hidden="1" x14ac:dyDescent="0.2">
      <c r="A104" s="49" t="s">
        <v>54</v>
      </c>
      <c r="J104" s="49">
        <f>SUM(W84:W103)</f>
        <v>0</v>
      </c>
      <c r="K104" s="49">
        <f>SUM(X84:X103)</f>
        <v>0</v>
      </c>
    </row>
    <row r="105" spans="1:22" hidden="1" x14ac:dyDescent="0.2">
      <c r="A105" s="49" t="s">
        <v>55</v>
      </c>
      <c r="J105" s="49">
        <f>SUM(Y84:Y104)</f>
        <v>0</v>
      </c>
      <c r="K105" s="49">
        <f>SUM(Z84:Z104)</f>
        <v>0</v>
      </c>
    </row>
    <row r="107" spans="1:22" ht="16.5" x14ac:dyDescent="0.25">
      <c r="A107" s="571" t="str">
        <f>CONCATENATE("Подраздел: ",IF([84]Source!G1437&lt;&gt;"Новый подраздел", [84]Source!G1437, ""))</f>
        <v>Подраздел: Закладные элементы в кирпичных стенах</v>
      </c>
      <c r="B107" s="571"/>
      <c r="C107" s="571"/>
      <c r="D107" s="571"/>
      <c r="E107" s="571"/>
      <c r="F107" s="571"/>
      <c r="G107" s="571"/>
      <c r="H107" s="571"/>
      <c r="I107" s="571"/>
      <c r="J107" s="571"/>
      <c r="K107" s="571"/>
      <c r="L107" s="571"/>
    </row>
    <row r="108" spans="1:22" ht="65.25" x14ac:dyDescent="0.2">
      <c r="A108" s="108">
        <v>9</v>
      </c>
      <c r="B108" s="108" t="str">
        <f>[84]Source!E1447</f>
        <v>185</v>
      </c>
      <c r="C108" s="109" t="s">
        <v>166</v>
      </c>
      <c r="D108" s="109" t="s">
        <v>167</v>
      </c>
      <c r="E108" s="110" t="str">
        <f>[84]Source!H1447</f>
        <v>1 Т</v>
      </c>
      <c r="F108" s="111">
        <f>[84]Source!I1447</f>
        <v>8.9999999999999993E-3</v>
      </c>
      <c r="G108" s="112"/>
      <c r="H108" s="113"/>
      <c r="I108" s="111"/>
      <c r="J108" s="122"/>
      <c r="K108" s="111"/>
      <c r="L108" s="122"/>
      <c r="Q108" s="49">
        <f>[84]Source!X1447</f>
        <v>10.64</v>
      </c>
      <c r="R108" s="49">
        <f>[84]Source!X1448</f>
        <v>239.19</v>
      </c>
      <c r="S108" s="49">
        <f>[84]Source!Y1447</f>
        <v>7.6</v>
      </c>
      <c r="T108" s="49">
        <f>[84]Source!Y1448</f>
        <v>168.99</v>
      </c>
      <c r="U108" s="49">
        <f>ROUND((175/100)*ROUND([84]Source!R1447, 2), 2)</f>
        <v>0.19</v>
      </c>
      <c r="V108" s="49">
        <f>ROUND((157/100)*ROUND([84]Source!R1448, 2), 2)</f>
        <v>4.13</v>
      </c>
    </row>
    <row r="109" spans="1:22" ht="14.25" x14ac:dyDescent="0.2">
      <c r="A109" s="108"/>
      <c r="B109" s="108"/>
      <c r="C109" s="109"/>
      <c r="D109" s="109" t="s">
        <v>43</v>
      </c>
      <c r="E109" s="110"/>
      <c r="F109" s="111"/>
      <c r="G109" s="112">
        <f>[84]Source!AO1447</f>
        <v>690.2</v>
      </c>
      <c r="H109" s="113" t="str">
        <f>[84]Source!DG1447</f>
        <v>)*1,67</v>
      </c>
      <c r="I109" s="111">
        <f>[84]Source!AV1448</f>
        <v>1.0469999999999999</v>
      </c>
      <c r="J109" s="122">
        <f>[84]Source!S1447</f>
        <v>10.86</v>
      </c>
      <c r="K109" s="111">
        <f>IF([84]Source!BA1448&lt;&gt; 0, [84]Source!BA1448, 1)</f>
        <v>23.94</v>
      </c>
      <c r="L109" s="122">
        <f>[84]Source!S1448</f>
        <v>259.99</v>
      </c>
    </row>
    <row r="110" spans="1:22" ht="14.25" x14ac:dyDescent="0.2">
      <c r="A110" s="108"/>
      <c r="B110" s="108"/>
      <c r="C110" s="109"/>
      <c r="D110" s="109" t="s">
        <v>44</v>
      </c>
      <c r="E110" s="110"/>
      <c r="F110" s="111"/>
      <c r="G110" s="112">
        <f>[84]Source!AM1447</f>
        <v>31.93</v>
      </c>
      <c r="H110" s="113" t="str">
        <f>[84]Source!DE1447</f>
        <v/>
      </c>
      <c r="I110" s="111">
        <f>[84]Source!AV1448</f>
        <v>1.0469999999999999</v>
      </c>
      <c r="J110" s="122">
        <f>[84]Source!Q1447-J120</f>
        <v>0.3</v>
      </c>
      <c r="K110" s="111">
        <f>IF([84]Source!BB1448&lt;&gt; 0, [84]Source!BB1448, 1)</f>
        <v>8.3699999999999992</v>
      </c>
      <c r="L110" s="122">
        <f>[84]Source!Q1448-L120</f>
        <v>2.41</v>
      </c>
    </row>
    <row r="111" spans="1:22" ht="14.25" x14ac:dyDescent="0.2">
      <c r="A111" s="108"/>
      <c r="B111" s="108"/>
      <c r="C111" s="109"/>
      <c r="D111" s="109" t="s">
        <v>45</v>
      </c>
      <c r="E111" s="110"/>
      <c r="F111" s="111"/>
      <c r="G111" s="112">
        <f>[84]Source!AN1447</f>
        <v>6.99</v>
      </c>
      <c r="H111" s="113" t="str">
        <f>[84]Source!DE1447</f>
        <v/>
      </c>
      <c r="I111" s="111">
        <f>[84]Source!AV1448</f>
        <v>1.0469999999999999</v>
      </c>
      <c r="J111" s="115">
        <f>[84]Source!R1447-J121</f>
        <v>7.0000000000000007E-2</v>
      </c>
      <c r="K111" s="111">
        <f>IF([84]Source!BS1448&lt;&gt; 0, [84]Source!BS1448, 1)</f>
        <v>23.94</v>
      </c>
      <c r="L111" s="115">
        <f>[84]Source!R1448-L121</f>
        <v>1.57</v>
      </c>
    </row>
    <row r="112" spans="1:22" ht="42.75" x14ac:dyDescent="0.2">
      <c r="A112" s="108">
        <v>10</v>
      </c>
      <c r="B112" s="108" t="str">
        <f>[84]Source!E1455</f>
        <v>185,4</v>
      </c>
      <c r="C112" s="109" t="str">
        <f>[84]Source!F1455</f>
        <v>1.1-1-1111</v>
      </c>
      <c r="D112" s="109" t="s">
        <v>168</v>
      </c>
      <c r="E112" s="110" t="str">
        <f>[84]Source!H1455</f>
        <v>т</v>
      </c>
      <c r="F112" s="111">
        <f>[84]Source!I1455</f>
        <v>8.0000000000000002E-3</v>
      </c>
      <c r="G112" s="112">
        <f>[84]Source!AK1455</f>
        <v>7879.13</v>
      </c>
      <c r="H112" s="157" t="s">
        <v>20</v>
      </c>
      <c r="I112" s="111">
        <f>[84]Source!AW1456</f>
        <v>1.022</v>
      </c>
      <c r="J112" s="122">
        <f>[84]Source!O1455</f>
        <v>63.03</v>
      </c>
      <c r="K112" s="111">
        <f>IF([84]Source!BC1456&lt;&gt; 0, [84]Source!BC1456, 1)</f>
        <v>3.1</v>
      </c>
      <c r="L112" s="122">
        <f>[84]Source!O1456</f>
        <v>199.7</v>
      </c>
      <c r="Q112" s="49">
        <f>[84]Source!X1455</f>
        <v>0</v>
      </c>
      <c r="R112" s="49">
        <f>[84]Source!X1456</f>
        <v>0</v>
      </c>
      <c r="S112" s="49">
        <f>[84]Source!Y1455</f>
        <v>0</v>
      </c>
      <c r="T112" s="49">
        <f>[84]Source!Y1456</f>
        <v>0</v>
      </c>
      <c r="U112" s="49">
        <f>ROUND((175/100)*ROUND([84]Source!R1455, 2), 2)</f>
        <v>0</v>
      </c>
      <c r="V112" s="49">
        <f>ROUND((157/100)*ROUND([84]Source!R1456, 2), 2)</f>
        <v>0</v>
      </c>
    </row>
    <row r="113" spans="1:22" ht="85.5" x14ac:dyDescent="0.2">
      <c r="A113" s="108">
        <v>11</v>
      </c>
      <c r="B113" s="108" t="str">
        <f>[84]Source!E1457</f>
        <v>185,5</v>
      </c>
      <c r="C113" s="109" t="str">
        <f>[84]Source!F1457</f>
        <v>1.3-4-3</v>
      </c>
      <c r="D113" s="109" t="s">
        <v>169</v>
      </c>
      <c r="E113" s="110" t="str">
        <f>[84]Source!H1457</f>
        <v>т</v>
      </c>
      <c r="F113" s="111">
        <f>[84]Source!I1457</f>
        <v>1E-3</v>
      </c>
      <c r="G113" s="112">
        <f>[84]Source!AK1457</f>
        <v>5681.92</v>
      </c>
      <c r="H113" s="157" t="s">
        <v>20</v>
      </c>
      <c r="I113" s="111">
        <f>[84]Source!AW1458</f>
        <v>1.022</v>
      </c>
      <c r="J113" s="122">
        <f>[84]Source!O1457</f>
        <v>5.68</v>
      </c>
      <c r="K113" s="111">
        <f>IF([84]Source!BC1458&lt;&gt; 0, [84]Source!BC1458, 1)</f>
        <v>7.17</v>
      </c>
      <c r="L113" s="122">
        <f>[84]Source!O1458</f>
        <v>41.66</v>
      </c>
      <c r="Q113" s="49">
        <f>[84]Source!X1457</f>
        <v>0</v>
      </c>
      <c r="R113" s="49">
        <f>[84]Source!X1458</f>
        <v>0</v>
      </c>
      <c r="S113" s="49">
        <f>[84]Source!Y1457</f>
        <v>0</v>
      </c>
      <c r="T113" s="49">
        <f>[84]Source!Y1458</f>
        <v>0</v>
      </c>
      <c r="U113" s="49">
        <f>ROUND((175/100)*ROUND([84]Source!R1457, 2), 2)</f>
        <v>0</v>
      </c>
      <c r="V113" s="49">
        <f>ROUND((157/100)*ROUND([84]Source!R1458, 2), 2)</f>
        <v>0</v>
      </c>
    </row>
    <row r="114" spans="1:22" ht="14.25" x14ac:dyDescent="0.2">
      <c r="A114" s="108"/>
      <c r="B114" s="108"/>
      <c r="C114" s="109"/>
      <c r="D114" s="109" t="s">
        <v>47</v>
      </c>
      <c r="E114" s="110" t="s">
        <v>48</v>
      </c>
      <c r="F114" s="111">
        <f>[84]Source!DN1448</f>
        <v>98</v>
      </c>
      <c r="G114" s="112"/>
      <c r="H114" s="113"/>
      <c r="I114" s="111"/>
      <c r="J114" s="122">
        <f>SUM(Q108:Q113)</f>
        <v>10.64</v>
      </c>
      <c r="K114" s="111">
        <f>[84]Source!BZ1448</f>
        <v>92</v>
      </c>
      <c r="L114" s="122">
        <f>SUM(R108:R113)</f>
        <v>239.19</v>
      </c>
    </row>
    <row r="115" spans="1:22" ht="14.25" x14ac:dyDescent="0.2">
      <c r="A115" s="108"/>
      <c r="B115" s="108"/>
      <c r="C115" s="109"/>
      <c r="D115" s="109" t="s">
        <v>49</v>
      </c>
      <c r="E115" s="110" t="s">
        <v>48</v>
      </c>
      <c r="F115" s="111">
        <f>[84]Source!DO1448</f>
        <v>70</v>
      </c>
      <c r="G115" s="112"/>
      <c r="H115" s="113"/>
      <c r="I115" s="111"/>
      <c r="J115" s="122">
        <f>SUM(S108:S114)</f>
        <v>7.6</v>
      </c>
      <c r="K115" s="111">
        <f>[84]Source!CA1448</f>
        <v>65</v>
      </c>
      <c r="L115" s="122">
        <f>SUM(T108:T114)</f>
        <v>168.99</v>
      </c>
    </row>
    <row r="116" spans="1:22" ht="14.25" x14ac:dyDescent="0.2">
      <c r="A116" s="108"/>
      <c r="B116" s="108"/>
      <c r="C116" s="109"/>
      <c r="D116" s="109" t="s">
        <v>50</v>
      </c>
      <c r="E116" s="110" t="s">
        <v>48</v>
      </c>
      <c r="F116" s="111">
        <f>175</f>
        <v>175</v>
      </c>
      <c r="G116" s="112"/>
      <c r="H116" s="113"/>
      <c r="I116" s="111"/>
      <c r="J116" s="122">
        <f>SUM(U108:U115)-J122</f>
        <v>0.12</v>
      </c>
      <c r="K116" s="111">
        <f>157</f>
        <v>157</v>
      </c>
      <c r="L116" s="122">
        <f>SUM(V108:V115)-L122</f>
        <v>2.4700000000000002</v>
      </c>
    </row>
    <row r="117" spans="1:22" ht="14.25" x14ac:dyDescent="0.2">
      <c r="A117" s="108"/>
      <c r="B117" s="108"/>
      <c r="C117" s="109"/>
      <c r="D117" s="109" t="s">
        <v>51</v>
      </c>
      <c r="E117" s="110" t="s">
        <v>52</v>
      </c>
      <c r="F117" s="111">
        <f>[84]Source!AQ1447</f>
        <v>58</v>
      </c>
      <c r="G117" s="112"/>
      <c r="H117" s="113" t="str">
        <f>[84]Source!DI1447</f>
        <v/>
      </c>
      <c r="I117" s="111">
        <f>[84]Source!AV1448</f>
        <v>1.0469999999999999</v>
      </c>
      <c r="J117" s="122">
        <f>[84]Source!U1447</f>
        <v>0.55000000000000004</v>
      </c>
      <c r="K117" s="111"/>
      <c r="L117" s="122"/>
    </row>
    <row r="118" spans="1:22" ht="15" x14ac:dyDescent="0.25">
      <c r="I118" s="567">
        <f>J109+J110+J114+J115+J116+SUM(J112:J113)</f>
        <v>98.23</v>
      </c>
      <c r="J118" s="567"/>
      <c r="K118" s="567">
        <f>L109+L110+L114+L115+L116+SUM(L112:L113)</f>
        <v>914.41</v>
      </c>
      <c r="L118" s="567"/>
      <c r="O118" s="117">
        <f>J109+J110+J114+J115+J116+SUM(J112:J113)</f>
        <v>98.23</v>
      </c>
      <c r="P118" s="117">
        <f>L109+L110+L114+L115+L116+SUM(L112:L113)</f>
        <v>914.41</v>
      </c>
    </row>
    <row r="119" spans="1:22" ht="28.5" x14ac:dyDescent="0.2">
      <c r="A119" s="158"/>
      <c r="B119" s="158"/>
      <c r="C119" s="159"/>
      <c r="D119" s="159" t="s">
        <v>133</v>
      </c>
      <c r="E119" s="110"/>
      <c r="F119" s="160"/>
      <c r="G119" s="161"/>
      <c r="H119" s="110"/>
      <c r="I119" s="160"/>
      <c r="J119" s="115"/>
      <c r="K119" s="160"/>
      <c r="L119" s="115"/>
    </row>
    <row r="120" spans="1:22" ht="14.25" x14ac:dyDescent="0.2">
      <c r="A120" s="158"/>
      <c r="B120" s="158"/>
      <c r="C120" s="159"/>
      <c r="D120" s="159" t="s">
        <v>44</v>
      </c>
      <c r="E120" s="110"/>
      <c r="F120" s="160"/>
      <c r="G120" s="161">
        <f t="shared" ref="G120:L120" si="3">G121</f>
        <v>6.99</v>
      </c>
      <c r="H120" s="162" t="str">
        <f t="shared" si="3"/>
        <v>)*(1.67-1)</v>
      </c>
      <c r="I120" s="160">
        <f t="shared" si="3"/>
        <v>1.0469999999999999</v>
      </c>
      <c r="J120" s="115">
        <f t="shared" si="3"/>
        <v>0.04</v>
      </c>
      <c r="K120" s="160">
        <f t="shared" si="3"/>
        <v>23.94</v>
      </c>
      <c r="L120" s="115">
        <f t="shared" si="3"/>
        <v>1.06</v>
      </c>
    </row>
    <row r="121" spans="1:22" ht="14.25" x14ac:dyDescent="0.2">
      <c r="A121" s="158"/>
      <c r="B121" s="158"/>
      <c r="C121" s="159"/>
      <c r="D121" s="159" t="s">
        <v>45</v>
      </c>
      <c r="E121" s="110"/>
      <c r="F121" s="160"/>
      <c r="G121" s="161">
        <f>[84]Source!AN1447</f>
        <v>6.99</v>
      </c>
      <c r="H121" s="162" t="s">
        <v>53</v>
      </c>
      <c r="I121" s="160">
        <f>[84]Source!AV1448</f>
        <v>1.0469999999999999</v>
      </c>
      <c r="J121" s="115">
        <f>ROUND(F108*G121*I121*(1.67-1), 2)</f>
        <v>0.04</v>
      </c>
      <c r="K121" s="160">
        <f>IF([84]Source!BS1448&lt;&gt; 0, [84]Source!BS1448, 1)</f>
        <v>23.94</v>
      </c>
      <c r="L121" s="115">
        <f>ROUND(F108*G121*I121*(1.67-1)*K121, 2)</f>
        <v>1.06</v>
      </c>
    </row>
    <row r="122" spans="1:22" ht="14.25" x14ac:dyDescent="0.2">
      <c r="A122" s="158"/>
      <c r="B122" s="158"/>
      <c r="C122" s="159"/>
      <c r="D122" s="159" t="s">
        <v>50</v>
      </c>
      <c r="E122" s="110" t="s">
        <v>48</v>
      </c>
      <c r="F122" s="160">
        <f>175</f>
        <v>175</v>
      </c>
      <c r="G122" s="161"/>
      <c r="H122" s="110"/>
      <c r="I122" s="160"/>
      <c r="J122" s="115">
        <f>ROUND(J121*(F122/100), 2)</f>
        <v>7.0000000000000007E-2</v>
      </c>
      <c r="K122" s="160">
        <f>157</f>
        <v>157</v>
      </c>
      <c r="L122" s="115">
        <f>ROUND(L121*(K122/100), 2)</f>
        <v>1.66</v>
      </c>
    </row>
    <row r="123" spans="1:22" ht="15" x14ac:dyDescent="0.25">
      <c r="I123" s="567">
        <f>J122+J121</f>
        <v>0.11</v>
      </c>
      <c r="J123" s="567"/>
      <c r="K123" s="567">
        <f>L122+L121</f>
        <v>2.72</v>
      </c>
      <c r="L123" s="567"/>
      <c r="O123" s="117">
        <f>I123</f>
        <v>0.11</v>
      </c>
      <c r="P123" s="117">
        <f>K123</f>
        <v>2.72</v>
      </c>
    </row>
    <row r="125" spans="1:22" ht="15" x14ac:dyDescent="0.25">
      <c r="A125" s="163"/>
      <c r="B125" s="163"/>
      <c r="C125" s="164"/>
      <c r="D125" s="164" t="s">
        <v>134</v>
      </c>
      <c r="E125" s="165"/>
      <c r="F125" s="166"/>
      <c r="G125" s="167"/>
      <c r="H125" s="168"/>
      <c r="I125" s="567">
        <f>I118+I123</f>
        <v>98.34</v>
      </c>
      <c r="J125" s="567"/>
      <c r="K125" s="567">
        <f>K118+K123</f>
        <v>917.13</v>
      </c>
      <c r="L125" s="567"/>
    </row>
    <row r="127" spans="1:22" ht="15" x14ac:dyDescent="0.25">
      <c r="A127" s="572" t="str">
        <f>CONCATENATE("Итого по подразделу: ",IF([84]Source!G1474&lt;&gt;"Новый подраздел", [84]Source!G1474, ""))</f>
        <v>Итого по подразделу: Закладные элементы в кирпичных стенах</v>
      </c>
      <c r="B127" s="572"/>
      <c r="C127" s="572"/>
      <c r="D127" s="572"/>
      <c r="E127" s="572"/>
      <c r="F127" s="572"/>
      <c r="G127" s="572"/>
      <c r="H127" s="572"/>
      <c r="I127" s="573">
        <f>SUM(O107:O126)</f>
        <v>98.34</v>
      </c>
      <c r="J127" s="574"/>
      <c r="K127" s="573">
        <f>SUM(P107:P126)</f>
        <v>917.13</v>
      </c>
      <c r="L127" s="574"/>
    </row>
    <row r="128" spans="1:22" hidden="1" x14ac:dyDescent="0.2">
      <c r="A128" s="49" t="s">
        <v>54</v>
      </c>
      <c r="J128" s="49">
        <f>SUM(W107:W127)</f>
        <v>0</v>
      </c>
      <c r="K128" s="49">
        <f>SUM(X107:X127)</f>
        <v>0</v>
      </c>
    </row>
    <row r="129" spans="1:32" hidden="1" x14ac:dyDescent="0.2">
      <c r="A129" s="49" t="s">
        <v>55</v>
      </c>
      <c r="J129" s="49">
        <f>SUM(Y107:Y128)</f>
        <v>0</v>
      </c>
      <c r="K129" s="49">
        <f>SUM(Z107:Z128)</f>
        <v>0</v>
      </c>
    </row>
    <row r="131" spans="1:32" ht="23.25" customHeight="1" x14ac:dyDescent="0.25">
      <c r="A131" s="572" t="s">
        <v>74</v>
      </c>
      <c r="B131" s="572"/>
      <c r="C131" s="572"/>
      <c r="D131" s="572"/>
      <c r="E131" s="572"/>
      <c r="F131" s="572"/>
      <c r="G131" s="572"/>
      <c r="H131" s="572"/>
      <c r="I131" s="573">
        <f>SUM(O30:O130)</f>
        <v>7296.48</v>
      </c>
      <c r="J131" s="574"/>
      <c r="K131" s="573">
        <f>SUM(P30:P130)</f>
        <v>53552.98</v>
      </c>
      <c r="L131" s="574"/>
      <c r="AF131" s="100" t="str">
        <f>CONCATENATE("Итого по акту: ",IF([84]Source!G1565&lt;&gt;"Новый объект", [84]Source!G1565, ""))</f>
        <v>Итого по акту: (48701 доп.1) 12-4017-Л-Р-11.4.1.2.1-АР1-СМ1-Доп1  Ст.комплекс Аминьевское шоссе. Вестибюль №2, камера съездов, ТПП. АР. Уровень кассового зала и машинного зала эскалаторов.</v>
      </c>
    </row>
    <row r="132" spans="1:32" hidden="1" x14ac:dyDescent="0.2">
      <c r="A132" s="49" t="s">
        <v>54</v>
      </c>
      <c r="J132" s="49">
        <f>SUM(W30:W131)</f>
        <v>0</v>
      </c>
      <c r="K132" s="49">
        <f>SUM(X30:X131)</f>
        <v>0</v>
      </c>
    </row>
    <row r="133" spans="1:32" hidden="1" x14ac:dyDescent="0.2">
      <c r="A133" s="49" t="s">
        <v>55</v>
      </c>
      <c r="J133" s="49">
        <f>SUM(Y30:Y132)</f>
        <v>0</v>
      </c>
      <c r="K133" s="49">
        <f>SUM(Z30:Z132)</f>
        <v>0</v>
      </c>
    </row>
    <row r="134" spans="1:32" ht="14.25" x14ac:dyDescent="0.2">
      <c r="D134" s="558" t="s">
        <v>217</v>
      </c>
      <c r="E134" s="558"/>
      <c r="F134" s="558"/>
      <c r="G134" s="558"/>
      <c r="H134" s="558"/>
      <c r="I134" s="559">
        <f>[84]Source!F1568</f>
        <v>5322.97</v>
      </c>
      <c r="J134" s="559"/>
      <c r="K134" s="559">
        <f>[84]Source!P1568</f>
        <v>18087.54</v>
      </c>
      <c r="L134" s="559"/>
    </row>
    <row r="135" spans="1:32" ht="14.25" x14ac:dyDescent="0.2">
      <c r="D135" s="558" t="s">
        <v>218</v>
      </c>
      <c r="E135" s="558"/>
      <c r="F135" s="558"/>
      <c r="G135" s="558"/>
      <c r="H135" s="558"/>
      <c r="I135" s="559">
        <f>[84]Source!F1579</f>
        <v>7.11</v>
      </c>
      <c r="J135" s="559"/>
      <c r="K135" s="559">
        <f>[84]Source!P1579</f>
        <v>170.21</v>
      </c>
      <c r="L135" s="559"/>
    </row>
    <row r="136" spans="1:32" ht="14.25" x14ac:dyDescent="0.2">
      <c r="D136" s="558" t="s">
        <v>219</v>
      </c>
      <c r="E136" s="558"/>
      <c r="F136" s="558"/>
      <c r="G136" s="558"/>
      <c r="H136" s="558"/>
      <c r="I136" s="559">
        <f>[84]Source!F1580</f>
        <v>633.41</v>
      </c>
      <c r="J136" s="559"/>
      <c r="K136" s="559">
        <f>[84]Source!P1580</f>
        <v>15163.84</v>
      </c>
      <c r="L136" s="559"/>
    </row>
    <row r="137" spans="1:32" ht="15" x14ac:dyDescent="0.25">
      <c r="D137" s="99"/>
      <c r="I137" s="116"/>
      <c r="J137" s="116"/>
      <c r="K137" s="169"/>
      <c r="L137" s="169"/>
    </row>
    <row r="138" spans="1:32" ht="14.25" x14ac:dyDescent="0.2">
      <c r="A138" s="139"/>
      <c r="B138" s="139"/>
      <c r="C138" s="139"/>
      <c r="D138" s="170" t="s">
        <v>57</v>
      </c>
      <c r="E138" s="139"/>
      <c r="F138" s="139"/>
      <c r="G138" s="139"/>
      <c r="H138" s="139"/>
      <c r="I138" s="139"/>
      <c r="J138" s="171">
        <f>I131</f>
        <v>7296.48</v>
      </c>
      <c r="K138" s="171"/>
      <c r="L138" s="171">
        <f>K131</f>
        <v>53552.98</v>
      </c>
    </row>
    <row r="139" spans="1:32" ht="14.25" x14ac:dyDescent="0.2">
      <c r="A139" s="139"/>
      <c r="B139" s="139"/>
      <c r="C139" s="139"/>
      <c r="D139" s="170" t="s">
        <v>3</v>
      </c>
      <c r="E139" s="139"/>
      <c r="F139" s="139"/>
      <c r="G139" s="139"/>
      <c r="H139" s="139"/>
      <c r="I139" s="139"/>
      <c r="J139" s="171">
        <f>J138</f>
        <v>7296.48</v>
      </c>
      <c r="K139" s="171"/>
      <c r="L139" s="171">
        <f>L138</f>
        <v>53552.98</v>
      </c>
    </row>
    <row r="140" spans="1:32" ht="14.25" x14ac:dyDescent="0.2">
      <c r="A140" s="139"/>
      <c r="B140" s="139"/>
      <c r="C140" s="139"/>
      <c r="D140" s="170" t="s">
        <v>58</v>
      </c>
      <c r="E140" s="139"/>
      <c r="F140" s="139"/>
      <c r="G140" s="139"/>
      <c r="H140" s="139"/>
      <c r="I140" s="139"/>
      <c r="J140" s="171">
        <f>I135+I136</f>
        <v>640.52</v>
      </c>
      <c r="K140" s="171"/>
      <c r="L140" s="171">
        <f>K135+K136</f>
        <v>15334.05</v>
      </c>
    </row>
    <row r="141" spans="1:32" ht="14.25" x14ac:dyDescent="0.2">
      <c r="A141" s="139"/>
      <c r="B141" s="139"/>
      <c r="C141" s="139"/>
      <c r="D141" s="170" t="s">
        <v>59</v>
      </c>
      <c r="E141" s="139"/>
      <c r="F141" s="139"/>
      <c r="G141" s="139"/>
      <c r="H141" s="139"/>
      <c r="I141" s="139"/>
      <c r="J141" s="171">
        <f>I134</f>
        <v>5322.97</v>
      </c>
      <c r="K141" s="171"/>
      <c r="L141" s="171">
        <f>K134</f>
        <v>18087.54</v>
      </c>
    </row>
    <row r="142" spans="1:32" ht="14.25" x14ac:dyDescent="0.2">
      <c r="A142" s="139"/>
      <c r="B142" s="139"/>
      <c r="C142" s="139"/>
      <c r="D142" s="170" t="s">
        <v>60</v>
      </c>
      <c r="E142" s="139"/>
      <c r="F142" s="139"/>
      <c r="G142" s="139"/>
      <c r="H142" s="139"/>
      <c r="I142" s="139"/>
      <c r="J142" s="172">
        <v>0</v>
      </c>
      <c r="K142" s="172"/>
      <c r="L142" s="172">
        <v>0</v>
      </c>
    </row>
    <row r="143" spans="1:32" ht="14.25" x14ac:dyDescent="0.2">
      <c r="A143" s="128"/>
      <c r="B143" s="128"/>
      <c r="C143" s="128"/>
      <c r="D143" s="540" t="s">
        <v>111</v>
      </c>
      <c r="E143" s="540"/>
      <c r="F143" s="540"/>
      <c r="G143" s="540"/>
      <c r="H143" s="540"/>
      <c r="I143" s="136"/>
      <c r="J143" s="136">
        <v>0</v>
      </c>
      <c r="K143" s="136"/>
      <c r="L143" s="136">
        <v>0</v>
      </c>
    </row>
    <row r="144" spans="1:32" ht="15" x14ac:dyDescent="0.25">
      <c r="A144" s="130"/>
      <c r="B144" s="130"/>
      <c r="C144" s="130"/>
      <c r="D144" s="540" t="s">
        <v>112</v>
      </c>
      <c r="E144" s="540"/>
      <c r="F144" s="540"/>
      <c r="G144" s="540"/>
      <c r="H144" s="540"/>
      <c r="I144" s="560">
        <f>J139*5.61%</f>
        <v>409.33</v>
      </c>
      <c r="J144" s="560"/>
      <c r="K144" s="560">
        <f>L139*5.61%</f>
        <v>3004.32</v>
      </c>
      <c r="L144" s="560"/>
    </row>
    <row r="145" spans="1:12" ht="15" x14ac:dyDescent="0.25">
      <c r="A145" s="130"/>
      <c r="B145" s="130"/>
      <c r="C145" s="130"/>
      <c r="D145" s="540" t="s">
        <v>70</v>
      </c>
      <c r="E145" s="540"/>
      <c r="F145" s="540"/>
      <c r="G145" s="540"/>
      <c r="H145" s="540"/>
      <c r="I145" s="560">
        <f>J139+J143+I144</f>
        <v>7705.81</v>
      </c>
      <c r="J145" s="560"/>
      <c r="K145" s="560">
        <f>L139+L143+K144</f>
        <v>56557.3</v>
      </c>
      <c r="L145" s="560"/>
    </row>
    <row r="146" spans="1:12" ht="14.25" x14ac:dyDescent="0.2">
      <c r="A146" s="128"/>
      <c r="B146" s="128"/>
      <c r="C146" s="128"/>
      <c r="D146" s="540" t="s">
        <v>71</v>
      </c>
      <c r="E146" s="540"/>
      <c r="F146" s="540"/>
      <c r="G146" s="540"/>
      <c r="H146" s="540"/>
      <c r="I146" s="560">
        <f>J140*0.15</f>
        <v>96.08</v>
      </c>
      <c r="J146" s="560"/>
      <c r="K146" s="560">
        <f>L140*0.15</f>
        <v>2300.11</v>
      </c>
      <c r="L146" s="560"/>
    </row>
    <row r="147" spans="1:12" ht="15" x14ac:dyDescent="0.25">
      <c r="A147" s="131"/>
      <c r="B147" s="131"/>
      <c r="C147" s="131"/>
      <c r="D147" s="575" t="s">
        <v>72</v>
      </c>
      <c r="E147" s="575"/>
      <c r="F147" s="575"/>
      <c r="G147" s="575"/>
      <c r="H147" s="575"/>
      <c r="I147" s="564">
        <f>I145+I146</f>
        <v>7801.89</v>
      </c>
      <c r="J147" s="564"/>
      <c r="K147" s="565">
        <f>K145+K146</f>
        <v>58857.41</v>
      </c>
      <c r="L147" s="565"/>
    </row>
    <row r="148" spans="1:12" ht="14.25" x14ac:dyDescent="0.2">
      <c r="A148" s="128"/>
      <c r="B148" s="128"/>
      <c r="C148" s="128"/>
      <c r="D148" s="540"/>
      <c r="E148" s="540"/>
      <c r="F148" s="540"/>
      <c r="G148" s="540"/>
      <c r="H148" s="540"/>
      <c r="I148" s="560"/>
      <c r="J148" s="560"/>
      <c r="K148" s="560"/>
      <c r="L148" s="560"/>
    </row>
    <row r="149" spans="1:12" ht="15" x14ac:dyDescent="0.25">
      <c r="A149" s="131"/>
      <c r="B149" s="131"/>
      <c r="C149" s="131"/>
      <c r="D149" s="575" t="s">
        <v>113</v>
      </c>
      <c r="E149" s="575"/>
      <c r="F149" s="575"/>
      <c r="G149" s="575"/>
      <c r="H149" s="575"/>
      <c r="I149" s="131"/>
      <c r="J149" s="131"/>
      <c r="K149" s="131"/>
      <c r="L149" s="133">
        <f>K150+K152</f>
        <v>51779.71</v>
      </c>
    </row>
    <row r="150" spans="1:12" ht="14.25" x14ac:dyDescent="0.2">
      <c r="A150" s="128"/>
      <c r="B150" s="128"/>
      <c r="C150" s="128"/>
      <c r="D150" s="540" t="s">
        <v>3</v>
      </c>
      <c r="E150" s="540"/>
      <c r="F150" s="540"/>
      <c r="G150" s="540"/>
      <c r="H150" s="540"/>
      <c r="I150" s="128"/>
      <c r="J150" s="134"/>
      <c r="K150" s="560">
        <f>(L139-L141)*0.95+K151</f>
        <v>51779.71</v>
      </c>
      <c r="L150" s="560"/>
    </row>
    <row r="151" spans="1:12" ht="14.25" x14ac:dyDescent="0.2">
      <c r="A151" s="128"/>
      <c r="B151" s="128"/>
      <c r="C151" s="128"/>
      <c r="D151" s="540" t="s">
        <v>114</v>
      </c>
      <c r="E151" s="540"/>
      <c r="F151" s="540"/>
      <c r="G151" s="540"/>
      <c r="H151" s="540"/>
      <c r="I151" s="128"/>
      <c r="J151" s="134"/>
      <c r="K151" s="560">
        <f>L141*1</f>
        <v>18087.54</v>
      </c>
      <c r="L151" s="560"/>
    </row>
    <row r="152" spans="1:12" ht="14.25" x14ac:dyDescent="0.2">
      <c r="A152" s="128"/>
      <c r="B152" s="128"/>
      <c r="C152" s="128"/>
      <c r="D152" s="540" t="s">
        <v>115</v>
      </c>
      <c r="E152" s="540"/>
      <c r="F152" s="540"/>
      <c r="G152" s="540"/>
      <c r="H152" s="540"/>
      <c r="I152" s="560"/>
      <c r="J152" s="560"/>
      <c r="K152" s="560">
        <f>L142</f>
        <v>0</v>
      </c>
      <c r="L152" s="560"/>
    </row>
    <row r="153" spans="1:12" ht="14.25" x14ac:dyDescent="0.2">
      <c r="A153" s="128"/>
      <c r="B153" s="128"/>
      <c r="C153" s="128"/>
      <c r="D153" s="540" t="s">
        <v>111</v>
      </c>
      <c r="E153" s="540"/>
      <c r="F153" s="540"/>
      <c r="G153" s="540"/>
      <c r="H153" s="540"/>
      <c r="I153" s="136"/>
      <c r="J153" s="136"/>
      <c r="K153" s="136"/>
      <c r="L153" s="136">
        <v>0</v>
      </c>
    </row>
    <row r="154" spans="1:12" ht="14.25" x14ac:dyDescent="0.2">
      <c r="A154" s="128"/>
      <c r="B154" s="128"/>
      <c r="C154" s="128"/>
      <c r="D154" s="540" t="s">
        <v>116</v>
      </c>
      <c r="E154" s="540"/>
      <c r="F154" s="540"/>
      <c r="G154" s="540"/>
      <c r="H154" s="540"/>
      <c r="I154" s="128"/>
      <c r="J154" s="134"/>
      <c r="K154" s="560">
        <f>L140*0.95</f>
        <v>14567.35</v>
      </c>
      <c r="L154" s="560"/>
    </row>
    <row r="155" spans="1:12" ht="14.25" x14ac:dyDescent="0.2">
      <c r="A155" s="128"/>
      <c r="B155" s="128"/>
      <c r="C155" s="128"/>
      <c r="D155" s="540" t="s">
        <v>117</v>
      </c>
      <c r="E155" s="540"/>
      <c r="F155" s="540"/>
      <c r="G155" s="540"/>
      <c r="H155" s="540"/>
      <c r="I155" s="560"/>
      <c r="J155" s="560"/>
      <c r="K155" s="560">
        <f>K150*5.61%</f>
        <v>2904.84</v>
      </c>
      <c r="L155" s="560"/>
    </row>
    <row r="156" spans="1:12" ht="14.25" x14ac:dyDescent="0.2">
      <c r="A156" s="128"/>
      <c r="B156" s="128"/>
      <c r="C156" s="128"/>
      <c r="D156" s="540" t="s">
        <v>70</v>
      </c>
      <c r="E156" s="540"/>
      <c r="F156" s="540"/>
      <c r="G156" s="540"/>
      <c r="H156" s="540"/>
      <c r="I156" s="128"/>
      <c r="J156" s="137"/>
      <c r="K156" s="560">
        <f>K150+L153+K155</f>
        <v>54684.55</v>
      </c>
      <c r="L156" s="560"/>
    </row>
    <row r="157" spans="1:12" ht="14.25" x14ac:dyDescent="0.2">
      <c r="A157" s="128"/>
      <c r="B157" s="128"/>
      <c r="C157" s="128"/>
      <c r="D157" s="540" t="s">
        <v>71</v>
      </c>
      <c r="E157" s="540"/>
      <c r="F157" s="540"/>
      <c r="G157" s="540"/>
      <c r="H157" s="540"/>
      <c r="I157" s="128"/>
      <c r="J157" s="128"/>
      <c r="K157" s="560">
        <f>K154*0.15</f>
        <v>2185.1</v>
      </c>
      <c r="L157" s="560"/>
    </row>
    <row r="158" spans="1:12" ht="15" x14ac:dyDescent="0.25">
      <c r="A158" s="131"/>
      <c r="B158" s="131"/>
      <c r="C158" s="131"/>
      <c r="D158" s="575" t="s">
        <v>72</v>
      </c>
      <c r="E158" s="575"/>
      <c r="F158" s="575"/>
      <c r="G158" s="575"/>
      <c r="H158" s="575"/>
      <c r="I158" s="131"/>
      <c r="J158" s="131"/>
      <c r="K158" s="564">
        <f>K156+K157+K152</f>
        <v>56869.65</v>
      </c>
      <c r="L158" s="564"/>
    </row>
    <row r="159" spans="1:12" ht="12.75" x14ac:dyDescent="0.2">
      <c r="A159" s="138"/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8"/>
    </row>
    <row r="160" spans="1:12" ht="12.75" x14ac:dyDescent="0.2">
      <c r="A160" s="138"/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8"/>
    </row>
    <row r="161" spans="1:14" s="91" customFormat="1" ht="12.75" x14ac:dyDescent="0.2">
      <c r="A161" s="138"/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8"/>
      <c r="M161" s="95"/>
      <c r="N161" s="95"/>
    </row>
    <row r="162" spans="1:14" s="91" customFormat="1" ht="12.75" x14ac:dyDescent="0.2">
      <c r="A162" s="138"/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8"/>
      <c r="M162" s="95"/>
      <c r="N162" s="95"/>
    </row>
    <row r="163" spans="1:14" s="91" customFormat="1" ht="15.75" x14ac:dyDescent="0.25">
      <c r="A163" s="138"/>
      <c r="B163" s="180" t="s">
        <v>137</v>
      </c>
      <c r="C163" s="181"/>
      <c r="D163" s="181"/>
      <c r="E163" s="138"/>
      <c r="F163" s="138"/>
      <c r="G163" s="138"/>
      <c r="H163" s="138"/>
      <c r="I163" s="138"/>
      <c r="J163" s="138"/>
      <c r="K163" s="138"/>
      <c r="L163" s="138"/>
      <c r="M163" s="95"/>
      <c r="N163" s="95"/>
    </row>
    <row r="164" spans="1:14" s="91" customFormat="1" ht="15" x14ac:dyDescent="0.2">
      <c r="A164" s="138"/>
      <c r="B164" s="181"/>
      <c r="C164" s="181"/>
      <c r="D164" s="181"/>
      <c r="E164" s="138"/>
      <c r="F164" s="138"/>
      <c r="G164" s="138"/>
      <c r="H164" s="138"/>
      <c r="I164" s="138"/>
      <c r="J164" s="138"/>
      <c r="K164" s="138"/>
      <c r="L164" s="138"/>
      <c r="M164" s="95"/>
      <c r="N164" s="95"/>
    </row>
    <row r="165" spans="1:14" s="91" customFormat="1" ht="15.75" x14ac:dyDescent="0.25">
      <c r="A165" s="139"/>
      <c r="B165" s="180" t="s">
        <v>118</v>
      </c>
      <c r="C165" s="180"/>
      <c r="D165" s="180"/>
      <c r="E165" s="140"/>
      <c r="F165" s="140"/>
      <c r="G165" s="140"/>
      <c r="H165" s="140"/>
      <c r="I165" s="140"/>
      <c r="J165" s="140"/>
      <c r="K165" s="140"/>
      <c r="L165" s="140"/>
      <c r="M165" s="95"/>
      <c r="N165" s="95"/>
    </row>
    <row r="166" spans="1:14" ht="15.75" x14ac:dyDescent="0.25">
      <c r="A166" s="139"/>
      <c r="B166" s="182" t="s">
        <v>119</v>
      </c>
      <c r="C166" s="183"/>
      <c r="D166" s="183"/>
      <c r="E166" s="142"/>
      <c r="F166" s="141"/>
      <c r="G166" s="503"/>
      <c r="H166" s="503"/>
      <c r="I166" s="143"/>
      <c r="J166" s="144" t="s">
        <v>120</v>
      </c>
      <c r="K166" s="145"/>
      <c r="L166" s="146"/>
    </row>
    <row r="167" spans="1:14" ht="15.75" x14ac:dyDescent="0.25">
      <c r="A167" s="139"/>
      <c r="B167" s="184" t="s">
        <v>138</v>
      </c>
      <c r="C167" s="185"/>
      <c r="D167" s="185"/>
      <c r="E167" s="147"/>
      <c r="F167" s="147"/>
      <c r="G167" s="147"/>
      <c r="H167" s="147"/>
      <c r="I167" s="146"/>
      <c r="J167" s="146"/>
      <c r="K167" s="146"/>
      <c r="L167" s="146"/>
    </row>
    <row r="168" spans="1:14" ht="15.75" x14ac:dyDescent="0.25">
      <c r="A168" s="139"/>
      <c r="B168" s="148"/>
      <c r="C168" s="148"/>
      <c r="D168" s="186"/>
      <c r="E168" s="149"/>
      <c r="F168" s="149"/>
      <c r="G168" s="150"/>
      <c r="H168" s="151"/>
      <c r="I168" s="149"/>
      <c r="J168" s="152"/>
      <c r="K168" s="153"/>
      <c r="L168" s="139"/>
    </row>
    <row r="169" spans="1:14" ht="15.75" x14ac:dyDescent="0.25">
      <c r="A169" s="139"/>
      <c r="B169" s="148"/>
      <c r="C169" s="148"/>
      <c r="D169" s="186"/>
      <c r="E169" s="149"/>
      <c r="F169" s="149"/>
      <c r="G169" s="150"/>
      <c r="H169" s="151"/>
      <c r="I169" s="149"/>
      <c r="J169" s="152"/>
      <c r="K169" s="153"/>
      <c r="L169" s="139"/>
    </row>
    <row r="170" spans="1:14" ht="15.75" x14ac:dyDescent="0.25">
      <c r="A170" s="139"/>
      <c r="B170" s="148"/>
      <c r="C170" s="148"/>
      <c r="D170" s="186"/>
      <c r="E170" s="149"/>
      <c r="F170" s="149"/>
      <c r="G170" s="150"/>
      <c r="H170" s="151"/>
      <c r="I170" s="149"/>
      <c r="J170" s="152"/>
      <c r="K170" s="153"/>
      <c r="L170" s="139"/>
    </row>
    <row r="171" spans="1:14" ht="15.75" x14ac:dyDescent="0.25">
      <c r="A171" s="139"/>
      <c r="B171" s="148"/>
      <c r="C171" s="148"/>
      <c r="D171" s="149"/>
      <c r="E171" s="149"/>
      <c r="F171" s="149"/>
      <c r="G171" s="149"/>
      <c r="H171" s="151"/>
      <c r="I171" s="149"/>
      <c r="J171" s="152"/>
      <c r="K171" s="153"/>
      <c r="L171" s="139"/>
    </row>
    <row r="172" spans="1:14" ht="15.75" x14ac:dyDescent="0.25">
      <c r="A172" s="139"/>
      <c r="B172" s="180" t="s">
        <v>121</v>
      </c>
      <c r="C172" s="187"/>
      <c r="D172" s="180"/>
      <c r="E172" s="147"/>
      <c r="F172" s="140"/>
      <c r="G172" s="147"/>
      <c r="H172" s="140"/>
      <c r="I172" s="146"/>
      <c r="J172" s="146"/>
      <c r="K172" s="146"/>
      <c r="L172" s="139"/>
    </row>
    <row r="173" spans="1:14" ht="15.75" x14ac:dyDescent="0.25">
      <c r="A173" s="139"/>
      <c r="B173" s="180"/>
      <c r="C173" s="187"/>
      <c r="D173" s="180"/>
      <c r="E173" s="147"/>
      <c r="F173" s="140"/>
      <c r="G173" s="147"/>
      <c r="H173" s="140"/>
      <c r="I173" s="146"/>
      <c r="J173" s="146"/>
      <c r="K173" s="146"/>
      <c r="L173" s="139"/>
    </row>
    <row r="174" spans="1:14" ht="15.75" x14ac:dyDescent="0.25">
      <c r="A174" s="139"/>
      <c r="B174" s="504" t="s">
        <v>122</v>
      </c>
      <c r="C174" s="504"/>
      <c r="D174" s="504"/>
      <c r="E174" s="147"/>
      <c r="F174" s="140"/>
      <c r="G174" s="147"/>
      <c r="H174" s="140"/>
      <c r="I174" s="146"/>
      <c r="J174" s="146"/>
      <c r="K174" s="146"/>
      <c r="L174" s="139"/>
    </row>
    <row r="175" spans="1:14" ht="15.75" x14ac:dyDescent="0.25">
      <c r="A175" s="139"/>
      <c r="B175" s="505" t="s">
        <v>123</v>
      </c>
      <c r="C175" s="505"/>
      <c r="D175" s="505"/>
      <c r="E175" s="154"/>
      <c r="F175" s="141"/>
      <c r="G175" s="142"/>
      <c r="H175" s="155"/>
      <c r="I175" s="145"/>
      <c r="J175" s="144" t="s">
        <v>84</v>
      </c>
      <c r="K175" s="145"/>
      <c r="L175" s="139"/>
    </row>
    <row r="176" spans="1:14" ht="15.75" x14ac:dyDescent="0.25">
      <c r="A176" s="139"/>
      <c r="B176" s="184" t="s">
        <v>73</v>
      </c>
      <c r="C176" s="188"/>
      <c r="D176" s="188"/>
      <c r="E176" s="156"/>
      <c r="F176" s="147"/>
      <c r="G176" s="140"/>
      <c r="H176" s="140"/>
      <c r="I176" s="146"/>
      <c r="J176" s="146"/>
      <c r="K176" s="146"/>
      <c r="L176" s="139"/>
    </row>
    <row r="184" spans="2:4" ht="15" x14ac:dyDescent="0.2">
      <c r="B184" s="189"/>
      <c r="C184" s="189"/>
      <c r="D184" s="189"/>
    </row>
  </sheetData>
  <mergeCells count="134">
    <mergeCell ref="G166:H166"/>
    <mergeCell ref="B174:D174"/>
    <mergeCell ref="B175:D175"/>
    <mergeCell ref="A38:L38"/>
    <mergeCell ref="H30:H35"/>
    <mergeCell ref="I30:I35"/>
    <mergeCell ref="J30:J35"/>
    <mergeCell ref="K30:K35"/>
    <mergeCell ref="L30:L35"/>
    <mergeCell ref="A31:A35"/>
    <mergeCell ref="B31:B35"/>
    <mergeCell ref="A30:B30"/>
    <mergeCell ref="C30:C35"/>
    <mergeCell ref="D30:D35"/>
    <mergeCell ref="E30:E35"/>
    <mergeCell ref="F30:F35"/>
    <mergeCell ref="G30:G35"/>
    <mergeCell ref="I60:J60"/>
    <mergeCell ref="K60:L60"/>
    <mergeCell ref="I71:J71"/>
    <mergeCell ref="K71:L71"/>
    <mergeCell ref="I76:J76"/>
    <mergeCell ref="K76:L76"/>
    <mergeCell ref="A39:L39"/>
    <mergeCell ref="A40:L40"/>
    <mergeCell ref="I53:J53"/>
    <mergeCell ref="K53:L53"/>
    <mergeCell ref="I58:J58"/>
    <mergeCell ref="K58:L58"/>
    <mergeCell ref="I94:J94"/>
    <mergeCell ref="K94:L94"/>
    <mergeCell ref="I99:J99"/>
    <mergeCell ref="K99:L99"/>
    <mergeCell ref="I101:J101"/>
    <mergeCell ref="K101:L101"/>
    <mergeCell ref="I78:J78"/>
    <mergeCell ref="K78:L78"/>
    <mergeCell ref="A80:H80"/>
    <mergeCell ref="I80:J80"/>
    <mergeCell ref="K80:L80"/>
    <mergeCell ref="A84:L84"/>
    <mergeCell ref="I123:J123"/>
    <mergeCell ref="K123:L123"/>
    <mergeCell ref="I125:J125"/>
    <mergeCell ref="K125:L125"/>
    <mergeCell ref="A127:H127"/>
    <mergeCell ref="I127:J127"/>
    <mergeCell ref="K127:L127"/>
    <mergeCell ref="A103:H103"/>
    <mergeCell ref="I103:J103"/>
    <mergeCell ref="K103:L103"/>
    <mergeCell ref="A107:L107"/>
    <mergeCell ref="I118:J118"/>
    <mergeCell ref="K118:L118"/>
    <mergeCell ref="D135:H135"/>
    <mergeCell ref="I135:J135"/>
    <mergeCell ref="K135:L135"/>
    <mergeCell ref="D136:H136"/>
    <mergeCell ref="I136:J136"/>
    <mergeCell ref="K136:L136"/>
    <mergeCell ref="A131:H131"/>
    <mergeCell ref="I131:J131"/>
    <mergeCell ref="K131:L131"/>
    <mergeCell ref="D134:H134"/>
    <mergeCell ref="I134:J134"/>
    <mergeCell ref="K134:L134"/>
    <mergeCell ref="D146:H146"/>
    <mergeCell ref="I146:J146"/>
    <mergeCell ref="K146:L146"/>
    <mergeCell ref="D147:H147"/>
    <mergeCell ref="I147:J147"/>
    <mergeCell ref="K147:L147"/>
    <mergeCell ref="D143:H143"/>
    <mergeCell ref="D144:H144"/>
    <mergeCell ref="I144:J144"/>
    <mergeCell ref="K144:L144"/>
    <mergeCell ref="D145:H145"/>
    <mergeCell ref="I145:J145"/>
    <mergeCell ref="K145:L145"/>
    <mergeCell ref="D151:H151"/>
    <mergeCell ref="K151:L151"/>
    <mergeCell ref="D152:H152"/>
    <mergeCell ref="I152:J152"/>
    <mergeCell ref="K152:L152"/>
    <mergeCell ref="D153:H153"/>
    <mergeCell ref="D148:H148"/>
    <mergeCell ref="I148:J148"/>
    <mergeCell ref="K148:L148"/>
    <mergeCell ref="D149:H149"/>
    <mergeCell ref="D150:H150"/>
    <mergeCell ref="K150:L150"/>
    <mergeCell ref="D157:H157"/>
    <mergeCell ref="K157:L157"/>
    <mergeCell ref="D158:H158"/>
    <mergeCell ref="K158:L158"/>
    <mergeCell ref="D154:H154"/>
    <mergeCell ref="K154:L154"/>
    <mergeCell ref="D155:H155"/>
    <mergeCell ref="I155:J155"/>
    <mergeCell ref="K155:L155"/>
    <mergeCell ref="D156:H156"/>
    <mergeCell ref="K156:L156"/>
    <mergeCell ref="I1:L1"/>
    <mergeCell ref="I2:L2"/>
    <mergeCell ref="J3:L3"/>
    <mergeCell ref="J4:L4"/>
    <mergeCell ref="J5:L6"/>
    <mergeCell ref="A6:B6"/>
    <mergeCell ref="C6:H6"/>
    <mergeCell ref="C7:H7"/>
    <mergeCell ref="J7:L8"/>
    <mergeCell ref="A8:B8"/>
    <mergeCell ref="C8:H8"/>
    <mergeCell ref="C9:H9"/>
    <mergeCell ref="J9:L10"/>
    <mergeCell ref="C10:H10"/>
    <mergeCell ref="C11:H11"/>
    <mergeCell ref="J11:L12"/>
    <mergeCell ref="C12:H12"/>
    <mergeCell ref="C13:H13"/>
    <mergeCell ref="G14:I14"/>
    <mergeCell ref="J14:L14"/>
    <mergeCell ref="A26:L26"/>
    <mergeCell ref="H28:I28"/>
    <mergeCell ref="A29:L29"/>
    <mergeCell ref="G15:H15"/>
    <mergeCell ref="J15:L15"/>
    <mergeCell ref="J16:L16"/>
    <mergeCell ref="J17:L17"/>
    <mergeCell ref="J18:L18"/>
    <mergeCell ref="G20:G21"/>
    <mergeCell ref="H20:H21"/>
    <mergeCell ref="I20:J20"/>
    <mergeCell ref="A25:L25"/>
  </mergeCells>
  <pageMargins left="0.39370078740157483" right="0.19685039370078741" top="0.19685039370078741" bottom="0.39370078740157483" header="0.31496062992125984" footer="0.31496062992125984"/>
  <pageSetup paperSize="9" scale="61" fitToHeight="0" orientation="portrait" blackAndWhite="1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19</vt:i4>
      </vt:variant>
      <vt:variant>
        <vt:lpstr>Именованные диапазоны</vt:lpstr>
      </vt:variant>
      <vt:variant>
        <vt:i4>14</vt:i4>
      </vt:variant>
    </vt:vector>
  </HeadingPairs>
  <TitlesOfParts>
    <vt:vector size="33" baseType="lpstr">
      <vt:lpstr>КС-3 (2)</vt:lpstr>
      <vt:lpstr>Реестр январь</vt:lpstr>
      <vt:lpstr>17.55</vt:lpstr>
      <vt:lpstr>17.75</vt:lpstr>
      <vt:lpstr>17.86</vt:lpstr>
      <vt:lpstr>17.94</vt:lpstr>
      <vt:lpstr>17.95</vt:lpstr>
      <vt:lpstr>17.96</vt:lpstr>
      <vt:lpstr>17.98</vt:lpstr>
      <vt:lpstr>1_17.56</vt:lpstr>
      <vt:lpstr>2_17.63</vt:lpstr>
      <vt:lpstr>3_17.93</vt:lpstr>
      <vt:lpstr>4_21.10</vt:lpstr>
      <vt:lpstr>5_21.11</vt:lpstr>
      <vt:lpstr>6_21.12</vt:lpstr>
      <vt:lpstr>7_21.13</vt:lpstr>
      <vt:lpstr>21.14</vt:lpstr>
      <vt:lpstr>8_21.17</vt:lpstr>
      <vt:lpstr>9_11.6</vt:lpstr>
      <vt:lpstr>'1_17.56'!Область_печати</vt:lpstr>
      <vt:lpstr>'17.55'!Область_печати</vt:lpstr>
      <vt:lpstr>'17.75'!Область_печати</vt:lpstr>
      <vt:lpstr>'2_17.63'!Область_печати</vt:lpstr>
      <vt:lpstr>'21.14'!Область_печати</vt:lpstr>
      <vt:lpstr>'3_17.93'!Область_печати</vt:lpstr>
      <vt:lpstr>'4_21.10'!Область_печати</vt:lpstr>
      <vt:lpstr>'5_21.11'!Область_печати</vt:lpstr>
      <vt:lpstr>'6_21.12'!Область_печати</vt:lpstr>
      <vt:lpstr>'7_21.13'!Область_печати</vt:lpstr>
      <vt:lpstr>'8_21.17'!Область_печати</vt:lpstr>
      <vt:lpstr>'9_11.6'!Область_печати</vt:lpstr>
      <vt:lpstr>'КС-3 (2)'!Область_печати</vt:lpstr>
      <vt:lpstr>'Реестр январь'!Область_печати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</dc:creator>
  <cp:lastModifiedBy>Хаярова Екатерина Рауфовна</cp:lastModifiedBy>
  <cp:lastPrinted>2021-03-05T07:07:03Z</cp:lastPrinted>
  <dcterms:created xsi:type="dcterms:W3CDTF">2014-11-20T12:04:08Z</dcterms:created>
  <dcterms:modified xsi:type="dcterms:W3CDTF">2021-03-05T07:28:42Z</dcterms:modified>
</cp:coreProperties>
</file>