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externalLinks/externalLink87.xml" ContentType="application/vnd.openxmlformats-officedocument.spreadsheetml.externalLink+xml"/>
  <Override PartName="/xl/externalLinks/externalLink88.xml" ContentType="application/vnd.openxmlformats-officedocument.spreadsheetml.externalLink+xml"/>
  <Override PartName="/xl/externalLinks/externalLink89.xml" ContentType="application/vnd.openxmlformats-officedocument.spreadsheetml.externalLink+xml"/>
  <Override PartName="/xl/externalLinks/externalLink90.xml" ContentType="application/vnd.openxmlformats-officedocument.spreadsheetml.externalLink+xml"/>
  <Override PartName="/xl/externalLinks/externalLink91.xml" ContentType="application/vnd.openxmlformats-officedocument.spreadsheetml.externalLink+xml"/>
  <Override PartName="/xl/externalLinks/externalLink92.xml" ContentType="application/vnd.openxmlformats-officedocument.spreadsheetml.externalLink+xml"/>
  <Override PartName="/xl/externalLinks/externalLink93.xml" ContentType="application/vnd.openxmlformats-officedocument.spreadsheetml.externalLink+xml"/>
  <Override PartName="/xl/externalLinks/externalLink94.xml" ContentType="application/vnd.openxmlformats-officedocument.spreadsheetml.externalLink+xml"/>
  <Override PartName="/xl/externalLinks/externalLink95.xml" ContentType="application/vnd.openxmlformats-officedocument.spreadsheetml.externalLink+xml"/>
  <Override PartName="/xl/externalLinks/externalLink96.xml" ContentType="application/vnd.openxmlformats-officedocument.spreadsheetml.externalLink+xml"/>
  <Override PartName="/xl/externalLinks/externalLink97.xml" ContentType="application/vnd.openxmlformats-officedocument.spreadsheetml.externalLink+xml"/>
  <Override PartName="/xl/externalLinks/externalLink98.xml" ContentType="application/vnd.openxmlformats-officedocument.spreadsheetml.externalLink+xml"/>
  <Override PartName="/xl/externalLinks/externalLink99.xml" ContentType="application/vnd.openxmlformats-officedocument.spreadsheetml.externalLink+xml"/>
  <Override PartName="/xl/externalLinks/externalLink100.xml" ContentType="application/vnd.openxmlformats-officedocument.spreadsheetml.externalLink+xml"/>
  <Override PartName="/xl/externalLinks/externalLink101.xml" ContentType="application/vnd.openxmlformats-officedocument.spreadsheetml.externalLink+xml"/>
  <Override PartName="/xl/externalLinks/externalLink102.xml" ContentType="application/vnd.openxmlformats-officedocument.spreadsheetml.externalLink+xml"/>
  <Override PartName="/xl/externalLinks/externalLink103.xml" ContentType="application/vnd.openxmlformats-officedocument.spreadsheetml.externalLink+xml"/>
  <Override PartName="/xl/externalLinks/externalLink10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ПЭО\СМЕТНЫЙ ОТДЕЛ\ВЫПОЛНЕНИЕ СМР\4-  2020 год\46 Декабрь  2020 г\5-5 СМ2002-МИП1\779\"/>
    </mc:Choice>
  </mc:AlternateContent>
  <bookViews>
    <workbookView xWindow="0" yWindow="0" windowWidth="13215" windowHeight="5685" tabRatio="857" firstSheet="11" activeTab="14"/>
  </bookViews>
  <sheets>
    <sheet name="КС-3№15" sheetId="23" state="hidden" r:id="rId1"/>
    <sheet name="15.1" sheetId="7" state="hidden" r:id="rId2"/>
    <sheet name="15.2" sheetId="8" state="hidden" r:id="rId3"/>
    <sheet name="15.3" sheetId="9" state="hidden" r:id="rId4"/>
    <sheet name="15.4" sheetId="10" state="hidden" r:id="rId5"/>
    <sheet name="15.5" sheetId="11" state="hidden" r:id="rId6"/>
    <sheet name="15.6 " sheetId="17" state="hidden" r:id="rId7"/>
    <sheet name="15.7 " sheetId="19" state="hidden" r:id="rId8"/>
    <sheet name="15.8" sheetId="14" state="hidden" r:id="rId9"/>
    <sheet name=" 15.9 " sheetId="15" state="hidden" r:id="rId10"/>
    <sheet name="15.10" sheetId="16" state="hidden" r:id="rId11"/>
    <sheet name="КС-3" sheetId="35" r:id="rId12"/>
    <sheet name="Реестр декабрь" sheetId="6" state="hidden" r:id="rId13"/>
    <sheet name="Реестр" sheetId="34" r:id="rId14"/>
    <sheet name="1_16.1" sheetId="24" r:id="rId15"/>
    <sheet name="2_16.2" sheetId="25" r:id="rId16"/>
    <sheet name="3_16.3" sheetId="26" r:id="rId17"/>
    <sheet name="4_16.4" sheetId="27" r:id="rId18"/>
    <sheet name="5_16.5" sheetId="28" r:id="rId19"/>
    <sheet name="6_16.6" sheetId="29" r:id="rId20"/>
    <sheet name="7_16.7" sheetId="30" r:id="rId21"/>
    <sheet name="8_16.8" sheetId="31" r:id="rId22"/>
    <sheet name="9_16.9" sheetId="32" r:id="rId23"/>
    <sheet name="10_16.10" sheetId="33" r:id="rId24"/>
    <sheet name="11_17.52" sheetId="36" r:id="rId25"/>
  </sheets>
  <externalReferences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  <externalReference r:id="rId89"/>
    <externalReference r:id="rId90"/>
    <externalReference r:id="rId91"/>
    <externalReference r:id="rId92"/>
    <externalReference r:id="rId93"/>
    <externalReference r:id="rId94"/>
    <externalReference r:id="rId95"/>
    <externalReference r:id="rId96"/>
    <externalReference r:id="rId97"/>
    <externalReference r:id="rId98"/>
    <externalReference r:id="rId99"/>
    <externalReference r:id="rId100"/>
    <externalReference r:id="rId101"/>
    <externalReference r:id="rId102"/>
    <externalReference r:id="rId103"/>
    <externalReference r:id="rId104"/>
    <externalReference r:id="rId105"/>
    <externalReference r:id="rId106"/>
    <externalReference r:id="rId107"/>
    <externalReference r:id="rId108"/>
    <externalReference r:id="rId109"/>
    <externalReference r:id="rId110"/>
    <externalReference r:id="rId111"/>
    <externalReference r:id="rId112"/>
    <externalReference r:id="rId113"/>
    <externalReference r:id="rId114"/>
    <externalReference r:id="rId115"/>
    <externalReference r:id="rId116"/>
    <externalReference r:id="rId117"/>
    <externalReference r:id="rId118"/>
    <externalReference r:id="rId119"/>
    <externalReference r:id="rId120"/>
    <externalReference r:id="rId121"/>
    <externalReference r:id="rId122"/>
    <externalReference r:id="rId123"/>
    <externalReference r:id="rId124"/>
    <externalReference r:id="rId125"/>
    <externalReference r:id="rId126"/>
    <externalReference r:id="rId127"/>
    <externalReference r:id="rId128"/>
    <externalReference r:id="rId129"/>
  </externalReferences>
  <definedNames>
    <definedName name="_" localSheetId="24">#REF!</definedName>
    <definedName name="_" localSheetId="11">#REF!</definedName>
    <definedName name="_">#REF!</definedName>
    <definedName name="__" localSheetId="24">#REF!</definedName>
    <definedName name="__" localSheetId="11">#REF!</definedName>
    <definedName name="__">#REF!</definedName>
    <definedName name="______________________________________________________________________________T17" localSheetId="24">#REF!</definedName>
    <definedName name="______________________________________________________________________________T17" localSheetId="11">#REF!</definedName>
    <definedName name="______________________________________________________________________________T17">#REF!</definedName>
    <definedName name="_____________________________________________________________________________T17" localSheetId="24">#REF!</definedName>
    <definedName name="_____________________________________________________________________________T17" localSheetId="11">#REF!</definedName>
    <definedName name="_____________________________________________________________________________T17">#REF!</definedName>
    <definedName name="____________________________________________________________________________T17" localSheetId="24">#REF!</definedName>
    <definedName name="____________________________________________________________________________T17" localSheetId="11">#REF!</definedName>
    <definedName name="____________________________________________________________________________T17">#REF!</definedName>
    <definedName name="_________________________________________________________________T17" localSheetId="24">#REF!</definedName>
    <definedName name="_________________________________________________________________T17" localSheetId="11">#REF!</definedName>
    <definedName name="_________________________________________________________________T17">#REF!</definedName>
    <definedName name="________________________________________________________________T17" localSheetId="24">#REF!</definedName>
    <definedName name="________________________________________________________________T17" localSheetId="11">#REF!</definedName>
    <definedName name="________________________________________________________________T17">#REF!</definedName>
    <definedName name="_______________________________________________________________T17" localSheetId="24">#REF!</definedName>
    <definedName name="_______________________________________________________________T17" localSheetId="11">#REF!</definedName>
    <definedName name="_______________________________________________________________T17">#REF!</definedName>
    <definedName name="______________________________________________________________T17" localSheetId="24">#REF!</definedName>
    <definedName name="______________________________________________________________T17" localSheetId="11">#REF!</definedName>
    <definedName name="______________________________________________________________T17">#REF!</definedName>
    <definedName name="_____________________________________________________________T17" localSheetId="24">#REF!</definedName>
    <definedName name="_____________________________________________________________T17" localSheetId="11">#REF!</definedName>
    <definedName name="_____________________________________________________________T17">#REF!</definedName>
    <definedName name="____________________________________________________________T17" localSheetId="24">#REF!</definedName>
    <definedName name="____________________________________________________________T17" localSheetId="11">#REF!</definedName>
    <definedName name="____________________________________________________________T17">#REF!</definedName>
    <definedName name="___________________________________________________________T17" localSheetId="24">#REF!</definedName>
    <definedName name="___________________________________________________________T17" localSheetId="11">#REF!</definedName>
    <definedName name="___________________________________________________________T17">#REF!</definedName>
    <definedName name="__________________________________________________________T17" localSheetId="24">#REF!</definedName>
    <definedName name="__________________________________________________________T17" localSheetId="11">#REF!</definedName>
    <definedName name="__________________________________________________________T17">#REF!</definedName>
    <definedName name="_________________________________________________________T17" localSheetId="24">#REF!</definedName>
    <definedName name="_________________________________________________________T17" localSheetId="11">#REF!</definedName>
    <definedName name="_________________________________________________________T17">#REF!</definedName>
    <definedName name="________________________________________________________T17" localSheetId="24">#REF!</definedName>
    <definedName name="________________________________________________________T17" localSheetId="11">#REF!</definedName>
    <definedName name="________________________________________________________T17">#REF!</definedName>
    <definedName name="_______________________________________________________T17" localSheetId="24">#REF!</definedName>
    <definedName name="_______________________________________________________T17" localSheetId="11">#REF!</definedName>
    <definedName name="_______________________________________________________T17">#REF!</definedName>
    <definedName name="______________________________________________________T17" localSheetId="24">#REF!</definedName>
    <definedName name="______________________________________________________T17" localSheetId="11">#REF!</definedName>
    <definedName name="______________________________________________________T17">#REF!</definedName>
    <definedName name="_____________________________________________________T17" localSheetId="24">#REF!</definedName>
    <definedName name="_____________________________________________________T17" localSheetId="11">#REF!</definedName>
    <definedName name="_____________________________________________________T17">#REF!</definedName>
    <definedName name="____________________________________________________T17" localSheetId="24">#REF!</definedName>
    <definedName name="____________________________________________________T17" localSheetId="11">#REF!</definedName>
    <definedName name="____________________________________________________T17">#REF!</definedName>
    <definedName name="____________________________________________________TT17" localSheetId="24">#REF!</definedName>
    <definedName name="____________________________________________________TT17" localSheetId="11">#REF!</definedName>
    <definedName name="____________________________________________________TT17">#REF!</definedName>
    <definedName name="___________________________________________________T17" localSheetId="24">#REF!</definedName>
    <definedName name="___________________________________________________T17" localSheetId="11">#REF!</definedName>
    <definedName name="___________________________________________________T17">#REF!</definedName>
    <definedName name="__________________________________________________T17" localSheetId="24">#REF!</definedName>
    <definedName name="__________________________________________________T17" localSheetId="11">#REF!</definedName>
    <definedName name="__________________________________________________T17">#REF!</definedName>
    <definedName name="_________________________________________________T17" localSheetId="24">#REF!</definedName>
    <definedName name="_________________________________________________T17" localSheetId="11">#REF!</definedName>
    <definedName name="_________________________________________________T17">#REF!</definedName>
    <definedName name="________________________________________________T17" localSheetId="24">#REF!</definedName>
    <definedName name="________________________________________________T17" localSheetId="11">#REF!</definedName>
    <definedName name="________________________________________________T17">#REF!</definedName>
    <definedName name="_______________________________________________T17" localSheetId="24">#REF!</definedName>
    <definedName name="_______________________________________________T17" localSheetId="11">#REF!</definedName>
    <definedName name="_______________________________________________T17">#REF!</definedName>
    <definedName name="______________________________________________T17" localSheetId="24">#REF!</definedName>
    <definedName name="______________________________________________T17" localSheetId="11">#REF!</definedName>
    <definedName name="______________________________________________T17">#REF!</definedName>
    <definedName name="_____________________________________________T17" localSheetId="24">#REF!</definedName>
    <definedName name="_____________________________________________T17" localSheetId="11">#REF!</definedName>
    <definedName name="_____________________________________________T17">#REF!</definedName>
    <definedName name="____________________________________________T17" localSheetId="24">#REF!</definedName>
    <definedName name="____________________________________________T17" localSheetId="11">#REF!</definedName>
    <definedName name="____________________________________________T17">#REF!</definedName>
    <definedName name="___________________________________________T17" localSheetId="24">#REF!</definedName>
    <definedName name="___________________________________________T17" localSheetId="11">#REF!</definedName>
    <definedName name="___________________________________________T17">#REF!</definedName>
    <definedName name="__________________________________________T17" localSheetId="24">#REF!</definedName>
    <definedName name="__________________________________________T17" localSheetId="11">#REF!</definedName>
    <definedName name="__________________________________________T17">#REF!</definedName>
    <definedName name="_________________________________________T17" localSheetId="24">#REF!</definedName>
    <definedName name="_________________________________________T17" localSheetId="11">#REF!</definedName>
    <definedName name="_________________________________________T17">#REF!</definedName>
    <definedName name="________________________________________T17" localSheetId="24">#REF!</definedName>
    <definedName name="________________________________________T17" localSheetId="11">#REF!</definedName>
    <definedName name="________________________________________T17">#REF!</definedName>
    <definedName name="_______________________________________T17" localSheetId="24">#REF!</definedName>
    <definedName name="_______________________________________T17" localSheetId="11">#REF!</definedName>
    <definedName name="_______________________________________T17">#REF!</definedName>
    <definedName name="______________________________________T17" localSheetId="24">#REF!</definedName>
    <definedName name="______________________________________T17" localSheetId="11">#REF!</definedName>
    <definedName name="______________________________________T17">#REF!</definedName>
    <definedName name="_____________________________________T17" localSheetId="24">#REF!</definedName>
    <definedName name="_____________________________________T17" localSheetId="11">#REF!</definedName>
    <definedName name="_____________________________________T17">#REF!</definedName>
    <definedName name="____________________________________T17" localSheetId="24">#REF!</definedName>
    <definedName name="____________________________________T17" localSheetId="11">#REF!</definedName>
    <definedName name="____________________________________T17">#REF!</definedName>
    <definedName name="___________________________________T17" localSheetId="24">#REF!</definedName>
    <definedName name="___________________________________T17" localSheetId="11">#REF!</definedName>
    <definedName name="___________________________________T17">#REF!</definedName>
    <definedName name="__________________________________T17" localSheetId="24">#REF!</definedName>
    <definedName name="__________________________________T17" localSheetId="11">#REF!</definedName>
    <definedName name="__________________________________T17">#REF!</definedName>
    <definedName name="_________________________________T17" localSheetId="24">#REF!</definedName>
    <definedName name="_________________________________T17" localSheetId="11">#REF!</definedName>
    <definedName name="_________________________________T17">#REF!</definedName>
    <definedName name="________________________________T17" localSheetId="24">#REF!</definedName>
    <definedName name="________________________________T17" localSheetId="11">#REF!</definedName>
    <definedName name="________________________________T17">#REF!</definedName>
    <definedName name="_______________________________T17" localSheetId="24">#REF!</definedName>
    <definedName name="_______________________________T17" localSheetId="11">#REF!</definedName>
    <definedName name="_______________________________T17">#REF!</definedName>
    <definedName name="______________________________T17" localSheetId="24">#REF!</definedName>
    <definedName name="______________________________T17" localSheetId="11">#REF!</definedName>
    <definedName name="______________________________T17">#REF!</definedName>
    <definedName name="_____________________________T17" localSheetId="24">#REF!</definedName>
    <definedName name="_____________________________T17" localSheetId="11">#REF!</definedName>
    <definedName name="_____________________________T17">#REF!</definedName>
    <definedName name="____________________________T17" localSheetId="24">#REF!</definedName>
    <definedName name="____________________________T17" localSheetId="11">#REF!</definedName>
    <definedName name="____________________________T17">#REF!</definedName>
    <definedName name="___________________________T17" localSheetId="24">#REF!</definedName>
    <definedName name="___________________________T17" localSheetId="11">#REF!</definedName>
    <definedName name="___________________________T17">#REF!</definedName>
    <definedName name="__________________________T17" localSheetId="24">#REF!</definedName>
    <definedName name="__________________________T17" localSheetId="11">#REF!</definedName>
    <definedName name="__________________________T17">#REF!</definedName>
    <definedName name="_________________________T17" localSheetId="24">#REF!</definedName>
    <definedName name="_________________________T17" localSheetId="11">#REF!</definedName>
    <definedName name="_________________________T17">#REF!</definedName>
    <definedName name="________________________T17" localSheetId="24">#REF!</definedName>
    <definedName name="________________________T17" localSheetId="11">#REF!</definedName>
    <definedName name="________________________T17">#REF!</definedName>
    <definedName name="_______________________T17" localSheetId="24">#REF!</definedName>
    <definedName name="_______________________T17" localSheetId="11">#REF!</definedName>
    <definedName name="_______________________T17">#REF!</definedName>
    <definedName name="______________________T17" localSheetId="24">#REF!</definedName>
    <definedName name="______________________T17" localSheetId="11">#REF!</definedName>
    <definedName name="______________________T17">#REF!</definedName>
    <definedName name="_____________________T17" localSheetId="24">#REF!</definedName>
    <definedName name="_____________________T17" localSheetId="11">#REF!</definedName>
    <definedName name="_____________________T17">#REF!</definedName>
    <definedName name="____________________T17" localSheetId="24">#REF!</definedName>
    <definedName name="____________________T17" localSheetId="11">#REF!</definedName>
    <definedName name="____________________T17">#REF!</definedName>
    <definedName name="___________________T17" localSheetId="24">#REF!</definedName>
    <definedName name="___________________T17" localSheetId="11">#REF!</definedName>
    <definedName name="___________________T17">#REF!</definedName>
    <definedName name="__________________T17" localSheetId="24">#REF!</definedName>
    <definedName name="__________________T17" localSheetId="11">#REF!</definedName>
    <definedName name="__________________T17">#REF!</definedName>
    <definedName name="_________________T17" localSheetId="24">#REF!</definedName>
    <definedName name="_________________T17" localSheetId="11">#REF!</definedName>
    <definedName name="_________________T17">#REF!</definedName>
    <definedName name="________________T17" localSheetId="24">#REF!</definedName>
    <definedName name="________________T17" localSheetId="11">#REF!</definedName>
    <definedName name="________________T17">#REF!</definedName>
    <definedName name="_______________T17" localSheetId="24">#REF!</definedName>
    <definedName name="_______________T17" localSheetId="11">#REF!</definedName>
    <definedName name="_______________T17">#REF!</definedName>
    <definedName name="______________T17" localSheetId="24">#REF!</definedName>
    <definedName name="______________T17" localSheetId="11">#REF!</definedName>
    <definedName name="______________T17">#REF!</definedName>
    <definedName name="_____________T17" localSheetId="24">#REF!</definedName>
    <definedName name="_____________T17" localSheetId="11">#REF!</definedName>
    <definedName name="_____________T17">#REF!</definedName>
    <definedName name="____________T17" localSheetId="24">#REF!</definedName>
    <definedName name="____________T17" localSheetId="11">#REF!</definedName>
    <definedName name="____________T17">#REF!</definedName>
    <definedName name="___________T17" localSheetId="24">#REF!</definedName>
    <definedName name="___________T17" localSheetId="11">#REF!</definedName>
    <definedName name="___________T17">#REF!</definedName>
    <definedName name="___________о" localSheetId="24">#REF!</definedName>
    <definedName name="___________о" localSheetId="11">#REF!</definedName>
    <definedName name="___________о">#REF!</definedName>
    <definedName name="__________T17" localSheetId="24">#REF!</definedName>
    <definedName name="__________T17" localSheetId="11">#REF!</definedName>
    <definedName name="__________T17">#REF!</definedName>
    <definedName name="_________T17" localSheetId="24">#REF!</definedName>
    <definedName name="_________T17" localSheetId="11">#REF!</definedName>
    <definedName name="_________T17">#REF!</definedName>
    <definedName name="________T17" localSheetId="24">#REF!</definedName>
    <definedName name="________T17" localSheetId="11">#REF!</definedName>
    <definedName name="________T17">#REF!</definedName>
    <definedName name="_______T17" localSheetId="24">#REF!</definedName>
    <definedName name="_______T17" localSheetId="11">#REF!</definedName>
    <definedName name="_______T17">#REF!</definedName>
    <definedName name="______T17" localSheetId="24">#REF!</definedName>
    <definedName name="______T17" localSheetId="11">#REF!</definedName>
    <definedName name="______T17">#REF!</definedName>
    <definedName name="______о45" localSheetId="24">#REF!</definedName>
    <definedName name="______о45" localSheetId="11">#REF!</definedName>
    <definedName name="______о45">#REF!</definedName>
    <definedName name="_____T17" localSheetId="24">#REF!</definedName>
    <definedName name="_____T17" localSheetId="11">#REF!</definedName>
    <definedName name="_____T17">#REF!</definedName>
    <definedName name="____T17" localSheetId="24">#REF!</definedName>
    <definedName name="____T17" localSheetId="11">#REF!</definedName>
    <definedName name="____T17">#REF!</definedName>
    <definedName name="___H" localSheetId="24">#REF!</definedName>
    <definedName name="___H" localSheetId="11">#REF!</definedName>
    <definedName name="___H">#REF!</definedName>
    <definedName name="___T17" localSheetId="24">#REF!</definedName>
    <definedName name="___T17" localSheetId="11">#REF!</definedName>
    <definedName name="___T17">#REF!</definedName>
    <definedName name="__1" localSheetId="24">#REF!</definedName>
    <definedName name="__1" localSheetId="11">#REF!</definedName>
    <definedName name="__1">#REF!</definedName>
    <definedName name="__1__" localSheetId="24">#REF!</definedName>
    <definedName name="__1__" localSheetId="11">#REF!</definedName>
    <definedName name="__1__">#REF!</definedName>
    <definedName name="__T17" localSheetId="24">#REF!</definedName>
    <definedName name="__T17" localSheetId="11">#REF!</definedName>
    <definedName name="__T17">#REF!</definedName>
    <definedName name="__xlnm.Print_Titles_1">#N/A</definedName>
    <definedName name="__а" localSheetId="24">#REF!</definedName>
    <definedName name="__а" localSheetId="11">#REF!</definedName>
    <definedName name="__а">#REF!</definedName>
    <definedName name="_1" localSheetId="24">#REF!</definedName>
    <definedName name="_1" localSheetId="11">#REF!</definedName>
    <definedName name="_1">#REF!</definedName>
    <definedName name="_125" localSheetId="24">#REF!</definedName>
    <definedName name="_125" localSheetId="11">#REF!</definedName>
    <definedName name="_125">#REF!</definedName>
    <definedName name="_K" localSheetId="24">#REF!</definedName>
    <definedName name="_K" localSheetId="11">#REF!</definedName>
    <definedName name="_K">#REF!</definedName>
    <definedName name="_T17" localSheetId="24">#REF!</definedName>
    <definedName name="_T17" localSheetId="11">#REF!</definedName>
    <definedName name="_T17">#REF!</definedName>
    <definedName name="_ааа" localSheetId="24">#REF!</definedName>
    <definedName name="_ааа" localSheetId="11">#REF!</definedName>
    <definedName name="_ааа">#REF!</definedName>
    <definedName name="_ж1" localSheetId="24">#REF!</definedName>
    <definedName name="_ж1" localSheetId="11">#REF!</definedName>
    <definedName name="_ж1">#REF!</definedName>
    <definedName name="_у1" localSheetId="24">#REF!</definedName>
    <definedName name="_у1" localSheetId="11">#REF!</definedName>
    <definedName name="_у1">#REF!</definedName>
    <definedName name="_xlnm._FilterDatabase" localSheetId="12" hidden="1">'Реестр декабрь'!$C$1:$C$56</definedName>
    <definedName name="_Э" localSheetId="24">#REF!</definedName>
    <definedName name="_Э" localSheetId="11">#REF!</definedName>
    <definedName name="_Э" localSheetId="13">#REF!</definedName>
    <definedName name="_Э">#REF!</definedName>
    <definedName name="a" localSheetId="24">#REF!</definedName>
    <definedName name="a" localSheetId="11">#REF!</definedName>
    <definedName name="a" localSheetId="13">#REF!</definedName>
    <definedName name="a">#REF!</definedName>
    <definedName name="A_l_attention_de" localSheetId="24">#REF!</definedName>
    <definedName name="A_l_attention_de" localSheetId="11">#REF!</definedName>
    <definedName name="A_l_attention_de" localSheetId="13">#REF!</definedName>
    <definedName name="A_l_attention_de">#REF!</definedName>
    <definedName name="a01_СС_Титул_pre_rep" localSheetId="24">#REF!</definedName>
    <definedName name="a01_СС_Титул_pre_rep" localSheetId="11">#REF!</definedName>
    <definedName name="a01_СС_Титул_pre_rep">#REF!</definedName>
    <definedName name="a02_СС_Шапка_pre_rep" localSheetId="24">#REF!</definedName>
    <definedName name="a02_СС_Шапка_pre_rep" localSheetId="11">#REF!</definedName>
    <definedName name="a02_СС_Шапка_pre_rep">#REF!</definedName>
    <definedName name="a06_СС_Лимитированные_pre_rep" localSheetId="24">'[1]КС-2'!#REF!</definedName>
    <definedName name="a06_СС_Лимитированные_pre_rep" localSheetId="11">'[1]КС-2'!#REF!</definedName>
    <definedName name="a06_СС_Лимитированные_pre_rep" localSheetId="13">'[1]КС-2'!#REF!</definedName>
    <definedName name="a06_СС_Лимитированные_pre_rep">'[1]КС-2'!#REF!</definedName>
    <definedName name="a08_СС_ЗаголовокЛимит_pre_rep" localSheetId="24">#REF!</definedName>
    <definedName name="a08_СС_ЗаголовокЛимит_pre_rep" localSheetId="11">#REF!</definedName>
    <definedName name="a08_СС_ЗаголовокЛимит_pre_rep" localSheetId="13">#REF!</definedName>
    <definedName name="a08_СС_ЗаголовокЛимит_pre_rep">#REF!</definedName>
    <definedName name="a16_О_Лимитированные_pre_rep" localSheetId="24">#REF!</definedName>
    <definedName name="a16_О_Лимитированные_pre_rep" localSheetId="11">#REF!</definedName>
    <definedName name="a16_О_Лимитированные_pre_rep" localSheetId="13">#REF!</definedName>
    <definedName name="a16_О_Лимитированные_pre_rep">#REF!</definedName>
    <definedName name="a17_О_Концовка_pre_rep" localSheetId="24">#REF!</definedName>
    <definedName name="a17_О_Концовка_pre_rep" localSheetId="11">#REF!</definedName>
    <definedName name="a17_О_Концовка_pre_rep" localSheetId="13">#REF!</definedName>
    <definedName name="a17_О_Концовка_pre_rep">#REF!</definedName>
    <definedName name="a23_С_Заголовок_pre_rep" localSheetId="24">'[1]КС-2'!#REF!</definedName>
    <definedName name="a23_С_Заголовок_pre_rep" localSheetId="11">'[1]КС-2'!#REF!</definedName>
    <definedName name="a23_С_Заголовок_pre_rep" localSheetId="13">'[1]КС-2'!#REF!</definedName>
    <definedName name="a23_С_Заголовок_pre_rep">'[1]КС-2'!#REF!</definedName>
    <definedName name="a24_С_ИтогГрафы_pre_rep" localSheetId="24">'[1]КС-2'!#REF!</definedName>
    <definedName name="a24_С_ИтогГрафы_pre_rep" localSheetId="11">'[1]КС-2'!#REF!</definedName>
    <definedName name="a24_С_ИтогГрафы_pre_rep" localSheetId="13">'[1]КС-2'!#REF!</definedName>
    <definedName name="a24_С_ИтогГрафы_pre_rep">'[1]КС-2'!#REF!</definedName>
    <definedName name="a27_С_Концовка_pre_rep" localSheetId="24">#REF!</definedName>
    <definedName name="a27_С_Концовка_pre_rep" localSheetId="11">#REF!</definedName>
    <definedName name="a27_С_Концовка_pre_rep" localSheetId="13">#REF!</definedName>
    <definedName name="a27_С_Концовка_pre_rep">#REF!</definedName>
    <definedName name="a33_Р_Заголовок_pre_rep" localSheetId="24">#REF!</definedName>
    <definedName name="a33_Р_Заголовок_pre_rep" localSheetId="11">#REF!</definedName>
    <definedName name="a33_Р_Заголовок_pre_rep" localSheetId="13">#REF!</definedName>
    <definedName name="a33_Р_Заголовок_pre_rep">#REF!</definedName>
    <definedName name="a34_Р_ИтогГрафы_pre_rep" localSheetId="24">#REF!</definedName>
    <definedName name="a34_Р_ИтогГрафы_pre_rep" localSheetId="11">#REF!</definedName>
    <definedName name="a34_Р_ИтогГрафы_pre_rep" localSheetId="13">#REF!</definedName>
    <definedName name="a34_Р_ИтогГрафы_pre_rep">#REF!</definedName>
    <definedName name="a43_ПР_Заголовок_pre_rep" localSheetId="24">#REF!</definedName>
    <definedName name="a43_ПР_Заголовок_pre_rep" localSheetId="11">#REF!</definedName>
    <definedName name="a43_ПР_Заголовок_pre_rep">#REF!</definedName>
    <definedName name="a44_ПР_ИтогГрафы_pre_rep" localSheetId="24">#REF!</definedName>
    <definedName name="a44_ПР_ИтогГрафы_pre_rep" localSheetId="11">#REF!</definedName>
    <definedName name="a44_ПР_ИтогГрафы_pre_rep">#REF!</definedName>
    <definedName name="a51_Ст_Строка_pre_rep" localSheetId="24">#REF!</definedName>
    <definedName name="a51_Ст_Строка_pre_rep" localSheetId="11">#REF!</definedName>
    <definedName name="a51_Ст_Строка_pre_rep">#REF!</definedName>
    <definedName name="a54_Ст_НРиСП_pre_rep" localSheetId="24">#REF!</definedName>
    <definedName name="a54_Ст_НРиСП_pre_rep" localSheetId="11">#REF!</definedName>
    <definedName name="a54_Ст_НРиСП_pre_rep">#REF!</definedName>
    <definedName name="a61_ПСт_Подстрока_pre_rep" localSheetId="24">#REF!</definedName>
    <definedName name="a61_ПСт_Подстрока_pre_rep" localSheetId="11">#REF!</definedName>
    <definedName name="a61_ПСт_Подстрока_pre_rep">#REF!</definedName>
    <definedName name="a64_ПСт_НРиСП_pre_rep" localSheetId="24">#REF!</definedName>
    <definedName name="a64_ПСт_НРиСП_pre_rep" localSheetId="11">#REF!</definedName>
    <definedName name="a64_ПСт_НРиСП_pre_rep">#REF!</definedName>
    <definedName name="AA" localSheetId="24">#REF!</definedName>
    <definedName name="AA" localSheetId="11">#REF!</definedName>
    <definedName name="AA">#REF!</definedName>
    <definedName name="Adresse1_affaire" localSheetId="24">#REF!</definedName>
    <definedName name="Adresse1_affaire" localSheetId="11">#REF!</definedName>
    <definedName name="Adresse1_affaire">#REF!</definedName>
    <definedName name="Adresse2_affaire" localSheetId="24">#REF!</definedName>
    <definedName name="Adresse2_affaire" localSheetId="11">#REF!</definedName>
    <definedName name="Adresse2_affaire">#REF!</definedName>
    <definedName name="al" localSheetId="24" hidden="1">{#N/A,#N/A,TRUE,"Сводка балансов"}</definedName>
    <definedName name="al" localSheetId="11" hidden="1">{#N/A,#N/A,TRUE,"Сводка балансов"}</definedName>
    <definedName name="al" localSheetId="13" hidden="1">{#N/A,#N/A,TRUE,"Сводка балансов"}</definedName>
    <definedName name="al" hidden="1">{#N/A,#N/A,TRUE,"Сводка балансов"}</definedName>
    <definedName name="aqaa" localSheetId="24">#REF!</definedName>
    <definedName name="aqaa" localSheetId="11">#REF!</definedName>
    <definedName name="aqaa">#REF!</definedName>
    <definedName name="ata4ew4tgretw" localSheetId="24">[2]Эл.энергия!#REF!</definedName>
    <definedName name="ata4ew4tgretw" localSheetId="11">[2]Эл.энергия!#REF!</definedName>
    <definedName name="ata4ew4tgretw" localSheetId="13">[2]Эл.энергия!#REF!</definedName>
    <definedName name="ata4ew4tgretw">[2]Эл.энергия!#REF!</definedName>
    <definedName name="B_1" localSheetId="24">#REF!</definedName>
    <definedName name="B_1" localSheetId="11">#REF!</definedName>
    <definedName name="B_1" localSheetId="13">#REF!</definedName>
    <definedName name="B_1">#REF!</definedName>
    <definedName name="Catégories">[3]Catégories!$B$5:$B$986</definedName>
    <definedName name="Code_affaire" localSheetId="24">#REF!</definedName>
    <definedName name="Code_affaire" localSheetId="11">#REF!</definedName>
    <definedName name="Code_affaire" localSheetId="13">#REF!</definedName>
    <definedName name="Code_affaire">#REF!</definedName>
    <definedName name="Code_client" localSheetId="24">#REF!</definedName>
    <definedName name="Code_client" localSheetId="11">#REF!</definedName>
    <definedName name="Code_client" localSheetId="13">#REF!</definedName>
    <definedName name="Code_client">#REF!</definedName>
    <definedName name="Code_Dossier" localSheetId="24">#REF!</definedName>
    <definedName name="Code_Dossier" localSheetId="11">#REF!</definedName>
    <definedName name="Code_Dossier" localSheetId="13">#REF!</definedName>
    <definedName name="Code_Dossier">#REF!</definedName>
    <definedName name="Code_post_ville_pays_Affaire" localSheetId="24">#REF!</definedName>
    <definedName name="Code_post_ville_pays_Affaire" localSheetId="11">#REF!</definedName>
    <definedName name="Code_post_ville_pays_Affaire">#REF!</definedName>
    <definedName name="Code_post_ville_pays_Dossier" localSheetId="24">#REF!</definedName>
    <definedName name="Code_post_ville_pays_Dossier" localSheetId="11">#REF!</definedName>
    <definedName name="Code_post_ville_pays_Dossier">#REF!</definedName>
    <definedName name="Const_1_1" localSheetId="24">#REF!</definedName>
    <definedName name="Const_1_1" localSheetId="11">#REF!</definedName>
    <definedName name="Const_1_1">#REF!</definedName>
    <definedName name="Constr_1" localSheetId="24">[4]ЭН1_БНС!#REF!</definedName>
    <definedName name="Constr_1" localSheetId="11">[4]ЭН1_БНС!#REF!</definedName>
    <definedName name="Constr_1" localSheetId="13">[4]ЭН1_БНС!#REF!</definedName>
    <definedName name="Constr_1">[4]ЭН1_БНС!#REF!</definedName>
    <definedName name="Constr_1_1" localSheetId="24">[2]Эл.энергия!#REF!</definedName>
    <definedName name="Constr_1_1" localSheetId="11">[2]Эл.энергия!#REF!</definedName>
    <definedName name="Constr_1_1">[2]Эл.энергия!#REF!</definedName>
    <definedName name="Constr_1_25" localSheetId="24">[2]Эл.энергия!#REF!</definedName>
    <definedName name="Constr_1_25" localSheetId="11">[2]Эл.энергия!#REF!</definedName>
    <definedName name="Constr_1_25">[2]Эл.энергия!#REF!</definedName>
    <definedName name="Constr_11" localSheetId="24">[4]М2_БНС!#REF!</definedName>
    <definedName name="Constr_11" localSheetId="11">[4]М2_БНС!#REF!</definedName>
    <definedName name="Constr_11">[4]М2_БНС!#REF!</definedName>
    <definedName name="Constr_11_1" localSheetId="24">[5]М2_БНС!#REF!</definedName>
    <definedName name="Constr_11_1" localSheetId="11">[5]М2_БНС!#REF!</definedName>
    <definedName name="Constr_11_1">[5]М2_БНС!#REF!</definedName>
    <definedName name="Constr_12" localSheetId="24">[4]ЭН14_Ростверк!#REF!</definedName>
    <definedName name="Constr_12" localSheetId="11">[4]ЭН14_Ростверк!#REF!</definedName>
    <definedName name="Constr_12">[4]ЭН14_Ростверк!#REF!</definedName>
    <definedName name="Constr_12_1" localSheetId="24">[5]ЭН14_Ростверк!#REF!</definedName>
    <definedName name="Constr_12_1" localSheetId="11">[5]ЭН14_Ростверк!#REF!</definedName>
    <definedName name="Constr_12_1">[5]ЭН14_Ростверк!#REF!</definedName>
    <definedName name="Constr_13" localSheetId="24">[4]ЭН14_СВСиУ!#REF!</definedName>
    <definedName name="Constr_13" localSheetId="11">[4]ЭН14_СВСиУ!#REF!</definedName>
    <definedName name="Constr_13">[4]ЭН14_СВСиУ!#REF!</definedName>
    <definedName name="Constr_14" localSheetId="24">[4]ЭН15_БНС!#REF!</definedName>
    <definedName name="Constr_14" localSheetId="11">[4]ЭН15_БНС!#REF!</definedName>
    <definedName name="Constr_14">[4]ЭН15_БНС!#REF!</definedName>
    <definedName name="Constr_15" localSheetId="24">[4]ЭН13_БНС!#REF!</definedName>
    <definedName name="Constr_15" localSheetId="11">[4]ЭН13_БНС!#REF!</definedName>
    <definedName name="Constr_15">[4]ЭН13_БНС!#REF!</definedName>
    <definedName name="Constr_16" localSheetId="24">[4]ЭН13_СВСиУ!#REF!</definedName>
    <definedName name="Constr_16" localSheetId="11">[4]ЭН13_СВСиУ!#REF!</definedName>
    <definedName name="Constr_16">[4]ЭН13_СВСиУ!#REF!</definedName>
    <definedName name="Constr_17" localSheetId="24">[4]ЭН3_БНС!#REF!</definedName>
    <definedName name="Constr_17" localSheetId="11">[4]ЭН3_БНС!#REF!</definedName>
    <definedName name="Constr_17">[4]ЭН3_БНС!#REF!</definedName>
    <definedName name="Constr_18" localSheetId="24">[4]ЭН16_БНС!#REF!</definedName>
    <definedName name="Constr_18" localSheetId="11">[4]ЭН16_БНС!#REF!</definedName>
    <definedName name="Constr_18">[4]ЭН16_БНС!#REF!</definedName>
    <definedName name="Constr_2" localSheetId="24">[4]ЭН2_БНС!#REF!</definedName>
    <definedName name="Constr_2" localSheetId="11">[4]ЭН2_БНС!#REF!</definedName>
    <definedName name="Constr_2">[4]ЭН2_БНС!#REF!</definedName>
    <definedName name="Constr_2_1" localSheetId="24">'[2]аренда флота'!#REF!</definedName>
    <definedName name="Constr_2_1" localSheetId="11">'[2]аренда флота'!#REF!</definedName>
    <definedName name="Constr_2_1">'[2]аренда флота'!#REF!</definedName>
    <definedName name="Constr_2_25" localSheetId="24">'[2]аренда флота'!#REF!</definedName>
    <definedName name="Constr_2_25" localSheetId="11">'[2]аренда флота'!#REF!</definedName>
    <definedName name="Constr_2_25">'[2]аренда флота'!#REF!</definedName>
    <definedName name="Constr_22" localSheetId="24">'[4]Аренда флота'!#REF!</definedName>
    <definedName name="Constr_22" localSheetId="11">'[4]Аренда флота'!#REF!</definedName>
    <definedName name="Constr_22">'[4]Аренда флота'!#REF!</definedName>
    <definedName name="Constr_3" localSheetId="24">[4]ЭН14_БНС!#REF!</definedName>
    <definedName name="Constr_3" localSheetId="11">[4]ЭН14_БНС!#REF!</definedName>
    <definedName name="Constr_3">[4]ЭН14_БНС!#REF!</definedName>
    <definedName name="Constr_4" localSheetId="24">'[4]1-1-4'!#REF!</definedName>
    <definedName name="Constr_4" localSheetId="11">'[4]1-1-4'!#REF!</definedName>
    <definedName name="Constr_4">'[4]1-1-4'!#REF!</definedName>
    <definedName name="Constr_5" localSheetId="24">'[4]8-4_времен.дорога А-В'!#REF!</definedName>
    <definedName name="Constr_5" localSheetId="11">'[4]8-4_времен.дорога А-В'!#REF!</definedName>
    <definedName name="Constr_5">'[4]8-4_времен.дорога А-В'!#REF!</definedName>
    <definedName name="Constr_6" localSheetId="24">'[4]2-4-9_дорога 3'!#REF!</definedName>
    <definedName name="Constr_6" localSheetId="11">'[4]2-4-9_дорога 3'!#REF!</definedName>
    <definedName name="Constr_6">'[4]2-4-9_дорога 3'!#REF!</definedName>
    <definedName name="Constr_7" localSheetId="24">'[4]1-1-11_Зем.работы площадки'!#REF!</definedName>
    <definedName name="Constr_7" localSheetId="11">'[4]1-1-11_Зем.работы площадки'!#REF!</definedName>
    <definedName name="Constr_7">'[4]1-1-11_Зем.работы площадки'!#REF!</definedName>
    <definedName name="Constr_8" localSheetId="24">'[4]1-1-8_островки'!#REF!</definedName>
    <definedName name="Constr_8" localSheetId="11">'[4]1-1-8_островки'!#REF!</definedName>
    <definedName name="Constr_8">'[4]1-1-8_островки'!#REF!</definedName>
    <definedName name="Constr_9" localSheetId="24">'[4]9 навМОСТОВИК'!#REF!</definedName>
    <definedName name="Constr_9" localSheetId="11">'[4]9 навМОСТОВИК'!#REF!</definedName>
    <definedName name="Constr_9">'[4]9 навМОСТОВИК'!#REF!</definedName>
    <definedName name="d_0" localSheetId="24">#REF!</definedName>
    <definedName name="d_0" localSheetId="11">#REF!</definedName>
    <definedName name="d_0" localSheetId="13">#REF!</definedName>
    <definedName name="d_0">#REF!</definedName>
    <definedName name="d_01" localSheetId="24">#REF!</definedName>
    <definedName name="d_01" localSheetId="11">#REF!</definedName>
    <definedName name="d_01" localSheetId="13">#REF!</definedName>
    <definedName name="d_01">#REF!</definedName>
    <definedName name="d_02" localSheetId="24">#REF!</definedName>
    <definedName name="d_02" localSheetId="11">#REF!</definedName>
    <definedName name="d_02" localSheetId="13">#REF!</definedName>
    <definedName name="d_02">#REF!</definedName>
    <definedName name="Date_alpha" localSheetId="24">#REF!</definedName>
    <definedName name="Date_alpha" localSheetId="11">#REF!</definedName>
    <definedName name="Date_alpha">#REF!</definedName>
    <definedName name="Date_base_de_prix" localSheetId="24">#REF!</definedName>
    <definedName name="Date_base_de_prix" localSheetId="11">#REF!</definedName>
    <definedName name="Date_base_de_prix">#REF!</definedName>
    <definedName name="Date_d_envoi" localSheetId="24">#REF!</definedName>
    <definedName name="Date_d_envoi" localSheetId="11">#REF!</definedName>
    <definedName name="Date_d_envoi">#REF!</definedName>
    <definedName name="Date_de_l_offre" localSheetId="24">#REF!</definedName>
    <definedName name="Date_de_l_offre" localSheetId="11">#REF!</definedName>
    <definedName name="Date_de_l_offre">#REF!</definedName>
    <definedName name="Date_de_valeur_des_prix" localSheetId="24">#REF!</definedName>
    <definedName name="Date_de_valeur_des_prix" localSheetId="11">#REF!</definedName>
    <definedName name="Date_de_valeur_des_prix">#REF!</definedName>
    <definedName name="Date_du_jour" localSheetId="24">#REF!</definedName>
    <definedName name="Date_du_jour" localSheetId="11">#REF!</definedName>
    <definedName name="Date_du_jour">#REF!</definedName>
    <definedName name="Desi_Dossier" localSheetId="24">#REF!</definedName>
    <definedName name="Desi_Dossier" localSheetId="11">#REF!</definedName>
    <definedName name="Desi_Dossier">#REF!</definedName>
    <definedName name="Designation_1_pour_agence" localSheetId="24">#REF!</definedName>
    <definedName name="Designation_1_pour_agence" localSheetId="11">#REF!</definedName>
    <definedName name="Designation_1_pour_agence">#REF!</definedName>
    <definedName name="Designation_2_pour_agence" localSheetId="24">#REF!</definedName>
    <definedName name="Designation_2_pour_agence" localSheetId="11">#REF!</definedName>
    <definedName name="Designation_2_pour_agence">#REF!</definedName>
    <definedName name="Designation_affaire" localSheetId="24">#REF!</definedName>
    <definedName name="Designation_affaire" localSheetId="11">#REF!</definedName>
    <definedName name="Designation_affaire">#REF!</definedName>
    <definedName name="Designation_client" localSheetId="24">#REF!</definedName>
    <definedName name="Designation_client" localSheetId="11">#REF!</definedName>
    <definedName name="Designation_client">#REF!</definedName>
    <definedName name="Designation_devis" localSheetId="24">#REF!</definedName>
    <definedName name="Designation_devis" localSheetId="11">#REF!</definedName>
    <definedName name="Designation_devis">#REF!</definedName>
    <definedName name="Ds_2" localSheetId="24">#REF!</definedName>
    <definedName name="Ds_2" localSheetId="11">#REF!</definedName>
    <definedName name="Ds_2">#REF!</definedName>
    <definedName name="EL_0" localSheetId="24">#REF!</definedName>
    <definedName name="EL_0" localSheetId="11">#REF!</definedName>
    <definedName name="EL_0">#REF!</definedName>
    <definedName name="Excel_BuiltIn_Print_Area" localSheetId="24">#REF!</definedName>
    <definedName name="Excel_BuiltIn_Print_Area" localSheetId="11">#REF!</definedName>
    <definedName name="Excel_BuiltIn_Print_Area">#REF!</definedName>
    <definedName name="Excel_BuiltIn_Print_Area_1">#N/A</definedName>
    <definedName name="Excel_BuiltIn_Print_Area_1_1">NA()</definedName>
    <definedName name="Excel_BuiltIn_Print_Area_4" localSheetId="24">#REF!</definedName>
    <definedName name="Excel_BuiltIn_Print_Area_4" localSheetId="11">#REF!</definedName>
    <definedName name="Excel_BuiltIn_Print_Area_4">#REF!</definedName>
    <definedName name="Excel_BuiltIn_Print_Titles" localSheetId="24">#REF!</definedName>
    <definedName name="Excel_BuiltIn_Print_Titles" localSheetId="11">#REF!</definedName>
    <definedName name="Excel_BuiltIn_Print_Titles">#REF!</definedName>
    <definedName name="Excel_BuiltIn_Print_Titles_1" localSheetId="24">#REF!</definedName>
    <definedName name="Excel_BuiltIn_Print_Titles_1" localSheetId="11">#REF!</definedName>
    <definedName name="Excel_BuiltIn_Print_Titles_1">#REF!</definedName>
    <definedName name="f" localSheetId="24">#REF!</definedName>
    <definedName name="f" localSheetId="11">#REF!</definedName>
    <definedName name="f">#REF!</definedName>
    <definedName name="Fax" localSheetId="24">#REF!</definedName>
    <definedName name="Fax" localSheetId="11">#REF!</definedName>
    <definedName name="Fax">#REF!</definedName>
    <definedName name="Fax_affaire" localSheetId="24">#REF!</definedName>
    <definedName name="Fax_affaire" localSheetId="11">#REF!</definedName>
    <definedName name="Fax_affaire">#REF!</definedName>
    <definedName name="Fax_dossier" localSheetId="24">#REF!</definedName>
    <definedName name="Fax_dossier" localSheetId="11">#REF!</definedName>
    <definedName name="Fax_dossier">#REF!</definedName>
    <definedName name="FOT_1" localSheetId="24">[4]ЭН1_БНС!#REF!</definedName>
    <definedName name="FOT_1" localSheetId="11">[4]ЭН1_БНС!#REF!</definedName>
    <definedName name="FOT_1" localSheetId="13">[4]ЭН1_БНС!#REF!</definedName>
    <definedName name="FOT_1">[4]ЭН1_БНС!#REF!</definedName>
    <definedName name="FOT_1_1" localSheetId="24">[2]Эл.энергия!#REF!</definedName>
    <definedName name="FOT_1_1" localSheetId="11">[2]Эл.энергия!#REF!</definedName>
    <definedName name="FOT_1_1">[2]Эл.энергия!#REF!</definedName>
    <definedName name="FOT_1_25" localSheetId="24">[2]Эл.энергия!#REF!</definedName>
    <definedName name="FOT_1_25" localSheetId="11">[2]Эл.энергия!#REF!</definedName>
    <definedName name="FOT_1_25">[2]Эл.энергия!#REF!</definedName>
    <definedName name="FOT_11" localSheetId="24">[4]М2_БНС!#REF!</definedName>
    <definedName name="FOT_11" localSheetId="11">[4]М2_БНС!#REF!</definedName>
    <definedName name="FOT_11">[4]М2_БНС!#REF!</definedName>
    <definedName name="FOT_12" localSheetId="24">[4]ЭН14_Ростверк!#REF!</definedName>
    <definedName name="FOT_12" localSheetId="11">[4]ЭН14_Ростверк!#REF!</definedName>
    <definedName name="FOT_12">[4]ЭН14_Ростверк!#REF!</definedName>
    <definedName name="FOT_13" localSheetId="24">[4]ЭН14_СВСиУ!#REF!</definedName>
    <definedName name="FOT_13" localSheetId="11">[4]ЭН14_СВСиУ!#REF!</definedName>
    <definedName name="FOT_13">[4]ЭН14_СВСиУ!#REF!</definedName>
    <definedName name="FOT_14" localSheetId="24">[4]ЭН15_БНС!#REF!</definedName>
    <definedName name="FOT_14" localSheetId="11">[4]ЭН15_БНС!#REF!</definedName>
    <definedName name="FOT_14">[4]ЭН15_БНС!#REF!</definedName>
    <definedName name="FOT_15" localSheetId="24">[4]ЭН13_БНС!#REF!</definedName>
    <definedName name="FOT_15" localSheetId="11">[4]ЭН13_БНС!#REF!</definedName>
    <definedName name="FOT_15">[4]ЭН13_БНС!#REF!</definedName>
    <definedName name="FOT_16" localSheetId="24">[4]ЭН13_СВСиУ!#REF!</definedName>
    <definedName name="FOT_16" localSheetId="11">[4]ЭН13_СВСиУ!#REF!</definedName>
    <definedName name="FOT_16">[4]ЭН13_СВСиУ!#REF!</definedName>
    <definedName name="FOT_17" localSheetId="24">[4]ЭН3_БНС!#REF!</definedName>
    <definedName name="FOT_17" localSheetId="11">[4]ЭН3_БНС!#REF!</definedName>
    <definedName name="FOT_17">[4]ЭН3_БНС!#REF!</definedName>
    <definedName name="FOT_18" localSheetId="24">[4]ЭН16_БНС!#REF!</definedName>
    <definedName name="FOT_18" localSheetId="11">[4]ЭН16_БНС!#REF!</definedName>
    <definedName name="FOT_18">[4]ЭН16_БНС!#REF!</definedName>
    <definedName name="FOT_2" localSheetId="24">[4]ЭН2_БНС!#REF!</definedName>
    <definedName name="FOT_2" localSheetId="11">[4]ЭН2_БНС!#REF!</definedName>
    <definedName name="FOT_2">[4]ЭН2_БНС!#REF!</definedName>
    <definedName name="FOT_2_1" localSheetId="24">'[2]аренда флота'!#REF!</definedName>
    <definedName name="FOT_2_1" localSheetId="11">'[2]аренда флота'!#REF!</definedName>
    <definedName name="FOT_2_1">'[2]аренда флота'!#REF!</definedName>
    <definedName name="FOT_2_25" localSheetId="24">'[2]аренда флота'!#REF!</definedName>
    <definedName name="FOT_2_25" localSheetId="11">'[2]аренда флота'!#REF!</definedName>
    <definedName name="FOT_2_25">'[2]аренда флота'!#REF!</definedName>
    <definedName name="FOT_22" localSheetId="24">'[4]Аренда флота'!#REF!</definedName>
    <definedName name="FOT_22" localSheetId="11">'[4]Аренда флота'!#REF!</definedName>
    <definedName name="FOT_22">'[4]Аренда флота'!#REF!</definedName>
    <definedName name="FOT_3" localSheetId="24">[4]ЭН14_БНС!#REF!</definedName>
    <definedName name="FOT_3" localSheetId="11">[4]ЭН14_БНС!#REF!</definedName>
    <definedName name="FOT_3">[4]ЭН14_БНС!#REF!</definedName>
    <definedName name="FOT_4" localSheetId="24">'[4]1-1-4'!#REF!</definedName>
    <definedName name="FOT_4" localSheetId="11">'[4]1-1-4'!#REF!</definedName>
    <definedName name="FOT_4">'[4]1-1-4'!#REF!</definedName>
    <definedName name="FOT_5" localSheetId="24">'[4]8-4_времен.дорога А-В'!#REF!</definedName>
    <definedName name="FOT_5" localSheetId="11">'[4]8-4_времен.дорога А-В'!#REF!</definedName>
    <definedName name="FOT_5">'[4]8-4_времен.дорога А-В'!#REF!</definedName>
    <definedName name="FOT_6" localSheetId="24">'[4]2-4-9_дорога 3'!#REF!</definedName>
    <definedName name="FOT_6" localSheetId="11">'[4]2-4-9_дорога 3'!#REF!</definedName>
    <definedName name="FOT_6">'[4]2-4-9_дорога 3'!#REF!</definedName>
    <definedName name="FOT_7" localSheetId="24">'[4]1-1-11_Зем.работы площадки'!#REF!</definedName>
    <definedName name="FOT_7" localSheetId="11">'[4]1-1-11_Зем.работы площадки'!#REF!</definedName>
    <definedName name="FOT_7">'[4]1-1-11_Зем.работы площадки'!#REF!</definedName>
    <definedName name="FOT_8" localSheetId="24">'[4]1-1-8_островки'!#REF!</definedName>
    <definedName name="FOT_8" localSheetId="11">'[4]1-1-8_островки'!#REF!</definedName>
    <definedName name="FOT_8">'[4]1-1-8_островки'!#REF!</definedName>
    <definedName name="FOT_9" localSheetId="24">'[4]9 навМОСТОВИК'!#REF!</definedName>
    <definedName name="FOT_9" localSheetId="11">'[4]9 навМОСТОВИК'!#REF!</definedName>
    <definedName name="FOT_9">'[4]9 навМОСТОВИК'!#REF!</definedName>
    <definedName name="gjjj" localSheetId="24">#REF!</definedName>
    <definedName name="gjjj" localSheetId="11">#REF!</definedName>
    <definedName name="gjjj" localSheetId="13">#REF!</definedName>
    <definedName name="gjjj">#REF!</definedName>
    <definedName name="Ind_1" localSheetId="24">[4]ЭН1_БНС!#REF!</definedName>
    <definedName name="Ind_1" localSheetId="11">[4]ЭН1_БНС!#REF!</definedName>
    <definedName name="Ind_1" localSheetId="13">[4]ЭН1_БНС!#REF!</definedName>
    <definedName name="Ind_1">[4]ЭН1_БНС!#REF!</definedName>
    <definedName name="Ind_1_1" localSheetId="24">[2]Эл.энергия!#REF!</definedName>
    <definedName name="Ind_1_1" localSheetId="11">[2]Эл.энергия!#REF!</definedName>
    <definedName name="Ind_1_1">[2]Эл.энергия!#REF!</definedName>
    <definedName name="Ind_1_25" localSheetId="24">[2]Эл.энергия!#REF!</definedName>
    <definedName name="Ind_1_25" localSheetId="11">[2]Эл.энергия!#REF!</definedName>
    <definedName name="Ind_1_25">[2]Эл.энергия!#REF!</definedName>
    <definedName name="Ind_11" localSheetId="24">[4]М2_БНС!#REF!</definedName>
    <definedName name="Ind_11" localSheetId="11">[4]М2_БНС!#REF!</definedName>
    <definedName name="Ind_11">[4]М2_БНС!#REF!</definedName>
    <definedName name="Ind_12" localSheetId="24">[4]ЭН14_Ростверк!#REF!</definedName>
    <definedName name="Ind_12" localSheetId="11">[4]ЭН14_Ростверк!#REF!</definedName>
    <definedName name="Ind_12">[4]ЭН14_Ростверк!#REF!</definedName>
    <definedName name="Ind_13" localSheetId="24">[4]ЭН14_СВСиУ!#REF!</definedName>
    <definedName name="Ind_13" localSheetId="11">[4]ЭН14_СВСиУ!#REF!</definedName>
    <definedName name="Ind_13">[4]ЭН14_СВСиУ!#REF!</definedName>
    <definedName name="Ind_14" localSheetId="24">[4]ЭН15_БНС!#REF!</definedName>
    <definedName name="Ind_14" localSheetId="11">[4]ЭН15_БНС!#REF!</definedName>
    <definedName name="Ind_14">[4]ЭН15_БНС!#REF!</definedName>
    <definedName name="Ind_15" localSheetId="24">[4]ЭН13_БНС!#REF!</definedName>
    <definedName name="Ind_15" localSheetId="11">[4]ЭН13_БНС!#REF!</definedName>
    <definedName name="Ind_15">[4]ЭН13_БНС!#REF!</definedName>
    <definedName name="Ind_16" localSheetId="24">[4]ЭН13_СВСиУ!#REF!</definedName>
    <definedName name="Ind_16" localSheetId="11">[4]ЭН13_СВСиУ!#REF!</definedName>
    <definedName name="Ind_16">[4]ЭН13_СВСиУ!#REF!</definedName>
    <definedName name="Ind_17" localSheetId="24">[4]ЭН3_БНС!#REF!</definedName>
    <definedName name="Ind_17" localSheetId="11">[4]ЭН3_БНС!#REF!</definedName>
    <definedName name="Ind_17">[4]ЭН3_БНС!#REF!</definedName>
    <definedName name="Ind_18" localSheetId="24">[4]ЭН16_БНС!#REF!</definedName>
    <definedName name="Ind_18" localSheetId="11">[4]ЭН16_БНС!#REF!</definedName>
    <definedName name="Ind_18">[4]ЭН16_БНС!#REF!</definedName>
    <definedName name="Ind_2" localSheetId="24">[4]ЭН2_БНС!#REF!</definedName>
    <definedName name="Ind_2" localSheetId="11">[4]ЭН2_БНС!#REF!</definedName>
    <definedName name="Ind_2">[4]ЭН2_БНС!#REF!</definedName>
    <definedName name="Ind_2_1" localSheetId="24">'[2]аренда флота'!#REF!</definedName>
    <definedName name="Ind_2_1" localSheetId="11">'[2]аренда флота'!#REF!</definedName>
    <definedName name="Ind_2_1">'[2]аренда флота'!#REF!</definedName>
    <definedName name="Ind_2_25" localSheetId="24">'[2]аренда флота'!#REF!</definedName>
    <definedName name="Ind_2_25" localSheetId="11">'[2]аренда флота'!#REF!</definedName>
    <definedName name="Ind_2_25">'[2]аренда флота'!#REF!</definedName>
    <definedName name="Ind_22" localSheetId="24">'[4]Аренда флота'!#REF!</definedName>
    <definedName name="Ind_22" localSheetId="11">'[4]Аренда флота'!#REF!</definedName>
    <definedName name="Ind_22">'[4]Аренда флота'!#REF!</definedName>
    <definedName name="Ind_3" localSheetId="24">[4]ЭН14_БНС!#REF!</definedName>
    <definedName name="Ind_3" localSheetId="11">[4]ЭН14_БНС!#REF!</definedName>
    <definedName name="Ind_3">[4]ЭН14_БНС!#REF!</definedName>
    <definedName name="Ind_4" localSheetId="24">'[4]1-1-4'!#REF!</definedName>
    <definedName name="Ind_4" localSheetId="11">'[4]1-1-4'!#REF!</definedName>
    <definedName name="Ind_4">'[4]1-1-4'!#REF!</definedName>
    <definedName name="Ind_5" localSheetId="24">'[4]8-4_времен.дорога А-В'!#REF!</definedName>
    <definedName name="Ind_5" localSheetId="11">'[4]8-4_времен.дорога А-В'!#REF!</definedName>
    <definedName name="Ind_5">'[4]8-4_времен.дорога А-В'!#REF!</definedName>
    <definedName name="Ind_6" localSheetId="24">'[4]2-4-9_дорога 3'!#REF!</definedName>
    <definedName name="Ind_6" localSheetId="11">'[4]2-4-9_дорога 3'!#REF!</definedName>
    <definedName name="Ind_6">'[4]2-4-9_дорога 3'!#REF!</definedName>
    <definedName name="Ind_7" localSheetId="24">'[4]1-1-11_Зем.работы площадки'!#REF!</definedName>
    <definedName name="Ind_7" localSheetId="11">'[4]1-1-11_Зем.работы площадки'!#REF!</definedName>
    <definedName name="Ind_7">'[4]1-1-11_Зем.работы площадки'!#REF!</definedName>
    <definedName name="Ind_8" localSheetId="24">'[4]1-1-8_островки'!#REF!</definedName>
    <definedName name="Ind_8" localSheetId="11">'[4]1-1-8_островки'!#REF!</definedName>
    <definedName name="Ind_8">'[4]1-1-8_островки'!#REF!</definedName>
    <definedName name="Ind_9" localSheetId="24">'[4]9 навМОСТОВИК'!#REF!</definedName>
    <definedName name="Ind_9" localSheetId="11">'[4]9 навМОСТОВИК'!#REF!</definedName>
    <definedName name="Ind_9">'[4]9 навМОСТОВИК'!#REF!</definedName>
    <definedName name="j" localSheetId="24">#REF!</definedName>
    <definedName name="j" localSheetId="11">#REF!</definedName>
    <definedName name="j" localSheetId="13">#REF!</definedName>
    <definedName name="j">#REF!</definedName>
    <definedName name="jj" localSheetId="24">#REF!</definedName>
    <definedName name="jj" localSheetId="11">#REF!</definedName>
    <definedName name="jj" localSheetId="13">#REF!</definedName>
    <definedName name="jj">#REF!</definedName>
    <definedName name="K_012" localSheetId="24">#REF!</definedName>
    <definedName name="K_012" localSheetId="11">#REF!</definedName>
    <definedName name="K_012" localSheetId="13">#REF!</definedName>
    <definedName name="K_012">#REF!</definedName>
    <definedName name="K_1" localSheetId="24">#REF!</definedName>
    <definedName name="K_1" localSheetId="11">#REF!</definedName>
    <definedName name="K_1">#REF!</definedName>
    <definedName name="K_10" localSheetId="24">#REF!</definedName>
    <definedName name="K_10" localSheetId="11">#REF!</definedName>
    <definedName name="K_10">#REF!</definedName>
    <definedName name="K_101">'[6]Тр.(пут)'!$P$20</definedName>
    <definedName name="K_102">'[6]Тр.(пут)'!$P$23</definedName>
    <definedName name="K_103">'[6]Тр.(пут)'!$P$26</definedName>
    <definedName name="K_104">'[6]Тр.(пут)'!$P$29</definedName>
    <definedName name="K_105">'[7]Тр.(пут)'!$P$32</definedName>
    <definedName name="K_106">'[6]Тр.(пут)'!$P$35</definedName>
    <definedName name="K_107">'[6]Тр.(пут)'!$P$38</definedName>
    <definedName name="K_108">'[6]Тр.(пут)'!$P$17</definedName>
    <definedName name="K_109">'[6]Тр.(пут)'!$P$41</definedName>
    <definedName name="K_11" localSheetId="24">#REF!</definedName>
    <definedName name="K_11" localSheetId="11">#REF!</definedName>
    <definedName name="K_11" localSheetId="13">#REF!</definedName>
    <definedName name="K_11">#REF!</definedName>
    <definedName name="K_12" localSheetId="24">#REF!</definedName>
    <definedName name="K_12" localSheetId="11">#REF!</definedName>
    <definedName name="K_12" localSheetId="13">#REF!</definedName>
    <definedName name="K_12">#REF!</definedName>
    <definedName name="K_122" localSheetId="24">#REF!</definedName>
    <definedName name="K_122" localSheetId="11">#REF!</definedName>
    <definedName name="K_122" localSheetId="13">#REF!</definedName>
    <definedName name="K_122">#REF!</definedName>
    <definedName name="K_13" localSheetId="24">#REF!</definedName>
    <definedName name="K_13" localSheetId="11">#REF!</definedName>
    <definedName name="K_13">#REF!</definedName>
    <definedName name="K_14" localSheetId="24">#REF!</definedName>
    <definedName name="K_14" localSheetId="11">#REF!</definedName>
    <definedName name="K_14">#REF!</definedName>
    <definedName name="K_15" localSheetId="24">#REF!</definedName>
    <definedName name="K_15" localSheetId="11">#REF!</definedName>
    <definedName name="K_15">#REF!</definedName>
    <definedName name="K_16" localSheetId="24">#REF!</definedName>
    <definedName name="K_16" localSheetId="11">#REF!</definedName>
    <definedName name="K_16">#REF!</definedName>
    <definedName name="K_2" localSheetId="24">#REF!</definedName>
    <definedName name="K_2" localSheetId="11">#REF!</definedName>
    <definedName name="K_2">#REF!</definedName>
    <definedName name="K_20" localSheetId="24">#REF!</definedName>
    <definedName name="K_20" localSheetId="11">#REF!</definedName>
    <definedName name="K_20">#REF!</definedName>
    <definedName name="K_3" localSheetId="24">#REF!</definedName>
    <definedName name="K_3" localSheetId="11">#REF!</definedName>
    <definedName name="K_3">#REF!</definedName>
    <definedName name="K_31" localSheetId="24">'[8]ТрМ. '!#REF!</definedName>
    <definedName name="K_31" localSheetId="11">'[8]ТрМ. '!#REF!</definedName>
    <definedName name="K_31" localSheetId="13">'[8]ТрМ. '!#REF!</definedName>
    <definedName name="K_31">'[8]ТрМ. '!#REF!</definedName>
    <definedName name="K_4" localSheetId="24">#REF!</definedName>
    <definedName name="K_4" localSheetId="11">#REF!</definedName>
    <definedName name="K_4" localSheetId="13">#REF!</definedName>
    <definedName name="K_4">#REF!</definedName>
    <definedName name="K_400" localSheetId="24">#REF!</definedName>
    <definedName name="K_400" localSheetId="11">#REF!</definedName>
    <definedName name="K_400" localSheetId="13">#REF!</definedName>
    <definedName name="K_400">#REF!</definedName>
    <definedName name="K_44" localSheetId="24">#REF!</definedName>
    <definedName name="K_44" localSheetId="11">#REF!</definedName>
    <definedName name="K_44" localSheetId="13">#REF!</definedName>
    <definedName name="K_44">#REF!</definedName>
    <definedName name="K_48">'[9]Тр.(ж.д.)'!$F$43</definedName>
    <definedName name="K_49" localSheetId="24">#REF!</definedName>
    <definedName name="K_49" localSheetId="11">#REF!</definedName>
    <definedName name="K_49" localSheetId="13">#REF!</definedName>
    <definedName name="K_49">#REF!</definedName>
    <definedName name="K_5">[10]Тр.!$H$36</definedName>
    <definedName name="K_55" localSheetId="24">#REF!</definedName>
    <definedName name="K_55" localSheetId="11">#REF!</definedName>
    <definedName name="K_55" localSheetId="13">#REF!</definedName>
    <definedName name="K_55">#REF!</definedName>
    <definedName name="K_58">'[11]Тр.  (мост)'!$P$30</definedName>
    <definedName name="K_6" localSheetId="24">#REF!</definedName>
    <definedName name="K_6" localSheetId="11">#REF!</definedName>
    <definedName name="K_6" localSheetId="13">#REF!</definedName>
    <definedName name="K_6">#REF!</definedName>
    <definedName name="K_6а" localSheetId="24">#REF!</definedName>
    <definedName name="K_6а" localSheetId="11">#REF!</definedName>
    <definedName name="K_6а" localSheetId="13">#REF!</definedName>
    <definedName name="K_6а">#REF!</definedName>
    <definedName name="K_7" localSheetId="24">#REF!</definedName>
    <definedName name="K_7" localSheetId="11">#REF!</definedName>
    <definedName name="K_7" localSheetId="13">#REF!</definedName>
    <definedName name="K_7">#REF!</definedName>
    <definedName name="K_7а" localSheetId="24">'[8]ТрМ. '!#REF!</definedName>
    <definedName name="K_7а" localSheetId="11">'[8]ТрМ. '!#REF!</definedName>
    <definedName name="K_7а" localSheetId="13">'[8]ТрМ. '!#REF!</definedName>
    <definedName name="K_7а">'[8]ТрМ. '!#REF!</definedName>
    <definedName name="K_8" localSheetId="24">#REF!</definedName>
    <definedName name="K_8" localSheetId="11">#REF!</definedName>
    <definedName name="K_8" localSheetId="13">#REF!</definedName>
    <definedName name="K_8">#REF!</definedName>
    <definedName name="K_80" localSheetId="24">#REF!</definedName>
    <definedName name="K_80" localSheetId="11">#REF!</definedName>
    <definedName name="K_80" localSheetId="13">#REF!</definedName>
    <definedName name="K_80">#REF!</definedName>
    <definedName name="K_81" localSheetId="24">#REF!</definedName>
    <definedName name="K_81" localSheetId="11">#REF!</definedName>
    <definedName name="K_81" localSheetId="13">#REF!</definedName>
    <definedName name="K_81">#REF!</definedName>
    <definedName name="K_85" localSheetId="24">'[12]тр '!#REF!</definedName>
    <definedName name="K_85" localSheetId="11">'[12]тр '!#REF!</definedName>
    <definedName name="K_85" localSheetId="13">'[12]тр '!#REF!</definedName>
    <definedName name="K_85">'[12]тр '!#REF!</definedName>
    <definedName name="K_9" localSheetId="24">#REF!</definedName>
    <definedName name="K_9" localSheetId="11">#REF!</definedName>
    <definedName name="K_9" localSheetId="13">#REF!</definedName>
    <definedName name="K_9">#REF!</definedName>
    <definedName name="K_91" localSheetId="24">#REF!</definedName>
    <definedName name="K_91" localSheetId="11">#REF!</definedName>
    <definedName name="K_91" localSheetId="13">#REF!</definedName>
    <definedName name="K_91">#REF!</definedName>
    <definedName name="L_1" localSheetId="24">#REF!</definedName>
    <definedName name="L_1" localSheetId="11">#REF!</definedName>
    <definedName name="L_1" localSheetId="13">#REF!</definedName>
    <definedName name="L_1">#REF!</definedName>
    <definedName name="L_2" localSheetId="24">#REF!</definedName>
    <definedName name="L_2" localSheetId="11">#REF!</definedName>
    <definedName name="L_2">#REF!</definedName>
    <definedName name="lh" localSheetId="24" hidden="1">{#N/A,#N/A,TRUE,"Сводка балансов"}</definedName>
    <definedName name="lh" localSheetId="11" hidden="1">{#N/A,#N/A,TRUE,"Сводка балансов"}</definedName>
    <definedName name="lh" localSheetId="13" hidden="1">{#N/A,#N/A,TRUE,"Сводка балансов"}</definedName>
    <definedName name="lh" hidden="1">{#N/A,#N/A,TRUE,"Сводка балансов"}</definedName>
    <definedName name="Ligne_1_commentaire_entete" localSheetId="24">#REF!</definedName>
    <definedName name="Ligne_1_commentaire_entete" localSheetId="11">#REF!</definedName>
    <definedName name="Ligne_1_commentaire_entete">#REF!</definedName>
    <definedName name="Ligne_1_desi_client" localSheetId="24">#REF!</definedName>
    <definedName name="Ligne_1_desi_client" localSheetId="11">#REF!</definedName>
    <definedName name="Ligne_1_desi_client">#REF!</definedName>
    <definedName name="Ligne_1_reference" localSheetId="24">#REF!</definedName>
    <definedName name="Ligne_1_reference" localSheetId="11">#REF!</definedName>
    <definedName name="Ligne_1_reference">#REF!</definedName>
    <definedName name="Ligne_2_commentaire_entete" localSheetId="24">#REF!</definedName>
    <definedName name="Ligne_2_commentaire_entete" localSheetId="11">#REF!</definedName>
    <definedName name="Ligne_2_commentaire_entete">#REF!</definedName>
    <definedName name="Ligne_2_desi_client" localSheetId="24">#REF!</definedName>
    <definedName name="Ligne_2_desi_client" localSheetId="11">#REF!</definedName>
    <definedName name="Ligne_2_desi_client">#REF!</definedName>
    <definedName name="Ligne_2_reference" localSheetId="24">#REF!</definedName>
    <definedName name="Ligne_2_reference" localSheetId="11">#REF!</definedName>
    <definedName name="Ligne_2_reference">#REF!</definedName>
    <definedName name="Ligne_3_desi_client" localSheetId="24">#REF!</definedName>
    <definedName name="Ligne_3_desi_client" localSheetId="11">#REF!</definedName>
    <definedName name="Ligne_3_desi_client">#REF!</definedName>
    <definedName name="Ligne_3_reference" localSheetId="24">#REF!</definedName>
    <definedName name="Ligne_3_reference" localSheetId="11">#REF!</definedName>
    <definedName name="Ligne_3_reference">#REF!</definedName>
    <definedName name="M__1" localSheetId="24">#REF!</definedName>
    <definedName name="M__1" localSheetId="11">#REF!</definedName>
    <definedName name="M__1">#REF!</definedName>
    <definedName name="M__66" localSheetId="24">#REF!</definedName>
    <definedName name="M__66" localSheetId="11">#REF!</definedName>
    <definedName name="M__66">#REF!</definedName>
    <definedName name="M__92" localSheetId="24">#REF!</definedName>
    <definedName name="M__92" localSheetId="11">#REF!</definedName>
    <definedName name="M__92">#REF!</definedName>
    <definedName name="M_1" localSheetId="24">#REF!</definedName>
    <definedName name="M_1" localSheetId="11">#REF!</definedName>
    <definedName name="M_1">#REF!</definedName>
    <definedName name="M_10" localSheetId="24">#REF!</definedName>
    <definedName name="M_10" localSheetId="11">#REF!</definedName>
    <definedName name="M_10">#REF!</definedName>
    <definedName name="M_100" localSheetId="24">[13]К.С.М.!#REF!</definedName>
    <definedName name="M_100" localSheetId="11">[13]К.С.М.!#REF!</definedName>
    <definedName name="M_100" localSheetId="13">[13]К.С.М.!#REF!</definedName>
    <definedName name="M_100">[13]К.С.М.!#REF!</definedName>
    <definedName name="M_101" localSheetId="24">#REF!</definedName>
    <definedName name="M_101" localSheetId="11">#REF!</definedName>
    <definedName name="M_101" localSheetId="13">#REF!</definedName>
    <definedName name="M_101">#REF!</definedName>
    <definedName name="M_107" localSheetId="24">#REF!</definedName>
    <definedName name="M_107" localSheetId="11">#REF!</definedName>
    <definedName name="M_107" localSheetId="13">#REF!</definedName>
    <definedName name="M_107">#REF!</definedName>
    <definedName name="M_11" localSheetId="24">#REF!</definedName>
    <definedName name="M_11" localSheetId="11">#REF!</definedName>
    <definedName name="M_11" localSheetId="13">#REF!</definedName>
    <definedName name="M_11">#REF!</definedName>
    <definedName name="M_119" localSheetId="24">[14]К.С.М.!#REF!</definedName>
    <definedName name="M_119" localSheetId="11">[14]К.С.М.!#REF!</definedName>
    <definedName name="M_119" localSheetId="13">[14]К.С.М.!#REF!</definedName>
    <definedName name="M_119">[14]К.С.М.!#REF!</definedName>
    <definedName name="M_12" localSheetId="24">#REF!</definedName>
    <definedName name="M_12" localSheetId="11">#REF!</definedName>
    <definedName name="M_12" localSheetId="13">#REF!</definedName>
    <definedName name="M_12">#REF!</definedName>
    <definedName name="M_122">'[15]К.С.М. (2)'!$P$49</definedName>
    <definedName name="M_12а" localSheetId="24">#REF!</definedName>
    <definedName name="M_12а" localSheetId="11">#REF!</definedName>
    <definedName name="M_12а" localSheetId="13">#REF!</definedName>
    <definedName name="M_12а">#REF!</definedName>
    <definedName name="M_12б" localSheetId="24">#REF!</definedName>
    <definedName name="M_12б" localSheetId="11">#REF!</definedName>
    <definedName name="M_12б" localSheetId="13">#REF!</definedName>
    <definedName name="M_12б">#REF!</definedName>
    <definedName name="M_13" localSheetId="24">#REF!</definedName>
    <definedName name="M_13" localSheetId="11">#REF!</definedName>
    <definedName name="M_13" localSheetId="13">#REF!</definedName>
    <definedName name="M_13">#REF!</definedName>
    <definedName name="M_13а" localSheetId="24">#REF!</definedName>
    <definedName name="M_13а" localSheetId="11">#REF!</definedName>
    <definedName name="M_13а">#REF!</definedName>
    <definedName name="M_14" localSheetId="24">#REF!</definedName>
    <definedName name="M_14" localSheetId="11">#REF!</definedName>
    <definedName name="M_14">#REF!</definedName>
    <definedName name="M_15" localSheetId="24">#REF!</definedName>
    <definedName name="M_15" localSheetId="11">#REF!</definedName>
    <definedName name="M_15">#REF!</definedName>
    <definedName name="M_152" localSheetId="24">[16]К.С.М.!#REF!</definedName>
    <definedName name="M_152" localSheetId="11">[16]К.С.М.!#REF!</definedName>
    <definedName name="M_152" localSheetId="13">[16]К.С.М.!#REF!</definedName>
    <definedName name="M_152">[16]К.С.М.!#REF!</definedName>
    <definedName name="M_16" localSheetId="24">#REF!</definedName>
    <definedName name="M_16" localSheetId="11">#REF!</definedName>
    <definedName name="M_16" localSheetId="13">#REF!</definedName>
    <definedName name="M_16">#REF!</definedName>
    <definedName name="M_17" localSheetId="24">#REF!</definedName>
    <definedName name="M_17" localSheetId="11">#REF!</definedName>
    <definedName name="M_17" localSheetId="13">#REF!</definedName>
    <definedName name="M_17">#REF!</definedName>
    <definedName name="M_17a" localSheetId="24">#REF!</definedName>
    <definedName name="M_17a" localSheetId="11">#REF!</definedName>
    <definedName name="M_17a" localSheetId="13">#REF!</definedName>
    <definedName name="M_17a">#REF!</definedName>
    <definedName name="M_17б" localSheetId="24">#REF!</definedName>
    <definedName name="M_17б" localSheetId="11">#REF!</definedName>
    <definedName name="M_17б">#REF!</definedName>
    <definedName name="M_18">[17]К.С.М.!$P$42</definedName>
    <definedName name="M_188" localSheetId="24">#REF!</definedName>
    <definedName name="M_188" localSheetId="11">#REF!</definedName>
    <definedName name="M_188" localSheetId="13">#REF!</definedName>
    <definedName name="M_188">#REF!</definedName>
    <definedName name="M_19" localSheetId="24">#REF!</definedName>
    <definedName name="M_19" localSheetId="11">#REF!</definedName>
    <definedName name="M_19" localSheetId="13">#REF!</definedName>
    <definedName name="M_19">#REF!</definedName>
    <definedName name="M_1д" localSheetId="24">#REF!</definedName>
    <definedName name="M_1д" localSheetId="11">#REF!</definedName>
    <definedName name="M_1д" localSheetId="13">#REF!</definedName>
    <definedName name="M_1д">#REF!</definedName>
    <definedName name="M_2" localSheetId="24">#REF!</definedName>
    <definedName name="M_2" localSheetId="11">#REF!</definedName>
    <definedName name="M_2">#REF!</definedName>
    <definedName name="M_20" localSheetId="24">#REF!</definedName>
    <definedName name="M_20" localSheetId="11">#REF!</definedName>
    <definedName name="M_20">#REF!</definedName>
    <definedName name="M_20a" localSheetId="24">#REF!</definedName>
    <definedName name="M_20a" localSheetId="11">#REF!</definedName>
    <definedName name="M_20a">#REF!</definedName>
    <definedName name="M_21" localSheetId="24">#REF!</definedName>
    <definedName name="M_21" localSheetId="11">#REF!</definedName>
    <definedName name="M_21">#REF!</definedName>
    <definedName name="M_22" localSheetId="24">#REF!</definedName>
    <definedName name="M_22" localSheetId="11">#REF!</definedName>
    <definedName name="M_22">#REF!</definedName>
    <definedName name="M_222" localSheetId="24">#REF!</definedName>
    <definedName name="M_222" localSheetId="11">#REF!</definedName>
    <definedName name="M_222">#REF!</definedName>
    <definedName name="M_23" localSheetId="24">#REF!</definedName>
    <definedName name="M_23" localSheetId="11">#REF!</definedName>
    <definedName name="M_23">#REF!</definedName>
    <definedName name="M_24" localSheetId="24">#REF!</definedName>
    <definedName name="M_24" localSheetId="11">#REF!</definedName>
    <definedName name="M_24">#REF!</definedName>
    <definedName name="M_25" localSheetId="24">#REF!</definedName>
    <definedName name="M_25" localSheetId="11">#REF!</definedName>
    <definedName name="M_25">#REF!</definedName>
    <definedName name="M_25а" localSheetId="24">[18]К.С.М.!#REF!</definedName>
    <definedName name="M_25а" localSheetId="11">[18]К.С.М.!#REF!</definedName>
    <definedName name="M_25а" localSheetId="13">[18]К.С.М.!#REF!</definedName>
    <definedName name="M_25а">[18]К.С.М.!#REF!</definedName>
    <definedName name="M_25Х" localSheetId="24">[13]К.С.М.!#REF!</definedName>
    <definedName name="M_25Х" localSheetId="11">[13]К.С.М.!#REF!</definedName>
    <definedName name="M_25Х">[13]К.С.М.!#REF!</definedName>
    <definedName name="M_26" localSheetId="24">#REF!</definedName>
    <definedName name="M_26" localSheetId="11">#REF!</definedName>
    <definedName name="M_26" localSheetId="13">#REF!</definedName>
    <definedName name="M_26">#REF!</definedName>
    <definedName name="M_27" localSheetId="24">#REF!</definedName>
    <definedName name="M_27" localSheetId="11">#REF!</definedName>
    <definedName name="M_27" localSheetId="13">#REF!</definedName>
    <definedName name="M_27">#REF!</definedName>
    <definedName name="M_27а" localSheetId="24">#REF!</definedName>
    <definedName name="M_27а" localSheetId="11">#REF!</definedName>
    <definedName name="M_27а" localSheetId="13">#REF!</definedName>
    <definedName name="M_27а">#REF!</definedName>
    <definedName name="M_27б" localSheetId="24">'[8]К.С.М. м'!#REF!</definedName>
    <definedName name="M_27б" localSheetId="11">'[8]К.С.М. м'!#REF!</definedName>
    <definedName name="M_27б" localSheetId="13">'[8]К.С.М. м'!#REF!</definedName>
    <definedName name="M_27б">'[8]К.С.М. м'!#REF!</definedName>
    <definedName name="M_28" localSheetId="24">#REF!</definedName>
    <definedName name="M_28" localSheetId="11">#REF!</definedName>
    <definedName name="M_28" localSheetId="13">#REF!</definedName>
    <definedName name="M_28">#REF!</definedName>
    <definedName name="M_29" localSheetId="24">#REF!</definedName>
    <definedName name="M_29" localSheetId="11">#REF!</definedName>
    <definedName name="M_29" localSheetId="13">#REF!</definedName>
    <definedName name="M_29">#REF!</definedName>
    <definedName name="M_2а" localSheetId="24">#REF!</definedName>
    <definedName name="M_2а" localSheetId="11">#REF!</definedName>
    <definedName name="M_2а" localSheetId="13">#REF!</definedName>
    <definedName name="M_2а">#REF!</definedName>
    <definedName name="M_2б" localSheetId="24">#REF!</definedName>
    <definedName name="M_2б" localSheetId="11">#REF!</definedName>
    <definedName name="M_2б">#REF!</definedName>
    <definedName name="M_2в" localSheetId="24">#REF!</definedName>
    <definedName name="M_2в" localSheetId="11">#REF!</definedName>
    <definedName name="M_2в">#REF!</definedName>
    <definedName name="M_2д" localSheetId="24">#REF!</definedName>
    <definedName name="M_2д" localSheetId="11">#REF!</definedName>
    <definedName name="M_2д">#REF!</definedName>
    <definedName name="M_3" localSheetId="24">#REF!</definedName>
    <definedName name="M_3" localSheetId="11">#REF!</definedName>
    <definedName name="M_3">#REF!</definedName>
    <definedName name="M_30" localSheetId="24">#REF!</definedName>
    <definedName name="M_30" localSheetId="11">#REF!</definedName>
    <definedName name="M_30">#REF!</definedName>
    <definedName name="M_308" localSheetId="24">#REF!</definedName>
    <definedName name="M_308" localSheetId="11">#REF!</definedName>
    <definedName name="M_308">#REF!</definedName>
    <definedName name="M_31" localSheetId="24">#REF!</definedName>
    <definedName name="M_31" localSheetId="11">#REF!</definedName>
    <definedName name="M_31">#REF!</definedName>
    <definedName name="M_37" localSheetId="24">[18]К.С.М.!#REF!</definedName>
    <definedName name="M_37" localSheetId="11">[18]К.С.М.!#REF!</definedName>
    <definedName name="M_37" localSheetId="13">[18]К.С.М.!#REF!</definedName>
    <definedName name="M_37">[18]К.С.М.!#REF!</definedName>
    <definedName name="M_37а" localSheetId="24">#REF!</definedName>
    <definedName name="M_37а" localSheetId="11">#REF!</definedName>
    <definedName name="M_37а" localSheetId="13">#REF!</definedName>
    <definedName name="M_37а">#REF!</definedName>
    <definedName name="M_3д" localSheetId="24">#REF!</definedName>
    <definedName name="M_3д" localSheetId="11">#REF!</definedName>
    <definedName name="M_3д" localSheetId="13">#REF!</definedName>
    <definedName name="M_3д">#REF!</definedName>
    <definedName name="M_4" localSheetId="24">#REF!</definedName>
    <definedName name="M_4" localSheetId="11">#REF!</definedName>
    <definedName name="M_4" localSheetId="13">#REF!</definedName>
    <definedName name="M_4">#REF!</definedName>
    <definedName name="M_42" localSheetId="24">#REF!</definedName>
    <definedName name="M_42" localSheetId="11">#REF!</definedName>
    <definedName name="M_42">#REF!</definedName>
    <definedName name="M_421">[19]К.С.М.!$P$18</definedName>
    <definedName name="M_4а" localSheetId="24">#REF!</definedName>
    <definedName name="M_4а" localSheetId="11">#REF!</definedName>
    <definedName name="M_4а" localSheetId="13">#REF!</definedName>
    <definedName name="M_4а">#REF!</definedName>
    <definedName name="M_4д" localSheetId="24">#REF!</definedName>
    <definedName name="M_4д" localSheetId="11">#REF!</definedName>
    <definedName name="M_4д" localSheetId="13">#REF!</definedName>
    <definedName name="M_4д">#REF!</definedName>
    <definedName name="M_5" localSheetId="24">#REF!</definedName>
    <definedName name="M_5" localSheetId="11">#REF!</definedName>
    <definedName name="M_5" localSheetId="13">#REF!</definedName>
    <definedName name="M_5">#REF!</definedName>
    <definedName name="M_50" localSheetId="24">[16]К.С.М.!#REF!</definedName>
    <definedName name="M_50" localSheetId="11">[16]К.С.М.!#REF!</definedName>
    <definedName name="M_50" localSheetId="13">[16]К.С.М.!#REF!</definedName>
    <definedName name="M_50">[16]К.С.М.!#REF!</definedName>
    <definedName name="M_6" localSheetId="24">#REF!</definedName>
    <definedName name="M_6" localSheetId="11">#REF!</definedName>
    <definedName name="M_6" localSheetId="13">#REF!</definedName>
    <definedName name="M_6">#REF!</definedName>
    <definedName name="M_61" localSheetId="24">#REF!</definedName>
    <definedName name="M_61" localSheetId="11">#REF!</definedName>
    <definedName name="M_61" localSheetId="13">#REF!</definedName>
    <definedName name="M_61">#REF!</definedName>
    <definedName name="M_62" localSheetId="24">#REF!</definedName>
    <definedName name="M_62" localSheetId="11">#REF!</definedName>
    <definedName name="M_62" localSheetId="13">#REF!</definedName>
    <definedName name="M_62">#REF!</definedName>
    <definedName name="M_63" localSheetId="24">#REF!</definedName>
    <definedName name="M_63" localSheetId="11">#REF!</definedName>
    <definedName name="M_63">#REF!</definedName>
    <definedName name="M_633" localSheetId="24">#REF!</definedName>
    <definedName name="M_633" localSheetId="11">#REF!</definedName>
    <definedName name="M_633">#REF!</definedName>
    <definedName name="M_634" localSheetId="24">#REF!</definedName>
    <definedName name="M_634" localSheetId="11">#REF!</definedName>
    <definedName name="M_634">#REF!</definedName>
    <definedName name="M_64" localSheetId="24">#REF!</definedName>
    <definedName name="M_64" localSheetId="11">#REF!</definedName>
    <definedName name="M_64">#REF!</definedName>
    <definedName name="M_66" localSheetId="24">#REF!</definedName>
    <definedName name="M_66" localSheetId="11">#REF!</definedName>
    <definedName name="M_66">#REF!</definedName>
    <definedName name="M_666" localSheetId="24">'[8]К.С.М. м'!#REF!</definedName>
    <definedName name="M_666" localSheetId="11">'[8]К.С.М. м'!#REF!</definedName>
    <definedName name="M_666" localSheetId="13">'[8]К.С.М. м'!#REF!</definedName>
    <definedName name="M_666">'[8]К.С.М. м'!#REF!</definedName>
    <definedName name="M_66б" localSheetId="24">[20]К.С.М.!#REF!</definedName>
    <definedName name="M_66б" localSheetId="11">[20]К.С.М.!#REF!</definedName>
    <definedName name="M_66б">[20]К.С.М.!#REF!</definedName>
    <definedName name="M_67" localSheetId="24">[18]К.С.М.!#REF!</definedName>
    <definedName name="M_67" localSheetId="11">[18]К.С.М.!#REF!</definedName>
    <definedName name="M_67">[18]К.С.М.!#REF!</definedName>
    <definedName name="M_69" localSheetId="24">#REF!</definedName>
    <definedName name="M_69" localSheetId="11">#REF!</definedName>
    <definedName name="M_69" localSheetId="13">#REF!</definedName>
    <definedName name="M_69">#REF!</definedName>
    <definedName name="M_6a" localSheetId="24">#REF!</definedName>
    <definedName name="M_6a" localSheetId="11">#REF!</definedName>
    <definedName name="M_6a" localSheetId="13">#REF!</definedName>
    <definedName name="M_6a">#REF!</definedName>
    <definedName name="M_6а">[21]К.С.М.!$P$113</definedName>
    <definedName name="M_6б">[22]К.С.М.!$P$192</definedName>
    <definedName name="M_6бс" localSheetId="24">#REF!</definedName>
    <definedName name="M_6бс" localSheetId="11">#REF!</definedName>
    <definedName name="M_6бс" localSheetId="13">#REF!</definedName>
    <definedName name="M_6бс">#REF!</definedName>
    <definedName name="M_7" localSheetId="24">#REF!</definedName>
    <definedName name="M_7" localSheetId="11">#REF!</definedName>
    <definedName name="M_7" localSheetId="13">#REF!</definedName>
    <definedName name="M_7">#REF!</definedName>
    <definedName name="M_76a" localSheetId="24">[18]К.С.М.!#REF!</definedName>
    <definedName name="M_76a" localSheetId="11">[18]К.С.М.!#REF!</definedName>
    <definedName name="M_76a" localSheetId="13">[18]К.С.М.!#REF!</definedName>
    <definedName name="M_76a">[18]К.С.М.!#REF!</definedName>
    <definedName name="M_77" localSheetId="24">#REF!</definedName>
    <definedName name="M_77" localSheetId="11">#REF!</definedName>
    <definedName name="M_77" localSheetId="13">#REF!</definedName>
    <definedName name="M_77">#REF!</definedName>
    <definedName name="M_78" localSheetId="24">#REF!</definedName>
    <definedName name="M_78" localSheetId="11">#REF!</definedName>
    <definedName name="M_78" localSheetId="13">#REF!</definedName>
    <definedName name="M_78">#REF!</definedName>
    <definedName name="M_7а" localSheetId="24">#REF!</definedName>
    <definedName name="M_7а" localSheetId="11">#REF!</definedName>
    <definedName name="M_7а" localSheetId="13">#REF!</definedName>
    <definedName name="M_7а">#REF!</definedName>
    <definedName name="M_7б" localSheetId="24">[18]К.С.М.!#REF!</definedName>
    <definedName name="M_7б" localSheetId="11">[18]К.С.М.!#REF!</definedName>
    <definedName name="M_7б" localSheetId="13">[18]К.С.М.!#REF!</definedName>
    <definedName name="M_7б">[18]К.С.М.!#REF!</definedName>
    <definedName name="M_7к" localSheetId="24">[23]К.С.М.!#REF!</definedName>
    <definedName name="M_7к" localSheetId="11">[23]К.С.М.!#REF!</definedName>
    <definedName name="M_7к" localSheetId="13">[23]К.С.М.!#REF!</definedName>
    <definedName name="M_7к">[23]К.С.М.!#REF!</definedName>
    <definedName name="M_8" localSheetId="24">#REF!</definedName>
    <definedName name="M_8" localSheetId="11">#REF!</definedName>
    <definedName name="M_8" localSheetId="13">#REF!</definedName>
    <definedName name="M_8">#REF!</definedName>
    <definedName name="M_81" localSheetId="24">#REF!</definedName>
    <definedName name="M_81" localSheetId="11">#REF!</definedName>
    <definedName name="M_81" localSheetId="13">#REF!</definedName>
    <definedName name="M_81">#REF!</definedName>
    <definedName name="M_87" localSheetId="24">#REF!</definedName>
    <definedName name="M_87" localSheetId="11">#REF!</definedName>
    <definedName name="M_87" localSheetId="13">#REF!</definedName>
    <definedName name="M_87">#REF!</definedName>
    <definedName name="M_88" localSheetId="24">#REF!</definedName>
    <definedName name="M_88" localSheetId="11">#REF!</definedName>
    <definedName name="M_88">#REF!</definedName>
    <definedName name="M_89" localSheetId="24">#REF!</definedName>
    <definedName name="M_89" localSheetId="11">#REF!</definedName>
    <definedName name="M_89">#REF!</definedName>
    <definedName name="M_8а" localSheetId="24">[12]К.С.М.!#REF!</definedName>
    <definedName name="M_8а" localSheetId="11">[12]К.С.М.!#REF!</definedName>
    <definedName name="M_8а" localSheetId="13">[12]К.С.М.!#REF!</definedName>
    <definedName name="M_8а">[12]К.С.М.!#REF!</definedName>
    <definedName name="M_8б" localSheetId="24">#REF!</definedName>
    <definedName name="M_8б" localSheetId="11">#REF!</definedName>
    <definedName name="M_8б" localSheetId="13">#REF!</definedName>
    <definedName name="M_8б">#REF!</definedName>
    <definedName name="M_8в" localSheetId="24">[12]К.С.М.!#REF!</definedName>
    <definedName name="M_8в" localSheetId="11">[12]К.С.М.!#REF!</definedName>
    <definedName name="M_8в" localSheetId="13">[12]К.С.М.!#REF!</definedName>
    <definedName name="M_8в">[12]К.С.М.!#REF!</definedName>
    <definedName name="M_8г" localSheetId="24">[12]К.С.М.!#REF!</definedName>
    <definedName name="M_8г" localSheetId="11">[12]К.С.М.!#REF!</definedName>
    <definedName name="M_8г">[12]К.С.М.!#REF!</definedName>
    <definedName name="M_9" localSheetId="24">#REF!</definedName>
    <definedName name="M_9" localSheetId="11">#REF!</definedName>
    <definedName name="M_9" localSheetId="13">#REF!</definedName>
    <definedName name="M_9">#REF!</definedName>
    <definedName name="M_90" localSheetId="24">[12]К.С.М.!#REF!</definedName>
    <definedName name="M_90" localSheetId="11">[12]К.С.М.!#REF!</definedName>
    <definedName name="M_90" localSheetId="13">[12]К.С.М.!#REF!</definedName>
    <definedName name="M_90">[12]К.С.М.!#REF!</definedName>
    <definedName name="M_91" localSheetId="24">#REF!</definedName>
    <definedName name="M_91" localSheetId="11">#REF!</definedName>
    <definedName name="M_91" localSheetId="13">#REF!</definedName>
    <definedName name="M_91">#REF!</definedName>
    <definedName name="M_92" localSheetId="24">#REF!</definedName>
    <definedName name="M_92" localSheetId="11">#REF!</definedName>
    <definedName name="M_92" localSheetId="13">#REF!</definedName>
    <definedName name="M_92">#REF!</definedName>
    <definedName name="M_9a" localSheetId="24">#REF!</definedName>
    <definedName name="M_9a" localSheetId="11">#REF!</definedName>
    <definedName name="M_9a" localSheetId="13">#REF!</definedName>
    <definedName name="M_9a">#REF!</definedName>
    <definedName name="Monnaie" localSheetId="24">#REF!</definedName>
    <definedName name="Monnaie" localSheetId="11">#REF!</definedName>
    <definedName name="Monnaie">#REF!</definedName>
    <definedName name="Montant_en_EURO_ligne_1" localSheetId="24">#REF!</definedName>
    <definedName name="Montant_en_EURO_ligne_1" localSheetId="11">#REF!</definedName>
    <definedName name="Montant_en_EURO_ligne_1">#REF!</definedName>
    <definedName name="Montant_en_EURO_ligne_2" localSheetId="24">#REF!</definedName>
    <definedName name="Montant_en_EURO_ligne_2" localSheetId="11">#REF!</definedName>
    <definedName name="Montant_en_EURO_ligne_2">#REF!</definedName>
    <definedName name="Montant_en_lettre_ligne_1" localSheetId="24">#REF!</definedName>
    <definedName name="Montant_en_lettre_ligne_1" localSheetId="11">#REF!</definedName>
    <definedName name="Montant_en_lettre_ligne_1">#REF!</definedName>
    <definedName name="Montant_en_lettre_ligne_2" localSheetId="24">#REF!</definedName>
    <definedName name="Montant_en_lettre_ligne_2" localSheetId="11">#REF!</definedName>
    <definedName name="Montant_en_lettre_ligne_2">#REF!</definedName>
    <definedName name="Montant_EURO_chiffres" localSheetId="24">#REF!</definedName>
    <definedName name="Montant_EURO_chiffres" localSheetId="11">#REF!</definedName>
    <definedName name="Montant_EURO_chiffres">#REF!</definedName>
    <definedName name="N_5">'[24]3'!$K$155</definedName>
    <definedName name="nnn" localSheetId="24">#REF!</definedName>
    <definedName name="nnn" localSheetId="11">#REF!</definedName>
    <definedName name="nnn" localSheetId="13">#REF!</definedName>
    <definedName name="nnn">#REF!</definedName>
    <definedName name="Nom_du_responsable" localSheetId="24">#REF!</definedName>
    <definedName name="Nom_du_responsable" localSheetId="11">#REF!</definedName>
    <definedName name="Nom_du_responsable" localSheetId="13">#REF!</definedName>
    <definedName name="Nom_du_responsable">#REF!</definedName>
    <definedName name="Nt_0" localSheetId="24">#REF!</definedName>
    <definedName name="Nt_0" localSheetId="11">#REF!</definedName>
    <definedName name="Nt_0" localSheetId="13">#REF!</definedName>
    <definedName name="Nt_0">#REF!</definedName>
    <definedName name="Obj_1" localSheetId="24">[4]ЭН1_БНС!#REF!</definedName>
    <definedName name="Obj_1" localSheetId="11">[4]ЭН1_БНС!#REF!</definedName>
    <definedName name="Obj_1" localSheetId="13">[4]ЭН1_БНС!#REF!</definedName>
    <definedName name="Obj_1">[4]ЭН1_БНС!#REF!</definedName>
    <definedName name="Obj_1_1" localSheetId="24">[2]Эл.энергия!#REF!</definedName>
    <definedName name="Obj_1_1" localSheetId="11">[2]Эл.энергия!#REF!</definedName>
    <definedName name="Obj_1_1" localSheetId="13">[2]Эл.энергия!#REF!</definedName>
    <definedName name="Obj_1_1">[2]Эл.энергия!#REF!</definedName>
    <definedName name="Obj_1_25" localSheetId="24">[2]Эл.энергия!#REF!</definedName>
    <definedName name="Obj_1_25" localSheetId="11">[2]Эл.энергия!#REF!</definedName>
    <definedName name="Obj_1_25" localSheetId="13">[2]Эл.энергия!#REF!</definedName>
    <definedName name="Obj_1_25">[2]Эл.энергия!#REF!</definedName>
    <definedName name="Obj_11" localSheetId="24">[4]М2_БНС!#REF!</definedName>
    <definedName name="Obj_11" localSheetId="11">[4]М2_БНС!#REF!</definedName>
    <definedName name="Obj_11" localSheetId="13">[4]М2_БНС!#REF!</definedName>
    <definedName name="Obj_11">[4]М2_БНС!#REF!</definedName>
    <definedName name="Obj_12" localSheetId="24">[4]ЭН14_Ростверк!#REF!</definedName>
    <definedName name="Obj_12" localSheetId="11">[4]ЭН14_Ростверк!#REF!</definedName>
    <definedName name="Obj_12">[4]ЭН14_Ростверк!#REF!</definedName>
    <definedName name="Obj_13" localSheetId="24">[4]ЭН14_СВСиУ!#REF!</definedName>
    <definedName name="Obj_13" localSheetId="11">[4]ЭН14_СВСиУ!#REF!</definedName>
    <definedName name="Obj_13">[4]ЭН14_СВСиУ!#REF!</definedName>
    <definedName name="Obj_14" localSheetId="24">[4]ЭН15_БНС!#REF!</definedName>
    <definedName name="Obj_14" localSheetId="11">[4]ЭН15_БНС!#REF!</definedName>
    <definedName name="Obj_14">[4]ЭН15_БНС!#REF!</definedName>
    <definedName name="Obj_15" localSheetId="24">[4]ЭН13_БНС!#REF!</definedName>
    <definedName name="Obj_15" localSheetId="11">[4]ЭН13_БНС!#REF!</definedName>
    <definedName name="Obj_15">[4]ЭН13_БНС!#REF!</definedName>
    <definedName name="Obj_16" localSheetId="24">[4]ЭН13_СВСиУ!#REF!</definedName>
    <definedName name="Obj_16" localSheetId="11">[4]ЭН13_СВСиУ!#REF!</definedName>
    <definedName name="Obj_16">[4]ЭН13_СВСиУ!#REF!</definedName>
    <definedName name="Obj_17" localSheetId="24">[4]ЭН3_БНС!#REF!</definedName>
    <definedName name="Obj_17" localSheetId="11">[4]ЭН3_БНС!#REF!</definedName>
    <definedName name="Obj_17">[4]ЭН3_БНС!#REF!</definedName>
    <definedName name="Obj_18" localSheetId="24">[4]ЭН16_БНС!#REF!</definedName>
    <definedName name="Obj_18" localSheetId="11">[4]ЭН16_БНС!#REF!</definedName>
    <definedName name="Obj_18">[4]ЭН16_БНС!#REF!</definedName>
    <definedName name="Obj_2" localSheetId="24">[4]ЭН2_БНС!#REF!</definedName>
    <definedName name="Obj_2" localSheetId="11">[4]ЭН2_БНС!#REF!</definedName>
    <definedName name="Obj_2">[4]ЭН2_БНС!#REF!</definedName>
    <definedName name="Obj_2_1" localSheetId="24">'[2]аренда флота'!#REF!</definedName>
    <definedName name="Obj_2_1" localSheetId="11">'[2]аренда флота'!#REF!</definedName>
    <definedName name="Obj_2_1">'[2]аренда флота'!#REF!</definedName>
    <definedName name="Obj_2_25" localSheetId="24">'[2]аренда флота'!#REF!</definedName>
    <definedName name="Obj_2_25" localSheetId="11">'[2]аренда флота'!#REF!</definedName>
    <definedName name="Obj_2_25">'[2]аренда флота'!#REF!</definedName>
    <definedName name="Obj_22" localSheetId="24">'[4]Аренда флота'!#REF!</definedName>
    <definedName name="Obj_22" localSheetId="11">'[4]Аренда флота'!#REF!</definedName>
    <definedName name="Obj_22">'[4]Аренда флота'!#REF!</definedName>
    <definedName name="Obj_3" localSheetId="24">[4]ЭН14_БНС!#REF!</definedName>
    <definedName name="Obj_3" localSheetId="11">[4]ЭН14_БНС!#REF!</definedName>
    <definedName name="Obj_3">[4]ЭН14_БНС!#REF!</definedName>
    <definedName name="Obj_4" localSheetId="24">'[4]1-1-4'!#REF!</definedName>
    <definedName name="Obj_4" localSheetId="11">'[4]1-1-4'!#REF!</definedName>
    <definedName name="Obj_4">'[4]1-1-4'!#REF!</definedName>
    <definedName name="Obj_5" localSheetId="24">'[4]8-4_времен.дорога А-В'!#REF!</definedName>
    <definedName name="Obj_5" localSheetId="11">'[4]8-4_времен.дорога А-В'!#REF!</definedName>
    <definedName name="Obj_5">'[4]8-4_времен.дорога А-В'!#REF!</definedName>
    <definedName name="Obj_6" localSheetId="24">'[4]2-4-9_дорога 3'!#REF!</definedName>
    <definedName name="Obj_6" localSheetId="11">'[4]2-4-9_дорога 3'!#REF!</definedName>
    <definedName name="Obj_6">'[4]2-4-9_дорога 3'!#REF!</definedName>
    <definedName name="Obj_7" localSheetId="24">'[4]1-1-11_Зем.работы площадки'!#REF!</definedName>
    <definedName name="Obj_7" localSheetId="11">'[4]1-1-11_Зем.работы площадки'!#REF!</definedName>
    <definedName name="Obj_7">'[4]1-1-11_Зем.работы площадки'!#REF!</definedName>
    <definedName name="Obj_8" localSheetId="24">'[4]1-1-8_островки'!#REF!</definedName>
    <definedName name="Obj_8" localSheetId="11">'[4]1-1-8_островки'!#REF!</definedName>
    <definedName name="Obj_8">'[4]1-1-8_островки'!#REF!</definedName>
    <definedName name="Obj_9" localSheetId="24">'[4]9 навМОСТОВИК'!#REF!</definedName>
    <definedName name="Obj_9" localSheetId="11">'[4]9 навМОСТОВИК'!#REF!</definedName>
    <definedName name="Obj_9">'[4]9 навМОСТОВИК'!#REF!</definedName>
    <definedName name="Objet_1" localSheetId="24">#REF!</definedName>
    <definedName name="Objet_1" localSheetId="11">#REF!</definedName>
    <definedName name="Objet_1" localSheetId="13">#REF!</definedName>
    <definedName name="Objet_1">#REF!</definedName>
    <definedName name="Objet_2" localSheetId="24">#REF!</definedName>
    <definedName name="Objet_2" localSheetId="11">#REF!</definedName>
    <definedName name="Objet_2" localSheetId="13">#REF!</definedName>
    <definedName name="Objet_2">#REF!</definedName>
    <definedName name="Objet_3" localSheetId="24">#REF!</definedName>
    <definedName name="Objet_3" localSheetId="11">#REF!</definedName>
    <definedName name="Objet_3" localSheetId="13">#REF!</definedName>
    <definedName name="Objet_3">#REF!</definedName>
    <definedName name="Obosn_1" localSheetId="24">[4]ЭН1_БНС!#REF!</definedName>
    <definedName name="Obosn_1" localSheetId="11">[4]ЭН1_БНС!#REF!</definedName>
    <definedName name="Obosn_1" localSheetId="13">[4]ЭН1_БНС!#REF!</definedName>
    <definedName name="Obosn_1">[4]ЭН1_БНС!#REF!</definedName>
    <definedName name="Obosn_1_1" localSheetId="24">[2]Эл.энергия!#REF!</definedName>
    <definedName name="Obosn_1_1" localSheetId="11">[2]Эл.энергия!#REF!</definedName>
    <definedName name="Obosn_1_1" localSheetId="13">[2]Эл.энергия!#REF!</definedName>
    <definedName name="Obosn_1_1">[2]Эл.энергия!#REF!</definedName>
    <definedName name="Obosn_1_25" localSheetId="24">[2]Эл.энергия!#REF!</definedName>
    <definedName name="Obosn_1_25" localSheetId="11">[2]Эл.энергия!#REF!</definedName>
    <definedName name="Obosn_1_25" localSheetId="13">[2]Эл.энергия!#REF!</definedName>
    <definedName name="Obosn_1_25">[2]Эл.энергия!#REF!</definedName>
    <definedName name="Obosn_11" localSheetId="24">[4]М2_БНС!#REF!</definedName>
    <definedName name="Obosn_11" localSheetId="11">[4]М2_БНС!#REF!</definedName>
    <definedName name="Obosn_11" localSheetId="13">[4]М2_БНС!#REF!</definedName>
    <definedName name="Obosn_11">[4]М2_БНС!#REF!</definedName>
    <definedName name="Obosn_12" localSheetId="24">[4]ЭН14_Ростверк!#REF!</definedName>
    <definedName name="Obosn_12" localSheetId="11">[4]ЭН14_Ростверк!#REF!</definedName>
    <definedName name="Obosn_12">[4]ЭН14_Ростверк!#REF!</definedName>
    <definedName name="Obosn_13" localSheetId="24">[4]ЭН14_СВСиУ!#REF!</definedName>
    <definedName name="Obosn_13" localSheetId="11">[4]ЭН14_СВСиУ!#REF!</definedName>
    <definedName name="Obosn_13">[4]ЭН14_СВСиУ!#REF!</definedName>
    <definedName name="Obosn_14" localSheetId="24">[4]ЭН15_БНС!#REF!</definedName>
    <definedName name="Obosn_14" localSheetId="11">[4]ЭН15_БНС!#REF!</definedName>
    <definedName name="Obosn_14">[4]ЭН15_БНС!#REF!</definedName>
    <definedName name="Obosn_15" localSheetId="24">[4]ЭН13_БНС!#REF!</definedName>
    <definedName name="Obosn_15" localSheetId="11">[4]ЭН13_БНС!#REF!</definedName>
    <definedName name="Obosn_15">[4]ЭН13_БНС!#REF!</definedName>
    <definedName name="Obosn_16" localSheetId="24">[4]ЭН13_СВСиУ!#REF!</definedName>
    <definedName name="Obosn_16" localSheetId="11">[4]ЭН13_СВСиУ!#REF!</definedName>
    <definedName name="Obosn_16">[4]ЭН13_СВСиУ!#REF!</definedName>
    <definedName name="Obosn_17" localSheetId="24">[4]ЭН3_БНС!#REF!</definedName>
    <definedName name="Obosn_17" localSheetId="11">[4]ЭН3_БНС!#REF!</definedName>
    <definedName name="Obosn_17">[4]ЭН3_БНС!#REF!</definedName>
    <definedName name="Obosn_18" localSheetId="24">[4]ЭН16_БНС!#REF!</definedName>
    <definedName name="Obosn_18" localSheetId="11">[4]ЭН16_БНС!#REF!</definedName>
    <definedName name="Obosn_18">[4]ЭН16_БНС!#REF!</definedName>
    <definedName name="Obosn_2" localSheetId="24">[4]ЭН2_БНС!#REF!</definedName>
    <definedName name="Obosn_2" localSheetId="11">[4]ЭН2_БНС!#REF!</definedName>
    <definedName name="Obosn_2">[4]ЭН2_БНС!#REF!</definedName>
    <definedName name="Obosn_2_1" localSheetId="24">'[2]аренда флота'!#REF!</definedName>
    <definedName name="Obosn_2_1" localSheetId="11">'[2]аренда флота'!#REF!</definedName>
    <definedName name="Obosn_2_1">'[2]аренда флота'!#REF!</definedName>
    <definedName name="Obosn_2_25" localSheetId="24">'[2]аренда флота'!#REF!</definedName>
    <definedName name="Obosn_2_25" localSheetId="11">'[2]аренда флота'!#REF!</definedName>
    <definedName name="Obosn_2_25">'[2]аренда флота'!#REF!</definedName>
    <definedName name="Obosn_22" localSheetId="24">'[4]Аренда флота'!#REF!</definedName>
    <definedName name="Obosn_22" localSheetId="11">'[4]Аренда флота'!#REF!</definedName>
    <definedName name="Obosn_22">'[4]Аренда флота'!#REF!</definedName>
    <definedName name="Obosn_3" localSheetId="24">[4]ЭН14_БНС!#REF!</definedName>
    <definedName name="Obosn_3" localSheetId="11">[4]ЭН14_БНС!#REF!</definedName>
    <definedName name="Obosn_3">[4]ЭН14_БНС!#REF!</definedName>
    <definedName name="Obosn_4" localSheetId="24">'[4]1-1-4'!#REF!</definedName>
    <definedName name="Obosn_4" localSheetId="11">'[4]1-1-4'!#REF!</definedName>
    <definedName name="Obosn_4">'[4]1-1-4'!#REF!</definedName>
    <definedName name="Obosn_5" localSheetId="24">'[4]8-4_времен.дорога А-В'!#REF!</definedName>
    <definedName name="Obosn_5" localSheetId="11">'[4]8-4_времен.дорога А-В'!#REF!</definedName>
    <definedName name="Obosn_5">'[4]8-4_времен.дорога А-В'!#REF!</definedName>
    <definedName name="Obosn_6" localSheetId="24">'[4]2-4-9_дорога 3'!#REF!</definedName>
    <definedName name="Obosn_6" localSheetId="11">'[4]2-4-9_дорога 3'!#REF!</definedName>
    <definedName name="Obosn_6">'[4]2-4-9_дорога 3'!#REF!</definedName>
    <definedName name="Obosn_7" localSheetId="24">'[4]1-1-11_Зем.работы площадки'!#REF!</definedName>
    <definedName name="Obosn_7" localSheetId="11">'[4]1-1-11_Зем.работы площадки'!#REF!</definedName>
    <definedName name="Obosn_7">'[4]1-1-11_Зем.работы площадки'!#REF!</definedName>
    <definedName name="Obosn_8" localSheetId="24">'[4]1-1-8_островки'!#REF!</definedName>
    <definedName name="Obosn_8" localSheetId="11">'[4]1-1-8_островки'!#REF!</definedName>
    <definedName name="Obosn_8">'[4]1-1-8_островки'!#REF!</definedName>
    <definedName name="Obosn_9" localSheetId="24">'[4]9 навМОСТОВИК'!#REF!</definedName>
    <definedName name="Obosn_9" localSheetId="11">'[4]9 навМОСТОВИК'!#REF!</definedName>
    <definedName name="Obosn_9">'[4]9 навМОСТОВИК'!#REF!</definedName>
    <definedName name="OnProcMacro">"UFW_Convertion"</definedName>
    <definedName name="P_03">[6]Фм!$H$24</definedName>
    <definedName name="P_04">[6]Фм!$H$26</definedName>
    <definedName name="P_05">[6]Фм!$H$28</definedName>
    <definedName name="P_06">[6]Фм!$H$30</definedName>
    <definedName name="P_07">[6]Фм!$H$32</definedName>
    <definedName name="P_08">[6]Фм!$H$34</definedName>
    <definedName name="P_09">[6]Фм!$H$36</definedName>
    <definedName name="P_091">[6]Фм!$H$38</definedName>
    <definedName name="P_092">[6]Фм!$H$40</definedName>
    <definedName name="P_093">[6]Фм!$H$42</definedName>
    <definedName name="P_1" localSheetId="24">#REF!</definedName>
    <definedName name="P_1" localSheetId="11">#REF!</definedName>
    <definedName name="P_1" localSheetId="13">#REF!</definedName>
    <definedName name="P_1">#REF!</definedName>
    <definedName name="P_10" localSheetId="24">#REF!</definedName>
    <definedName name="P_10" localSheetId="11">#REF!</definedName>
    <definedName name="P_10" localSheetId="13">#REF!</definedName>
    <definedName name="P_10">#REF!</definedName>
    <definedName name="P_100" localSheetId="24">#REF!</definedName>
    <definedName name="P_100" localSheetId="11">#REF!</definedName>
    <definedName name="P_100" localSheetId="13">#REF!</definedName>
    <definedName name="P_100">#REF!</definedName>
    <definedName name="P_1000" localSheetId="24">#REF!</definedName>
    <definedName name="P_1000" localSheetId="11">#REF!</definedName>
    <definedName name="P_1000">#REF!</definedName>
    <definedName name="P_1001" localSheetId="24">#REF!</definedName>
    <definedName name="P_1001" localSheetId="11">#REF!</definedName>
    <definedName name="P_1001">#REF!</definedName>
    <definedName name="P_1002" localSheetId="24">#REF!</definedName>
    <definedName name="P_1002" localSheetId="11">#REF!</definedName>
    <definedName name="P_1002">#REF!</definedName>
    <definedName name="P_101" localSheetId="24">#REF!</definedName>
    <definedName name="P_101" localSheetId="11">#REF!</definedName>
    <definedName name="P_101">#REF!</definedName>
    <definedName name="P_103" localSheetId="24">[23]Ф!#REF!</definedName>
    <definedName name="P_103" localSheetId="11">[23]Ф!#REF!</definedName>
    <definedName name="P_103" localSheetId="13">[23]Ф!#REF!</definedName>
    <definedName name="P_103">[23]Ф!#REF!</definedName>
    <definedName name="P_104" localSheetId="24">[23]Ф!#REF!</definedName>
    <definedName name="P_104" localSheetId="11">[23]Ф!#REF!</definedName>
    <definedName name="P_104">[23]Ф!#REF!</definedName>
    <definedName name="P_10а" localSheetId="24">#REF!</definedName>
    <definedName name="P_10а" localSheetId="11">#REF!</definedName>
    <definedName name="P_10а" localSheetId="13">#REF!</definedName>
    <definedName name="P_10а">#REF!</definedName>
    <definedName name="P_10б" localSheetId="24">#REF!</definedName>
    <definedName name="P_10б" localSheetId="11">#REF!</definedName>
    <definedName name="P_10б" localSheetId="13">#REF!</definedName>
    <definedName name="P_10б">#REF!</definedName>
    <definedName name="P_10в" localSheetId="24">#REF!</definedName>
    <definedName name="P_10в" localSheetId="11">#REF!</definedName>
    <definedName name="P_10в" localSheetId="13">#REF!</definedName>
    <definedName name="P_10в">#REF!</definedName>
    <definedName name="P_10г" localSheetId="24">#REF!</definedName>
    <definedName name="P_10г" localSheetId="11">#REF!</definedName>
    <definedName name="P_10г">#REF!</definedName>
    <definedName name="P_11" localSheetId="24">#REF!</definedName>
    <definedName name="P_11" localSheetId="11">#REF!</definedName>
    <definedName name="P_11">#REF!</definedName>
    <definedName name="P_111" localSheetId="24">#REF!</definedName>
    <definedName name="P_111" localSheetId="11">#REF!</definedName>
    <definedName name="P_111">#REF!</definedName>
    <definedName name="P_112" localSheetId="24">#REF!</definedName>
    <definedName name="P_112" localSheetId="11">#REF!</definedName>
    <definedName name="P_112">#REF!</definedName>
    <definedName name="P_113" localSheetId="24">#REF!</definedName>
    <definedName name="P_113" localSheetId="11">#REF!</definedName>
    <definedName name="P_113">#REF!</definedName>
    <definedName name="P_113а" localSheetId="24">#REF!</definedName>
    <definedName name="P_113а" localSheetId="11">#REF!</definedName>
    <definedName name="P_113а">#REF!</definedName>
    <definedName name="P_114" localSheetId="24">#REF!</definedName>
    <definedName name="P_114" localSheetId="11">#REF!</definedName>
    <definedName name="P_114">#REF!</definedName>
    <definedName name="P_11а" localSheetId="24">#REF!</definedName>
    <definedName name="P_11а" localSheetId="11">#REF!</definedName>
    <definedName name="P_11а">#REF!</definedName>
    <definedName name="P_12" localSheetId="24">#REF!</definedName>
    <definedName name="P_12" localSheetId="11">#REF!</definedName>
    <definedName name="P_12">#REF!</definedName>
    <definedName name="P_122" localSheetId="24">[25]Ф!#REF!</definedName>
    <definedName name="P_122" localSheetId="11">[25]Ф!#REF!</definedName>
    <definedName name="P_122" localSheetId="13">[25]Ф!#REF!</definedName>
    <definedName name="P_122">[25]Ф!#REF!</definedName>
    <definedName name="P_129" localSheetId="24">#REF!</definedName>
    <definedName name="P_129" localSheetId="11">#REF!</definedName>
    <definedName name="P_129" localSheetId="13">#REF!</definedName>
    <definedName name="P_129">#REF!</definedName>
    <definedName name="P_129а" localSheetId="24">#REF!</definedName>
    <definedName name="P_129а" localSheetId="11">#REF!</definedName>
    <definedName name="P_129а" localSheetId="13">#REF!</definedName>
    <definedName name="P_129а">#REF!</definedName>
    <definedName name="P_129б" localSheetId="24">#REF!</definedName>
    <definedName name="P_129б" localSheetId="11">#REF!</definedName>
    <definedName name="P_129б" localSheetId="13">#REF!</definedName>
    <definedName name="P_129б">#REF!</definedName>
    <definedName name="P_129в" localSheetId="24">#REF!</definedName>
    <definedName name="P_129в" localSheetId="11">#REF!</definedName>
    <definedName name="P_129в">#REF!</definedName>
    <definedName name="P_12а" localSheetId="24">#REF!</definedName>
    <definedName name="P_12а" localSheetId="11">#REF!</definedName>
    <definedName name="P_12а">#REF!</definedName>
    <definedName name="P_13" localSheetId="24">#REF!</definedName>
    <definedName name="P_13" localSheetId="11">#REF!</definedName>
    <definedName name="P_13">#REF!</definedName>
    <definedName name="P_133" localSheetId="24">#REF!</definedName>
    <definedName name="P_133" localSheetId="11">#REF!</definedName>
    <definedName name="P_133">#REF!</definedName>
    <definedName name="P_133а" localSheetId="24">#REF!</definedName>
    <definedName name="P_133а" localSheetId="11">#REF!</definedName>
    <definedName name="P_133а">#REF!</definedName>
    <definedName name="P_137" localSheetId="24">[13]Ф!#REF!</definedName>
    <definedName name="P_137" localSheetId="11">[13]Ф!#REF!</definedName>
    <definedName name="P_137" localSheetId="13">[13]Ф!#REF!</definedName>
    <definedName name="P_137">[13]Ф!#REF!</definedName>
    <definedName name="P_13a" localSheetId="24">#REF!</definedName>
    <definedName name="P_13a" localSheetId="11">#REF!</definedName>
    <definedName name="P_13a" localSheetId="13">#REF!</definedName>
    <definedName name="P_13a">#REF!</definedName>
    <definedName name="P_14" localSheetId="24">#REF!</definedName>
    <definedName name="P_14" localSheetId="11">#REF!</definedName>
    <definedName name="P_14" localSheetId="13">#REF!</definedName>
    <definedName name="P_14">#REF!</definedName>
    <definedName name="P_140" localSheetId="24">[20]Ф!#REF!</definedName>
    <definedName name="P_140" localSheetId="11">[20]Ф!#REF!</definedName>
    <definedName name="P_140" localSheetId="13">[20]Ф!#REF!</definedName>
    <definedName name="P_140">[20]Ф!#REF!</definedName>
    <definedName name="P_141" localSheetId="24">#REF!</definedName>
    <definedName name="P_141" localSheetId="11">#REF!</definedName>
    <definedName name="P_141" localSheetId="13">#REF!</definedName>
    <definedName name="P_141">#REF!</definedName>
    <definedName name="P_144" localSheetId="24">#REF!</definedName>
    <definedName name="P_144" localSheetId="11">#REF!</definedName>
    <definedName name="P_144" localSheetId="13">#REF!</definedName>
    <definedName name="P_144">#REF!</definedName>
    <definedName name="P_14а" localSheetId="24">#REF!</definedName>
    <definedName name="P_14а" localSheetId="11">#REF!</definedName>
    <definedName name="P_14а" localSheetId="13">#REF!</definedName>
    <definedName name="P_14а">#REF!</definedName>
    <definedName name="P_14б" localSheetId="24">#REF!</definedName>
    <definedName name="P_14б" localSheetId="11">#REF!</definedName>
    <definedName name="P_14б">#REF!</definedName>
    <definedName name="P_15" localSheetId="24">#REF!</definedName>
    <definedName name="P_15" localSheetId="11">#REF!</definedName>
    <definedName name="P_15">#REF!</definedName>
    <definedName name="P_150" localSheetId="24">[23]Ф!#REF!</definedName>
    <definedName name="P_150" localSheetId="11">[23]Ф!#REF!</definedName>
    <definedName name="P_150" localSheetId="13">[23]Ф!#REF!</definedName>
    <definedName name="P_150">[23]Ф!#REF!</definedName>
    <definedName name="P_155" localSheetId="24">#REF!</definedName>
    <definedName name="P_155" localSheetId="11">#REF!</definedName>
    <definedName name="P_155" localSheetId="13">#REF!</definedName>
    <definedName name="P_155">#REF!</definedName>
    <definedName name="P_157" localSheetId="24">[13]Ф!#REF!</definedName>
    <definedName name="P_157" localSheetId="11">[13]Ф!#REF!</definedName>
    <definedName name="P_157" localSheetId="13">[13]Ф!#REF!</definedName>
    <definedName name="P_157">[13]Ф!#REF!</definedName>
    <definedName name="P_159" localSheetId="24">#REF!</definedName>
    <definedName name="P_159" localSheetId="11">#REF!</definedName>
    <definedName name="P_159" localSheetId="13">#REF!</definedName>
    <definedName name="P_159">#REF!</definedName>
    <definedName name="P_16" localSheetId="24">#REF!</definedName>
    <definedName name="P_16" localSheetId="11">#REF!</definedName>
    <definedName name="P_16" localSheetId="13">#REF!</definedName>
    <definedName name="P_16">#REF!</definedName>
    <definedName name="P_17" localSheetId="24">#REF!</definedName>
    <definedName name="P_17" localSheetId="11">#REF!</definedName>
    <definedName name="P_17" localSheetId="13">#REF!</definedName>
    <definedName name="P_17">#REF!</definedName>
    <definedName name="P_18" localSheetId="24">#REF!</definedName>
    <definedName name="P_18" localSheetId="11">#REF!</definedName>
    <definedName name="P_18">#REF!</definedName>
    <definedName name="P_19" localSheetId="24">#REF!</definedName>
    <definedName name="P_19" localSheetId="11">#REF!</definedName>
    <definedName name="P_19">#REF!</definedName>
    <definedName name="P_190" localSheetId="24">#REF!</definedName>
    <definedName name="P_190" localSheetId="11">#REF!</definedName>
    <definedName name="P_190">#REF!</definedName>
    <definedName name="P_1а" localSheetId="24">#REF!</definedName>
    <definedName name="P_1а" localSheetId="11">#REF!</definedName>
    <definedName name="P_1а">#REF!</definedName>
    <definedName name="P_2" localSheetId="24">#REF!</definedName>
    <definedName name="P_2" localSheetId="11">#REF!</definedName>
    <definedName name="P_2">#REF!</definedName>
    <definedName name="P_20" localSheetId="24">#REF!</definedName>
    <definedName name="P_20" localSheetId="11">#REF!</definedName>
    <definedName name="P_20">#REF!</definedName>
    <definedName name="P_21" localSheetId="24">#REF!</definedName>
    <definedName name="P_21" localSheetId="11">#REF!</definedName>
    <definedName name="P_21">#REF!</definedName>
    <definedName name="P_22" localSheetId="24">#REF!</definedName>
    <definedName name="P_22" localSheetId="11">#REF!</definedName>
    <definedName name="P_22">#REF!</definedName>
    <definedName name="P_22а" localSheetId="24">[8]Ф!#REF!</definedName>
    <definedName name="P_22а" localSheetId="11">[8]Ф!#REF!</definedName>
    <definedName name="P_22а" localSheetId="13">[8]Ф!#REF!</definedName>
    <definedName name="P_22а">[8]Ф!#REF!</definedName>
    <definedName name="P_23" localSheetId="24">#REF!</definedName>
    <definedName name="P_23" localSheetId="11">#REF!</definedName>
    <definedName name="P_23" localSheetId="13">#REF!</definedName>
    <definedName name="P_23">#REF!</definedName>
    <definedName name="P_23а" localSheetId="24">[8]Ф!#REF!</definedName>
    <definedName name="P_23а" localSheetId="11">[8]Ф!#REF!</definedName>
    <definedName name="P_23а" localSheetId="13">[8]Ф!#REF!</definedName>
    <definedName name="P_23а">[8]Ф!#REF!</definedName>
    <definedName name="P_24" localSheetId="24">#REF!</definedName>
    <definedName name="P_24" localSheetId="11">#REF!</definedName>
    <definedName name="P_24" localSheetId="13">#REF!</definedName>
    <definedName name="P_24">#REF!</definedName>
    <definedName name="P_24а" localSheetId="24">#REF!</definedName>
    <definedName name="P_24а" localSheetId="11">#REF!</definedName>
    <definedName name="P_24а" localSheetId="13">#REF!</definedName>
    <definedName name="P_24а">#REF!</definedName>
    <definedName name="P_25" localSheetId="24">[23]Ф!#REF!</definedName>
    <definedName name="P_25" localSheetId="11">[23]Ф!#REF!</definedName>
    <definedName name="P_25" localSheetId="13">[23]Ф!#REF!</definedName>
    <definedName name="P_25">[23]Ф!#REF!</definedName>
    <definedName name="P_26" localSheetId="24">#REF!</definedName>
    <definedName name="P_26" localSheetId="11">#REF!</definedName>
    <definedName name="P_26" localSheetId="13">#REF!</definedName>
    <definedName name="P_26">#REF!</definedName>
    <definedName name="P_27" localSheetId="24">#REF!</definedName>
    <definedName name="P_27" localSheetId="11">#REF!</definedName>
    <definedName name="P_27" localSheetId="13">#REF!</definedName>
    <definedName name="P_27">#REF!</definedName>
    <definedName name="P_28" localSheetId="24">#REF!</definedName>
    <definedName name="P_28" localSheetId="11">#REF!</definedName>
    <definedName name="P_28" localSheetId="13">#REF!</definedName>
    <definedName name="P_28">#REF!</definedName>
    <definedName name="P_289" localSheetId="24">#REF!</definedName>
    <definedName name="P_289" localSheetId="11">#REF!</definedName>
    <definedName name="P_289">#REF!</definedName>
    <definedName name="P_28а" localSheetId="24">#REF!</definedName>
    <definedName name="P_28а" localSheetId="11">#REF!</definedName>
    <definedName name="P_28а">#REF!</definedName>
    <definedName name="P_29" localSheetId="24">#REF!</definedName>
    <definedName name="P_29" localSheetId="11">#REF!</definedName>
    <definedName name="P_29">#REF!</definedName>
    <definedName name="P_2a" localSheetId="24">#REF!</definedName>
    <definedName name="P_2a" localSheetId="11">#REF!</definedName>
    <definedName name="P_2a">#REF!</definedName>
    <definedName name="P_2ab">[26]Ф!$H$48</definedName>
    <definedName name="P_2aб" localSheetId="24">#REF!</definedName>
    <definedName name="P_2aб" localSheetId="11">#REF!</definedName>
    <definedName name="P_2aб" localSheetId="13">#REF!</definedName>
    <definedName name="P_2aб">#REF!</definedName>
    <definedName name="P_2б" localSheetId="24">#REF!</definedName>
    <definedName name="P_2б" localSheetId="11">#REF!</definedName>
    <definedName name="P_2б" localSheetId="13">#REF!</definedName>
    <definedName name="P_2б">#REF!</definedName>
    <definedName name="P_3" localSheetId="24">#REF!</definedName>
    <definedName name="P_3" localSheetId="11">#REF!</definedName>
    <definedName name="P_3" localSheetId="13">#REF!</definedName>
    <definedName name="P_3">#REF!</definedName>
    <definedName name="P_30" localSheetId="24">#REF!</definedName>
    <definedName name="P_30" localSheetId="11">#REF!</definedName>
    <definedName name="P_30">#REF!</definedName>
    <definedName name="P_302" localSheetId="24">#REF!</definedName>
    <definedName name="P_302" localSheetId="11">#REF!</definedName>
    <definedName name="P_302">#REF!</definedName>
    <definedName name="P_303" localSheetId="24">#REF!</definedName>
    <definedName name="P_303" localSheetId="11">#REF!</definedName>
    <definedName name="P_303">#REF!</definedName>
    <definedName name="P_304" localSheetId="24">#REF!</definedName>
    <definedName name="P_304" localSheetId="11">#REF!</definedName>
    <definedName name="P_304">#REF!</definedName>
    <definedName name="P_305" localSheetId="24">#REF!</definedName>
    <definedName name="P_305" localSheetId="11">#REF!</definedName>
    <definedName name="P_305">#REF!</definedName>
    <definedName name="P_306" localSheetId="24">#REF!</definedName>
    <definedName name="P_306" localSheetId="11">#REF!</definedName>
    <definedName name="P_306">#REF!</definedName>
    <definedName name="P_307" localSheetId="24">#REF!</definedName>
    <definedName name="P_307" localSheetId="11">#REF!</definedName>
    <definedName name="P_307">#REF!</definedName>
    <definedName name="P_308" localSheetId="24">#REF!</definedName>
    <definedName name="P_308" localSheetId="11">#REF!</definedName>
    <definedName name="P_308">#REF!</definedName>
    <definedName name="P_31" localSheetId="24">#REF!</definedName>
    <definedName name="P_31" localSheetId="11">#REF!</definedName>
    <definedName name="P_31">#REF!</definedName>
    <definedName name="P_310" localSheetId="24">#REF!</definedName>
    <definedName name="P_310" localSheetId="11">#REF!</definedName>
    <definedName name="P_310">#REF!</definedName>
    <definedName name="P_311" localSheetId="24">#REF!</definedName>
    <definedName name="P_311" localSheetId="11">#REF!</definedName>
    <definedName name="P_311">#REF!</definedName>
    <definedName name="P_313" localSheetId="24">#REF!</definedName>
    <definedName name="P_313" localSheetId="11">#REF!</definedName>
    <definedName name="P_313">#REF!</definedName>
    <definedName name="P_318" localSheetId="24">#REF!</definedName>
    <definedName name="P_318" localSheetId="11">#REF!</definedName>
    <definedName name="P_318">#REF!</definedName>
    <definedName name="P_32" localSheetId="24">#REF!</definedName>
    <definedName name="P_32" localSheetId="11">#REF!</definedName>
    <definedName name="P_32">#REF!</definedName>
    <definedName name="P_33" localSheetId="24">#REF!</definedName>
    <definedName name="P_33" localSheetId="11">#REF!</definedName>
    <definedName name="P_33">#REF!</definedName>
    <definedName name="P_330" localSheetId="24">[27]Ф!#REF!</definedName>
    <definedName name="P_330" localSheetId="11">[27]Ф!#REF!</definedName>
    <definedName name="P_330" localSheetId="13">[27]Ф!#REF!</definedName>
    <definedName name="P_330">[27]Ф!#REF!</definedName>
    <definedName name="P_334" localSheetId="24">[28]Ф!#REF!</definedName>
    <definedName name="P_334" localSheetId="11">[28]Ф!#REF!</definedName>
    <definedName name="P_334">[28]Ф!#REF!</definedName>
    <definedName name="P_337" localSheetId="24">[29]Ф!#REF!</definedName>
    <definedName name="P_337" localSheetId="11">[29]Ф!#REF!</definedName>
    <definedName name="P_337">[29]Ф!#REF!</definedName>
    <definedName name="P_339" localSheetId="24">[29]Ф!#REF!</definedName>
    <definedName name="P_339" localSheetId="11">[29]Ф!#REF!</definedName>
    <definedName name="P_339">[29]Ф!#REF!</definedName>
    <definedName name="P_34" localSheetId="24">#REF!</definedName>
    <definedName name="P_34" localSheetId="11">#REF!</definedName>
    <definedName name="P_34" localSheetId="13">#REF!</definedName>
    <definedName name="P_34">#REF!</definedName>
    <definedName name="P_342" localSheetId="24">[29]Ф!#REF!</definedName>
    <definedName name="P_342" localSheetId="11">[29]Ф!#REF!</definedName>
    <definedName name="P_342" localSheetId="13">[29]Ф!#REF!</definedName>
    <definedName name="P_342">[29]Ф!#REF!</definedName>
    <definedName name="P_344" localSheetId="24">[28]Ф!#REF!</definedName>
    <definedName name="P_344" localSheetId="11">[28]Ф!#REF!</definedName>
    <definedName name="P_344">[28]Ф!#REF!</definedName>
    <definedName name="P_346">[30]Ф!$H$97</definedName>
    <definedName name="P_347" localSheetId="24">[29]Ф!#REF!</definedName>
    <definedName name="P_347" localSheetId="11">[29]Ф!#REF!</definedName>
    <definedName name="P_347">[29]Ф!#REF!</definedName>
    <definedName name="P_35" localSheetId="24">#REF!</definedName>
    <definedName name="P_35" localSheetId="11">#REF!</definedName>
    <definedName name="P_35" localSheetId="13">#REF!</definedName>
    <definedName name="P_35">#REF!</definedName>
    <definedName name="P_36" localSheetId="24">#REF!</definedName>
    <definedName name="P_36" localSheetId="11">#REF!</definedName>
    <definedName name="P_36" localSheetId="13">#REF!</definedName>
    <definedName name="P_36">#REF!</definedName>
    <definedName name="P_366" localSheetId="24">[13]Ф!#REF!</definedName>
    <definedName name="P_366" localSheetId="11">[13]Ф!#REF!</definedName>
    <definedName name="P_366" localSheetId="13">[13]Ф!#REF!</definedName>
    <definedName name="P_366">[13]Ф!#REF!</definedName>
    <definedName name="P_3666" localSheetId="24">[20]Ф!#REF!</definedName>
    <definedName name="P_3666" localSheetId="11">[20]Ф!#REF!</definedName>
    <definedName name="P_3666" localSheetId="13">[20]Ф!#REF!</definedName>
    <definedName name="P_3666">[20]Ф!#REF!</definedName>
    <definedName name="P_36а" localSheetId="24">#REF!</definedName>
    <definedName name="P_36а" localSheetId="11">#REF!</definedName>
    <definedName name="P_36а" localSheetId="13">#REF!</definedName>
    <definedName name="P_36а">#REF!</definedName>
    <definedName name="P_37" localSheetId="24">#REF!</definedName>
    <definedName name="P_37" localSheetId="11">#REF!</definedName>
    <definedName name="P_37" localSheetId="13">#REF!</definedName>
    <definedName name="P_37">#REF!</definedName>
    <definedName name="P_37а" localSheetId="24">#REF!</definedName>
    <definedName name="P_37а" localSheetId="11">#REF!</definedName>
    <definedName name="P_37а" localSheetId="13">#REF!</definedName>
    <definedName name="P_37а">#REF!</definedName>
    <definedName name="P_37б" localSheetId="24">#REF!</definedName>
    <definedName name="P_37б" localSheetId="11">#REF!</definedName>
    <definedName name="P_37б">#REF!</definedName>
    <definedName name="P_38" localSheetId="24">#REF!</definedName>
    <definedName name="P_38" localSheetId="11">#REF!</definedName>
    <definedName name="P_38">#REF!</definedName>
    <definedName name="P_39" localSheetId="24">#REF!</definedName>
    <definedName name="P_39" localSheetId="11">#REF!</definedName>
    <definedName name="P_39">#REF!</definedName>
    <definedName name="P_4" localSheetId="24">#REF!</definedName>
    <definedName name="P_4" localSheetId="11">#REF!</definedName>
    <definedName name="P_4">#REF!</definedName>
    <definedName name="P_40" localSheetId="24">#REF!</definedName>
    <definedName name="P_40" localSheetId="11">#REF!</definedName>
    <definedName name="P_40">#REF!</definedName>
    <definedName name="P_40а" localSheetId="24">#REF!</definedName>
    <definedName name="P_40а" localSheetId="11">#REF!</definedName>
    <definedName name="P_40а">#REF!</definedName>
    <definedName name="P_41" localSheetId="24">#REF!</definedName>
    <definedName name="P_41" localSheetId="11">#REF!</definedName>
    <definedName name="P_41">#REF!</definedName>
    <definedName name="P_418" localSheetId="24">[13]Ф!#REF!</definedName>
    <definedName name="P_418" localSheetId="11">[13]Ф!#REF!</definedName>
    <definedName name="P_418" localSheetId="13">[13]Ф!#REF!</definedName>
    <definedName name="P_418">[13]Ф!#REF!</definedName>
    <definedName name="P_419" localSheetId="24">[13]Ф!#REF!</definedName>
    <definedName name="P_419" localSheetId="11">[13]Ф!#REF!</definedName>
    <definedName name="P_419">[13]Ф!#REF!</definedName>
    <definedName name="P_42" localSheetId="24">#REF!</definedName>
    <definedName name="P_42" localSheetId="11">#REF!</definedName>
    <definedName name="P_42" localSheetId="13">#REF!</definedName>
    <definedName name="P_42">#REF!</definedName>
    <definedName name="P_44" localSheetId="24">[23]Ф!#REF!</definedName>
    <definedName name="P_44" localSheetId="11">[23]Ф!#REF!</definedName>
    <definedName name="P_44" localSheetId="13">[23]Ф!#REF!</definedName>
    <definedName name="P_44">[23]Ф!#REF!</definedName>
    <definedName name="P_44а" localSheetId="24">[8]Ф!#REF!</definedName>
    <definedName name="P_44а" localSheetId="11">[8]Ф!#REF!</definedName>
    <definedName name="P_44а">[8]Ф!#REF!</definedName>
    <definedName name="P_46" localSheetId="24">#REF!</definedName>
    <definedName name="P_46" localSheetId="11">#REF!</definedName>
    <definedName name="P_46" localSheetId="13">#REF!</definedName>
    <definedName name="P_46">#REF!</definedName>
    <definedName name="P_460" localSheetId="24">[20]Ф!#REF!</definedName>
    <definedName name="P_460" localSheetId="11">[20]Ф!#REF!</definedName>
    <definedName name="P_460" localSheetId="13">[20]Ф!#REF!</definedName>
    <definedName name="P_460">[20]Ф!#REF!</definedName>
    <definedName name="P_461" localSheetId="24">[20]Ф!#REF!</definedName>
    <definedName name="P_461" localSheetId="11">[20]Ф!#REF!</definedName>
    <definedName name="P_461">[20]Ф!#REF!</definedName>
    <definedName name="P_462" localSheetId="24">[20]Ф!#REF!</definedName>
    <definedName name="P_462" localSheetId="11">[20]Ф!#REF!</definedName>
    <definedName name="P_462">[20]Ф!#REF!</definedName>
    <definedName name="P_463" localSheetId="24">[20]Ф!#REF!</definedName>
    <definedName name="P_463" localSheetId="11">[20]Ф!#REF!</definedName>
    <definedName name="P_463">[20]Ф!#REF!</definedName>
    <definedName name="P_466" localSheetId="24">#REF!</definedName>
    <definedName name="P_466" localSheetId="11">#REF!</definedName>
    <definedName name="P_466" localSheetId="13">#REF!</definedName>
    <definedName name="P_466">#REF!</definedName>
    <definedName name="P_467" localSheetId="24">[20]Ф!#REF!</definedName>
    <definedName name="P_467" localSheetId="11">[20]Ф!#REF!</definedName>
    <definedName name="P_467" localSheetId="13">[20]Ф!#REF!</definedName>
    <definedName name="P_467">[20]Ф!#REF!</definedName>
    <definedName name="P_468" localSheetId="24">[20]Ф!#REF!</definedName>
    <definedName name="P_468" localSheetId="11">[20]Ф!#REF!</definedName>
    <definedName name="P_468">[20]Ф!#REF!</definedName>
    <definedName name="P_469" localSheetId="24">[13]Ф!#REF!</definedName>
    <definedName name="P_469" localSheetId="11">[13]Ф!#REF!</definedName>
    <definedName name="P_469">[13]Ф!#REF!</definedName>
    <definedName name="P_49" localSheetId="24">[13]Ф!#REF!</definedName>
    <definedName name="P_49" localSheetId="11">[13]Ф!#REF!</definedName>
    <definedName name="P_49">[13]Ф!#REF!</definedName>
    <definedName name="P_4a" localSheetId="24">#REF!</definedName>
    <definedName name="P_4a" localSheetId="11">#REF!</definedName>
    <definedName name="P_4a" localSheetId="13">#REF!</definedName>
    <definedName name="P_4a">#REF!</definedName>
    <definedName name="P_4b" localSheetId="24">#REF!</definedName>
    <definedName name="P_4b" localSheetId="11">#REF!</definedName>
    <definedName name="P_4b" localSheetId="13">#REF!</definedName>
    <definedName name="P_4b">#REF!</definedName>
    <definedName name="P_4а">[31]Ф!$H$28</definedName>
    <definedName name="P_4б" localSheetId="24">[8]Ф!#REF!</definedName>
    <definedName name="P_4б" localSheetId="11">[8]Ф!#REF!</definedName>
    <definedName name="P_4б">[8]Ф!#REF!</definedName>
    <definedName name="P_4к" localSheetId="24">[13]Ф!#REF!</definedName>
    <definedName name="P_4к" localSheetId="11">[13]Ф!#REF!</definedName>
    <definedName name="P_4к">[13]Ф!#REF!</definedName>
    <definedName name="P_5" localSheetId="24">#REF!</definedName>
    <definedName name="P_5" localSheetId="11">#REF!</definedName>
    <definedName name="P_5" localSheetId="13">#REF!</definedName>
    <definedName name="P_5">#REF!</definedName>
    <definedName name="P_50" localSheetId="24">[13]Ф!#REF!</definedName>
    <definedName name="P_50" localSheetId="11">[13]Ф!#REF!</definedName>
    <definedName name="P_50" localSheetId="13">[13]Ф!#REF!</definedName>
    <definedName name="P_50">[13]Ф!#REF!</definedName>
    <definedName name="P_51" localSheetId="24">#REF!</definedName>
    <definedName name="P_51" localSheetId="11">#REF!</definedName>
    <definedName name="P_51" localSheetId="13">#REF!</definedName>
    <definedName name="P_51">#REF!</definedName>
    <definedName name="P_533" localSheetId="24">[16]Ф!#REF!</definedName>
    <definedName name="P_533" localSheetId="11">[16]Ф!#REF!</definedName>
    <definedName name="P_533" localSheetId="13">[16]Ф!#REF!</definedName>
    <definedName name="P_533">[16]Ф!#REF!</definedName>
    <definedName name="P_55" localSheetId="24">[23]Ф!#REF!</definedName>
    <definedName name="P_55" localSheetId="11">[23]Ф!#REF!</definedName>
    <definedName name="P_55" localSheetId="13">[23]Ф!#REF!</definedName>
    <definedName name="P_55">[23]Ф!#REF!</definedName>
    <definedName name="P_55a" localSheetId="24">[13]Ф!#REF!</definedName>
    <definedName name="P_55a" localSheetId="11">[13]Ф!#REF!</definedName>
    <definedName name="P_55a" localSheetId="13">[13]Ф!#REF!</definedName>
    <definedName name="P_55a">[13]Ф!#REF!</definedName>
    <definedName name="P_55а" localSheetId="24">[13]Ф!#REF!</definedName>
    <definedName name="P_55а" localSheetId="11">[13]Ф!#REF!</definedName>
    <definedName name="P_55а" localSheetId="13">[13]Ф!#REF!</definedName>
    <definedName name="P_55а">[13]Ф!#REF!</definedName>
    <definedName name="P_56" localSheetId="24">[13]Ф!#REF!</definedName>
    <definedName name="P_56" localSheetId="11">[13]Ф!#REF!</definedName>
    <definedName name="P_56" localSheetId="13">[13]Ф!#REF!</definedName>
    <definedName name="P_56">[13]Ф!#REF!</definedName>
    <definedName name="P_569" localSheetId="24">[13]Ф!#REF!</definedName>
    <definedName name="P_569" localSheetId="11">[13]Ф!#REF!</definedName>
    <definedName name="P_569">[13]Ф!#REF!</definedName>
    <definedName name="P_57" localSheetId="24">[13]Ф!#REF!</definedName>
    <definedName name="P_57" localSheetId="11">[13]Ф!#REF!</definedName>
    <definedName name="P_57">[13]Ф!#REF!</definedName>
    <definedName name="P_57а" localSheetId="24">#REF!</definedName>
    <definedName name="P_57а" localSheetId="11">#REF!</definedName>
    <definedName name="P_57а" localSheetId="13">#REF!</definedName>
    <definedName name="P_57а">#REF!</definedName>
    <definedName name="P_5а" localSheetId="24">#REF!</definedName>
    <definedName name="P_5а" localSheetId="11">#REF!</definedName>
    <definedName name="P_5а" localSheetId="13">#REF!</definedName>
    <definedName name="P_5а">#REF!</definedName>
    <definedName name="P_6" localSheetId="24">#REF!</definedName>
    <definedName name="P_6" localSheetId="11">#REF!</definedName>
    <definedName name="P_6" localSheetId="13">#REF!</definedName>
    <definedName name="P_6">#REF!</definedName>
    <definedName name="P_600" localSheetId="24">#REF!</definedName>
    <definedName name="P_600" localSheetId="11">#REF!</definedName>
    <definedName name="P_600">#REF!</definedName>
    <definedName name="P_62" localSheetId="24">[13]Ф!#REF!</definedName>
    <definedName name="P_62" localSheetId="11">[13]Ф!#REF!</definedName>
    <definedName name="P_62" localSheetId="13">[13]Ф!#REF!</definedName>
    <definedName name="P_62">[13]Ф!#REF!</definedName>
    <definedName name="P_63" localSheetId="24">[13]Ф!#REF!</definedName>
    <definedName name="P_63" localSheetId="11">[13]Ф!#REF!</definedName>
    <definedName name="P_63">[13]Ф!#REF!</definedName>
    <definedName name="P_66" localSheetId="24">#REF!</definedName>
    <definedName name="P_66" localSheetId="11">#REF!</definedName>
    <definedName name="P_66" localSheetId="13">#REF!</definedName>
    <definedName name="P_66">#REF!</definedName>
    <definedName name="P_6а" localSheetId="24">#REF!</definedName>
    <definedName name="P_6а" localSheetId="11">#REF!</definedName>
    <definedName name="P_6а" localSheetId="13">#REF!</definedName>
    <definedName name="P_6а">#REF!</definedName>
    <definedName name="P_7" localSheetId="24">#REF!</definedName>
    <definedName name="P_7" localSheetId="11">#REF!</definedName>
    <definedName name="P_7" localSheetId="13">#REF!</definedName>
    <definedName name="P_7">#REF!</definedName>
    <definedName name="P_71" localSheetId="24">[13]Ф!#REF!</definedName>
    <definedName name="P_71" localSheetId="11">[13]Ф!#REF!</definedName>
    <definedName name="P_71" localSheetId="13">[13]Ф!#REF!</definedName>
    <definedName name="P_71">[13]Ф!#REF!</definedName>
    <definedName name="P_72" localSheetId="24">[14]Ф!#REF!</definedName>
    <definedName name="P_72" localSheetId="11">[14]Ф!#REF!</definedName>
    <definedName name="P_72" localSheetId="13">[14]Ф!#REF!</definedName>
    <definedName name="P_72">[14]Ф!#REF!</definedName>
    <definedName name="P_73" localSheetId="24">[14]Ф!#REF!</definedName>
    <definedName name="P_73" localSheetId="11">[14]Ф!#REF!</definedName>
    <definedName name="P_73" localSheetId="13">[14]Ф!#REF!</definedName>
    <definedName name="P_73">[14]Ф!#REF!</definedName>
    <definedName name="P_73а" localSheetId="24">[14]Ф!#REF!</definedName>
    <definedName name="P_73а" localSheetId="11">[14]Ф!#REF!</definedName>
    <definedName name="P_73а" localSheetId="13">[14]Ф!#REF!</definedName>
    <definedName name="P_73а">[14]Ф!#REF!</definedName>
    <definedName name="P_74" localSheetId="24">[16]Ф!#REF!</definedName>
    <definedName name="P_74" localSheetId="11">[16]Ф!#REF!</definedName>
    <definedName name="P_74">[16]Ф!#REF!</definedName>
    <definedName name="P_76" localSheetId="24">#REF!</definedName>
    <definedName name="P_76" localSheetId="11">#REF!</definedName>
    <definedName name="P_76" localSheetId="13">#REF!</definedName>
    <definedName name="P_76">#REF!</definedName>
    <definedName name="P_78" localSheetId="24">#REF!</definedName>
    <definedName name="P_78" localSheetId="11">#REF!</definedName>
    <definedName name="P_78" localSheetId="13">#REF!</definedName>
    <definedName name="P_78">#REF!</definedName>
    <definedName name="P_8" localSheetId="24">#REF!</definedName>
    <definedName name="P_8" localSheetId="11">#REF!</definedName>
    <definedName name="P_8" localSheetId="13">#REF!</definedName>
    <definedName name="P_8">#REF!</definedName>
    <definedName name="P_82" localSheetId="24">#REF!</definedName>
    <definedName name="P_82" localSheetId="11">#REF!</definedName>
    <definedName name="P_82">#REF!</definedName>
    <definedName name="P_88" localSheetId="24">#REF!</definedName>
    <definedName name="P_88" localSheetId="11">#REF!</definedName>
    <definedName name="P_88">#REF!</definedName>
    <definedName name="P_9" localSheetId="24">#REF!</definedName>
    <definedName name="P_9" localSheetId="11">#REF!</definedName>
    <definedName name="P_9">#REF!</definedName>
    <definedName name="P_91" localSheetId="24">[13]Ф!#REF!</definedName>
    <definedName name="P_91" localSheetId="11">[13]Ф!#REF!</definedName>
    <definedName name="P_91" localSheetId="13">[13]Ф!#REF!</definedName>
    <definedName name="P_91">[13]Ф!#REF!</definedName>
    <definedName name="P_910" localSheetId="24">[13]Ф!#REF!</definedName>
    <definedName name="P_910" localSheetId="11">[13]Ф!#REF!</definedName>
    <definedName name="P_910">[13]Ф!#REF!</definedName>
    <definedName name="P_911" localSheetId="24">#REF!</definedName>
    <definedName name="P_911" localSheetId="11">#REF!</definedName>
    <definedName name="P_911" localSheetId="13">#REF!</definedName>
    <definedName name="P_911">#REF!</definedName>
    <definedName name="P_91а" localSheetId="24">[12]Ф!#REF!</definedName>
    <definedName name="P_91а" localSheetId="11">[12]Ф!#REF!</definedName>
    <definedName name="P_91а" localSheetId="13">[12]Ф!#REF!</definedName>
    <definedName name="P_91а">[12]Ф!#REF!</definedName>
    <definedName name="P_92" localSheetId="24">[13]Ф!#REF!</definedName>
    <definedName name="P_92" localSheetId="11">[13]Ф!#REF!</definedName>
    <definedName name="P_92">[13]Ф!#REF!</definedName>
    <definedName name="P_93">[32]Ф!$H$77</definedName>
    <definedName name="P_98" localSheetId="24">#REF!</definedName>
    <definedName name="P_98" localSheetId="11">#REF!</definedName>
    <definedName name="P_98" localSheetId="13">#REF!</definedName>
    <definedName name="P_98">#REF!</definedName>
    <definedName name="P_98а" localSheetId="24">#REF!</definedName>
    <definedName name="P_98а" localSheetId="11">#REF!</definedName>
    <definedName name="P_98а" localSheetId="13">#REF!</definedName>
    <definedName name="P_98а">#REF!</definedName>
    <definedName name="P_9a" localSheetId="24">#REF!</definedName>
    <definedName name="P_9a" localSheetId="11">#REF!</definedName>
    <definedName name="P_9a" localSheetId="13">#REF!</definedName>
    <definedName name="P_9a">#REF!</definedName>
    <definedName name="Pasp" localSheetId="24" hidden="1">{#N/A,#N/A,TRUE,"Сводка балансов"}</definedName>
    <definedName name="Pasp" localSheetId="11" hidden="1">{#N/A,#N/A,TRUE,"Сводка балансов"}</definedName>
    <definedName name="Pasp" localSheetId="13" hidden="1">{#N/A,#N/A,TRUE,"Сводка балансов"}</definedName>
    <definedName name="Pasp" hidden="1">{#N/A,#N/A,TRUE,"Сводка балансов"}</definedName>
    <definedName name="qwert" localSheetId="24" hidden="1">{#N/A,#N/A,TRUE,"Сводка балансов"}</definedName>
    <definedName name="qwert" localSheetId="11" hidden="1">{#N/A,#N/A,TRUE,"Сводка балансов"}</definedName>
    <definedName name="qwert" localSheetId="13" hidden="1">{#N/A,#N/A,TRUE,"Сводка балансов"}</definedName>
    <definedName name="qwert" hidden="1">{#N/A,#N/A,TRUE,"Сводка балансов"}</definedName>
    <definedName name="R_1" localSheetId="24">#REF!</definedName>
    <definedName name="R_1" localSheetId="11">#REF!</definedName>
    <definedName name="R_1">#REF!</definedName>
    <definedName name="R_1a" localSheetId="24">#REF!</definedName>
    <definedName name="R_1a" localSheetId="11">#REF!</definedName>
    <definedName name="R_1a">#REF!</definedName>
    <definedName name="R_1b" localSheetId="24">#REF!</definedName>
    <definedName name="R_1b" localSheetId="11">#REF!</definedName>
    <definedName name="R_1b">#REF!</definedName>
    <definedName name="R_2" localSheetId="24">#REF!</definedName>
    <definedName name="R_2" localSheetId="11">#REF!</definedName>
    <definedName name="R_2">#REF!</definedName>
    <definedName name="S_0" localSheetId="24">#REF!</definedName>
    <definedName name="S_0" localSheetId="11">#REF!</definedName>
    <definedName name="S_0">#REF!</definedName>
    <definedName name="S_01" localSheetId="24">#REF!</definedName>
    <definedName name="S_01" localSheetId="11">#REF!</definedName>
    <definedName name="S_01">#REF!</definedName>
    <definedName name="S_02" localSheetId="24">#REF!</definedName>
    <definedName name="S_02" localSheetId="11">#REF!</definedName>
    <definedName name="S_02">#REF!</definedName>
    <definedName name="SDFGHJJ" localSheetId="24">#REF!</definedName>
    <definedName name="SDFGHJJ" localSheetId="11">#REF!</definedName>
    <definedName name="SDFGHJJ">#REF!</definedName>
    <definedName name="SmPr_1" localSheetId="24">[4]ЭН1_БНС!#REF!</definedName>
    <definedName name="SmPr_1" localSheetId="11">[4]ЭН1_БНС!#REF!</definedName>
    <definedName name="SmPr_1" localSheetId="13">[4]ЭН1_БНС!#REF!</definedName>
    <definedName name="SmPr_1">[4]ЭН1_БНС!#REF!</definedName>
    <definedName name="SmPr_1_1" localSheetId="24">[2]Эл.энергия!#REF!</definedName>
    <definedName name="SmPr_1_1" localSheetId="11">[2]Эл.энергия!#REF!</definedName>
    <definedName name="SmPr_1_1">[2]Эл.энергия!#REF!</definedName>
    <definedName name="SmPr_1_25" localSheetId="24">[2]Эл.энергия!#REF!</definedName>
    <definedName name="SmPr_1_25" localSheetId="11">[2]Эл.энергия!#REF!</definedName>
    <definedName name="SmPr_1_25">[2]Эл.энергия!#REF!</definedName>
    <definedName name="SmPr_11" localSheetId="24">[4]М2_БНС!#REF!</definedName>
    <definedName name="SmPr_11" localSheetId="11">[4]М2_БНС!#REF!</definedName>
    <definedName name="SmPr_11">[4]М2_БНС!#REF!</definedName>
    <definedName name="SmPr_12" localSheetId="24">[4]ЭН14_Ростверк!#REF!</definedName>
    <definedName name="SmPr_12" localSheetId="11">[4]ЭН14_Ростверк!#REF!</definedName>
    <definedName name="SmPr_12">[4]ЭН14_Ростверк!#REF!</definedName>
    <definedName name="SmPr_13" localSheetId="24">[4]ЭН14_СВСиУ!#REF!</definedName>
    <definedName name="SmPr_13" localSheetId="11">[4]ЭН14_СВСиУ!#REF!</definedName>
    <definedName name="SmPr_13">[4]ЭН14_СВСиУ!#REF!</definedName>
    <definedName name="SmPr_14" localSheetId="24">[4]ЭН15_БНС!#REF!</definedName>
    <definedName name="SmPr_14" localSheetId="11">[4]ЭН15_БНС!#REF!</definedName>
    <definedName name="SmPr_14">[4]ЭН15_БНС!#REF!</definedName>
    <definedName name="SmPr_15" localSheetId="24">[4]ЭН13_БНС!#REF!</definedName>
    <definedName name="SmPr_15" localSheetId="11">[4]ЭН13_БНС!#REF!</definedName>
    <definedName name="SmPr_15">[4]ЭН13_БНС!#REF!</definedName>
    <definedName name="SmPr_16" localSheetId="24">[4]ЭН13_СВСиУ!#REF!</definedName>
    <definedName name="SmPr_16" localSheetId="11">[4]ЭН13_СВСиУ!#REF!</definedName>
    <definedName name="SmPr_16">[4]ЭН13_СВСиУ!#REF!</definedName>
    <definedName name="SmPr_17" localSheetId="24">[4]ЭН3_БНС!#REF!</definedName>
    <definedName name="SmPr_17" localSheetId="11">[4]ЭН3_БНС!#REF!</definedName>
    <definedName name="SmPr_17">[4]ЭН3_БНС!#REF!</definedName>
    <definedName name="SmPr_18" localSheetId="24">[4]ЭН16_БНС!#REF!</definedName>
    <definedName name="SmPr_18" localSheetId="11">[4]ЭН16_БНС!#REF!</definedName>
    <definedName name="SmPr_18">[4]ЭН16_БНС!#REF!</definedName>
    <definedName name="SmPr_2" localSheetId="24">[4]ЭН2_БНС!#REF!</definedName>
    <definedName name="SmPr_2" localSheetId="11">[4]ЭН2_БНС!#REF!</definedName>
    <definedName name="SmPr_2">[4]ЭН2_БНС!#REF!</definedName>
    <definedName name="SmPr_2_1" localSheetId="24">'[2]аренда флота'!#REF!</definedName>
    <definedName name="SmPr_2_1" localSheetId="11">'[2]аренда флота'!#REF!</definedName>
    <definedName name="SmPr_2_1">'[2]аренда флота'!#REF!</definedName>
    <definedName name="SmPr_2_25" localSheetId="24">'[2]аренда флота'!#REF!</definedName>
    <definedName name="SmPr_2_25" localSheetId="11">'[2]аренда флота'!#REF!</definedName>
    <definedName name="SmPr_2_25">'[2]аренда флота'!#REF!</definedName>
    <definedName name="SmPr_22" localSheetId="24">'[4]Аренда флота'!#REF!</definedName>
    <definedName name="SmPr_22" localSheetId="11">'[4]Аренда флота'!#REF!</definedName>
    <definedName name="SmPr_22">'[4]Аренда флота'!#REF!</definedName>
    <definedName name="SmPr_3" localSheetId="24">[4]ЭН14_БНС!#REF!</definedName>
    <definedName name="SmPr_3" localSheetId="11">[4]ЭН14_БНС!#REF!</definedName>
    <definedName name="SmPr_3">[4]ЭН14_БНС!#REF!</definedName>
    <definedName name="SmPr_4" localSheetId="24">'[4]1-1-4'!#REF!</definedName>
    <definedName name="SmPr_4" localSheetId="11">'[4]1-1-4'!#REF!</definedName>
    <definedName name="SmPr_4">'[4]1-1-4'!#REF!</definedName>
    <definedName name="SmPr_5" localSheetId="24">'[4]8-4_времен.дорога А-В'!#REF!</definedName>
    <definedName name="SmPr_5" localSheetId="11">'[4]8-4_времен.дорога А-В'!#REF!</definedName>
    <definedName name="SmPr_5">'[4]8-4_времен.дорога А-В'!#REF!</definedName>
    <definedName name="SmPr_6" localSheetId="24">'[4]2-4-9_дорога 3'!#REF!</definedName>
    <definedName name="SmPr_6" localSheetId="11">'[4]2-4-9_дорога 3'!#REF!</definedName>
    <definedName name="SmPr_6">'[4]2-4-9_дорога 3'!#REF!</definedName>
    <definedName name="SmPr_7" localSheetId="24">'[4]1-1-11_Зем.работы площадки'!#REF!</definedName>
    <definedName name="SmPr_7" localSheetId="11">'[4]1-1-11_Зем.работы площадки'!#REF!</definedName>
    <definedName name="SmPr_7">'[4]1-1-11_Зем.работы площадки'!#REF!</definedName>
    <definedName name="SmPr_8" localSheetId="24">'[4]1-1-8_островки'!#REF!</definedName>
    <definedName name="SmPr_8" localSheetId="11">'[4]1-1-8_островки'!#REF!</definedName>
    <definedName name="SmPr_8">'[4]1-1-8_островки'!#REF!</definedName>
    <definedName name="SmPr_9" localSheetId="24">'[4]9 навМОСТОВИК'!#REF!</definedName>
    <definedName name="SmPr_9" localSheetId="11">'[4]9 навМОСТОВИК'!#REF!</definedName>
    <definedName name="SmPr_9">'[4]9 навМОСТОВИК'!#REF!</definedName>
    <definedName name="Sp_0" localSheetId="24">#REF!</definedName>
    <definedName name="Sp_0" localSheetId="11">#REF!</definedName>
    <definedName name="Sp_0" localSheetId="13">#REF!</definedName>
    <definedName name="Sp_0">#REF!</definedName>
    <definedName name="Sp_01" localSheetId="24">#REF!</definedName>
    <definedName name="Sp_01" localSheetId="11">#REF!</definedName>
    <definedName name="Sp_01" localSheetId="13">#REF!</definedName>
    <definedName name="Sp_01">#REF!</definedName>
    <definedName name="Sp_1" localSheetId="24">#REF!</definedName>
    <definedName name="Sp_1" localSheetId="11">#REF!</definedName>
    <definedName name="Sp_1" localSheetId="13">#REF!</definedName>
    <definedName name="Sp_1">#REF!</definedName>
    <definedName name="Ss_0" localSheetId="24">#REF!</definedName>
    <definedName name="Ss_0" localSheetId="11">#REF!</definedName>
    <definedName name="Ss_0">#REF!</definedName>
    <definedName name="st_0" localSheetId="24">#REF!</definedName>
    <definedName name="st_0" localSheetId="11">#REF!</definedName>
    <definedName name="st_0">#REF!</definedName>
    <definedName name="st_01" localSheetId="24">#REF!</definedName>
    <definedName name="st_01" localSheetId="11">#REF!</definedName>
    <definedName name="st_01">#REF!</definedName>
    <definedName name="st_02" localSheetId="24">#REF!</definedName>
    <definedName name="st_02" localSheetId="11">#REF!</definedName>
    <definedName name="st_02">#REF!</definedName>
    <definedName name="t_0" localSheetId="24">#REF!</definedName>
    <definedName name="t_0" localSheetId="11">#REF!</definedName>
    <definedName name="t_0">#REF!</definedName>
    <definedName name="T17_1" localSheetId="24">#REF!</definedName>
    <definedName name="T17_1" localSheetId="11">#REF!</definedName>
    <definedName name="T17_1">#REF!</definedName>
    <definedName name="Tel" localSheetId="24">#REF!</definedName>
    <definedName name="Tel" localSheetId="11">#REF!</definedName>
    <definedName name="Tel">#REF!</definedName>
    <definedName name="Tel_affaire" localSheetId="24">#REF!</definedName>
    <definedName name="Tel_affaire" localSheetId="11">#REF!</definedName>
    <definedName name="Tel_affaire">#REF!</definedName>
    <definedName name="Tel_Dossier" localSheetId="24">#REF!</definedName>
    <definedName name="Tel_Dossier" localSheetId="11">#REF!</definedName>
    <definedName name="Tel_Dossier">#REF!</definedName>
    <definedName name="Titre" localSheetId="24">#REF!</definedName>
    <definedName name="Titre" localSheetId="11">#REF!</definedName>
    <definedName name="Titre">#REF!</definedName>
    <definedName name="TVA" localSheetId="24">#REF!</definedName>
    <definedName name="TVA" localSheetId="11">#REF!</definedName>
    <definedName name="TVA">#REF!</definedName>
    <definedName name="v" localSheetId="24">#REF!</definedName>
    <definedName name="v" localSheetId="11">#REF!</definedName>
    <definedName name="v">#REF!</definedName>
    <definedName name="v_0" localSheetId="24">#REF!</definedName>
    <definedName name="v_0" localSheetId="11">#REF!</definedName>
    <definedName name="v_0">#REF!</definedName>
    <definedName name="Vers" localSheetId="24">#REF!</definedName>
    <definedName name="Vers" localSheetId="11">#REF!</definedName>
    <definedName name="Vers">#REF!</definedName>
    <definedName name="Ville_d_envoi" localSheetId="24">#REF!</definedName>
    <definedName name="Ville_d_envoi" localSheetId="11">#REF!</definedName>
    <definedName name="Ville_d_envoi">#REF!</definedName>
    <definedName name="Volgina" localSheetId="24" hidden="1">{#N/A,#N/A,TRUE,"Сводка балансов"}</definedName>
    <definedName name="Volgina" localSheetId="11" hidden="1">{#N/A,#N/A,TRUE,"Сводка балансов"}</definedName>
    <definedName name="Volgina" localSheetId="13" hidden="1">{#N/A,#N/A,TRUE,"Сводка балансов"}</definedName>
    <definedName name="Volgina" hidden="1">{#N/A,#N/A,TRUE,"Сводка балансов"}</definedName>
    <definedName name="VR_0" localSheetId="24">'[33]зим '!#REF!</definedName>
    <definedName name="VR_0" localSheetId="11">'[33]зим '!#REF!</definedName>
    <definedName name="VR_0">'[33]зим '!#REF!</definedName>
    <definedName name="Vr_1" localSheetId="24">#REF!</definedName>
    <definedName name="Vr_1" localSheetId="11">#REF!</definedName>
    <definedName name="Vr_1" localSheetId="13">#REF!</definedName>
    <definedName name="Vr_1">#REF!</definedName>
    <definedName name="Vrt_1" localSheetId="24">#REF!</definedName>
    <definedName name="Vrt_1" localSheetId="11">#REF!</definedName>
    <definedName name="Vrt_1" localSheetId="13">#REF!</definedName>
    <definedName name="Vrt_1">#REF!</definedName>
    <definedName name="w_0" localSheetId="24">#REF!</definedName>
    <definedName name="w_0" localSheetId="11">#REF!</definedName>
    <definedName name="w_0" localSheetId="13">#REF!</definedName>
    <definedName name="w_0">#REF!</definedName>
    <definedName name="wrn.Сводка." localSheetId="24" hidden="1">{#N/A,#N/A,TRUE,"Сводка балансов"}</definedName>
    <definedName name="wrn.Сводка." localSheetId="11" hidden="1">{#N/A,#N/A,TRUE,"Сводка балансов"}</definedName>
    <definedName name="wrn.Сводка." localSheetId="13" hidden="1">{#N/A,#N/A,TRUE,"Сводка балансов"}</definedName>
    <definedName name="wrn.Сводка." hidden="1">{#N/A,#N/A,TRUE,"Сводка балансов"}</definedName>
    <definedName name="www" localSheetId="24">#REF!</definedName>
    <definedName name="www" localSheetId="11">#REF!</definedName>
    <definedName name="www">#REF!</definedName>
    <definedName name="x" localSheetId="24">#REF!</definedName>
    <definedName name="x" localSheetId="11">#REF!</definedName>
    <definedName name="x">#REF!</definedName>
    <definedName name="Xcgg" localSheetId="24">#REF!</definedName>
    <definedName name="Xcgg" localSheetId="11">#REF!</definedName>
    <definedName name="Xcgg">#REF!</definedName>
    <definedName name="xx" localSheetId="24">#REF!</definedName>
    <definedName name="xx" localSheetId="11">#REF!</definedName>
    <definedName name="xx">#REF!</definedName>
    <definedName name="yty" localSheetId="24" hidden="1">{#N/A,#N/A,TRUE,"Сводка балансов"}</definedName>
    <definedName name="yty" localSheetId="11" hidden="1">{#N/A,#N/A,TRUE,"Сводка балансов"}</definedName>
    <definedName name="yty" localSheetId="13" hidden="1">{#N/A,#N/A,TRUE,"Сводка балансов"}</definedName>
    <definedName name="yty" hidden="1">{#N/A,#N/A,TRUE,"Сводка балансов"}</definedName>
    <definedName name="z_0" localSheetId="24">#REF!</definedName>
    <definedName name="z_0" localSheetId="11">#REF!</definedName>
    <definedName name="z_0">#REF!</definedName>
    <definedName name="z_01" localSheetId="24">#REF!</definedName>
    <definedName name="z_01" localSheetId="11">#REF!</definedName>
    <definedName name="z_01">#REF!</definedName>
    <definedName name="Z_1" localSheetId="24">#REF!</definedName>
    <definedName name="Z_1" localSheetId="11">#REF!</definedName>
    <definedName name="Z_1">#REF!</definedName>
    <definedName name="Z_3" localSheetId="24">#REF!</definedName>
    <definedName name="Z_3" localSheetId="11">#REF!</definedName>
    <definedName name="Z_3">#REF!</definedName>
    <definedName name="Z_4" localSheetId="24">#REF!</definedName>
    <definedName name="Z_4" localSheetId="11">#REF!</definedName>
    <definedName name="Z_4">#REF!</definedName>
    <definedName name="ZIM_0">'[34]зим '!$F$31</definedName>
    <definedName name="ZIM_03">'[34]зим '!$F$31</definedName>
    <definedName name="ZIM_1" localSheetId="24">#REF!</definedName>
    <definedName name="ZIM_1" localSheetId="11">#REF!</definedName>
    <definedName name="ZIM_1" localSheetId="13">#REF!</definedName>
    <definedName name="ZIM_1">#REF!</definedName>
    <definedName name="Zm_1" localSheetId="24">[35]Зима!#REF!</definedName>
    <definedName name="Zm_1" localSheetId="11">[35]Зима!#REF!</definedName>
    <definedName name="Zm_1" localSheetId="13">[35]Зима!#REF!</definedName>
    <definedName name="Zm_1">[35]Зима!#REF!</definedName>
    <definedName name="Zmt_1" localSheetId="24">#REF!</definedName>
    <definedName name="Zmt_1" localSheetId="11">#REF!</definedName>
    <definedName name="Zmt_1" localSheetId="13">#REF!</definedName>
    <definedName name="Zmt_1">#REF!</definedName>
    <definedName name="А" localSheetId="24">#REF!</definedName>
    <definedName name="А" localSheetId="11">#REF!</definedName>
    <definedName name="А" localSheetId="13">#REF!</definedName>
    <definedName name="А">#REF!</definedName>
    <definedName name="А_1" localSheetId="24">#REF!</definedName>
    <definedName name="А_1" localSheetId="11">#REF!</definedName>
    <definedName name="А_1" localSheetId="13">#REF!</definedName>
    <definedName name="А_1">#REF!</definedName>
    <definedName name="а1" localSheetId="24">#REF!</definedName>
    <definedName name="а1" localSheetId="11">#REF!</definedName>
    <definedName name="а1">#REF!</definedName>
    <definedName name="а111" localSheetId="24">#REF!</definedName>
    <definedName name="а111" localSheetId="11">#REF!</definedName>
    <definedName name="а111">#REF!</definedName>
    <definedName name="а123" localSheetId="24">#REF!</definedName>
    <definedName name="а123" localSheetId="11">#REF!</definedName>
    <definedName name="а123">#REF!</definedName>
    <definedName name="а24_С_Заголовок_pre_rep" localSheetId="24">[36]Лист1!#REF!</definedName>
    <definedName name="а24_С_Заголовок_pre_rep" localSheetId="11">[36]Лист1!#REF!</definedName>
    <definedName name="а24_С_Заголовок_pre_rep" localSheetId="13">[36]Лист1!#REF!</definedName>
    <definedName name="а24_С_Заголовок_pre_rep">[36]Лист1!#REF!</definedName>
    <definedName name="а45" localSheetId="24">[37]Лист1!#REF!</definedName>
    <definedName name="а45" localSheetId="11">[38]Лист1!#REF!</definedName>
    <definedName name="а45" localSheetId="13">[38]Лист1!#REF!</definedName>
    <definedName name="а45">[37]Лист1!#REF!</definedName>
    <definedName name="а54_и" localSheetId="24">#REF!</definedName>
    <definedName name="а54_и" localSheetId="11">#REF!</definedName>
    <definedName name="а54_и">#REF!</definedName>
    <definedName name="аа" localSheetId="24">#REF!</definedName>
    <definedName name="аа" localSheetId="11">#REF!</definedName>
    <definedName name="аа">#REF!</definedName>
    <definedName name="ааа" localSheetId="24">#REF!</definedName>
    <definedName name="ааа" localSheetId="11">#REF!</definedName>
    <definedName name="ааа">#REF!</definedName>
    <definedName name="аааа" localSheetId="24">#REF!</definedName>
    <definedName name="аааа" localSheetId="11">#REF!</definedName>
    <definedName name="аааа">#REF!</definedName>
    <definedName name="аааааа" localSheetId="24">#REF!</definedName>
    <definedName name="аааааа" localSheetId="11">#REF!</definedName>
    <definedName name="аааааа">#REF!</definedName>
    <definedName name="ааааааа" localSheetId="24">#REF!</definedName>
    <definedName name="ааааааа" localSheetId="11">#REF!</definedName>
    <definedName name="ааааааа">#REF!</definedName>
    <definedName name="ааааааааааа" localSheetId="24">#REF!</definedName>
    <definedName name="ааааааааааа" localSheetId="11">#REF!</definedName>
    <definedName name="ааааааааааа">#REF!</definedName>
    <definedName name="ааааааааааааа" localSheetId="24">#REF!</definedName>
    <definedName name="ааааааааааааа" localSheetId="11">#REF!</definedName>
    <definedName name="ааааааааааааа">#REF!</definedName>
    <definedName name="аааааааааааааааа" localSheetId="24">#REF!</definedName>
    <definedName name="аааааааааааааааа" localSheetId="11">#REF!</definedName>
    <definedName name="аааааааааааааааа">#REF!</definedName>
    <definedName name="аб">'[39]C.с '!$D$52</definedName>
    <definedName name="абв" localSheetId="24">#REF!</definedName>
    <definedName name="абв" localSheetId="11">#REF!</definedName>
    <definedName name="абв">#REF!</definedName>
    <definedName name="абс">'[40]C.с  (2)'!$H$44</definedName>
    <definedName name="ав" localSheetId="24">#REF!</definedName>
    <definedName name="ав" localSheetId="11">#REF!</definedName>
    <definedName name="ав">#REF!</definedName>
    <definedName name="Автоб.ост.">'[41]Обстановка дороги'!$AJ$103</definedName>
    <definedName name="Автопав.">[41]Автопавильон!$AJ$133</definedName>
    <definedName name="авторск" localSheetId="24">#REF!</definedName>
    <definedName name="авторск" localSheetId="11">#REF!</definedName>
    <definedName name="авторск">#REF!</definedName>
    <definedName name="аепапапа" localSheetId="24">#REF!</definedName>
    <definedName name="аепапапа" localSheetId="11">#REF!</definedName>
    <definedName name="аепапапа">#REF!</definedName>
    <definedName name="аммммммммммм" localSheetId="24">#REF!</definedName>
    <definedName name="аммммммммммм" localSheetId="11">#REF!</definedName>
    <definedName name="аммммммммммм">#REF!</definedName>
    <definedName name="анна_крА" localSheetId="24">#REF!</definedName>
    <definedName name="анна_крА" localSheetId="11">#REF!</definedName>
    <definedName name="анна_крА">#REF!</definedName>
    <definedName name="анна_крБ" localSheetId="24">#REF!</definedName>
    <definedName name="анна_крБ" localSheetId="11">#REF!</definedName>
    <definedName name="анна_крБ">#REF!</definedName>
    <definedName name="анна_крВ" localSheetId="24">#REF!</definedName>
    <definedName name="анна_крВ" localSheetId="11">#REF!</definedName>
    <definedName name="анна_крВ">#REF!</definedName>
    <definedName name="анна_крГ" localSheetId="24">#REF!</definedName>
    <definedName name="анна_крГ" localSheetId="11">#REF!</definedName>
    <definedName name="анна_крГ">#REF!</definedName>
    <definedName name="анна_крД" localSheetId="24">#REF!</definedName>
    <definedName name="анна_крД" localSheetId="11">#REF!</definedName>
    <definedName name="анна_крД">#REF!</definedName>
    <definedName name="анна_крЕ" localSheetId="24">#REF!</definedName>
    <definedName name="анна_крЕ" localSheetId="11">#REF!</definedName>
    <definedName name="анна_крЕ">#REF!</definedName>
    <definedName name="анна_крЖ" localSheetId="24">#REF!</definedName>
    <definedName name="анна_крЖ" localSheetId="11">#REF!</definedName>
    <definedName name="анна_крЖ">#REF!</definedName>
    <definedName name="ап" localSheetId="24">#REF!</definedName>
    <definedName name="ап" localSheetId="11">#REF!</definedName>
    <definedName name="ап">#REF!</definedName>
    <definedName name="апапаап" localSheetId="24">#REF!</definedName>
    <definedName name="апапаап" localSheetId="11">#REF!</definedName>
    <definedName name="апапаап">#REF!</definedName>
    <definedName name="АПАПАПА" localSheetId="24">#REF!</definedName>
    <definedName name="АПАПАПА" localSheetId="11">#REF!</definedName>
    <definedName name="АПАПАПА">#REF!</definedName>
    <definedName name="апапапп" localSheetId="24">'[8]К.С.М. м'!#REF!</definedName>
    <definedName name="апапапп" localSheetId="11">'[8]К.С.М. м'!#REF!</definedName>
    <definedName name="апапапп" localSheetId="13">'[8]К.С.М. м'!#REF!</definedName>
    <definedName name="апапапп">'[8]К.С.М. м'!#REF!</definedName>
    <definedName name="АПАПВАПАПВ" localSheetId="24">#REF!</definedName>
    <definedName name="АПАПВАПАПВ" localSheetId="11">#REF!</definedName>
    <definedName name="АПАПВАПАПВ" localSheetId="13">#REF!</definedName>
    <definedName name="АПАПВАПАПВ">#REF!</definedName>
    <definedName name="апапп" localSheetId="24">#REF!</definedName>
    <definedName name="апапп" localSheetId="11">#REF!</definedName>
    <definedName name="апапп" localSheetId="13">#REF!</definedName>
    <definedName name="апапп">#REF!</definedName>
    <definedName name="апаппрп" localSheetId="24">#REF!</definedName>
    <definedName name="апаппрп" localSheetId="11">#REF!</definedName>
    <definedName name="апаппрп" localSheetId="13">#REF!</definedName>
    <definedName name="апаппрп">#REF!</definedName>
    <definedName name="апекеаорпр" localSheetId="24">#REF!</definedName>
    <definedName name="апекеаорпр" localSheetId="11">#REF!</definedName>
    <definedName name="апекеаорпр">#REF!</definedName>
    <definedName name="апоапоапдол" localSheetId="24">#REF!</definedName>
    <definedName name="апоапоапдол" localSheetId="11">#REF!</definedName>
    <definedName name="апоапоапдол">#REF!</definedName>
    <definedName name="апорп" localSheetId="24">#REF!</definedName>
    <definedName name="апорп" localSheetId="11">#REF!</definedName>
    <definedName name="апорп">#REF!</definedName>
    <definedName name="АПППППППППППП" localSheetId="24">#REF!</definedName>
    <definedName name="АПППППППППППП" localSheetId="11">#REF!</definedName>
    <definedName name="АПППППППППППП">#REF!</definedName>
    <definedName name="АППППППППППППППППППП" localSheetId="24">#REF!</definedName>
    <definedName name="АППППППППППППППППППП" localSheetId="11">#REF!</definedName>
    <definedName name="АППППППППППППППППППП">#REF!</definedName>
    <definedName name="аппппппппппппппппппппп" localSheetId="24">#REF!</definedName>
    <definedName name="аппппппппппппппппппппп" localSheetId="11">#REF!</definedName>
    <definedName name="аппппппппппппппппппппп">#REF!</definedName>
    <definedName name="апр" localSheetId="24">#REF!</definedName>
    <definedName name="апр" localSheetId="11">#REF!</definedName>
    <definedName name="апр">#REF!</definedName>
    <definedName name="апрель">[42]Лист1!$C$418:$H$704</definedName>
    <definedName name="апро" localSheetId="24">#REF!</definedName>
    <definedName name="апро" localSheetId="11">#REF!</definedName>
    <definedName name="апро">#REF!</definedName>
    <definedName name="ара" localSheetId="24">#REF!</definedName>
    <definedName name="ара" localSheetId="11">#REF!</definedName>
    <definedName name="ара">#REF!</definedName>
    <definedName name="арара" localSheetId="24">#REF!</definedName>
    <definedName name="арара" localSheetId="11">#REF!</definedName>
    <definedName name="арара">#REF!</definedName>
    <definedName name="аренд" localSheetId="24">#REF!</definedName>
    <definedName name="аренд" localSheetId="11">#REF!</definedName>
    <definedName name="аренд">#REF!</definedName>
    <definedName name="Асф.покр.">'[41]Дорожная одежда'!$AJ$30</definedName>
    <definedName name="б" localSheetId="24">#REF!</definedName>
    <definedName name="б" localSheetId="11">#REF!</definedName>
    <definedName name="б">#REF!</definedName>
    <definedName name="Б_1" localSheetId="24">#REF!</definedName>
    <definedName name="Б_1" localSheetId="11">#REF!</definedName>
    <definedName name="Б_1">#REF!</definedName>
    <definedName name="_xlnm.Database" localSheetId="24">#REF!</definedName>
    <definedName name="_xlnm.Database" localSheetId="11">#REF!</definedName>
    <definedName name="_xlnm.Database">#REF!</definedName>
    <definedName name="бб" localSheetId="24">#REF!</definedName>
    <definedName name="бб" localSheetId="11">#REF!</definedName>
    <definedName name="бб">#REF!</definedName>
    <definedName name="ббб" localSheetId="24">#REF!</definedName>
    <definedName name="ббб" localSheetId="11">#REF!</definedName>
    <definedName name="ббб">#REF!</definedName>
    <definedName name="Блаблабла" localSheetId="24">#REF!</definedName>
    <definedName name="Блаблабла" localSheetId="11">#REF!</definedName>
    <definedName name="Блаблабла">#REF!</definedName>
    <definedName name="бласть_печати1" localSheetId="24">#REF!</definedName>
    <definedName name="бласть_печати1" localSheetId="11">#REF!</definedName>
    <definedName name="бласть_печати1">#REF!</definedName>
    <definedName name="бобров_крА" localSheetId="24">#REF!</definedName>
    <definedName name="бобров_крА" localSheetId="11">#REF!</definedName>
    <definedName name="бобров_крА">#REF!</definedName>
    <definedName name="бобров_крБ" localSheetId="24">#REF!</definedName>
    <definedName name="бобров_крБ" localSheetId="11">#REF!</definedName>
    <definedName name="бобров_крБ">#REF!</definedName>
    <definedName name="бобров_крВ" localSheetId="24">#REF!</definedName>
    <definedName name="бобров_крВ" localSheetId="11">#REF!</definedName>
    <definedName name="бобров_крВ">#REF!</definedName>
    <definedName name="бобров_крГ" localSheetId="24">#REF!</definedName>
    <definedName name="бобров_крГ" localSheetId="11">#REF!</definedName>
    <definedName name="бобров_крГ">#REF!</definedName>
    <definedName name="бобров_крД" localSheetId="24">#REF!</definedName>
    <definedName name="бобров_крД" localSheetId="11">#REF!</definedName>
    <definedName name="бобров_крД">#REF!</definedName>
    <definedName name="бобров_крЕ" localSheetId="24">#REF!</definedName>
    <definedName name="бобров_крЕ" localSheetId="11">#REF!</definedName>
    <definedName name="бобров_крЕ">#REF!</definedName>
    <definedName name="бобров_крЖ" localSheetId="24">#REF!</definedName>
    <definedName name="бобров_крЖ" localSheetId="11">#REF!</definedName>
    <definedName name="бобров_крЖ">#REF!</definedName>
    <definedName name="богучар_крА" localSheetId="24">#REF!</definedName>
    <definedName name="богучар_крА" localSheetId="11">#REF!</definedName>
    <definedName name="богучар_крА">#REF!</definedName>
    <definedName name="богучар_крБ" localSheetId="24">#REF!</definedName>
    <definedName name="богучар_крБ" localSheetId="11">#REF!</definedName>
    <definedName name="богучар_крБ">#REF!</definedName>
    <definedName name="богучар_крВ" localSheetId="24">#REF!</definedName>
    <definedName name="богучар_крВ" localSheetId="11">#REF!</definedName>
    <definedName name="богучар_крВ">#REF!</definedName>
    <definedName name="богучар_крГ" localSheetId="24">#REF!</definedName>
    <definedName name="богучар_крГ" localSheetId="11">#REF!</definedName>
    <definedName name="богучар_крГ">#REF!</definedName>
    <definedName name="богучар_крД" localSheetId="24">#REF!</definedName>
    <definedName name="богучар_крД" localSheetId="11">#REF!</definedName>
    <definedName name="богучар_крД">#REF!</definedName>
    <definedName name="богучар_крЕ" localSheetId="24">#REF!</definedName>
    <definedName name="богучар_крЕ" localSheetId="11">#REF!</definedName>
    <definedName name="богучар_крЕ">#REF!</definedName>
    <definedName name="богучар_крЖ" localSheetId="24">#REF!</definedName>
    <definedName name="богучар_крЖ" localSheetId="11">#REF!</definedName>
    <definedName name="богучар_крЖ">#REF!</definedName>
    <definedName name="борис_крА" localSheetId="24">#REF!</definedName>
    <definedName name="борис_крА" localSheetId="11">#REF!</definedName>
    <definedName name="борис_крА">#REF!</definedName>
    <definedName name="борис_крБ" localSheetId="24">#REF!</definedName>
    <definedName name="борис_крБ" localSheetId="11">#REF!</definedName>
    <definedName name="борис_крБ">#REF!</definedName>
    <definedName name="борис_крВ" localSheetId="24">#REF!</definedName>
    <definedName name="борис_крВ" localSheetId="11">#REF!</definedName>
    <definedName name="борис_крВ">#REF!</definedName>
    <definedName name="борис_крГ" localSheetId="24">#REF!</definedName>
    <definedName name="борис_крГ" localSheetId="11">#REF!</definedName>
    <definedName name="борис_крГ">#REF!</definedName>
    <definedName name="борис_крД" localSheetId="24">#REF!</definedName>
    <definedName name="борис_крД" localSheetId="11">#REF!</definedName>
    <definedName name="борис_крД">#REF!</definedName>
    <definedName name="борис_крЕ" localSheetId="24">#REF!</definedName>
    <definedName name="борис_крЕ" localSheetId="11">#REF!</definedName>
    <definedName name="борис_крЕ">#REF!</definedName>
    <definedName name="борис_крЖ" localSheetId="24">#REF!</definedName>
    <definedName name="борис_крЖ" localSheetId="11">#REF!</definedName>
    <definedName name="борис_крЖ">#REF!</definedName>
    <definedName name="бутур_крА" localSheetId="24">#REF!</definedName>
    <definedName name="бутур_крА" localSheetId="11">#REF!</definedName>
    <definedName name="бутур_крА">#REF!</definedName>
    <definedName name="бутур_крБ" localSheetId="24">#REF!</definedName>
    <definedName name="бутур_крБ" localSheetId="11">#REF!</definedName>
    <definedName name="бутур_крБ">#REF!</definedName>
    <definedName name="бутур_крВ" localSheetId="24">#REF!</definedName>
    <definedName name="бутур_крВ" localSheetId="11">#REF!</definedName>
    <definedName name="бутур_крВ">#REF!</definedName>
    <definedName name="бутур_крГ" localSheetId="24">#REF!</definedName>
    <definedName name="бутур_крГ" localSheetId="11">#REF!</definedName>
    <definedName name="бутур_крГ">#REF!</definedName>
    <definedName name="бутур_крД" localSheetId="24">#REF!</definedName>
    <definedName name="бутур_крД" localSheetId="11">#REF!</definedName>
    <definedName name="бутур_крД">#REF!</definedName>
    <definedName name="бутур_крЕ" localSheetId="24">#REF!</definedName>
    <definedName name="бутур_крЕ" localSheetId="11">#REF!</definedName>
    <definedName name="бутур_крЕ">#REF!</definedName>
    <definedName name="бутур_крЖ" localSheetId="24">#REF!</definedName>
    <definedName name="бутур_крЖ" localSheetId="11">#REF!</definedName>
    <definedName name="бутур_крЖ">#REF!</definedName>
    <definedName name="в" localSheetId="24">#REF!</definedName>
    <definedName name="в" localSheetId="11">#REF!</definedName>
    <definedName name="в">#REF!</definedName>
    <definedName name="В_1" localSheetId="24">#REF!</definedName>
    <definedName name="В_1" localSheetId="11">#REF!</definedName>
    <definedName name="В_1">#REF!</definedName>
    <definedName name="ВА" localSheetId="24">#REF!</definedName>
    <definedName name="ВА" localSheetId="11">#REF!</definedName>
    <definedName name="ВА">#REF!</definedName>
    <definedName name="вааааааааааа" localSheetId="24">[23]К.С.М.!#REF!</definedName>
    <definedName name="вааааааааааа" localSheetId="11">[23]К.С.М.!#REF!</definedName>
    <definedName name="вааааааааааа" localSheetId="13">[23]К.С.М.!#REF!</definedName>
    <definedName name="вааааааааааа">[23]К.С.М.!#REF!</definedName>
    <definedName name="ваааааааааааааа" localSheetId="24">#REF!</definedName>
    <definedName name="ваааааааааааааа" localSheetId="11">#REF!</definedName>
    <definedName name="ваааааааааааааа" localSheetId="13">#REF!</definedName>
    <definedName name="ваааааааааааааа">#REF!</definedName>
    <definedName name="ваапцуу" localSheetId="24">#REF!</definedName>
    <definedName name="ваапцуу" localSheetId="11">#REF!</definedName>
    <definedName name="ваапцуу" localSheetId="13">#REF!</definedName>
    <definedName name="ваапцуу">#REF!</definedName>
    <definedName name="вававава" localSheetId="24">#REF!</definedName>
    <definedName name="вававава" localSheetId="11">#REF!</definedName>
    <definedName name="вававава" localSheetId="13">#REF!</definedName>
    <definedName name="вававава">#REF!</definedName>
    <definedName name="вавыпаа" localSheetId="24" hidden="1">{#N/A,#N/A,TRUE,"Сводка балансов"}</definedName>
    <definedName name="вавыпаа" localSheetId="11" hidden="1">{#N/A,#N/A,TRUE,"Сводка балансов"}</definedName>
    <definedName name="вавыпаа" localSheetId="13" hidden="1">{#N/A,#N/A,TRUE,"Сводка балансов"}</definedName>
    <definedName name="вавыпаа" hidden="1">{#N/A,#N/A,TRUE,"Сводка балансов"}</definedName>
    <definedName name="ВАПАИИВ" localSheetId="24">#REF!</definedName>
    <definedName name="ВАПАИИВ" localSheetId="11">#REF!</definedName>
    <definedName name="ВАПАИИВ">#REF!</definedName>
    <definedName name="ВАПВАП" localSheetId="24">#REF!</definedName>
    <definedName name="ВАПВАП" localSheetId="11">#REF!</definedName>
    <definedName name="ВАПВАП">#REF!</definedName>
    <definedName name="ВАППППППППППППППППППППП" localSheetId="24">#REF!</definedName>
    <definedName name="ВАППППППППППППППППППППП" localSheetId="11">#REF!</definedName>
    <definedName name="ВАППППППППППППППППППППП">#REF!</definedName>
    <definedName name="ВАППППППППППППППППППППППП" localSheetId="24">#REF!</definedName>
    <definedName name="ВАППППППППППППППППППППППП" localSheetId="11">#REF!</definedName>
    <definedName name="ВАППППППППППППППППППППППП">#REF!</definedName>
    <definedName name="вапр" localSheetId="24">#REF!</definedName>
    <definedName name="вапр" localSheetId="11">#REF!</definedName>
    <definedName name="вапр">#REF!</definedName>
    <definedName name="вах">[16]вах!$F$17</definedName>
    <definedName name="вах.т.">'[43]вах(б)'!$E$37</definedName>
    <definedName name="вахт" localSheetId="24">#REF!</definedName>
    <definedName name="вахт" localSheetId="11">#REF!</definedName>
    <definedName name="вахт">#REF!</definedName>
    <definedName name="ВАЫВАЫАФ" localSheetId="24">#REF!</definedName>
    <definedName name="ВАЫВАЫАФ" localSheetId="11">#REF!</definedName>
    <definedName name="ВАЫВАЫАФ">#REF!</definedName>
    <definedName name="вв\" localSheetId="24">#REF!</definedName>
    <definedName name="вв\" localSheetId="11">#REF!</definedName>
    <definedName name="вв\">#REF!</definedName>
    <definedName name="ВВ_1" localSheetId="24">#REF!</definedName>
    <definedName name="ВВ_1" localSheetId="11">#REF!</definedName>
    <definedName name="ВВ_1">#REF!</definedName>
    <definedName name="вва" localSheetId="24">#REF!</definedName>
    <definedName name="вва" localSheetId="11">#REF!</definedName>
    <definedName name="вва">#REF!</definedName>
    <definedName name="ввв" localSheetId="24">#REF!</definedName>
    <definedName name="ввв" localSheetId="11">#REF!</definedName>
    <definedName name="ввв">#REF!</definedName>
    <definedName name="вввв" localSheetId="24" hidden="1">{#N/A,#N/A,TRUE,"Сводка балансов"}</definedName>
    <definedName name="вввв" localSheetId="11" hidden="1">{#N/A,#N/A,TRUE,"Сводка балансов"}</definedName>
    <definedName name="вввв" localSheetId="13" hidden="1">{#N/A,#N/A,TRUE,"Сводка балансов"}</definedName>
    <definedName name="вввв" hidden="1">{#N/A,#N/A,TRUE,"Сводка балансов"}</definedName>
    <definedName name="ввввв" localSheetId="24">#REF!</definedName>
    <definedName name="ввввв" localSheetId="11">#REF!</definedName>
    <definedName name="ввввв">#REF!</definedName>
    <definedName name="ВВВВВВВВВВВВВВВВВ" localSheetId="24">#REF!</definedName>
    <definedName name="ВВВВВВВВВВВВВВВВВ" localSheetId="11">#REF!</definedName>
    <definedName name="ВВВВВВВВВВВВВВВВВ">#REF!</definedName>
    <definedName name="ВВВВВВВВВВВВВВВВВАААААААААААААААА" localSheetId="24">#REF!</definedName>
    <definedName name="ВВВВВВВВВВВВВВВВВАААААААААААААААА" localSheetId="11">#REF!</definedName>
    <definedName name="ВВВВВВВВВВВВВВВВВАААААААААААААААА">#REF!</definedName>
    <definedName name="вввввввввввввввввввввв" localSheetId="24">#REF!</definedName>
    <definedName name="вввввввввввввввввввввв" localSheetId="11">#REF!</definedName>
    <definedName name="вввввввввввввввввввввв">#REF!</definedName>
    <definedName name="ввод" localSheetId="24">#REF!</definedName>
    <definedName name="ввод" localSheetId="11">#REF!</definedName>
    <definedName name="ввод">#REF!</definedName>
    <definedName name="вентк111" localSheetId="24">#REF!</definedName>
    <definedName name="вентк111" localSheetId="11">#REF!</definedName>
    <definedName name="вентк111">#REF!</definedName>
    <definedName name="Верт.план.">[41]Вертик.планировка!$AJ$32</definedName>
    <definedName name="Вест" localSheetId="24">#REF!</definedName>
    <definedName name="Вест" localSheetId="11">#REF!</definedName>
    <definedName name="Вест">#REF!</definedName>
    <definedName name="вестибюль" localSheetId="24">#REF!</definedName>
    <definedName name="вестибюль" localSheetId="11">#REF!</definedName>
    <definedName name="вестибюль">#REF!</definedName>
    <definedName name="вид_сметы">[44]база!$G$1:$G$65536</definedName>
    <definedName name="ВКПВАПВППЫПЫ" localSheetId="24">#REF!</definedName>
    <definedName name="ВКПВАПВППЫПЫ" localSheetId="11">#REF!</definedName>
    <definedName name="ВКПВАПВППЫПЫ">#REF!</definedName>
    <definedName name="вкпвв" localSheetId="24">#REF!</definedName>
    <definedName name="вкпвв" localSheetId="11">#REF!</definedName>
    <definedName name="вкпвв">#REF!</definedName>
    <definedName name="Вмамон_крА" localSheetId="24">#REF!</definedName>
    <definedName name="Вмамон_крА" localSheetId="11">#REF!</definedName>
    <definedName name="Вмамон_крА">#REF!</definedName>
    <definedName name="Вмамон_крБ" localSheetId="24">#REF!</definedName>
    <definedName name="Вмамон_крБ" localSheetId="11">#REF!</definedName>
    <definedName name="Вмамон_крБ">#REF!</definedName>
    <definedName name="Вмамон_крВ" localSheetId="24">#REF!</definedName>
    <definedName name="Вмамон_крВ" localSheetId="11">#REF!</definedName>
    <definedName name="Вмамон_крВ">#REF!</definedName>
    <definedName name="Вмамон_крГ" localSheetId="24">#REF!</definedName>
    <definedName name="Вмамон_крГ" localSheetId="11">#REF!</definedName>
    <definedName name="Вмамон_крГ">#REF!</definedName>
    <definedName name="Вмамон_крД" localSheetId="24">#REF!</definedName>
    <definedName name="Вмамон_крД" localSheetId="11">#REF!</definedName>
    <definedName name="Вмамон_крД">#REF!</definedName>
    <definedName name="Вмамон_крЕ" localSheetId="24">#REF!</definedName>
    <definedName name="Вмамон_крЕ" localSheetId="11">#REF!</definedName>
    <definedName name="Вмамон_крЕ">#REF!</definedName>
    <definedName name="Вмамон_крЖ" localSheetId="24">#REF!</definedName>
    <definedName name="Вмамон_крЖ" localSheetId="11">#REF!</definedName>
    <definedName name="Вмамон_крЖ">#REF!</definedName>
    <definedName name="во" localSheetId="24">'[45]C.с '!#REF!</definedName>
    <definedName name="во" localSheetId="11">'[45]C.с '!#REF!</definedName>
    <definedName name="во" localSheetId="13">'[45]C.с '!#REF!</definedName>
    <definedName name="во">'[45]C.с '!#REF!</definedName>
    <definedName name="Водоотвод">'[41]Дорожная одежда'!$AJ$75</definedName>
    <definedName name="Возм.убытков">'[41] Подготовительные работы'!$AJ$26</definedName>
    <definedName name="вороб_крА" localSheetId="24">#REF!</definedName>
    <definedName name="вороб_крА" localSheetId="11">#REF!</definedName>
    <definedName name="вороб_крА">#REF!</definedName>
    <definedName name="вороб_крБ" localSheetId="24">#REF!</definedName>
    <definedName name="вороб_крБ" localSheetId="11">#REF!</definedName>
    <definedName name="вороб_крБ">#REF!</definedName>
    <definedName name="вороб_крВ" localSheetId="24">#REF!</definedName>
    <definedName name="вороб_крВ" localSheetId="11">#REF!</definedName>
    <definedName name="вороб_крВ">#REF!</definedName>
    <definedName name="вороб_крГ" localSheetId="24">#REF!</definedName>
    <definedName name="вороб_крГ" localSheetId="11">#REF!</definedName>
    <definedName name="вороб_крГ">#REF!</definedName>
    <definedName name="вороб_крД" localSheetId="24">#REF!</definedName>
    <definedName name="вороб_крД" localSheetId="11">#REF!</definedName>
    <definedName name="вороб_крД">#REF!</definedName>
    <definedName name="вороб_крЕ" localSheetId="24">#REF!</definedName>
    <definedName name="вороб_крЕ" localSheetId="11">#REF!</definedName>
    <definedName name="вороб_крЕ">#REF!</definedName>
    <definedName name="вороб_крЖ" localSheetId="24">#REF!</definedName>
    <definedName name="вороб_крЖ" localSheetId="11">#REF!</definedName>
    <definedName name="вороб_крЖ">#REF!</definedName>
    <definedName name="Восст.трассы">'[41] Подготовительные работы'!$AJ$15</definedName>
    <definedName name="ВППППППППППППППП" localSheetId="24">#REF!</definedName>
    <definedName name="ВППППППППППППППП" localSheetId="11">#REF!</definedName>
    <definedName name="ВППППППППППППППП">#REF!</definedName>
    <definedName name="впрва" localSheetId="24">'[1]КС-2'!#REF!</definedName>
    <definedName name="впрва" localSheetId="11">'[1]КС-2'!#REF!</definedName>
    <definedName name="впрва" localSheetId="13">'[1]КС-2'!#REF!</definedName>
    <definedName name="впрва">'[1]КС-2'!#REF!</definedName>
    <definedName name="ВПЫВП" localSheetId="24">#REF!</definedName>
    <definedName name="ВПЫВП" localSheetId="11">#REF!</definedName>
    <definedName name="ВПЫВП" localSheetId="13">#REF!</definedName>
    <definedName name="ВПЫВП">#REF!</definedName>
    <definedName name="вр">[46]зим!$H$48</definedName>
    <definedName name="врем" localSheetId="24">#REF!</definedName>
    <definedName name="врем" localSheetId="11">#REF!</definedName>
    <definedName name="врем">#REF!</definedName>
    <definedName name="Врем.здан.">[41]Врем.здания!$G$11</definedName>
    <definedName name="времянка2" localSheetId="24">#REF!</definedName>
    <definedName name="времянка2" localSheetId="11">#REF!</definedName>
    <definedName name="времянка2">#REF!</definedName>
    <definedName name="вррр" localSheetId="24">#REF!</definedName>
    <definedName name="вррр" localSheetId="11">#REF!</definedName>
    <definedName name="вррр">#REF!</definedName>
    <definedName name="вс" localSheetId="24">#REF!</definedName>
    <definedName name="вс" localSheetId="11">#REF!</definedName>
    <definedName name="вс">#REF!</definedName>
    <definedName name="Вхава_крА" localSheetId="24">#REF!</definedName>
    <definedName name="Вхава_крА" localSheetId="11">#REF!</definedName>
    <definedName name="Вхава_крА">#REF!</definedName>
    <definedName name="Вхава_крБ" localSheetId="24">#REF!</definedName>
    <definedName name="Вхава_крБ" localSheetId="11">#REF!</definedName>
    <definedName name="Вхава_крБ">#REF!</definedName>
    <definedName name="Вхава_крВ" localSheetId="24">#REF!</definedName>
    <definedName name="Вхава_крВ" localSheetId="11">#REF!</definedName>
    <definedName name="Вхава_крВ">#REF!</definedName>
    <definedName name="Вхава_крГ" localSheetId="24">#REF!</definedName>
    <definedName name="Вхава_крГ" localSheetId="11">#REF!</definedName>
    <definedName name="Вхава_крГ">#REF!</definedName>
    <definedName name="Вхава_крД" localSheetId="24">#REF!</definedName>
    <definedName name="Вхава_крД" localSheetId="11">#REF!</definedName>
    <definedName name="Вхава_крД">#REF!</definedName>
    <definedName name="Вхава_крЕ" localSheetId="24">#REF!</definedName>
    <definedName name="Вхава_крЕ" localSheetId="11">#REF!</definedName>
    <definedName name="Вхава_крЕ">#REF!</definedName>
    <definedName name="Вхава_крЖ" localSheetId="24">#REF!</definedName>
    <definedName name="Вхава_крЖ" localSheetId="11">#REF!</definedName>
    <definedName name="Вхава_крЖ">#REF!</definedName>
    <definedName name="выдал">[44]база!$E$1:$E$65536</definedName>
    <definedName name="г" localSheetId="24">#REF!</definedName>
    <definedName name="г" localSheetId="11">#REF!</definedName>
    <definedName name="г">#REF!</definedName>
    <definedName name="ггшгшгшшш" localSheetId="24">#REF!</definedName>
    <definedName name="ггшгшгшшш" localSheetId="11">#REF!</definedName>
    <definedName name="ггшгшгшшш">#REF!</definedName>
    <definedName name="гнгнгкенкукцуфцуыувыв" localSheetId="24">#REF!</definedName>
    <definedName name="гнгнгкенкукцуфцуыувыв" localSheetId="11">#REF!</definedName>
    <definedName name="гнгнгкенкукцуфцуыувыв">#REF!</definedName>
    <definedName name="гриб_крА" localSheetId="24">#REF!</definedName>
    <definedName name="гриб_крА" localSheetId="11">#REF!</definedName>
    <definedName name="гриб_крА">#REF!</definedName>
    <definedName name="гриб_крБ" localSheetId="24">#REF!</definedName>
    <definedName name="гриб_крБ" localSheetId="11">#REF!</definedName>
    <definedName name="гриб_крБ">#REF!</definedName>
    <definedName name="гриб_крВ" localSheetId="24">#REF!</definedName>
    <definedName name="гриб_крВ" localSheetId="11">#REF!</definedName>
    <definedName name="гриб_крВ">#REF!</definedName>
    <definedName name="гриб_крГ" localSheetId="24">#REF!</definedName>
    <definedName name="гриб_крГ" localSheetId="11">#REF!</definedName>
    <definedName name="гриб_крГ">#REF!</definedName>
    <definedName name="гриб_крД" localSheetId="24">#REF!</definedName>
    <definedName name="гриб_крД" localSheetId="11">#REF!</definedName>
    <definedName name="гриб_крД">#REF!</definedName>
    <definedName name="гриб_крЕ" localSheetId="24">#REF!</definedName>
    <definedName name="гриб_крЕ" localSheetId="11">#REF!</definedName>
    <definedName name="гриб_крЕ">#REF!</definedName>
    <definedName name="гриб_крЖ" localSheetId="24">#REF!</definedName>
    <definedName name="гриб_крЖ" localSheetId="11">#REF!</definedName>
    <definedName name="гриб_крЖ">#REF!</definedName>
    <definedName name="гшгшгш" localSheetId="24">#REF!</definedName>
    <definedName name="гшгшгш" localSheetId="11">#REF!</definedName>
    <definedName name="гшгшгш">#REF!</definedName>
    <definedName name="д" localSheetId="24">#REF!</definedName>
    <definedName name="д" localSheetId="11">#REF!</definedName>
    <definedName name="д">#REF!</definedName>
    <definedName name="Д.ДЖ.ЖЭЛДЖЭ" localSheetId="24">#REF!</definedName>
    <definedName name="Д.ДЖ.ЖЭЛДЖЭ" localSheetId="11">#REF!</definedName>
    <definedName name="Д.ДЖ.ЖЭЛДЖЭ">#REF!</definedName>
    <definedName name="Д_1" localSheetId="24">#REF!</definedName>
    <definedName name="Д_1" localSheetId="11">#REF!</definedName>
    <definedName name="Д_1">#REF!</definedName>
    <definedName name="даша" localSheetId="24" hidden="1">{#N/A,#N/A,TRUE,"Сводка балансов"}</definedName>
    <definedName name="даша" localSheetId="11" hidden="1">{#N/A,#N/A,TRUE,"Сводка балансов"}</definedName>
    <definedName name="даша" localSheetId="13" hidden="1">{#N/A,#N/A,TRUE,"Сводка балансов"}</definedName>
    <definedName name="даша" hidden="1">{#N/A,#N/A,TRUE,"Сводка балансов"}</definedName>
    <definedName name="дд" localSheetId="24">#REF!</definedName>
    <definedName name="дд" localSheetId="11">#REF!</definedName>
    <definedName name="дд">#REF!</definedName>
    <definedName name="дддд" localSheetId="24">#REF!</definedName>
    <definedName name="дддд" localSheetId="11">#REF!</definedName>
    <definedName name="дддд">#REF!</definedName>
    <definedName name="ддддд" localSheetId="24">#REF!</definedName>
    <definedName name="ддддд" localSheetId="11">#REF!</definedName>
    <definedName name="ддддд">#REF!</definedName>
    <definedName name="ддддддддддддддддд" localSheetId="24">#REF!</definedName>
    <definedName name="ддддддддддддддддд" localSheetId="11">#REF!</definedName>
    <definedName name="ддддддддддддддддд">#REF!</definedName>
    <definedName name="Дем" localSheetId="24">#REF!</definedName>
    <definedName name="Дем" localSheetId="11">#REF!</definedName>
    <definedName name="Дем">#REF!</definedName>
    <definedName name="ДЖДЖЛДЖ" localSheetId="24">#REF!</definedName>
    <definedName name="ДЖДЖЛДЖ" localSheetId="11">#REF!</definedName>
    <definedName name="ДЖДЖЛДЖ">#REF!</definedName>
    <definedName name="Диапазон">'[47]КС-3'!$M$3:$M$3</definedName>
    <definedName name="дирекц" localSheetId="24">#REF!</definedName>
    <definedName name="дирекц" localSheetId="11">#REF!</definedName>
    <definedName name="дирекц">#REF!</definedName>
    <definedName name="длдлдддддддд" localSheetId="24">#REF!</definedName>
    <definedName name="длдлдддддддд" localSheetId="11">#REF!</definedName>
    <definedName name="длдлдддддддд">#REF!</definedName>
    <definedName name="длдлдл" localSheetId="24">#REF!</definedName>
    <definedName name="длдлдл" localSheetId="11">#REF!</definedName>
    <definedName name="длдлдл">#REF!</definedName>
    <definedName name="длш" localSheetId="24">#REF!</definedName>
    <definedName name="длш" localSheetId="11">#REF!</definedName>
    <definedName name="длш">#REF!</definedName>
    <definedName name="для" localSheetId="24">#REF!</definedName>
    <definedName name="для" localSheetId="11">#REF!</definedName>
    <definedName name="для">#REF!</definedName>
    <definedName name="до" localSheetId="24">#REF!</definedName>
    <definedName name="до" localSheetId="11">#REF!</definedName>
    <definedName name="до">#REF!</definedName>
    <definedName name="Дор.знаки">'[41]Обстановка дороги'!$AJ$42</definedName>
    <definedName name="дщшл" localSheetId="24">#REF!</definedName>
    <definedName name="дщшл" localSheetId="11">#REF!</definedName>
    <definedName name="дщшл">#REF!</definedName>
    <definedName name="е" localSheetId="24">#REF!</definedName>
    <definedName name="е" localSheetId="11">#REF!</definedName>
    <definedName name="е">#REF!</definedName>
    <definedName name="ё" localSheetId="24">#REF!</definedName>
    <definedName name="ё" localSheetId="11">#REF!</definedName>
    <definedName name="ё">#REF!</definedName>
    <definedName name="Е_1" localSheetId="24">#REF!</definedName>
    <definedName name="Е_1" localSheetId="11">#REF!</definedName>
    <definedName name="Е_1">#REF!</definedName>
    <definedName name="Е_2" localSheetId="24">#REF!</definedName>
    <definedName name="Е_2" localSheetId="11">#REF!</definedName>
    <definedName name="Е_2">#REF!</definedName>
    <definedName name="Е_3">[16]вр!$G$33</definedName>
    <definedName name="еанен" localSheetId="24">#REF!</definedName>
    <definedName name="еанен" localSheetId="11">#REF!</definedName>
    <definedName name="еанен">#REF!</definedName>
    <definedName name="еееееееее" localSheetId="24">#REF!</definedName>
    <definedName name="еееееееее" localSheetId="11">#REF!</definedName>
    <definedName name="еееееееее">#REF!</definedName>
    <definedName name="екг" localSheetId="24">#REF!</definedName>
    <definedName name="екг" localSheetId="11">#REF!</definedName>
    <definedName name="екг">#REF!</definedName>
    <definedName name="еноооооооооооооооооооооооооооооо" localSheetId="24">#REF!</definedName>
    <definedName name="еноооооооооооооооооооооооооооооо" localSheetId="11">#REF!</definedName>
    <definedName name="еноооооооооооооооооооооооооооооо">#REF!</definedName>
    <definedName name="енрррррррррррррр" localSheetId="24">#REF!</definedName>
    <definedName name="енрррррррррррррр" localSheetId="11">#REF!</definedName>
    <definedName name="енрррррррррррррр">#REF!</definedName>
    <definedName name="енррррррррррррррррррр" localSheetId="24">#REF!</definedName>
    <definedName name="енррррррррррррррррррр" localSheetId="11">#REF!</definedName>
    <definedName name="енррррррррррррррррррр">#REF!</definedName>
    <definedName name="енррррррррррррррррррррррр" localSheetId="24">#REF!</definedName>
    <definedName name="енррррррррррррррррррррррр" localSheetId="11">#REF!</definedName>
    <definedName name="енррррррррррррррррррррррр">#REF!</definedName>
    <definedName name="енрррррррррррррррррррррррррррр" localSheetId="24">#REF!</definedName>
    <definedName name="енрррррррррррррррррррррррррррр" localSheetId="11">#REF!</definedName>
    <definedName name="енрррррррррррррррррррррррррррр">#REF!</definedName>
    <definedName name="еп" localSheetId="24">'[1]КС-2'!#REF!</definedName>
    <definedName name="еп" localSheetId="11">'[1]КС-2'!#REF!</definedName>
    <definedName name="еп" localSheetId="13">'[1]КС-2'!#REF!</definedName>
    <definedName name="еп">'[1]КС-2'!#REF!</definedName>
    <definedName name="еркгкшдик" localSheetId="24">#REF!</definedName>
    <definedName name="еркгкшдик" localSheetId="11">#REF!</definedName>
    <definedName name="еркгкшдик" localSheetId="13">#REF!</definedName>
    <definedName name="еркгкшдик">#REF!</definedName>
    <definedName name="ерррррррррррррррррррр" localSheetId="24">#REF!</definedName>
    <definedName name="ерррррррррррррррррррр" localSheetId="11">#REF!</definedName>
    <definedName name="ерррррррррррррррррррр" localSheetId="13">#REF!</definedName>
    <definedName name="ерррррррррррррррррррр">#REF!</definedName>
    <definedName name="ж" localSheetId="24">#REF!</definedName>
    <definedName name="ж" localSheetId="11">#REF!</definedName>
    <definedName name="ж" localSheetId="13">#REF!</definedName>
    <definedName name="ж">#REF!</definedName>
    <definedName name="ж1" localSheetId="24">#REF!</definedName>
    <definedName name="ж1" localSheetId="11">#REF!</definedName>
    <definedName name="ж1">#REF!</definedName>
    <definedName name="ждлэдж" localSheetId="24">#REF!</definedName>
    <definedName name="ждлэдж" localSheetId="11">#REF!</definedName>
    <definedName name="ждлэдж">#REF!</definedName>
    <definedName name="жж" localSheetId="24">#REF!</definedName>
    <definedName name="жж" localSheetId="11">#REF!</definedName>
    <definedName name="жж">#REF!</definedName>
    <definedName name="жжжжж" localSheetId="24">#REF!</definedName>
    <definedName name="жжжжж" localSheetId="11">#REF!</definedName>
    <definedName name="жжжжж">#REF!</definedName>
    <definedName name="жжжжжжжж" localSheetId="24">#REF!</definedName>
    <definedName name="жжжжжжжж" localSheetId="11">#REF!</definedName>
    <definedName name="жжжжжжжж">#REF!</definedName>
    <definedName name="жжжжжжжжжжжжжж" localSheetId="24">[16]К.С.М.!#REF!</definedName>
    <definedName name="жжжжжжжжжжжжжж" localSheetId="11">[16]К.С.М.!#REF!</definedName>
    <definedName name="жжжжжжжжжжжжжж" localSheetId="13">[16]К.С.М.!#REF!</definedName>
    <definedName name="жжжжжжжжжжжжжж">[16]К.С.М.!#REF!</definedName>
    <definedName name="з" localSheetId="24">#REF!</definedName>
    <definedName name="з" localSheetId="11">#REF!</definedName>
    <definedName name="з" localSheetId="13">#REF!</definedName>
    <definedName name="з">#REF!</definedName>
    <definedName name="з_1" localSheetId="24">#REF!</definedName>
    <definedName name="з_1" localSheetId="11">#REF!</definedName>
    <definedName name="з_1" localSheetId="13">#REF!</definedName>
    <definedName name="з_1">#REF!</definedName>
    <definedName name="за">'[48]12'!$G$1</definedName>
    <definedName name="_xlnm.Print_Titles" localSheetId="9">' 15.9 '!$15:$15</definedName>
    <definedName name="_xlnm.Print_Titles" localSheetId="1">'15.1'!$42:$42</definedName>
    <definedName name="_xlnm.Print_Titles" localSheetId="10">'15.10'!$15:$15</definedName>
    <definedName name="_xlnm.Print_Titles" localSheetId="2">'15.2'!$15:$15</definedName>
    <definedName name="_xlnm.Print_Titles" localSheetId="3">'15.3'!$15:$15</definedName>
    <definedName name="_xlnm.Print_Titles" localSheetId="4">'15.4'!$14:$14</definedName>
    <definedName name="_xlnm.Print_Titles" localSheetId="5">'15.5'!$15:$15</definedName>
    <definedName name="_xlnm.Print_Titles" localSheetId="6">'15.6 '!$45:$45</definedName>
    <definedName name="_xlnm.Print_Titles" localSheetId="7">'15.7 '!$44:$44</definedName>
    <definedName name="_xlnm.Print_Titles" localSheetId="8">'15.8'!$14:$14</definedName>
    <definedName name="_xlnm.Print_Titles" localSheetId="12">'Реестр декабрь'!$8:$8</definedName>
    <definedName name="заказчики">[44]база!$A$1:$A$65536</definedName>
    <definedName name="Земработы">'[41]Земляное полотно'!$AJ$49</definedName>
    <definedName name="зим" localSheetId="24">#REF!</definedName>
    <definedName name="зим" localSheetId="11">#REF!</definedName>
    <definedName name="зим" localSheetId="13">#REF!</definedName>
    <definedName name="зим">#REF!</definedName>
    <definedName name="Зима">[41]Зима!$E$16</definedName>
    <definedName name="и" localSheetId="24">#REF!</definedName>
    <definedName name="и" localSheetId="11">#REF!</definedName>
    <definedName name="и" localSheetId="13">#REF!</definedName>
    <definedName name="и">#REF!</definedName>
    <definedName name="й" localSheetId="24">#REF!</definedName>
    <definedName name="й" localSheetId="11">#REF!</definedName>
    <definedName name="й" localSheetId="13">#REF!</definedName>
    <definedName name="й">#REF!</definedName>
    <definedName name="и1" localSheetId="24">#REF!</definedName>
    <definedName name="и1" localSheetId="11">#REF!</definedName>
    <definedName name="и1" localSheetId="13">#REF!</definedName>
    <definedName name="и1">#REF!</definedName>
    <definedName name="й1" localSheetId="24">#REF!</definedName>
    <definedName name="й1" localSheetId="11">#REF!</definedName>
    <definedName name="й1">#REF!</definedName>
    <definedName name="и123" localSheetId="24">#REF!</definedName>
    <definedName name="и123" localSheetId="11">#REF!</definedName>
    <definedName name="и123">#REF!</definedName>
    <definedName name="й2" localSheetId="24">#REF!</definedName>
    <definedName name="й2" localSheetId="11">#REF!</definedName>
    <definedName name="й2">#REF!</definedName>
    <definedName name="й3" localSheetId="24">#REF!</definedName>
    <definedName name="й3" localSheetId="11">#REF!</definedName>
    <definedName name="й3">#REF!</definedName>
    <definedName name="й4" localSheetId="24">#REF!</definedName>
    <definedName name="й4" localSheetId="11">#REF!</definedName>
    <definedName name="й4">#REF!</definedName>
    <definedName name="изыск" localSheetId="24">#REF!</definedName>
    <definedName name="изыск" localSheetId="11">#REF!</definedName>
    <definedName name="изыск">#REF!</definedName>
    <definedName name="ии" localSheetId="24">#REF!</definedName>
    <definedName name="ии" localSheetId="11">#REF!</definedName>
    <definedName name="ии">#REF!</definedName>
    <definedName name="йй" localSheetId="24">#REF!</definedName>
    <definedName name="йй" localSheetId="11">#REF!</definedName>
    <definedName name="йй">#REF!</definedName>
    <definedName name="ййй" localSheetId="24">#REF!</definedName>
    <definedName name="ййй" localSheetId="11">#REF!</definedName>
    <definedName name="ййй">#REF!</definedName>
    <definedName name="йййй" localSheetId="24">#REF!</definedName>
    <definedName name="йййй" localSheetId="11">#REF!</definedName>
    <definedName name="йййй">#REF!</definedName>
    <definedName name="йййййййййййййййййууууууууууу" localSheetId="24">#REF!</definedName>
    <definedName name="йййййййййййййййййууууууууууу" localSheetId="11">#REF!</definedName>
    <definedName name="йййййййййййййййййууууууууууу">#REF!</definedName>
    <definedName name="ИНД" localSheetId="24">#REF!</definedName>
    <definedName name="ИНД" localSheetId="11">#REF!</definedName>
    <definedName name="ИНД">#REF!</definedName>
    <definedName name="ИНД_1" localSheetId="24">#REF!</definedName>
    <definedName name="ИНД_1" localSheetId="11">#REF!</definedName>
    <definedName name="ИНД_1">#REF!</definedName>
    <definedName name="ИНД_4" localSheetId="24">#REF!</definedName>
    <definedName name="ИНД_4" localSheetId="11">#REF!</definedName>
    <definedName name="ИНД_4">#REF!</definedName>
    <definedName name="инж" localSheetId="24">#REF!</definedName>
    <definedName name="инж" localSheetId="11">#REF!</definedName>
    <definedName name="инж">#REF!</definedName>
    <definedName name="иоршпргшршщзщгзъшщхщъх" localSheetId="24">#REF!</definedName>
    <definedName name="иоршпргшршщзщгзъшщхщъх" localSheetId="11">#REF!</definedName>
    <definedName name="иоршпргшршщзщгзъшщхщъх">#REF!</definedName>
    <definedName name="иртрр" localSheetId="24">#REF!</definedName>
    <definedName name="иртрр" localSheetId="11">#REF!</definedName>
    <definedName name="иртрр">#REF!</definedName>
    <definedName name="ис">[49]C.с!$D$92</definedName>
    <definedName name="испрпрапр" localSheetId="24">#REF!</definedName>
    <definedName name="испрпрапр" localSheetId="11">#REF!</definedName>
    <definedName name="испрпрапр" localSheetId="13">#REF!</definedName>
    <definedName name="испрпрапр">#REF!</definedName>
    <definedName name="ИТОГИ_РI_ССР">'[50]Расчет стоимости'!$J$910:$O$910</definedName>
    <definedName name="итттттттттт" localSheetId="24">#REF!</definedName>
    <definedName name="итттттттттт" localSheetId="11">#REF!</definedName>
    <definedName name="итттттттттт" localSheetId="13">#REF!</definedName>
    <definedName name="итттттттттт">#REF!</definedName>
    <definedName name="ить" localSheetId="24">#REF!</definedName>
    <definedName name="ить" localSheetId="11">#REF!</definedName>
    <definedName name="ить" localSheetId="13">#REF!</definedName>
    <definedName name="ить">#REF!</definedName>
    <definedName name="ЙУВ" localSheetId="24">#REF!</definedName>
    <definedName name="ЙУВ" localSheetId="11">#REF!</definedName>
    <definedName name="ЙУВ" localSheetId="13">#REF!</definedName>
    <definedName name="ЙУВ">#REF!</definedName>
    <definedName name="йуцуйцуйцу" localSheetId="24">#REF!</definedName>
    <definedName name="йуцуйцуйцу" localSheetId="11">#REF!</definedName>
    <definedName name="йуцуйцуйцу">#REF!</definedName>
    <definedName name="йццццццццццццццццццццццццццццц" localSheetId="24">#REF!</definedName>
    <definedName name="йццццццццццццццццццццццццццццц" localSheetId="11">#REF!</definedName>
    <definedName name="йццццццццццццццццццццццццццццц">#REF!</definedName>
    <definedName name="иьбл" localSheetId="24">#REF!</definedName>
    <definedName name="иьбл" localSheetId="11">#REF!</definedName>
    <definedName name="иьбл">#REF!</definedName>
    <definedName name="к" localSheetId="24">#REF!</definedName>
    <definedName name="к" localSheetId="11">#REF!</definedName>
    <definedName name="к">#REF!</definedName>
    <definedName name="К_1" localSheetId="24">#REF!</definedName>
    <definedName name="К_1" localSheetId="11">#REF!</definedName>
    <definedName name="К_1">#REF!</definedName>
    <definedName name="К_10" localSheetId="24">#REF!</definedName>
    <definedName name="К_10" localSheetId="11">#REF!</definedName>
    <definedName name="К_10">#REF!</definedName>
    <definedName name="К_13" localSheetId="24">#REF!</definedName>
    <definedName name="К_13" localSheetId="11">#REF!</definedName>
    <definedName name="К_13">#REF!</definedName>
    <definedName name="К_15" localSheetId="24">#REF!</definedName>
    <definedName name="К_15" localSheetId="11">#REF!</definedName>
    <definedName name="К_15">#REF!</definedName>
    <definedName name="К_16" localSheetId="24">#REF!</definedName>
    <definedName name="К_16" localSheetId="11">#REF!</definedName>
    <definedName name="К_16">#REF!</definedName>
    <definedName name="К_17">[51]Тр.!$H$35</definedName>
    <definedName name="К_19" localSheetId="24">#REF!</definedName>
    <definedName name="К_19" localSheetId="11">#REF!</definedName>
    <definedName name="К_19" localSheetId="13">#REF!</definedName>
    <definedName name="К_19">#REF!</definedName>
    <definedName name="К_2">[52]Тр.!$H$18</definedName>
    <definedName name="к_200" localSheetId="24">'[53]Тр. (2)'!#REF!</definedName>
    <definedName name="к_200" localSheetId="11">'[53]Тр. (2)'!#REF!</definedName>
    <definedName name="к_200">'[53]Тр. (2)'!#REF!</definedName>
    <definedName name="К_21" localSheetId="24">#REF!</definedName>
    <definedName name="К_21" localSheetId="11">#REF!</definedName>
    <definedName name="К_21" localSheetId="13">#REF!</definedName>
    <definedName name="К_21">#REF!</definedName>
    <definedName name="К_22" localSheetId="24">#REF!</definedName>
    <definedName name="К_22" localSheetId="11">#REF!</definedName>
    <definedName name="К_22" localSheetId="13">#REF!</definedName>
    <definedName name="К_22">#REF!</definedName>
    <definedName name="К_221" localSheetId="24">#REF!</definedName>
    <definedName name="К_221" localSheetId="11">#REF!</definedName>
    <definedName name="К_221" localSheetId="13">#REF!</definedName>
    <definedName name="К_221">#REF!</definedName>
    <definedName name="К_23">[9]Тр.!$H$39</definedName>
    <definedName name="К_24" localSheetId="24">#REF!</definedName>
    <definedName name="К_24" localSheetId="11">#REF!</definedName>
    <definedName name="К_24" localSheetId="13">#REF!</definedName>
    <definedName name="К_24">#REF!</definedName>
    <definedName name="К_25" localSheetId="24">#REF!</definedName>
    <definedName name="К_25" localSheetId="11">#REF!</definedName>
    <definedName name="К_25" localSheetId="13">#REF!</definedName>
    <definedName name="К_25">#REF!</definedName>
    <definedName name="К_26">[9]Тр.!$H$42</definedName>
    <definedName name="К_27" localSheetId="24">#REF!</definedName>
    <definedName name="К_27" localSheetId="11">#REF!</definedName>
    <definedName name="К_27" localSheetId="13">#REF!</definedName>
    <definedName name="К_27">#REF!</definedName>
    <definedName name="К_28" localSheetId="24">#REF!</definedName>
    <definedName name="К_28" localSheetId="11">#REF!</definedName>
    <definedName name="К_28" localSheetId="13">#REF!</definedName>
    <definedName name="К_28">#REF!</definedName>
    <definedName name="К_29">[9]Тр.!$H$47</definedName>
    <definedName name="К_3">[52]Тр.!$H$21</definedName>
    <definedName name="К_31" localSheetId="24">#REF!</definedName>
    <definedName name="К_31" localSheetId="11">#REF!</definedName>
    <definedName name="К_31" localSheetId="13">#REF!</definedName>
    <definedName name="К_31">#REF!</definedName>
    <definedName name="К_32">[9]Тр.!$H$50</definedName>
    <definedName name="К_34" localSheetId="24">#REF!</definedName>
    <definedName name="К_34" localSheetId="11">#REF!</definedName>
    <definedName name="К_34" localSheetId="13">#REF!</definedName>
    <definedName name="К_34">#REF!</definedName>
    <definedName name="К_344" localSheetId="24">#REF!</definedName>
    <definedName name="К_344" localSheetId="11">#REF!</definedName>
    <definedName name="К_344" localSheetId="13">#REF!</definedName>
    <definedName name="К_344">#REF!</definedName>
    <definedName name="К_35">[9]Тр.!$H$53</definedName>
    <definedName name="К_37" localSheetId="24">#REF!</definedName>
    <definedName name="К_37" localSheetId="11">#REF!</definedName>
    <definedName name="К_37" localSheetId="13">#REF!</definedName>
    <definedName name="К_37">#REF!</definedName>
    <definedName name="К_38">[9]Тр.!$H$56</definedName>
    <definedName name="К_39" localSheetId="24">#REF!</definedName>
    <definedName name="К_39" localSheetId="11">#REF!</definedName>
    <definedName name="К_39" localSheetId="13">#REF!</definedName>
    <definedName name="К_39">#REF!</definedName>
    <definedName name="К_4" localSheetId="24">#REF!</definedName>
    <definedName name="К_4" localSheetId="11">#REF!</definedName>
    <definedName name="К_4" localSheetId="13">#REF!</definedName>
    <definedName name="К_4">#REF!</definedName>
    <definedName name="К_40" localSheetId="24">#REF!</definedName>
    <definedName name="К_40" localSheetId="11">#REF!</definedName>
    <definedName name="К_40" localSheetId="13">#REF!</definedName>
    <definedName name="К_40">#REF!</definedName>
    <definedName name="К_41">[9]Тр.!$H$59</definedName>
    <definedName name="К_44">[9]Тр.!$H$62</definedName>
    <definedName name="К_47">[9]Тр.!$H$65</definedName>
    <definedName name="К_5">[52]Тр.!$H$27</definedName>
    <definedName name="К_6">[52]Тр.!$H$30</definedName>
    <definedName name="К_7" localSheetId="24">#REF!</definedName>
    <definedName name="К_7" localSheetId="11">#REF!</definedName>
    <definedName name="К_7" localSheetId="13">#REF!</definedName>
    <definedName name="К_7">#REF!</definedName>
    <definedName name="К_78">[54]Тр.!$H$27</definedName>
    <definedName name="К_8" localSheetId="24">#REF!</definedName>
    <definedName name="К_8" localSheetId="11">#REF!</definedName>
    <definedName name="К_8" localSheetId="13">#REF!</definedName>
    <definedName name="К_8">#REF!</definedName>
    <definedName name="К_88" localSheetId="24">#REF!</definedName>
    <definedName name="К_88" localSheetId="11">#REF!</definedName>
    <definedName name="К_88" localSheetId="13">#REF!</definedName>
    <definedName name="К_88">#REF!</definedName>
    <definedName name="К_89" localSheetId="24">[55]Тр.!#REF!</definedName>
    <definedName name="К_89" localSheetId="11">[55]Тр.!#REF!</definedName>
    <definedName name="К_89" localSheetId="13">[55]Тр.!#REF!</definedName>
    <definedName name="К_89">[55]Тр.!#REF!</definedName>
    <definedName name="К_9">[52]Тр.!$H$39</definedName>
    <definedName name="К_91">[56]Тр.!$H$31</definedName>
    <definedName name="какакак" localSheetId="24">#REF!</definedName>
    <definedName name="какакак" localSheetId="11">#REF!</definedName>
    <definedName name="какакак" localSheetId="13">#REF!</definedName>
    <definedName name="какакак">#REF!</definedName>
    <definedName name="калач_крА" localSheetId="24">#REF!</definedName>
    <definedName name="калач_крА" localSheetId="11">#REF!</definedName>
    <definedName name="калач_крА" localSheetId="13">#REF!</definedName>
    <definedName name="калач_крА">#REF!</definedName>
    <definedName name="калач_крБ" localSheetId="24">#REF!</definedName>
    <definedName name="калач_крБ" localSheetId="11">#REF!</definedName>
    <definedName name="калач_крБ" localSheetId="13">#REF!</definedName>
    <definedName name="калач_крБ">#REF!</definedName>
    <definedName name="калач_крВ" localSheetId="24">#REF!</definedName>
    <definedName name="калач_крВ" localSheetId="11">#REF!</definedName>
    <definedName name="калач_крВ">#REF!</definedName>
    <definedName name="калач_крГ" localSheetId="24">#REF!</definedName>
    <definedName name="калач_крГ" localSheetId="11">#REF!</definedName>
    <definedName name="калач_крГ">#REF!</definedName>
    <definedName name="калач_крД" localSheetId="24">#REF!</definedName>
    <definedName name="калач_крД" localSheetId="11">#REF!</definedName>
    <definedName name="калач_крД">#REF!</definedName>
    <definedName name="калач_крЕ" localSheetId="24">#REF!</definedName>
    <definedName name="калач_крЕ" localSheetId="11">#REF!</definedName>
    <definedName name="калач_крЕ">#REF!</definedName>
    <definedName name="калач_крЖ" localSheetId="24">#REF!</definedName>
    <definedName name="калач_крЖ" localSheetId="11">#REF!</definedName>
    <definedName name="калач_крЖ">#REF!</definedName>
    <definedName name="камен_крА" localSheetId="24">#REF!</definedName>
    <definedName name="камен_крА" localSheetId="11">#REF!</definedName>
    <definedName name="камен_крА">#REF!</definedName>
    <definedName name="камен_крБ" localSheetId="24">#REF!</definedName>
    <definedName name="камен_крБ" localSheetId="11">#REF!</definedName>
    <definedName name="камен_крБ">#REF!</definedName>
    <definedName name="камен_крВ" localSheetId="24">#REF!</definedName>
    <definedName name="камен_крВ" localSheetId="11">#REF!</definedName>
    <definedName name="камен_крВ">#REF!</definedName>
    <definedName name="камен_крГ" localSheetId="24">#REF!</definedName>
    <definedName name="камен_крГ" localSheetId="11">#REF!</definedName>
    <definedName name="камен_крГ">#REF!</definedName>
    <definedName name="камен_крД" localSheetId="24">#REF!</definedName>
    <definedName name="камен_крД" localSheetId="11">#REF!</definedName>
    <definedName name="камен_крД">#REF!</definedName>
    <definedName name="камен_крЕ" localSheetId="24">#REF!</definedName>
    <definedName name="камен_крЕ" localSheetId="11">#REF!</definedName>
    <definedName name="камен_крЕ">#REF!</definedName>
    <definedName name="камен_крЖ" localSheetId="24">#REF!</definedName>
    <definedName name="камен_крЖ" localSheetId="11">#REF!</definedName>
    <definedName name="камен_крЖ">#REF!</definedName>
    <definedName name="кантем_крА" localSheetId="24">#REF!</definedName>
    <definedName name="кантем_крА" localSheetId="11">#REF!</definedName>
    <definedName name="кантем_крА">#REF!</definedName>
    <definedName name="кантем_крБ" localSheetId="24">#REF!</definedName>
    <definedName name="кантем_крБ" localSheetId="11">#REF!</definedName>
    <definedName name="кантем_крБ">#REF!</definedName>
    <definedName name="кантем_крВ" localSheetId="24">#REF!</definedName>
    <definedName name="кантем_крВ" localSheetId="11">#REF!</definedName>
    <definedName name="кантем_крВ">#REF!</definedName>
    <definedName name="кантем_крГ" localSheetId="24">#REF!</definedName>
    <definedName name="кантем_крГ" localSheetId="11">#REF!</definedName>
    <definedName name="кантем_крГ">#REF!</definedName>
    <definedName name="кантем_крД" localSheetId="24">#REF!</definedName>
    <definedName name="кантем_крД" localSheetId="11">#REF!</definedName>
    <definedName name="кантем_крД">#REF!</definedName>
    <definedName name="кантем_крЕ" localSheetId="24">#REF!</definedName>
    <definedName name="кантем_крЕ" localSheetId="11">#REF!</definedName>
    <definedName name="кантем_крЕ">#REF!</definedName>
    <definedName name="кантем_крЖ" localSheetId="24">#REF!</definedName>
    <definedName name="кантем_крЖ" localSheetId="11">#REF!</definedName>
    <definedName name="кантем_крЖ">#REF!</definedName>
    <definedName name="капстр" localSheetId="24">#REF!</definedName>
    <definedName name="капстр" localSheetId="11">#REF!</definedName>
    <definedName name="капстр">#REF!</definedName>
    <definedName name="кашира_крА" localSheetId="24">#REF!</definedName>
    <definedName name="кашира_крА" localSheetId="11">#REF!</definedName>
    <definedName name="кашира_крА">#REF!</definedName>
    <definedName name="кашира_крБ" localSheetId="24">#REF!</definedName>
    <definedName name="кашира_крБ" localSheetId="11">#REF!</definedName>
    <definedName name="кашира_крБ">#REF!</definedName>
    <definedName name="кашира_крВ" localSheetId="24">#REF!</definedName>
    <definedName name="кашира_крВ" localSheetId="11">#REF!</definedName>
    <definedName name="кашира_крВ">#REF!</definedName>
    <definedName name="кашира_крГ" localSheetId="24">#REF!</definedName>
    <definedName name="кашира_крГ" localSheetId="11">#REF!</definedName>
    <definedName name="кашира_крГ">#REF!</definedName>
    <definedName name="кашира_крД" localSheetId="24">#REF!</definedName>
    <definedName name="кашира_крД" localSheetId="11">#REF!</definedName>
    <definedName name="кашира_крД">#REF!</definedName>
    <definedName name="кашира_крЕ" localSheetId="24">#REF!</definedName>
    <definedName name="кашира_крЕ" localSheetId="11">#REF!</definedName>
    <definedName name="кашира_крЕ">#REF!</definedName>
    <definedName name="кашира_крЖ" localSheetId="24">#REF!</definedName>
    <definedName name="кашира_крЖ" localSheetId="11">#REF!</definedName>
    <definedName name="кашира_крЖ">#REF!</definedName>
    <definedName name="кенррррррррррр" localSheetId="24">#REF!</definedName>
    <definedName name="кенррррррррррр" localSheetId="11">#REF!</definedName>
    <definedName name="кенррррррррррр">#REF!</definedName>
    <definedName name="кккк" localSheetId="24">#REF!</definedName>
    <definedName name="кккк" localSheetId="11">#REF!</definedName>
    <definedName name="кккк">#REF!</definedName>
    <definedName name="ККККККККККККК" localSheetId="24">#REF!</definedName>
    <definedName name="ККККККККККККК" localSheetId="11">#REF!</definedName>
    <definedName name="ККККККККККККК">#REF!</definedName>
    <definedName name="кккккккккккккккккккк" localSheetId="24">#REF!</definedName>
    <definedName name="кккккккккккккккккккк" localSheetId="11">#REF!</definedName>
    <definedName name="кккккккккккккккккккк">#REF!</definedName>
    <definedName name="книга8" localSheetId="24">#REF!</definedName>
    <definedName name="книга8" localSheetId="11">#REF!</definedName>
    <definedName name="книга8">#REF!</definedName>
    <definedName name="комп1" localSheetId="24" hidden="1">{#N/A,#N/A,TRUE,"Сводка балансов"}</definedName>
    <definedName name="комп1" localSheetId="11" hidden="1">{#N/A,#N/A,TRUE,"Сводка балансов"}</definedName>
    <definedName name="комп1" localSheetId="13" hidden="1">{#N/A,#N/A,TRUE,"Сводка балансов"}</definedName>
    <definedName name="комп1" hidden="1">{#N/A,#N/A,TRUE,"Сводка балансов"}</definedName>
    <definedName name="Контруклон" localSheetId="24" hidden="1">{#N/A,#N/A,TRUE,"Сводка балансов"}</definedName>
    <definedName name="Контруклон" localSheetId="11" hidden="1">{#N/A,#N/A,TRUE,"Сводка балансов"}</definedName>
    <definedName name="Контруклон" localSheetId="13" hidden="1">{#N/A,#N/A,TRUE,"Сводка балансов"}</definedName>
    <definedName name="Контруклон" hidden="1">{#N/A,#N/A,TRUE,"Сводка балансов"}</definedName>
    <definedName name="Коэф._перевода_в_цены_1991_г." localSheetId="24">#REF!</definedName>
    <definedName name="Коэф._перевода_в_цены_1991_г." localSheetId="11">#REF!</definedName>
    <definedName name="Коэф._перевода_в_цены_1991_г.">#REF!</definedName>
    <definedName name="Коэф.1_на_ремонт" localSheetId="24">#REF!</definedName>
    <definedName name="Коэф.1_на_ремонт" localSheetId="11">#REF!</definedName>
    <definedName name="Коэф.1_на_ремонт">#REF!</definedName>
    <definedName name="Коэф.2_на_ремонт" localSheetId="24">#REF!</definedName>
    <definedName name="Коэф.2_на_ремонт" localSheetId="11">#REF!</definedName>
    <definedName name="Коэф.2_на_ремонт">#REF!</definedName>
    <definedName name="КоэфИнф">1.1075</definedName>
    <definedName name="КПВКАП" localSheetId="24">#REF!</definedName>
    <definedName name="КПВКАП" localSheetId="11">#REF!</definedName>
    <definedName name="КПВКАП">#REF!</definedName>
    <definedName name="кпппппппппппппппппп" localSheetId="24">#REF!</definedName>
    <definedName name="кпппппппппппппппппп" localSheetId="11">#REF!</definedName>
    <definedName name="кпппппппппппппппппп">#REF!</definedName>
    <definedName name="кпппппппппппппппппппп" localSheetId="24">#REF!</definedName>
    <definedName name="кпппппппппппппппппппп" localSheetId="11">#REF!</definedName>
    <definedName name="кпппппппппппппппппппп">#REF!</definedName>
    <definedName name="крппппппппппппппук" localSheetId="24">#REF!</definedName>
    <definedName name="крппппппппппппппук" localSheetId="11">#REF!</definedName>
    <definedName name="крппппппппппппппук">#REF!</definedName>
    <definedName name="кс333" localSheetId="24">#REF!</definedName>
    <definedName name="кс333" localSheetId="11">#REF!</definedName>
    <definedName name="кс333">#REF!</definedName>
    <definedName name="кс3333" localSheetId="24">#REF!</definedName>
    <definedName name="кс3333" localSheetId="11">#REF!</definedName>
    <definedName name="кс3333">#REF!</definedName>
    <definedName name="КУ">'[57]КС-3'!$M$3:$M$3</definedName>
    <definedName name="куед" localSheetId="24">#REF!</definedName>
    <definedName name="куед" localSheetId="11">#REF!</definedName>
    <definedName name="куед" localSheetId="13">#REF!</definedName>
    <definedName name="куед">#REF!</definedName>
    <definedName name="л" localSheetId="24">#REF!</definedName>
    <definedName name="л" localSheetId="11">#REF!</definedName>
    <definedName name="л" localSheetId="13">#REF!</definedName>
    <definedName name="л">#REF!</definedName>
    <definedName name="лд">[58]Лист1!$A$414:$O$414</definedName>
    <definedName name="ЛДЖЛДЖЛЖЛДЖ" localSheetId="24">#REF!</definedName>
    <definedName name="ЛДЖЛДЖЛЖЛДЖ" localSheetId="11">#REF!</definedName>
    <definedName name="ЛДЖЛДЖЛЖЛДЖ" localSheetId="13">#REF!</definedName>
    <definedName name="ЛДЖЛДЖЛЖЛДЖ">#REF!</definedName>
    <definedName name="ЛЖОЖОЖО" localSheetId="24">#REF!</definedName>
    <definedName name="ЛЖОЖОЖО" localSheetId="11">#REF!</definedName>
    <definedName name="ЛЖОЖОЖО" localSheetId="13">#REF!</definedName>
    <definedName name="ЛЖОЖОЖО">#REF!</definedName>
    <definedName name="ЛЖОЛЖОЖ" localSheetId="24">#REF!</definedName>
    <definedName name="ЛЖОЛЖОЖ" localSheetId="11">#REF!</definedName>
    <definedName name="ЛЖОЛЖОЖ" localSheetId="13">#REF!</definedName>
    <definedName name="ЛЖОЛЖОЖ">#REF!</definedName>
    <definedName name="лиски_крА" localSheetId="24">#REF!</definedName>
    <definedName name="лиски_крА" localSheetId="11">#REF!</definedName>
    <definedName name="лиски_крА">#REF!</definedName>
    <definedName name="лиски_крБ" localSheetId="24">#REF!</definedName>
    <definedName name="лиски_крБ" localSheetId="11">#REF!</definedName>
    <definedName name="лиски_крБ">#REF!</definedName>
    <definedName name="лиски_крВ" localSheetId="24">#REF!</definedName>
    <definedName name="лиски_крВ" localSheetId="11">#REF!</definedName>
    <definedName name="лиски_крВ">#REF!</definedName>
    <definedName name="лиски_крГ" localSheetId="24">#REF!</definedName>
    <definedName name="лиски_крГ" localSheetId="11">#REF!</definedName>
    <definedName name="лиски_крГ">#REF!</definedName>
    <definedName name="лиски_крД" localSheetId="24">#REF!</definedName>
    <definedName name="лиски_крД" localSheetId="11">#REF!</definedName>
    <definedName name="лиски_крД">#REF!</definedName>
    <definedName name="лиски_крЕ" localSheetId="24">#REF!</definedName>
    <definedName name="лиски_крЕ" localSheetId="11">#REF!</definedName>
    <definedName name="лиски_крЕ">#REF!</definedName>
    <definedName name="лиски_крЖ" localSheetId="24">#REF!</definedName>
    <definedName name="лиски_крЖ" localSheetId="11">#REF!</definedName>
    <definedName name="лиски_крЖ">#REF!</definedName>
    <definedName name="лл" localSheetId="24">#REF!</definedName>
    <definedName name="лл" localSheetId="11">#REF!</definedName>
    <definedName name="лл">#REF!</definedName>
    <definedName name="лллл" localSheetId="24">#REF!</definedName>
    <definedName name="лллл" localSheetId="11">#REF!</definedName>
    <definedName name="лллл">#REF!</definedName>
    <definedName name="лллллллллллллллл" localSheetId="24">#REF!</definedName>
    <definedName name="лллллллллллллллл" localSheetId="11">#REF!</definedName>
    <definedName name="лллллллллллллллл">#REF!</definedName>
    <definedName name="лллллллллллллллллл" localSheetId="24">#REF!</definedName>
    <definedName name="лллллллллллллллллл" localSheetId="11">#REF!</definedName>
    <definedName name="лллллллллллллллллл">#REF!</definedName>
    <definedName name="ллллллллллллллллллллллл" localSheetId="24">#REF!</definedName>
    <definedName name="ллллллллллллллллллллллл" localSheetId="11">#REF!</definedName>
    <definedName name="ллллллллллллллллллллллл">#REF!</definedName>
    <definedName name="ло1">'[1]КС-2'!#REF!</definedName>
    <definedName name="лю" localSheetId="24">#REF!</definedName>
    <definedName name="лю" localSheetId="11">#REF!</definedName>
    <definedName name="лю">#REF!</definedName>
    <definedName name="м" localSheetId="24">#REF!</definedName>
    <definedName name="м" localSheetId="11">#REF!</definedName>
    <definedName name="м">#REF!</definedName>
    <definedName name="М_01">'[6]К.С.М. (ПУТ)'!$P$106</definedName>
    <definedName name="М_02">'[6]К.С.М. (ПУТ)'!$P$110</definedName>
    <definedName name="М_03">'[6]К.С.М. (ПУТ)'!$P$113</definedName>
    <definedName name="М_04">'[6]К.С.М. (ПУТ)'!$P$86</definedName>
    <definedName name="М_05">'[6]К.С.М. (ПУТ)'!$P$90</definedName>
    <definedName name="М_06">'[6]К.С.М. (ПУТ)'!$P$94</definedName>
    <definedName name="М_07">'[6]К.С.М. (ПУТ)'!$P$98</definedName>
    <definedName name="М_08">'[6]К.С.М. (ПУТ)'!$P$102</definedName>
    <definedName name="М_1" localSheetId="24">#REF!</definedName>
    <definedName name="М_1" localSheetId="11">#REF!</definedName>
    <definedName name="М_1" localSheetId="13">#REF!</definedName>
    <definedName name="М_1">#REF!</definedName>
    <definedName name="М_10" localSheetId="24">#REF!</definedName>
    <definedName name="М_10" localSheetId="11">#REF!</definedName>
    <definedName name="М_10" localSheetId="13">#REF!</definedName>
    <definedName name="М_10">#REF!</definedName>
    <definedName name="М_100" localSheetId="24">#REF!</definedName>
    <definedName name="М_100" localSheetId="11">#REF!</definedName>
    <definedName name="М_100" localSheetId="13">#REF!</definedName>
    <definedName name="М_100">#REF!</definedName>
    <definedName name="М_101" localSheetId="24">#REF!</definedName>
    <definedName name="М_101" localSheetId="11">#REF!</definedName>
    <definedName name="М_101">#REF!</definedName>
    <definedName name="М_102" localSheetId="24">'[59]К.С.М. (ПУТ)'!#REF!</definedName>
    <definedName name="М_102" localSheetId="11">'[59]К.С.М. (ПУТ)'!#REF!</definedName>
    <definedName name="М_102" localSheetId="13">'[59]К.С.М. (ПУТ)'!#REF!</definedName>
    <definedName name="М_102">'[59]К.С.М. (ПУТ)'!#REF!</definedName>
    <definedName name="М_103" localSheetId="24">#REF!</definedName>
    <definedName name="М_103" localSheetId="11">#REF!</definedName>
    <definedName name="М_103" localSheetId="13">#REF!</definedName>
    <definedName name="М_103">#REF!</definedName>
    <definedName name="М_1033" localSheetId="24">#REF!</definedName>
    <definedName name="М_1033" localSheetId="11">#REF!</definedName>
    <definedName name="М_1033" localSheetId="13">#REF!</definedName>
    <definedName name="М_1033">#REF!</definedName>
    <definedName name="М_105" localSheetId="24">#REF!</definedName>
    <definedName name="М_105" localSheetId="11">#REF!</definedName>
    <definedName name="М_105" localSheetId="13">#REF!</definedName>
    <definedName name="М_105">#REF!</definedName>
    <definedName name="М_106" localSheetId="24">#REF!</definedName>
    <definedName name="М_106" localSheetId="11">#REF!</definedName>
    <definedName name="М_106">#REF!</definedName>
    <definedName name="М_108" localSheetId="24">'[59]К.С.М. (ПУТ)'!#REF!</definedName>
    <definedName name="М_108" localSheetId="11">'[59]К.С.М. (ПУТ)'!#REF!</definedName>
    <definedName name="М_108" localSheetId="13">'[59]К.С.М. (ПУТ)'!#REF!</definedName>
    <definedName name="М_108">'[59]К.С.М. (ПУТ)'!#REF!</definedName>
    <definedName name="М_10а" localSheetId="24">[55]К.С.М.!#REF!</definedName>
    <definedName name="М_10а" localSheetId="11">[55]К.С.М.!#REF!</definedName>
    <definedName name="М_10а">[55]К.С.М.!#REF!</definedName>
    <definedName name="М_11" localSheetId="24">#REF!</definedName>
    <definedName name="М_11" localSheetId="11">#REF!</definedName>
    <definedName name="М_11" localSheetId="13">#REF!</definedName>
    <definedName name="М_11">#REF!</definedName>
    <definedName name="М_110" localSheetId="24">#REF!</definedName>
    <definedName name="М_110" localSheetId="11">#REF!</definedName>
    <definedName name="М_110" localSheetId="13">#REF!</definedName>
    <definedName name="М_110">#REF!</definedName>
    <definedName name="М_112" localSheetId="24">'[59]К.С.М. (ПУТ)'!#REF!</definedName>
    <definedName name="М_112" localSheetId="11">'[59]К.С.М. (ПУТ)'!#REF!</definedName>
    <definedName name="М_112" localSheetId="13">'[59]К.С.М. (ПУТ)'!#REF!</definedName>
    <definedName name="М_112">'[59]К.С.М. (ПУТ)'!#REF!</definedName>
    <definedName name="М_114" localSheetId="24">#REF!</definedName>
    <definedName name="М_114" localSheetId="11">#REF!</definedName>
    <definedName name="М_114" localSheetId="13">#REF!</definedName>
    <definedName name="М_114">#REF!</definedName>
    <definedName name="М_116" localSheetId="24">'[59]К.С.М. (ПУТ)'!#REF!</definedName>
    <definedName name="М_116" localSheetId="11">'[59]К.С.М. (ПУТ)'!#REF!</definedName>
    <definedName name="М_116" localSheetId="13">'[59]К.С.М. (ПУТ)'!#REF!</definedName>
    <definedName name="М_116">'[59]К.С.М. (ПУТ)'!#REF!</definedName>
    <definedName name="М_119" localSheetId="24">#REF!</definedName>
    <definedName name="М_119" localSheetId="11">#REF!</definedName>
    <definedName name="М_119" localSheetId="13">#REF!</definedName>
    <definedName name="М_119">#REF!</definedName>
    <definedName name="М_120" localSheetId="24">#REF!</definedName>
    <definedName name="М_120" localSheetId="11">#REF!</definedName>
    <definedName name="М_120" localSheetId="13">#REF!</definedName>
    <definedName name="М_120">#REF!</definedName>
    <definedName name="М_121" localSheetId="24">#REF!</definedName>
    <definedName name="М_121" localSheetId="11">#REF!</definedName>
    <definedName name="М_121" localSheetId="13">#REF!</definedName>
    <definedName name="М_121">#REF!</definedName>
    <definedName name="М_122" localSheetId="24">#REF!</definedName>
    <definedName name="М_122" localSheetId="11">#REF!</definedName>
    <definedName name="М_122">#REF!</definedName>
    <definedName name="М_123" localSheetId="24">#REF!</definedName>
    <definedName name="М_123" localSheetId="11">#REF!</definedName>
    <definedName name="М_123">#REF!</definedName>
    <definedName name="М_124" localSheetId="24">#REF!</definedName>
    <definedName name="М_124" localSheetId="11">#REF!</definedName>
    <definedName name="М_124">#REF!</definedName>
    <definedName name="М_126" localSheetId="24">#REF!</definedName>
    <definedName name="М_126" localSheetId="11">#REF!</definedName>
    <definedName name="М_126">#REF!</definedName>
    <definedName name="М_127" localSheetId="24">#REF!</definedName>
    <definedName name="М_127" localSheetId="11">#REF!</definedName>
    <definedName name="М_127">#REF!</definedName>
    <definedName name="М_13" localSheetId="24">#REF!</definedName>
    <definedName name="М_13" localSheetId="11">#REF!</definedName>
    <definedName name="М_13">#REF!</definedName>
    <definedName name="М_131" localSheetId="24">#REF!</definedName>
    <definedName name="М_131" localSheetId="11">#REF!</definedName>
    <definedName name="М_131">#REF!</definedName>
    <definedName name="М_136" localSheetId="24">'[59]К.С.М. (ПУТ)'!#REF!</definedName>
    <definedName name="М_136" localSheetId="11">'[59]К.С.М. (ПУТ)'!#REF!</definedName>
    <definedName name="М_136" localSheetId="13">'[59]К.С.М. (ПУТ)'!#REF!</definedName>
    <definedName name="М_136">'[59]К.С.М. (ПУТ)'!#REF!</definedName>
    <definedName name="М_14" localSheetId="24">#REF!</definedName>
    <definedName name="М_14" localSheetId="11">#REF!</definedName>
    <definedName name="М_14" localSheetId="13">#REF!</definedName>
    <definedName name="М_14">#REF!</definedName>
    <definedName name="М_140" localSheetId="24">#REF!</definedName>
    <definedName name="М_140" localSheetId="11">#REF!</definedName>
    <definedName name="М_140" localSheetId="13">#REF!</definedName>
    <definedName name="М_140">#REF!</definedName>
    <definedName name="М_144" localSheetId="24">#REF!</definedName>
    <definedName name="М_144" localSheetId="11">#REF!</definedName>
    <definedName name="М_144" localSheetId="13">#REF!</definedName>
    <definedName name="М_144">#REF!</definedName>
    <definedName name="М_149" localSheetId="24">#REF!</definedName>
    <definedName name="М_149" localSheetId="11">#REF!</definedName>
    <definedName name="М_149">#REF!</definedName>
    <definedName name="М_15" localSheetId="24">#REF!</definedName>
    <definedName name="М_15" localSheetId="11">#REF!</definedName>
    <definedName name="М_15">#REF!</definedName>
    <definedName name="М_153" localSheetId="24">#REF!</definedName>
    <definedName name="М_153" localSheetId="11">#REF!</definedName>
    <definedName name="М_153">#REF!</definedName>
    <definedName name="М_154" localSheetId="24">'[59]К.С.М. (ПУТ)'!#REF!</definedName>
    <definedName name="М_154" localSheetId="11">'[59]К.С.М. (ПУТ)'!#REF!</definedName>
    <definedName name="М_154" localSheetId="13">'[59]К.С.М. (ПУТ)'!#REF!</definedName>
    <definedName name="М_154">'[59]К.С.М. (ПУТ)'!#REF!</definedName>
    <definedName name="М_155">[60]К.С.М.!$P$159</definedName>
    <definedName name="М_156">[60]К.С.М.!$P$163</definedName>
    <definedName name="М_157">[60]К.С.М.!$P$167</definedName>
    <definedName name="М_158" localSheetId="24">'[59]К.С.М. (ПУТ)'!#REF!</definedName>
    <definedName name="М_158" localSheetId="11">'[59]К.С.М. (ПУТ)'!#REF!</definedName>
    <definedName name="М_158">'[59]К.С.М. (ПУТ)'!#REF!</definedName>
    <definedName name="М_16" localSheetId="24">#REF!</definedName>
    <definedName name="М_16" localSheetId="11">#REF!</definedName>
    <definedName name="М_16" localSheetId="13">#REF!</definedName>
    <definedName name="М_16">#REF!</definedName>
    <definedName name="М_161" localSheetId="24">#REF!</definedName>
    <definedName name="М_161" localSheetId="11">#REF!</definedName>
    <definedName name="М_161" localSheetId="13">#REF!</definedName>
    <definedName name="М_161">#REF!</definedName>
    <definedName name="М_162" localSheetId="24">'[59]К.С.М. (ПУТ)'!#REF!</definedName>
    <definedName name="М_162" localSheetId="11">'[59]К.С.М. (ПУТ)'!#REF!</definedName>
    <definedName name="М_162" localSheetId="13">'[59]К.С.М. (ПУТ)'!#REF!</definedName>
    <definedName name="М_162">'[59]К.С.М. (ПУТ)'!#REF!</definedName>
    <definedName name="М_165" localSheetId="24">#REF!</definedName>
    <definedName name="М_165" localSheetId="11">#REF!</definedName>
    <definedName name="М_165" localSheetId="13">#REF!</definedName>
    <definedName name="М_165">#REF!</definedName>
    <definedName name="М_166" localSheetId="24">'[59]К.С.М. (ПУТ)'!#REF!</definedName>
    <definedName name="М_166" localSheetId="11">'[59]К.С.М. (ПУТ)'!#REF!</definedName>
    <definedName name="М_166" localSheetId="13">'[59]К.С.М. (ПУТ)'!#REF!</definedName>
    <definedName name="М_166">'[59]К.С.М. (ПУТ)'!#REF!</definedName>
    <definedName name="М_169" localSheetId="24">#REF!</definedName>
    <definedName name="М_169" localSheetId="11">#REF!</definedName>
    <definedName name="М_169" localSheetId="13">#REF!</definedName>
    <definedName name="М_169">#REF!</definedName>
    <definedName name="М_1691" localSheetId="24">#REF!</definedName>
    <definedName name="М_1691" localSheetId="11">#REF!</definedName>
    <definedName name="М_1691" localSheetId="13">#REF!</definedName>
    <definedName name="М_1691">#REF!</definedName>
    <definedName name="М_17" localSheetId="24">'[59]К.С.М. (ПУТ)'!#REF!</definedName>
    <definedName name="М_17" localSheetId="11">'[59]К.С.М. (ПУТ)'!#REF!</definedName>
    <definedName name="М_17" localSheetId="13">'[59]К.С.М. (ПУТ)'!#REF!</definedName>
    <definedName name="М_17">'[59]К.С.М. (ПУТ)'!#REF!</definedName>
    <definedName name="М_170" localSheetId="24">'[59]К.С.М. (ПУТ)'!#REF!</definedName>
    <definedName name="М_170" localSheetId="11">'[59]К.С.М. (ПУТ)'!#REF!</definedName>
    <definedName name="М_170" localSheetId="13">'[59]К.С.М. (ПУТ)'!#REF!</definedName>
    <definedName name="М_170">'[59]К.С.М. (ПУТ)'!#REF!</definedName>
    <definedName name="М_173" localSheetId="24">#REF!</definedName>
    <definedName name="М_173" localSheetId="11">#REF!</definedName>
    <definedName name="М_173" localSheetId="13">#REF!</definedName>
    <definedName name="М_173">#REF!</definedName>
    <definedName name="М_174" localSheetId="24">'[59]К.С.М. (ПУТ)'!#REF!</definedName>
    <definedName name="М_174" localSheetId="11">'[59]К.С.М. (ПУТ)'!#REF!</definedName>
    <definedName name="М_174" localSheetId="13">'[59]К.С.М. (ПУТ)'!#REF!</definedName>
    <definedName name="М_174">'[59]К.С.М. (ПУТ)'!#REF!</definedName>
    <definedName name="М_177" localSheetId="24">#REF!</definedName>
    <definedName name="М_177" localSheetId="11">#REF!</definedName>
    <definedName name="М_177" localSheetId="13">#REF!</definedName>
    <definedName name="М_177">#REF!</definedName>
    <definedName name="М_178" localSheetId="24">'[59]К.С.М. (ПУТ)'!#REF!</definedName>
    <definedName name="М_178" localSheetId="11">'[59]К.С.М. (ПУТ)'!#REF!</definedName>
    <definedName name="М_178" localSheetId="13">'[59]К.С.М. (ПУТ)'!#REF!</definedName>
    <definedName name="М_178">'[59]К.С.М. (ПУТ)'!#REF!</definedName>
    <definedName name="М_18">[61]К.С.М.!$P$33</definedName>
    <definedName name="М_181" localSheetId="24">#REF!</definedName>
    <definedName name="М_181" localSheetId="11">#REF!</definedName>
    <definedName name="М_181" localSheetId="13">#REF!</definedName>
    <definedName name="М_181">#REF!</definedName>
    <definedName name="М_182" localSheetId="24">'[59]К.С.М. (ПУТ)'!#REF!</definedName>
    <definedName name="М_182" localSheetId="11">'[59]К.С.М. (ПУТ)'!#REF!</definedName>
    <definedName name="М_182" localSheetId="13">'[59]К.С.М. (ПУТ)'!#REF!</definedName>
    <definedName name="М_182">'[59]К.С.М. (ПУТ)'!#REF!</definedName>
    <definedName name="М_185" localSheetId="24">#REF!</definedName>
    <definedName name="М_185" localSheetId="11">#REF!</definedName>
    <definedName name="М_185" localSheetId="13">#REF!</definedName>
    <definedName name="М_185">#REF!</definedName>
    <definedName name="М_186" localSheetId="24">'[59]К.С.М. (ПУТ)'!#REF!</definedName>
    <definedName name="М_186" localSheetId="11">'[59]К.С.М. (ПУТ)'!#REF!</definedName>
    <definedName name="М_186" localSheetId="13">'[59]К.С.М. (ПУТ)'!#REF!</definedName>
    <definedName name="М_186">'[59]К.С.М. (ПУТ)'!#REF!</definedName>
    <definedName name="М_19" localSheetId="24">#REF!</definedName>
    <definedName name="М_19" localSheetId="11">#REF!</definedName>
    <definedName name="М_19" localSheetId="13">#REF!</definedName>
    <definedName name="М_19">#REF!</definedName>
    <definedName name="М_190" localSheetId="24">'[59]К.С.М. (ПУТ)'!#REF!</definedName>
    <definedName name="М_190" localSheetId="11">'[59]К.С.М. (ПУТ)'!#REF!</definedName>
    <definedName name="М_190" localSheetId="13">'[59]К.С.М. (ПУТ)'!#REF!</definedName>
    <definedName name="М_190">'[59]К.С.М. (ПУТ)'!#REF!</definedName>
    <definedName name="М_195" localSheetId="24">'[59]К.С.М. (ПУТ)'!#REF!</definedName>
    <definedName name="М_195" localSheetId="11">'[59]К.С.М. (ПУТ)'!#REF!</definedName>
    <definedName name="М_195" localSheetId="13">'[59]К.С.М. (ПУТ)'!#REF!</definedName>
    <definedName name="М_195">'[59]К.С.М. (ПУТ)'!#REF!</definedName>
    <definedName name="М_196" localSheetId="24">#REF!</definedName>
    <definedName name="М_196" localSheetId="11">#REF!</definedName>
    <definedName name="М_196" localSheetId="13">#REF!</definedName>
    <definedName name="М_196">#REF!</definedName>
    <definedName name="М_2" localSheetId="24">#REF!</definedName>
    <definedName name="М_2" localSheetId="11">#REF!</definedName>
    <definedName name="М_2" localSheetId="13">#REF!</definedName>
    <definedName name="М_2">#REF!</definedName>
    <definedName name="М_20" localSheetId="24">#REF!</definedName>
    <definedName name="М_20" localSheetId="11">#REF!</definedName>
    <definedName name="М_20" localSheetId="13">#REF!</definedName>
    <definedName name="М_20">#REF!</definedName>
    <definedName name="М_200" localSheetId="24">'[59]К.С.М. (ПУТ)'!#REF!</definedName>
    <definedName name="М_200" localSheetId="11">'[59]К.С.М. (ПУТ)'!#REF!</definedName>
    <definedName name="М_200" localSheetId="13">'[59]К.С.М. (ПУТ)'!#REF!</definedName>
    <definedName name="М_200">'[59]К.С.М. (ПУТ)'!#REF!</definedName>
    <definedName name="М_202" localSheetId="24">[18]К.С.М.!#REF!</definedName>
    <definedName name="М_202" localSheetId="11">[18]К.С.М.!#REF!</definedName>
    <definedName name="М_202" localSheetId="13">[18]К.С.М.!#REF!</definedName>
    <definedName name="М_202">[18]К.С.М.!#REF!</definedName>
    <definedName name="М_203" localSheetId="24">[18]К.С.М.!#REF!</definedName>
    <definedName name="М_203" localSheetId="11">[18]К.С.М.!#REF!</definedName>
    <definedName name="М_203" localSheetId="13">[18]К.С.М.!#REF!</definedName>
    <definedName name="М_203">[18]К.С.М.!#REF!</definedName>
    <definedName name="М_204" localSheetId="24">[18]К.С.М.!#REF!</definedName>
    <definedName name="М_204" localSheetId="11">[18]К.С.М.!#REF!</definedName>
    <definedName name="М_204" localSheetId="13">[18]К.С.М.!#REF!</definedName>
    <definedName name="М_204">[18]К.С.М.!#REF!</definedName>
    <definedName name="М_205" localSheetId="24">'[59]К.С.М. (ПУТ)'!#REF!</definedName>
    <definedName name="М_205" localSheetId="11">'[59]К.С.М. (ПУТ)'!#REF!</definedName>
    <definedName name="М_205">'[59]К.С.М. (ПУТ)'!#REF!</definedName>
    <definedName name="М_208" localSheetId="24">#REF!</definedName>
    <definedName name="М_208" localSheetId="11">#REF!</definedName>
    <definedName name="М_208" localSheetId="13">#REF!</definedName>
    <definedName name="М_208">#REF!</definedName>
    <definedName name="М_209" localSheetId="24">'[59]К.С.М. (ПУТ)'!#REF!</definedName>
    <definedName name="М_209" localSheetId="11">'[59]К.С.М. (ПУТ)'!#REF!</definedName>
    <definedName name="М_209" localSheetId="13">'[59]К.С.М. (ПУТ)'!#REF!</definedName>
    <definedName name="М_209">'[59]К.С.М. (ПУТ)'!#REF!</definedName>
    <definedName name="М_21" localSheetId="24">#REF!</definedName>
    <definedName name="М_21" localSheetId="11">#REF!</definedName>
    <definedName name="М_21" localSheetId="13">#REF!</definedName>
    <definedName name="М_21">#REF!</definedName>
    <definedName name="М_212" localSheetId="24">#REF!</definedName>
    <definedName name="М_212" localSheetId="11">#REF!</definedName>
    <definedName name="М_212" localSheetId="13">#REF!</definedName>
    <definedName name="М_212">#REF!</definedName>
    <definedName name="М_213" localSheetId="24">'[59]К.С.М. (ПУТ)'!#REF!</definedName>
    <definedName name="М_213" localSheetId="11">'[59]К.С.М. (ПУТ)'!#REF!</definedName>
    <definedName name="М_213" localSheetId="13">'[59]К.С.М. (ПУТ)'!#REF!</definedName>
    <definedName name="М_213">'[59]К.С.М. (ПУТ)'!#REF!</definedName>
    <definedName name="М_216" localSheetId="24">#REF!</definedName>
    <definedName name="М_216" localSheetId="11">#REF!</definedName>
    <definedName name="М_216" localSheetId="13">#REF!</definedName>
    <definedName name="М_216">#REF!</definedName>
    <definedName name="М_217" localSheetId="24">'[59]К.С.М. (ПУТ)'!#REF!</definedName>
    <definedName name="М_217" localSheetId="11">'[59]К.С.М. (ПУТ)'!#REF!</definedName>
    <definedName name="М_217" localSheetId="13">'[59]К.С.М. (ПУТ)'!#REF!</definedName>
    <definedName name="М_217">'[59]К.С.М. (ПУТ)'!#REF!</definedName>
    <definedName name="М_22" localSheetId="24">#REF!</definedName>
    <definedName name="М_22" localSheetId="11">#REF!</definedName>
    <definedName name="М_22" localSheetId="13">#REF!</definedName>
    <definedName name="М_22">#REF!</definedName>
    <definedName name="М_221" localSheetId="24">'[59]К.С.М. (ПУТ)'!#REF!</definedName>
    <definedName name="М_221" localSheetId="11">'[59]К.С.М. (ПУТ)'!#REF!</definedName>
    <definedName name="М_221" localSheetId="13">'[59]К.С.М. (ПУТ)'!#REF!</definedName>
    <definedName name="М_221">'[59]К.С.М. (ПУТ)'!#REF!</definedName>
    <definedName name="М_222" localSheetId="24">#REF!</definedName>
    <definedName name="М_222" localSheetId="11">#REF!</definedName>
    <definedName name="М_222" localSheetId="13">#REF!</definedName>
    <definedName name="М_222">#REF!</definedName>
    <definedName name="М_225" localSheetId="24">'[59]К.С.М. (ПУТ)'!#REF!</definedName>
    <definedName name="М_225" localSheetId="11">'[59]К.С.М. (ПУТ)'!#REF!</definedName>
    <definedName name="М_225" localSheetId="13">'[59]К.С.М. (ПУТ)'!#REF!</definedName>
    <definedName name="М_225">'[59]К.С.М. (ПУТ)'!#REF!</definedName>
    <definedName name="М_226" localSheetId="24">#REF!</definedName>
    <definedName name="М_226" localSheetId="11">#REF!</definedName>
    <definedName name="М_226" localSheetId="13">#REF!</definedName>
    <definedName name="М_226">#REF!</definedName>
    <definedName name="М_227" localSheetId="24">#REF!</definedName>
    <definedName name="М_227" localSheetId="11">#REF!</definedName>
    <definedName name="М_227" localSheetId="13">#REF!</definedName>
    <definedName name="М_227">#REF!</definedName>
    <definedName name="М_228" localSheetId="24">#REF!</definedName>
    <definedName name="М_228" localSheetId="11">#REF!</definedName>
    <definedName name="М_228" localSheetId="13">#REF!</definedName>
    <definedName name="М_228">#REF!</definedName>
    <definedName name="М_229" localSheetId="24">'[59]К.С.М. (ПУТ)'!#REF!</definedName>
    <definedName name="М_229" localSheetId="11">'[59]К.С.М. (ПУТ)'!#REF!</definedName>
    <definedName name="М_229" localSheetId="13">'[59]К.С.М. (ПУТ)'!#REF!</definedName>
    <definedName name="М_229">'[59]К.С.М. (ПУТ)'!#REF!</definedName>
    <definedName name="М_230" localSheetId="24">#REF!</definedName>
    <definedName name="М_230" localSheetId="11">#REF!</definedName>
    <definedName name="М_230" localSheetId="13">#REF!</definedName>
    <definedName name="М_230">#REF!</definedName>
    <definedName name="М_231" localSheetId="24">#REF!</definedName>
    <definedName name="М_231" localSheetId="11">#REF!</definedName>
    <definedName name="М_231" localSheetId="13">#REF!</definedName>
    <definedName name="М_231">#REF!</definedName>
    <definedName name="М_233" localSheetId="24">'[59]К.С.М. (ПУТ)'!#REF!</definedName>
    <definedName name="М_233" localSheetId="11">'[59]К.С.М. (ПУТ)'!#REF!</definedName>
    <definedName name="М_233" localSheetId="13">'[59]К.С.М. (ПУТ)'!#REF!</definedName>
    <definedName name="М_233">'[59]К.С.М. (ПУТ)'!#REF!</definedName>
    <definedName name="М_237" localSheetId="24">'[59]К.С.М. (ПУТ)'!#REF!</definedName>
    <definedName name="М_237" localSheetId="11">'[59]К.С.М. (ПУТ)'!#REF!</definedName>
    <definedName name="М_237" localSheetId="13">'[59]К.С.М. (ПУТ)'!#REF!</definedName>
    <definedName name="М_237">'[59]К.С.М. (ПУТ)'!#REF!</definedName>
    <definedName name="М_24" localSheetId="24">#REF!</definedName>
    <definedName name="М_24" localSheetId="11">#REF!</definedName>
    <definedName name="М_24" localSheetId="13">#REF!</definedName>
    <definedName name="М_24">#REF!</definedName>
    <definedName name="М_241" localSheetId="24">'[59]К.С.М. (ПУТ)'!#REF!</definedName>
    <definedName name="М_241" localSheetId="11">'[59]К.С.М. (ПУТ)'!#REF!</definedName>
    <definedName name="М_241" localSheetId="13">'[59]К.С.М. (ПУТ)'!#REF!</definedName>
    <definedName name="М_241">'[59]К.С.М. (ПУТ)'!#REF!</definedName>
    <definedName name="М_245" localSheetId="24">'[59]К.С.М. (ПУТ)'!#REF!</definedName>
    <definedName name="М_245" localSheetId="11">'[59]К.С.М. (ПУТ)'!#REF!</definedName>
    <definedName name="М_245" localSheetId="13">'[59]К.С.М. (ПУТ)'!#REF!</definedName>
    <definedName name="М_245">'[59]К.С.М. (ПУТ)'!#REF!</definedName>
    <definedName name="М_249" localSheetId="24">'[59]К.С.М. (ПУТ)'!#REF!</definedName>
    <definedName name="М_249" localSheetId="11">'[59]К.С.М. (ПУТ)'!#REF!</definedName>
    <definedName name="М_249">'[59]К.С.М. (ПУТ)'!#REF!</definedName>
    <definedName name="М_25" localSheetId="24">#REF!</definedName>
    <definedName name="М_25" localSheetId="11">#REF!</definedName>
    <definedName name="М_25" localSheetId="13">#REF!</definedName>
    <definedName name="М_25">#REF!</definedName>
    <definedName name="М_253" localSheetId="24">'[59]К.С.М. (ПУТ)'!#REF!</definedName>
    <definedName name="М_253" localSheetId="11">'[59]К.С.М. (ПУТ)'!#REF!</definedName>
    <definedName name="М_253" localSheetId="13">'[59]К.С.М. (ПУТ)'!#REF!</definedName>
    <definedName name="М_253">'[59]К.С.М. (ПУТ)'!#REF!</definedName>
    <definedName name="М_257" localSheetId="24">'[59]К.С.М. (ПУТ)'!#REF!</definedName>
    <definedName name="М_257" localSheetId="11">'[59]К.С.М. (ПУТ)'!#REF!</definedName>
    <definedName name="М_257">'[59]К.С.М. (ПУТ)'!#REF!</definedName>
    <definedName name="М_25ш" localSheetId="24">#REF!</definedName>
    <definedName name="М_25ш" localSheetId="11">#REF!</definedName>
    <definedName name="М_25ш" localSheetId="13">#REF!</definedName>
    <definedName name="М_25ш">#REF!</definedName>
    <definedName name="М_261" localSheetId="24">'[59]К.С.М. (ПУТ)'!#REF!</definedName>
    <definedName name="М_261" localSheetId="11">'[59]К.С.М. (ПУТ)'!#REF!</definedName>
    <definedName name="М_261" localSheetId="13">'[59]К.С.М. (ПУТ)'!#REF!</definedName>
    <definedName name="М_261">'[59]К.С.М. (ПУТ)'!#REF!</definedName>
    <definedName name="М_265" localSheetId="24">'[59]К.С.М. (ПУТ)'!#REF!</definedName>
    <definedName name="М_265" localSheetId="11">'[59]К.С.М. (ПУТ)'!#REF!</definedName>
    <definedName name="М_265">'[59]К.С.М. (ПУТ)'!#REF!</definedName>
    <definedName name="М_269" localSheetId="24">'[59]К.С.М. (ПУТ)'!#REF!</definedName>
    <definedName name="М_269" localSheetId="11">'[59]К.С.М. (ПУТ)'!#REF!</definedName>
    <definedName name="М_269">'[59]К.С.М. (ПУТ)'!#REF!</definedName>
    <definedName name="М_27" localSheetId="24">[62]К.С.М.!#REF!</definedName>
    <definedName name="М_27" localSheetId="11">[62]К.С.М.!#REF!</definedName>
    <definedName name="М_27">[62]К.С.М.!#REF!</definedName>
    <definedName name="М_273" localSheetId="24">'[59]К.С.М. (ПУТ)'!#REF!</definedName>
    <definedName name="М_273" localSheetId="11">'[59]К.С.М. (ПУТ)'!#REF!</definedName>
    <definedName name="М_273">'[59]К.С.М. (ПУТ)'!#REF!</definedName>
    <definedName name="М_277" localSheetId="24">'[59]К.С.М. (ПУТ)'!#REF!</definedName>
    <definedName name="М_277" localSheetId="11">'[59]К.С.М. (ПУТ)'!#REF!</definedName>
    <definedName name="М_277">'[59]К.С.М. (ПУТ)'!#REF!</definedName>
    <definedName name="М_281" localSheetId="24">#REF!</definedName>
    <definedName name="М_281" localSheetId="11">#REF!</definedName>
    <definedName name="М_281" localSheetId="13">#REF!</definedName>
    <definedName name="М_281">#REF!</definedName>
    <definedName name="М_282" localSheetId="24">'[59]К.С.М. (ПУТ)'!#REF!</definedName>
    <definedName name="М_282" localSheetId="11">'[59]К.С.М. (ПУТ)'!#REF!</definedName>
    <definedName name="М_282" localSheetId="13">'[59]К.С.М. (ПУТ)'!#REF!</definedName>
    <definedName name="М_282">'[59]К.С.М. (ПУТ)'!#REF!</definedName>
    <definedName name="М_282а" localSheetId="24">'[59]К.С.М. (ПУТ)'!#REF!</definedName>
    <definedName name="М_282а" localSheetId="11">'[59]К.С.М. (ПУТ)'!#REF!</definedName>
    <definedName name="М_282а">'[59]К.С.М. (ПУТ)'!#REF!</definedName>
    <definedName name="М_285" localSheetId="24">'[59]К.С.М. (ПУТ)'!#REF!</definedName>
    <definedName name="М_285" localSheetId="11">'[59]К.С.М. (ПУТ)'!#REF!</definedName>
    <definedName name="М_285">'[59]К.С.М. (ПУТ)'!#REF!</definedName>
    <definedName name="М_289" localSheetId="24">#REF!</definedName>
    <definedName name="М_289" localSheetId="11">#REF!</definedName>
    <definedName name="М_289" localSheetId="13">#REF!</definedName>
    <definedName name="М_289">#REF!</definedName>
    <definedName name="М_29" localSheetId="24">#REF!</definedName>
    <definedName name="М_29" localSheetId="11">#REF!</definedName>
    <definedName name="М_29" localSheetId="13">#REF!</definedName>
    <definedName name="М_29">#REF!</definedName>
    <definedName name="М_293" localSheetId="24">'[59]К.С.М. (ПУТ)'!#REF!</definedName>
    <definedName name="М_293" localSheetId="11">'[59]К.С.М. (ПУТ)'!#REF!</definedName>
    <definedName name="М_293" localSheetId="13">'[59]К.С.М. (ПУТ)'!#REF!</definedName>
    <definedName name="М_293">'[59]К.С.М. (ПУТ)'!#REF!</definedName>
    <definedName name="М_297">[63]К.С.М.!$P$319</definedName>
    <definedName name="М_3" localSheetId="24">[64]К.С.М.!#REF!</definedName>
    <definedName name="М_3" localSheetId="11">[64]К.С.М.!#REF!</definedName>
    <definedName name="М_3">[64]К.С.М.!#REF!</definedName>
    <definedName name="М_30" localSheetId="24">#REF!</definedName>
    <definedName name="М_30" localSheetId="11">#REF!</definedName>
    <definedName name="М_30" localSheetId="13">#REF!</definedName>
    <definedName name="М_30">#REF!</definedName>
    <definedName name="М_301" localSheetId="24">'[59]К.С.М. (ПУТ)'!#REF!</definedName>
    <definedName name="М_301" localSheetId="11">'[59]К.С.М. (ПУТ)'!#REF!</definedName>
    <definedName name="М_301" localSheetId="13">'[59]К.С.М. (ПУТ)'!#REF!</definedName>
    <definedName name="М_301">'[59]К.С.М. (ПУТ)'!#REF!</definedName>
    <definedName name="М_305" localSheetId="24">'[59]К.С.М. (ПУТ)'!#REF!</definedName>
    <definedName name="М_305" localSheetId="11">'[59]К.С.М. (ПУТ)'!#REF!</definedName>
    <definedName name="М_305" localSheetId="13">'[59]К.С.М. (ПУТ)'!#REF!</definedName>
    <definedName name="М_305">'[59]К.С.М. (ПУТ)'!#REF!</definedName>
    <definedName name="М_309" localSheetId="24">'[59]К.С.М. (ПУТ)'!#REF!</definedName>
    <definedName name="М_309" localSheetId="11">'[59]К.С.М. (ПУТ)'!#REF!</definedName>
    <definedName name="М_309" localSheetId="13">'[59]К.С.М. (ПУТ)'!#REF!</definedName>
    <definedName name="М_309">'[59]К.С.М. (ПУТ)'!#REF!</definedName>
    <definedName name="М_31" localSheetId="24">#REF!</definedName>
    <definedName name="М_31" localSheetId="11">#REF!</definedName>
    <definedName name="М_31" localSheetId="13">#REF!</definedName>
    <definedName name="М_31">#REF!</definedName>
    <definedName name="М_313" localSheetId="24">'[59]К.С.М. (ПУТ)'!#REF!</definedName>
    <definedName name="М_313" localSheetId="11">'[59]К.С.М. (ПУТ)'!#REF!</definedName>
    <definedName name="М_313" localSheetId="13">'[59]К.С.М. (ПУТ)'!#REF!</definedName>
    <definedName name="М_313">'[59]К.С.М. (ПУТ)'!#REF!</definedName>
    <definedName name="М_317" localSheetId="24">'[59]К.С.М. (ПУТ)'!#REF!</definedName>
    <definedName name="М_317" localSheetId="11">'[59]К.С.М. (ПУТ)'!#REF!</definedName>
    <definedName name="М_317" localSheetId="13">'[59]К.С.М. (ПУТ)'!#REF!</definedName>
    <definedName name="М_317">'[59]К.С.М. (ПУТ)'!#REF!</definedName>
    <definedName name="М_32" localSheetId="24">[62]К.С.М.!#REF!</definedName>
    <definedName name="М_32" localSheetId="11">[62]К.С.М.!#REF!</definedName>
    <definedName name="М_32" localSheetId="13">[62]К.С.М.!#REF!</definedName>
    <definedName name="М_32">[62]К.С.М.!#REF!</definedName>
    <definedName name="М_320" localSheetId="24">'[59]К.С.М. (ПУТ)'!#REF!</definedName>
    <definedName name="М_320" localSheetId="11">'[59]К.С.М. (ПУТ)'!#REF!</definedName>
    <definedName name="М_320" localSheetId="13">'[59]К.С.М. (ПУТ)'!#REF!</definedName>
    <definedName name="М_320">'[59]К.С.М. (ПУТ)'!#REF!</definedName>
    <definedName name="М_323" localSheetId="24">'[59]К.С.М. (ПУТ)'!#REF!</definedName>
    <definedName name="М_323" localSheetId="11">'[59]К.С.М. (ПУТ)'!#REF!</definedName>
    <definedName name="М_323">'[59]К.С.М. (ПУТ)'!#REF!</definedName>
    <definedName name="М_326" localSheetId="24">'[59]К.С.М. (ПУТ)'!#REF!</definedName>
    <definedName name="М_326" localSheetId="11">'[59]К.С.М. (ПУТ)'!#REF!</definedName>
    <definedName name="М_326">'[59]К.С.М. (ПУТ)'!#REF!</definedName>
    <definedName name="М_33" localSheetId="24">#REF!</definedName>
    <definedName name="М_33" localSheetId="11">#REF!</definedName>
    <definedName name="М_33" localSheetId="13">#REF!</definedName>
    <definedName name="М_33">#REF!</definedName>
    <definedName name="М_330">[65]К.С.М.!$P$354</definedName>
    <definedName name="М_334" localSheetId="24">'[59]К.С.М. (ПУТ)'!#REF!</definedName>
    <definedName name="М_334" localSheetId="11">'[59]К.С.М. (ПУТ)'!#REF!</definedName>
    <definedName name="М_334">'[59]К.С.М. (ПУТ)'!#REF!</definedName>
    <definedName name="М_33Б" localSheetId="24">#REF!</definedName>
    <definedName name="М_33Б" localSheetId="11">#REF!</definedName>
    <definedName name="М_33Б" localSheetId="13">#REF!</definedName>
    <definedName name="М_33Б">#REF!</definedName>
    <definedName name="М_34" localSheetId="24">#REF!</definedName>
    <definedName name="М_34" localSheetId="11">#REF!</definedName>
    <definedName name="М_34" localSheetId="13">#REF!</definedName>
    <definedName name="М_34">#REF!</definedName>
    <definedName name="М_35" localSheetId="24">#REF!</definedName>
    <definedName name="М_35" localSheetId="11">#REF!</definedName>
    <definedName name="М_35" localSheetId="13">#REF!</definedName>
    <definedName name="М_35">#REF!</definedName>
    <definedName name="М_36" localSheetId="24">[62]К.С.М.!#REF!</definedName>
    <definedName name="М_36" localSheetId="11">[62]К.С.М.!#REF!</definedName>
    <definedName name="М_36" localSheetId="13">[62]К.С.М.!#REF!</definedName>
    <definedName name="М_36">[62]К.С.М.!#REF!</definedName>
    <definedName name="М_37">[66]К.С.М.!$P$51</definedName>
    <definedName name="М_38" localSheetId="24">#REF!</definedName>
    <definedName name="М_38" localSheetId="11">#REF!</definedName>
    <definedName name="М_38" localSheetId="13">#REF!</definedName>
    <definedName name="М_38">#REF!</definedName>
    <definedName name="М_4" localSheetId="24">#REF!</definedName>
    <definedName name="М_4" localSheetId="11">#REF!</definedName>
    <definedName name="М_4" localSheetId="13">#REF!</definedName>
    <definedName name="М_4">#REF!</definedName>
    <definedName name="М_40" localSheetId="24">#REF!</definedName>
    <definedName name="М_40" localSheetId="11">#REF!</definedName>
    <definedName name="М_40" localSheetId="13">#REF!</definedName>
    <definedName name="М_40">#REF!</definedName>
    <definedName name="М_41" localSheetId="24">#REF!</definedName>
    <definedName name="М_41" localSheetId="11">#REF!</definedName>
    <definedName name="М_41">#REF!</definedName>
    <definedName name="М_42" localSheetId="24">#REF!</definedName>
    <definedName name="М_42" localSheetId="11">#REF!</definedName>
    <definedName name="М_42">#REF!</definedName>
    <definedName name="М_45" localSheetId="24">[67]ф9!#REF!</definedName>
    <definedName name="М_45" localSheetId="11">[67]ф9!#REF!</definedName>
    <definedName name="М_45" localSheetId="13">[67]ф9!#REF!</definedName>
    <definedName name="М_45">[67]ф9!#REF!</definedName>
    <definedName name="М_46" localSheetId="24">#REF!</definedName>
    <definedName name="М_46" localSheetId="11">#REF!</definedName>
    <definedName name="М_46" localSheetId="13">#REF!</definedName>
    <definedName name="М_46">#REF!</definedName>
    <definedName name="М_47" localSheetId="24">'[59]К.С.М. (ПУТ)'!#REF!</definedName>
    <definedName name="М_47" localSheetId="11">'[59]К.С.М. (ПУТ)'!#REF!</definedName>
    <definedName name="М_47" localSheetId="13">'[59]К.С.М. (ПУТ)'!#REF!</definedName>
    <definedName name="М_47">'[59]К.С.М. (ПУТ)'!#REF!</definedName>
    <definedName name="М_49">[61]К.С.М.!$P$64</definedName>
    <definedName name="М_4д" localSheetId="24">#REF!</definedName>
    <definedName name="М_4д" localSheetId="11">#REF!</definedName>
    <definedName name="М_4д" localSheetId="13">#REF!</definedName>
    <definedName name="М_4д">#REF!</definedName>
    <definedName name="М_5" localSheetId="24">#REF!</definedName>
    <definedName name="М_5" localSheetId="11">#REF!</definedName>
    <definedName name="М_5" localSheetId="13">#REF!</definedName>
    <definedName name="М_5">#REF!</definedName>
    <definedName name="М_50" localSheetId="24">#REF!</definedName>
    <definedName name="М_50" localSheetId="11">#REF!</definedName>
    <definedName name="М_50" localSheetId="13">#REF!</definedName>
    <definedName name="М_50">#REF!</definedName>
    <definedName name="М_51" localSheetId="24">#REF!</definedName>
    <definedName name="М_51" localSheetId="11">#REF!</definedName>
    <definedName name="М_51">#REF!</definedName>
    <definedName name="М_52" localSheetId="24">#REF!</definedName>
    <definedName name="М_52" localSheetId="11">#REF!</definedName>
    <definedName name="М_52">#REF!</definedName>
    <definedName name="М_522" localSheetId="24">[27]К.С.М.!#REF!</definedName>
    <definedName name="М_522" localSheetId="11">[27]К.С.М.!#REF!</definedName>
    <definedName name="М_522" localSheetId="13">[27]К.С.М.!#REF!</definedName>
    <definedName name="М_522">[27]К.С.М.!#REF!</definedName>
    <definedName name="М_53">[61]К.С.М.!$P$68</definedName>
    <definedName name="М_54" localSheetId="24">#REF!</definedName>
    <definedName name="М_54" localSheetId="11">#REF!</definedName>
    <definedName name="М_54" localSheetId="13">#REF!</definedName>
    <definedName name="М_54">#REF!</definedName>
    <definedName name="М_55" localSheetId="24">[68]К.С.М.!#REF!</definedName>
    <definedName name="М_55" localSheetId="11">[68]К.С.М.!#REF!</definedName>
    <definedName name="М_55" localSheetId="13">[68]К.С.М.!#REF!</definedName>
    <definedName name="М_55">[68]К.С.М.!#REF!</definedName>
    <definedName name="М_57" localSheetId="24">#REF!</definedName>
    <definedName name="М_57" localSheetId="11">#REF!</definedName>
    <definedName name="М_57" localSheetId="13">#REF!</definedName>
    <definedName name="М_57">#REF!</definedName>
    <definedName name="М_577" localSheetId="24">#REF!</definedName>
    <definedName name="М_577" localSheetId="11">#REF!</definedName>
    <definedName name="М_577" localSheetId="13">#REF!</definedName>
    <definedName name="М_577">#REF!</definedName>
    <definedName name="М_6" localSheetId="24">#REF!</definedName>
    <definedName name="М_6" localSheetId="11">#REF!</definedName>
    <definedName name="М_6" localSheetId="13">#REF!</definedName>
    <definedName name="М_6">#REF!</definedName>
    <definedName name="М_60" localSheetId="24">[68]К.С.М.!#REF!</definedName>
    <definedName name="М_60" localSheetId="11">[68]К.С.М.!#REF!</definedName>
    <definedName name="М_60" localSheetId="13">[68]К.С.М.!#REF!</definedName>
    <definedName name="М_60">[68]К.С.М.!#REF!</definedName>
    <definedName name="М_61" localSheetId="24">#REF!</definedName>
    <definedName name="М_61" localSheetId="11">#REF!</definedName>
    <definedName name="М_61" localSheetId="13">#REF!</definedName>
    <definedName name="М_61">#REF!</definedName>
    <definedName name="М_62" localSheetId="24">#REF!</definedName>
    <definedName name="М_62" localSheetId="11">#REF!</definedName>
    <definedName name="М_62" localSheetId="13">#REF!</definedName>
    <definedName name="М_62">#REF!</definedName>
    <definedName name="М_63" localSheetId="24">'[59]К.С.М. (ПУТ)'!#REF!</definedName>
    <definedName name="М_63" localSheetId="11">'[59]К.С.М. (ПУТ)'!#REF!</definedName>
    <definedName name="М_63" localSheetId="13">'[59]К.С.М. (ПУТ)'!#REF!</definedName>
    <definedName name="М_63">'[59]К.С.М. (ПУТ)'!#REF!</definedName>
    <definedName name="М_64">[66]К.С.М.!$P$78</definedName>
    <definedName name="М_65" localSheetId="24">[45]К.С.М.!#REF!</definedName>
    <definedName name="М_65" localSheetId="11">[45]К.С.М.!#REF!</definedName>
    <definedName name="М_65">[45]К.С.М.!#REF!</definedName>
    <definedName name="М_69" localSheetId="24">[45]К.С.М.!#REF!</definedName>
    <definedName name="М_69" localSheetId="11">[45]К.С.М.!#REF!</definedName>
    <definedName name="М_69">[45]К.С.М.!#REF!</definedName>
    <definedName name="М_7" localSheetId="24">#REF!</definedName>
    <definedName name="М_7" localSheetId="11">#REF!</definedName>
    <definedName name="М_7" localSheetId="13">#REF!</definedName>
    <definedName name="М_7">#REF!</definedName>
    <definedName name="М_70" localSheetId="24">#REF!</definedName>
    <definedName name="М_70" localSheetId="11">#REF!</definedName>
    <definedName name="М_70" localSheetId="13">#REF!</definedName>
    <definedName name="М_70">#REF!</definedName>
    <definedName name="М_71" localSheetId="24">#REF!</definedName>
    <definedName name="М_71" localSheetId="11">#REF!</definedName>
    <definedName name="М_71" localSheetId="13">#REF!</definedName>
    <definedName name="М_71">#REF!</definedName>
    <definedName name="М_72" localSheetId="24">#REF!</definedName>
    <definedName name="М_72" localSheetId="11">#REF!</definedName>
    <definedName name="М_72">#REF!</definedName>
    <definedName name="М_73" localSheetId="24">[45]К.С.М.!#REF!</definedName>
    <definedName name="М_73" localSheetId="11">[45]К.С.М.!#REF!</definedName>
    <definedName name="М_73" localSheetId="13">[45]К.С.М.!#REF!</definedName>
    <definedName name="М_73">[45]К.С.М.!#REF!</definedName>
    <definedName name="М_74" localSheetId="24">#REF!</definedName>
    <definedName name="М_74" localSheetId="11">#REF!</definedName>
    <definedName name="М_74" localSheetId="13">#REF!</definedName>
    <definedName name="М_74">#REF!</definedName>
    <definedName name="М_75" localSheetId="24">'[59]К.С.М. (ПУТ)'!#REF!</definedName>
    <definedName name="М_75" localSheetId="11">'[59]К.С.М. (ПУТ)'!#REF!</definedName>
    <definedName name="М_75" localSheetId="13">'[59]К.С.М. (ПУТ)'!#REF!</definedName>
    <definedName name="М_75">'[59]К.С.М. (ПУТ)'!#REF!</definedName>
    <definedName name="М_77" localSheetId="24">#REF!</definedName>
    <definedName name="М_77" localSheetId="11">#REF!</definedName>
    <definedName name="М_77" localSheetId="13">#REF!</definedName>
    <definedName name="М_77">#REF!</definedName>
    <definedName name="М_771" localSheetId="24">#REF!</definedName>
    <definedName name="М_771" localSheetId="11">#REF!</definedName>
    <definedName name="М_771" localSheetId="13">#REF!</definedName>
    <definedName name="М_771">#REF!</definedName>
    <definedName name="М_78" localSheetId="24">[68]К.С.М.!#REF!</definedName>
    <definedName name="М_78" localSheetId="11">[68]К.С.М.!#REF!</definedName>
    <definedName name="М_78" localSheetId="13">[68]К.С.М.!#REF!</definedName>
    <definedName name="М_78">[68]К.С.М.!#REF!</definedName>
    <definedName name="М_79" localSheetId="24">#REF!</definedName>
    <definedName name="М_79" localSheetId="11">#REF!</definedName>
    <definedName name="М_79" localSheetId="13">#REF!</definedName>
    <definedName name="М_79">#REF!</definedName>
    <definedName name="М_80">[61]К.С.М.!$P$83</definedName>
    <definedName name="М_81" localSheetId="24">#REF!</definedName>
    <definedName name="М_81" localSheetId="11">#REF!</definedName>
    <definedName name="М_81" localSheetId="13">#REF!</definedName>
    <definedName name="М_81">#REF!</definedName>
    <definedName name="М_83" localSheetId="24">#REF!</definedName>
    <definedName name="М_83" localSheetId="11">#REF!</definedName>
    <definedName name="М_83" localSheetId="13">#REF!</definedName>
    <definedName name="М_83">#REF!</definedName>
    <definedName name="М_84">[61]К.С.М.!$P$87</definedName>
    <definedName name="М_85" localSheetId="24">#REF!</definedName>
    <definedName name="М_85" localSheetId="11">#REF!</definedName>
    <definedName name="М_85" localSheetId="13">#REF!</definedName>
    <definedName name="М_85">#REF!</definedName>
    <definedName name="М_86" localSheetId="24">'[59]К.С.М. (ПУТ)'!#REF!</definedName>
    <definedName name="М_86" localSheetId="11">'[59]К.С.М. (ПУТ)'!#REF!</definedName>
    <definedName name="М_86" localSheetId="13">'[59]К.С.М. (ПУТ)'!#REF!</definedName>
    <definedName name="М_86">'[59]К.С.М. (ПУТ)'!#REF!</definedName>
    <definedName name="М_87" localSheetId="24">#REF!</definedName>
    <definedName name="М_87" localSheetId="11">#REF!</definedName>
    <definedName name="М_87" localSheetId="13">#REF!</definedName>
    <definedName name="М_87">#REF!</definedName>
    <definedName name="М_88">[61]К.С.М.!$P$91</definedName>
    <definedName name="М_89" localSheetId="24">#REF!</definedName>
    <definedName name="М_89" localSheetId="11">#REF!</definedName>
    <definedName name="М_89" localSheetId="13">#REF!</definedName>
    <definedName name="М_89">#REF!</definedName>
    <definedName name="М_9" localSheetId="24">#REF!</definedName>
    <definedName name="М_9" localSheetId="11">#REF!</definedName>
    <definedName name="М_9" localSheetId="13">#REF!</definedName>
    <definedName name="М_9">#REF!</definedName>
    <definedName name="М_91" localSheetId="24">'[59]К.С.М. (ПУТ)'!#REF!</definedName>
    <definedName name="М_91" localSheetId="11">'[59]К.С.М. (ПУТ)'!#REF!</definedName>
    <definedName name="М_91" localSheetId="13">'[59]К.С.М. (ПУТ)'!#REF!</definedName>
    <definedName name="М_91">'[59]К.С.М. (ПУТ)'!#REF!</definedName>
    <definedName name="М_93" localSheetId="24">#REF!</definedName>
    <definedName name="М_93" localSheetId="11">#REF!</definedName>
    <definedName name="М_93" localSheetId="13">#REF!</definedName>
    <definedName name="М_93">#REF!</definedName>
    <definedName name="М_97" localSheetId="24">#REF!</definedName>
    <definedName name="М_97" localSheetId="11">#REF!</definedName>
    <definedName name="М_97" localSheetId="13">#REF!</definedName>
    <definedName name="М_97">#REF!</definedName>
    <definedName name="М12" localSheetId="24">#REF!</definedName>
    <definedName name="М12" localSheetId="11">#REF!</definedName>
    <definedName name="М12" localSheetId="13">#REF!</definedName>
    <definedName name="М12">#REF!</definedName>
    <definedName name="май">[42]Лист1!$C$936:$H$1175</definedName>
    <definedName name="маша" localSheetId="24" hidden="1">{#N/A,#N/A,TRUE,"Сводка балансов"}</definedName>
    <definedName name="маша" localSheetId="11" hidden="1">{#N/A,#N/A,TRUE,"Сводка балансов"}</definedName>
    <definedName name="маша" localSheetId="13" hidden="1">{#N/A,#N/A,TRUE,"Сводка балансов"}</definedName>
    <definedName name="маша" hidden="1">{#N/A,#N/A,TRUE,"Сводка балансов"}</definedName>
    <definedName name="метро" localSheetId="24" hidden="1">{#N/A,#N/A,TRUE,"Сводка балансов"}</definedName>
    <definedName name="метро" localSheetId="11" hidden="1">{#N/A,#N/A,TRUE,"Сводка балансов"}</definedName>
    <definedName name="метро" localSheetId="13" hidden="1">{#N/A,#N/A,TRUE,"Сводка балансов"}</definedName>
    <definedName name="метро" hidden="1">{#N/A,#N/A,TRUE,"Сводка балансов"}</definedName>
    <definedName name="ми" localSheetId="24">[37]Лист1!#REF!</definedName>
    <definedName name="ми" localSheetId="11">[38]Лист1!#REF!</definedName>
    <definedName name="ми" localSheetId="13">[38]Лист1!#REF!</definedName>
    <definedName name="ми">[37]Лист1!#REF!</definedName>
    <definedName name="миииииииии" localSheetId="24">#REF!</definedName>
    <definedName name="миииииииии" localSheetId="11">#REF!</definedName>
    <definedName name="миииииииии">#REF!</definedName>
    <definedName name="митьбьотрипма" localSheetId="24">#REF!</definedName>
    <definedName name="митьбьотрипма" localSheetId="11">#REF!</definedName>
    <definedName name="митьбьотрипма">#REF!</definedName>
    <definedName name="млол" localSheetId="24">#REF!</definedName>
    <definedName name="млол" localSheetId="11">#REF!</definedName>
    <definedName name="млол">#REF!</definedName>
    <definedName name="мм" localSheetId="24">#REF!</definedName>
    <definedName name="мм" localSheetId="11">#REF!</definedName>
    <definedName name="мм">#REF!</definedName>
    <definedName name="мо" localSheetId="24">#REF!</definedName>
    <definedName name="мо" localSheetId="11">#REF!</definedName>
    <definedName name="мо">#REF!</definedName>
    <definedName name="монтаж" localSheetId="24">#REF!</definedName>
    <definedName name="монтаж" localSheetId="11">#REF!</definedName>
    <definedName name="монтаж">#REF!</definedName>
    <definedName name="мост" localSheetId="24">#REF!</definedName>
    <definedName name="мост" localSheetId="11">#REF!</definedName>
    <definedName name="мост">#REF!</definedName>
    <definedName name="мп">'[39]C.с '!$D$21</definedName>
    <definedName name="н" localSheetId="24">#REF!</definedName>
    <definedName name="н" localSheetId="11">#REF!</definedName>
    <definedName name="н">#REF!</definedName>
    <definedName name="Названия">'[47]КС-3'!$N$3:$N$3</definedName>
    <definedName name="Наименование_объекта" localSheetId="24">#REF!</definedName>
    <definedName name="Наименование_объекта" localSheetId="11">#REF!</definedName>
    <definedName name="Наименование_объекта">#REF!</definedName>
    <definedName name="Накладные_расходы_1" localSheetId="24">#REF!</definedName>
    <definedName name="Накладные_расходы_1" localSheetId="11">#REF!</definedName>
    <definedName name="Накладные_расходы_1">#REF!</definedName>
    <definedName name="Накладные_расходы_2" localSheetId="24">#REF!</definedName>
    <definedName name="Накладные_расходы_2" localSheetId="11">#REF!</definedName>
    <definedName name="Накладные_расходы_2">#REF!</definedName>
    <definedName name="налпольз" localSheetId="24">#REF!</definedName>
    <definedName name="налпольз" localSheetId="11">#REF!</definedName>
    <definedName name="налпольз">#REF!</definedName>
    <definedName name="Ндевицк_крА" localSheetId="24">#REF!</definedName>
    <definedName name="Ндевицк_крА" localSheetId="11">#REF!</definedName>
    <definedName name="Ндевицк_крА">#REF!</definedName>
    <definedName name="Ндевицк_крБ" localSheetId="24">#REF!</definedName>
    <definedName name="Ндевицк_крБ" localSheetId="11">#REF!</definedName>
    <definedName name="Ндевицк_крБ">#REF!</definedName>
    <definedName name="Ндевицк_крВ" localSheetId="24">#REF!</definedName>
    <definedName name="Ндевицк_крВ" localSheetId="11">#REF!</definedName>
    <definedName name="Ндевицк_крВ">#REF!</definedName>
    <definedName name="Ндевицк_крГ" localSheetId="24">#REF!</definedName>
    <definedName name="Ндевицк_крГ" localSheetId="11">#REF!</definedName>
    <definedName name="Ндевицк_крГ">#REF!</definedName>
    <definedName name="Ндевицк_крД" localSheetId="24">#REF!</definedName>
    <definedName name="Ндевицк_крД" localSheetId="11">#REF!</definedName>
    <definedName name="Ндевицк_крД">#REF!</definedName>
    <definedName name="Ндевицк_крЕ" localSheetId="24">#REF!</definedName>
    <definedName name="Ндевицк_крЕ" localSheetId="11">#REF!</definedName>
    <definedName name="Ндевицк_крЕ">#REF!</definedName>
    <definedName name="Ндевицк_крЖ" localSheetId="24">#REF!</definedName>
    <definedName name="Ндевицк_крЖ" localSheetId="11">#REF!</definedName>
    <definedName name="Ндевицк_крЖ">#REF!</definedName>
    <definedName name="НДС">'[47]КС-3'!$J$1</definedName>
    <definedName name="не" localSheetId="24">[37]Лист1!#REF!</definedName>
    <definedName name="не" localSheetId="11">[38]Лист1!#REF!</definedName>
    <definedName name="не" localSheetId="13">[38]Лист1!#REF!</definedName>
    <definedName name="не">[37]Лист1!#REF!</definedName>
    <definedName name="неет" localSheetId="24">#REF!</definedName>
    <definedName name="неет" localSheetId="11">#REF!</definedName>
    <definedName name="неет" localSheetId="13">#REF!</definedName>
    <definedName name="неет">#REF!</definedName>
    <definedName name="неошл" localSheetId="24">#REF!</definedName>
    <definedName name="неошл" localSheetId="11">#REF!</definedName>
    <definedName name="неошл" localSheetId="13">#REF!</definedName>
    <definedName name="неошл">#REF!</definedName>
    <definedName name="нет" localSheetId="24">#REF!</definedName>
    <definedName name="нет" localSheetId="11">#REF!</definedName>
    <definedName name="нет">#REF!</definedName>
    <definedName name="нн45ни" localSheetId="24">#REF!</definedName>
    <definedName name="нн45ни" localSheetId="11">#REF!</definedName>
    <definedName name="нн45ни">#REF!</definedName>
    <definedName name="ннннннннннннн" localSheetId="24">#REF!</definedName>
    <definedName name="ннннннннннннн" localSheetId="11">#REF!</definedName>
    <definedName name="ннннннннннннн">#REF!</definedName>
    <definedName name="нннннннннннннннннннннннннннннннн" localSheetId="24">#REF!</definedName>
    <definedName name="нннннннннннннннннннннннннннннннн" localSheetId="11">#REF!</definedName>
    <definedName name="нннннннннннннннннннннннннннннннн">#REF!</definedName>
    <definedName name="нннннннннннт" localSheetId="24">#REF!</definedName>
    <definedName name="нннннннннннт" localSheetId="11">#REF!</definedName>
    <definedName name="нннннннннннт">#REF!</definedName>
    <definedName name="ноооооооооооооооооооо" localSheetId="24">#REF!</definedName>
    <definedName name="ноооооооооооооооооооо" localSheetId="11">#REF!</definedName>
    <definedName name="ноооооооооооооооооооо">#REF!</definedName>
    <definedName name="нрогнлгн" localSheetId="24">[69]Лист1!#REF!</definedName>
    <definedName name="нрогнлгн" localSheetId="11">[69]Лист1!#REF!</definedName>
    <definedName name="нрогнлгн" localSheetId="13">[69]Лист1!#REF!</definedName>
    <definedName name="нрогнлгн">[69]Лист1!#REF!</definedName>
    <definedName name="НТС">[50]Лист1!$M$138</definedName>
    <definedName name="НУ">'[57]КС-3'!$N$3:$N$3</definedName>
    <definedName name="Нусмань_крА" localSheetId="24">#REF!</definedName>
    <definedName name="Нусмань_крА" localSheetId="11">#REF!</definedName>
    <definedName name="Нусмань_крА" localSheetId="13">#REF!</definedName>
    <definedName name="Нусмань_крА">#REF!</definedName>
    <definedName name="Нусмань_крБ" localSheetId="24">#REF!</definedName>
    <definedName name="Нусмань_крБ" localSheetId="11">#REF!</definedName>
    <definedName name="Нусмань_крБ" localSheetId="13">#REF!</definedName>
    <definedName name="Нусмань_крБ">#REF!</definedName>
    <definedName name="Нусмань_крВ" localSheetId="24">#REF!</definedName>
    <definedName name="Нусмань_крВ" localSheetId="11">#REF!</definedName>
    <definedName name="Нусмань_крВ" localSheetId="13">#REF!</definedName>
    <definedName name="Нусмань_крВ">#REF!</definedName>
    <definedName name="Нусмань_крГ" localSheetId="24">#REF!</definedName>
    <definedName name="Нусмань_крГ" localSheetId="11">#REF!</definedName>
    <definedName name="Нусмань_крГ">#REF!</definedName>
    <definedName name="Нусмань_крД" localSheetId="24">#REF!</definedName>
    <definedName name="Нусмань_крД" localSheetId="11">#REF!</definedName>
    <definedName name="Нусмань_крД">#REF!</definedName>
    <definedName name="Нусмань_крЕ" localSheetId="24">#REF!</definedName>
    <definedName name="Нусмань_крЕ" localSheetId="11">#REF!</definedName>
    <definedName name="Нусмань_крЕ">#REF!</definedName>
    <definedName name="Нусмань_крЖ" localSheetId="24">#REF!</definedName>
    <definedName name="Нусмань_крЖ" localSheetId="11">#REF!</definedName>
    <definedName name="Нусмань_крЖ">#REF!</definedName>
    <definedName name="Нхопер_крА" localSheetId="24">#REF!</definedName>
    <definedName name="Нхопер_крА" localSheetId="11">#REF!</definedName>
    <definedName name="Нхопер_крА">#REF!</definedName>
    <definedName name="Нхопер_крБ" localSheetId="24">#REF!</definedName>
    <definedName name="Нхопер_крБ" localSheetId="11">#REF!</definedName>
    <definedName name="Нхопер_крБ">#REF!</definedName>
    <definedName name="Нхопер_крВ" localSheetId="24">#REF!</definedName>
    <definedName name="Нхопер_крВ" localSheetId="11">#REF!</definedName>
    <definedName name="Нхопер_крВ">#REF!</definedName>
    <definedName name="Нхопер_крГ" localSheetId="24">#REF!</definedName>
    <definedName name="Нхопер_крГ" localSheetId="11">#REF!</definedName>
    <definedName name="Нхопер_крГ">#REF!</definedName>
    <definedName name="Нхопер_крД" localSheetId="24">#REF!</definedName>
    <definedName name="Нхопер_крД" localSheetId="11">#REF!</definedName>
    <definedName name="Нхопер_крД">#REF!</definedName>
    <definedName name="Нхопер_крЕ" localSheetId="24">#REF!</definedName>
    <definedName name="Нхопер_крЕ" localSheetId="11">#REF!</definedName>
    <definedName name="Нхопер_крЕ">#REF!</definedName>
    <definedName name="Нхопер_крЖ" localSheetId="24">#REF!</definedName>
    <definedName name="Нхопер_крЖ" localSheetId="11">#REF!</definedName>
    <definedName name="Нхопер_крЖ">#REF!</definedName>
    <definedName name="о" localSheetId="24">#REF!</definedName>
    <definedName name="о" localSheetId="11">#REF!</definedName>
    <definedName name="о">#REF!</definedName>
    <definedName name="О_1" localSheetId="24">#REF!</definedName>
    <definedName name="О_1" localSheetId="11">#REF!</definedName>
    <definedName name="О_1">#REF!</definedName>
    <definedName name="об">'[39]C.с '!$F$36</definedName>
    <definedName name="обл" localSheetId="24">#REF!</definedName>
    <definedName name="обл" localSheetId="11">#REF!</definedName>
    <definedName name="обл">#REF!</definedName>
    <definedName name="_xlnm.Print_Area" localSheetId="9">' 15.9 '!$A$1:$L$233</definedName>
    <definedName name="_xlnm.Print_Area" localSheetId="14">'1_16.1'!$A$1:$L$127</definedName>
    <definedName name="_xlnm.Print_Area" localSheetId="23">'10_16.10'!$A$1:$L$140</definedName>
    <definedName name="_xlnm.Print_Area" localSheetId="24">'11_17.52'!$A$1:$L$193</definedName>
    <definedName name="_xlnm.Print_Area" localSheetId="1">'15.1'!$A$1:$L$161</definedName>
    <definedName name="_xlnm.Print_Area" localSheetId="10">'15.10'!$A$1:$L$143</definedName>
    <definedName name="_xlnm.Print_Area" localSheetId="2">'15.2'!$A$1:$L$94</definedName>
    <definedName name="_xlnm.Print_Area" localSheetId="3">'15.3'!$A$1:$L$84</definedName>
    <definedName name="_xlnm.Print_Area" localSheetId="4">'15.4'!$A$1:$L$80</definedName>
    <definedName name="_xlnm.Print_Area" localSheetId="5">'15.5'!$A$1:$L$114</definedName>
    <definedName name="_xlnm.Print_Area" localSheetId="6">'15.6 '!$A$31:$L$134</definedName>
    <definedName name="_xlnm.Print_Area" localSheetId="7">'15.7 '!$A$31:$L$229</definedName>
    <definedName name="_xlnm.Print_Area" localSheetId="8">'15.8'!$A$1:$L$89</definedName>
    <definedName name="_xlnm.Print_Area" localSheetId="15">'2_16.2'!$A$1:$L$208</definedName>
    <definedName name="_xlnm.Print_Area" localSheetId="16">'3_16.3'!$A$1:$L$602</definedName>
    <definedName name="_xlnm.Print_Area" localSheetId="17">'4_16.4'!$A$1:$L$361</definedName>
    <definedName name="_xlnm.Print_Area" localSheetId="18">'5_16.5'!$A$1:$L$159</definedName>
    <definedName name="_xlnm.Print_Area" localSheetId="19">'6_16.6'!$A$1:$L$68</definedName>
    <definedName name="_xlnm.Print_Area" localSheetId="20">'7_16.7'!$A$1:$L$297</definedName>
    <definedName name="_xlnm.Print_Area" localSheetId="21">'8_16.8'!$A$1:$L$221</definedName>
    <definedName name="_xlnm.Print_Area" localSheetId="22">'9_16.9'!$A$1:$L$224</definedName>
    <definedName name="_xlnm.Print_Area" localSheetId="11">'КС-3'!$A$1:$H$79</definedName>
    <definedName name="_xlnm.Print_Area" localSheetId="13">Реестр!$A$1:$Y$32</definedName>
    <definedName name="_xlnm.Print_Area" localSheetId="12">'Реестр декабрь'!$A$1:$AG$39</definedName>
    <definedName name="_xlnm.Print_Area">#REF!</definedName>
    <definedName name="обс" localSheetId="24">#REF!</definedName>
    <definedName name="обс" localSheetId="11">#REF!</definedName>
    <definedName name="обс" localSheetId="13">#REF!</definedName>
    <definedName name="обс">#REF!</definedName>
    <definedName name="обсл" localSheetId="24">#REF!</definedName>
    <definedName name="обсл" localSheetId="11">#REF!</definedName>
    <definedName name="обсл" localSheetId="13">#REF!</definedName>
    <definedName name="обсл">#REF!</definedName>
    <definedName name="обслуга" localSheetId="24">#REF!</definedName>
    <definedName name="обслуга" localSheetId="11">#REF!</definedName>
    <definedName name="обслуга">#REF!</definedName>
    <definedName name="обслуж" localSheetId="24">#REF!</definedName>
    <definedName name="обслуж" localSheetId="11">#REF!</definedName>
    <definedName name="обслуж">#REF!</definedName>
    <definedName name="Объездн.дор.">'[41]Объездные дороги'!$AJ$41</definedName>
    <definedName name="объем" localSheetId="24">#REF!</definedName>
    <definedName name="объем" localSheetId="11">#REF!</definedName>
    <definedName name="объем" localSheetId="13">#REF!</definedName>
    <definedName name="объем">#REF!</definedName>
    <definedName name="оз" localSheetId="24">#REF!</definedName>
    <definedName name="оз" localSheetId="11">#REF!</definedName>
    <definedName name="оз" localSheetId="13">#REF!</definedName>
    <definedName name="оз">#REF!</definedName>
    <definedName name="Озел.">[41]Озеленение!$AJ$40</definedName>
    <definedName name="окно.б." localSheetId="24">#REF!</definedName>
    <definedName name="окно.б." localSheetId="11">#REF!</definedName>
    <definedName name="окно.б." localSheetId="13">#REF!</definedName>
    <definedName name="окно.б.">#REF!</definedName>
    <definedName name="ол" localSheetId="24">#REF!</definedName>
    <definedName name="ол" localSheetId="11">#REF!</definedName>
    <definedName name="ол" localSheetId="13">#REF!</definedName>
    <definedName name="ол">#REF!</definedName>
    <definedName name="ОЛЖОЛЖО" localSheetId="24">#REF!</definedName>
    <definedName name="ОЛЖОЛЖО" localSheetId="11">#REF!</definedName>
    <definedName name="ОЛЖОЛЖО" localSheetId="13">#REF!</definedName>
    <definedName name="ОЛЖОЛЖО">#REF!</definedName>
    <definedName name="ололо" localSheetId="24">#REF!</definedName>
    <definedName name="ололо" localSheetId="11">#REF!</definedName>
    <definedName name="ололо">#REF!</definedName>
    <definedName name="ольхов_крА" localSheetId="24">#REF!</definedName>
    <definedName name="ольхов_крА" localSheetId="11">#REF!</definedName>
    <definedName name="ольхов_крА">#REF!</definedName>
    <definedName name="ольхов_крБ" localSheetId="24">#REF!</definedName>
    <definedName name="ольхов_крБ" localSheetId="11">#REF!</definedName>
    <definedName name="ольхов_крБ">#REF!</definedName>
    <definedName name="ольхов_крВ" localSheetId="24">#REF!</definedName>
    <definedName name="ольхов_крВ" localSheetId="11">#REF!</definedName>
    <definedName name="ольхов_крВ">#REF!</definedName>
    <definedName name="ольхов_крГ" localSheetId="24">#REF!</definedName>
    <definedName name="ольхов_крГ" localSheetId="11">#REF!</definedName>
    <definedName name="ольхов_крГ">#REF!</definedName>
    <definedName name="ольхов_крД" localSheetId="24">#REF!</definedName>
    <definedName name="ольхов_крД" localSheetId="11">#REF!</definedName>
    <definedName name="ольхов_крД">#REF!</definedName>
    <definedName name="ольхов_крЕ" localSheetId="24">#REF!</definedName>
    <definedName name="ольхов_крЕ" localSheetId="11">#REF!</definedName>
    <definedName name="ольхов_крЕ">#REF!</definedName>
    <definedName name="ольхов_крЖ" localSheetId="24">#REF!</definedName>
    <definedName name="ольхов_крЖ" localSheetId="11">#REF!</definedName>
    <definedName name="ольхов_крЖ">#REF!</definedName>
    <definedName name="оо" localSheetId="24">#REF!</definedName>
    <definedName name="оо" localSheetId="11">#REF!</definedName>
    <definedName name="оо">#REF!</definedName>
    <definedName name="ооо" localSheetId="24">#REF!</definedName>
    <definedName name="ооо" localSheetId="11">#REF!</definedName>
    <definedName name="ооо">#REF!</definedName>
    <definedName name="оооо" localSheetId="24">#REF!</definedName>
    <definedName name="оооо" localSheetId="11">#REF!</definedName>
    <definedName name="оооо">#REF!</definedName>
    <definedName name="ооооо" localSheetId="24">#REF!</definedName>
    <definedName name="ооооо" localSheetId="11">#REF!</definedName>
    <definedName name="ооооо">#REF!</definedName>
    <definedName name="оооооо" localSheetId="24">#REF!</definedName>
    <definedName name="оооооо" localSheetId="11">#REF!</definedName>
    <definedName name="оооооо">#REF!</definedName>
    <definedName name="ОП1" localSheetId="24">#REF!</definedName>
    <definedName name="ОП1" localSheetId="11">#REF!</definedName>
    <definedName name="ОП1">#REF!</definedName>
    <definedName name="ор" localSheetId="24">'[45]C.с '!#REF!</definedName>
    <definedName name="ор" localSheetId="11">'[45]C.с '!#REF!</definedName>
    <definedName name="ор" localSheetId="13">'[45]C.с '!#REF!</definedName>
    <definedName name="ор">'[45]C.с '!#REF!</definedName>
    <definedName name="орпророо" localSheetId="24">#REF!</definedName>
    <definedName name="орпророо" localSheetId="11">#REF!</definedName>
    <definedName name="орпророо">#REF!</definedName>
    <definedName name="орь" localSheetId="24">#REF!</definedName>
    <definedName name="орь" localSheetId="11">#REF!</definedName>
    <definedName name="орь">#REF!</definedName>
    <definedName name="острог_крА" localSheetId="24">#REF!</definedName>
    <definedName name="острог_крА" localSheetId="11">#REF!</definedName>
    <definedName name="острог_крА">#REF!</definedName>
    <definedName name="острог_крБ" localSheetId="24">#REF!</definedName>
    <definedName name="острог_крБ" localSheetId="11">#REF!</definedName>
    <definedName name="острог_крБ">#REF!</definedName>
    <definedName name="острог_крВ" localSheetId="24">#REF!</definedName>
    <definedName name="острог_крВ" localSheetId="11">#REF!</definedName>
    <definedName name="острог_крВ">#REF!</definedName>
    <definedName name="острог_крГ" localSheetId="24">#REF!</definedName>
    <definedName name="острог_крГ" localSheetId="11">#REF!</definedName>
    <definedName name="острог_крГ">#REF!</definedName>
    <definedName name="острог_крД" localSheetId="24">#REF!</definedName>
    <definedName name="острог_крД" localSheetId="11">#REF!</definedName>
    <definedName name="острог_крД">#REF!</definedName>
    <definedName name="острог_крЕ" localSheetId="24">#REF!</definedName>
    <definedName name="острог_крЕ" localSheetId="11">#REF!</definedName>
    <definedName name="острог_крЕ">#REF!</definedName>
    <definedName name="острог_крЖ" localSheetId="24">#REF!</definedName>
    <definedName name="острог_крЖ" localSheetId="11">#REF!</definedName>
    <definedName name="острог_крЖ">#REF!</definedName>
    <definedName name="Отделы" localSheetId="24">#REF!</definedName>
    <definedName name="Отделы" localSheetId="11">#REF!</definedName>
    <definedName name="Отделы">#REF!</definedName>
    <definedName name="Оформл.отвода">'[41] Подготовительные работы'!$AJ$20</definedName>
    <definedName name="охот_клуб" localSheetId="24" hidden="1">{#N/A,#N/A,TRUE,"Сводка балансов"}</definedName>
    <definedName name="охот_клуб" localSheetId="11" hidden="1">{#N/A,#N/A,TRUE,"Сводка балансов"}</definedName>
    <definedName name="охот_клуб" localSheetId="13" hidden="1">{#N/A,#N/A,TRUE,"Сводка балансов"}</definedName>
    <definedName name="охот_клуб" hidden="1">{#N/A,#N/A,TRUE,"Сводка балансов"}</definedName>
    <definedName name="охр" localSheetId="24">#REF!</definedName>
    <definedName name="охр" localSheetId="11">#REF!</definedName>
    <definedName name="охр">#REF!</definedName>
    <definedName name="охрана" localSheetId="24">#REF!</definedName>
    <definedName name="охрана" localSheetId="11">#REF!</definedName>
    <definedName name="охрана">#REF!</definedName>
    <definedName name="охрана2" localSheetId="24">#REF!</definedName>
    <definedName name="охрана2" localSheetId="11">#REF!</definedName>
    <definedName name="охрана2">#REF!</definedName>
    <definedName name="п" localSheetId="24">#REF!</definedName>
    <definedName name="п" localSheetId="11">#REF!</definedName>
    <definedName name="п">#REF!</definedName>
    <definedName name="П_1" localSheetId="24">#REF!</definedName>
    <definedName name="П_1" localSheetId="11">#REF!</definedName>
    <definedName name="П_1">#REF!</definedName>
    <definedName name="П1" localSheetId="24">#REF!</definedName>
    <definedName name="П1" localSheetId="11">#REF!</definedName>
    <definedName name="П1">#REF!</definedName>
    <definedName name="паапа" localSheetId="24">#REF!</definedName>
    <definedName name="паапа" localSheetId="11">#REF!</definedName>
    <definedName name="паапа">#REF!</definedName>
    <definedName name="павлов_крА" localSheetId="24">#REF!</definedName>
    <definedName name="павлов_крА" localSheetId="11">#REF!</definedName>
    <definedName name="павлов_крА">#REF!</definedName>
    <definedName name="павлов_крБ" localSheetId="24">#REF!</definedName>
    <definedName name="павлов_крБ" localSheetId="11">#REF!</definedName>
    <definedName name="павлов_крБ">#REF!</definedName>
    <definedName name="павлов_крВ" localSheetId="24">#REF!</definedName>
    <definedName name="павлов_крВ" localSheetId="11">#REF!</definedName>
    <definedName name="павлов_крВ">#REF!</definedName>
    <definedName name="павлов_крГ" localSheetId="24">#REF!</definedName>
    <definedName name="павлов_крГ" localSheetId="11">#REF!</definedName>
    <definedName name="павлов_крГ">#REF!</definedName>
    <definedName name="павлов_крД" localSheetId="24">#REF!</definedName>
    <definedName name="павлов_крД" localSheetId="11">#REF!</definedName>
    <definedName name="павлов_крД">#REF!</definedName>
    <definedName name="павлов_крЕ" localSheetId="24">#REF!</definedName>
    <definedName name="павлов_крЕ" localSheetId="11">#REF!</definedName>
    <definedName name="павлов_крЕ">#REF!</definedName>
    <definedName name="павлов_крЖ" localSheetId="24">#REF!</definedName>
    <definedName name="павлов_крЖ" localSheetId="11">#REF!</definedName>
    <definedName name="павлов_крЖ">#REF!</definedName>
    <definedName name="павод" localSheetId="24">#REF!</definedName>
    <definedName name="павод" localSheetId="11">#REF!</definedName>
    <definedName name="павод">#REF!</definedName>
    <definedName name="панино_крА" localSheetId="24">#REF!</definedName>
    <definedName name="панино_крА" localSheetId="11">#REF!</definedName>
    <definedName name="панино_крА">#REF!</definedName>
    <definedName name="панино_крБ" localSheetId="24">#REF!</definedName>
    <definedName name="панино_крБ" localSheetId="11">#REF!</definedName>
    <definedName name="панино_крБ">#REF!</definedName>
    <definedName name="панино_крВ" localSheetId="24">#REF!</definedName>
    <definedName name="панино_крВ" localSheetId="11">#REF!</definedName>
    <definedName name="панино_крВ">#REF!</definedName>
    <definedName name="панино_крГ" localSheetId="24">#REF!</definedName>
    <definedName name="панино_крГ" localSheetId="11">#REF!</definedName>
    <definedName name="панино_крГ">#REF!</definedName>
    <definedName name="панино_крД" localSheetId="24">#REF!</definedName>
    <definedName name="панино_крД" localSheetId="11">#REF!</definedName>
    <definedName name="панино_крД">#REF!</definedName>
    <definedName name="панино_крЕ" localSheetId="24">#REF!</definedName>
    <definedName name="панино_крЕ" localSheetId="11">#REF!</definedName>
    <definedName name="панино_крЕ">#REF!</definedName>
    <definedName name="панино_крЖ" localSheetId="24">#REF!</definedName>
    <definedName name="панино_крЖ" localSheetId="11">#REF!</definedName>
    <definedName name="панино_крЖ">#REF!</definedName>
    <definedName name="ПАПАИПАПА" localSheetId="24">#REF!</definedName>
    <definedName name="ПАПАИПАПА" localSheetId="11">#REF!</definedName>
    <definedName name="ПАПАИПАПА">#REF!</definedName>
    <definedName name="папап" localSheetId="24">#REF!</definedName>
    <definedName name="папап" localSheetId="11">#REF!</definedName>
    <definedName name="папап">#REF!</definedName>
    <definedName name="папвуу" localSheetId="24">#REF!</definedName>
    <definedName name="папвуу" localSheetId="11">#REF!</definedName>
    <definedName name="папвуу">#REF!</definedName>
    <definedName name="пар" localSheetId="24">#REF!</definedName>
    <definedName name="пар" localSheetId="11">#REF!</definedName>
    <definedName name="пар">#REF!</definedName>
    <definedName name="параша" localSheetId="24" hidden="1">{#N/A,#N/A,TRUE,"Сводка балансов"}</definedName>
    <definedName name="параша" localSheetId="11" hidden="1">{#N/A,#N/A,TRUE,"Сводка балансов"}</definedName>
    <definedName name="параша" localSheetId="13" hidden="1">{#N/A,#N/A,TRUE,"Сводка балансов"}</definedName>
    <definedName name="параша" hidden="1">{#N/A,#N/A,TRUE,"Сводка балансов"}</definedName>
    <definedName name="партия2" localSheetId="24">#REF!</definedName>
    <definedName name="партия2" localSheetId="11">#REF!</definedName>
    <definedName name="партия2">#REF!</definedName>
    <definedName name="паша" localSheetId="24" hidden="1">{#N/A,#N/A,TRUE,"Сводка балансов"}</definedName>
    <definedName name="паша" localSheetId="11" hidden="1">{#N/A,#N/A,TRUE,"Сводка балансов"}</definedName>
    <definedName name="паша" localSheetId="13" hidden="1">{#N/A,#N/A,TRUE,"Сводка балансов"}</definedName>
    <definedName name="паша" hidden="1">{#N/A,#N/A,TRUE,"Сводка балансов"}</definedName>
    <definedName name="пв" localSheetId="24">[37]Лист1!#REF!</definedName>
    <definedName name="пв" localSheetId="11">[38]Лист1!#REF!</definedName>
    <definedName name="пв" localSheetId="13">[38]Лист1!#REF!</definedName>
    <definedName name="пв">[37]Лист1!#REF!</definedName>
    <definedName name="пд">[49]C.с!$D$123</definedName>
    <definedName name="перевозка" localSheetId="24">#REF!</definedName>
    <definedName name="перевозка" localSheetId="11">#REF!</definedName>
    <definedName name="перевозка" localSheetId="13">#REF!</definedName>
    <definedName name="перевозка">#REF!</definedName>
    <definedName name="Пересеч.">'[41]Пересечения и примыкания'!$AJ$58</definedName>
    <definedName name="петроп_крА" localSheetId="24">#REF!</definedName>
    <definedName name="петроп_крА" localSheetId="11">#REF!</definedName>
    <definedName name="петроп_крА" localSheetId="13">#REF!</definedName>
    <definedName name="петроп_крА">#REF!</definedName>
    <definedName name="петроп_крБ" localSheetId="24">#REF!</definedName>
    <definedName name="петроп_крБ" localSheetId="11">#REF!</definedName>
    <definedName name="петроп_крБ" localSheetId="13">#REF!</definedName>
    <definedName name="петроп_крБ">#REF!</definedName>
    <definedName name="петроп_крВ" localSheetId="24">#REF!</definedName>
    <definedName name="петроп_крВ" localSheetId="11">#REF!</definedName>
    <definedName name="петроп_крВ" localSheetId="13">#REF!</definedName>
    <definedName name="петроп_крВ">#REF!</definedName>
    <definedName name="петроп_крГ" localSheetId="24">#REF!</definedName>
    <definedName name="петроп_крГ" localSheetId="11">#REF!</definedName>
    <definedName name="петроп_крГ">#REF!</definedName>
    <definedName name="петроп_крД" localSheetId="24">#REF!</definedName>
    <definedName name="петроп_крД" localSheetId="11">#REF!</definedName>
    <definedName name="петроп_крД">#REF!</definedName>
    <definedName name="петроп_крЕ" localSheetId="24">#REF!</definedName>
    <definedName name="петроп_крЕ" localSheetId="11">#REF!</definedName>
    <definedName name="петроп_крЕ">#REF!</definedName>
    <definedName name="петроп_крЖ" localSheetId="24">#REF!</definedName>
    <definedName name="петроп_крЖ" localSheetId="11">#REF!</definedName>
    <definedName name="петроп_крЖ">#REF!</definedName>
    <definedName name="пеш" localSheetId="24">#REF!</definedName>
    <definedName name="пеш" localSheetId="11">#REF!</definedName>
    <definedName name="пеш">#REF!</definedName>
    <definedName name="Пеш.дорожки">'[41]Обстановка дороги'!$AJ$66</definedName>
    <definedName name="ПИР">[70]ПИР!$F$20</definedName>
    <definedName name="пкапв" localSheetId="24">#REF!</definedName>
    <definedName name="пкапв" localSheetId="11">#REF!</definedName>
    <definedName name="пкапв" localSheetId="13">#REF!</definedName>
    <definedName name="пкапв">#REF!</definedName>
    <definedName name="пквпппппппппппп" localSheetId="24">#REF!</definedName>
    <definedName name="пквпппппппппппп" localSheetId="11">#REF!</definedName>
    <definedName name="пквпппппппппппп" localSheetId="13">#REF!</definedName>
    <definedName name="пквпппппппппппп">#REF!</definedName>
    <definedName name="плрайдшогкуп" localSheetId="24">#REF!</definedName>
    <definedName name="плрайдшогкуп" localSheetId="11">#REF!</definedName>
    <definedName name="плрайдшогкуп" localSheetId="13">#REF!</definedName>
    <definedName name="плрайдшогкуп">#REF!</definedName>
    <definedName name="плс" localSheetId="24">'[45]C.с '!#REF!</definedName>
    <definedName name="плс" localSheetId="11">'[45]C.с '!#REF!</definedName>
    <definedName name="плс" localSheetId="13">'[45]C.с '!#REF!</definedName>
    <definedName name="плс">'[45]C.с '!#REF!</definedName>
    <definedName name="пм">[49]C.с!$D$39</definedName>
    <definedName name="пмрпрпрр" localSheetId="24">#REF!</definedName>
    <definedName name="пмрпрпрр" localSheetId="11">#REF!</definedName>
    <definedName name="пмрпрпрр" localSheetId="13">#REF!</definedName>
    <definedName name="пмрпрпрр">#REF!</definedName>
    <definedName name="ПНР" localSheetId="24">#REF!,#REF!,#REF!,#REF!,#REF!,#REF!,#REF!</definedName>
    <definedName name="ПНР" localSheetId="11">#REF!,#REF!,#REF!,#REF!,#REF!,#REF!,#REF!</definedName>
    <definedName name="ПНР" localSheetId="13">#REF!,#REF!,#REF!,#REF!,#REF!,#REF!,#REF!</definedName>
    <definedName name="ПНР">#REF!,#REF!,#REF!,#REF!,#REF!,#REF!,#REF!</definedName>
    <definedName name="ПНР_О_И" localSheetId="24">#REF!,#REF!,#REF!,#REF!,#REF!,#REF!,#REF!</definedName>
    <definedName name="ПНР_О_И" localSheetId="11">#REF!,#REF!,#REF!,#REF!,#REF!,#REF!,#REF!</definedName>
    <definedName name="ПНР_О_И" localSheetId="13">#REF!,#REF!,#REF!,#REF!,#REF!,#REF!,#REF!</definedName>
    <definedName name="ПНР_О_И">#REF!,#REF!,#REF!,#REF!,#REF!,#REF!,#REF!</definedName>
    <definedName name="повор_крА" localSheetId="24">#REF!</definedName>
    <definedName name="повор_крА" localSheetId="11">#REF!</definedName>
    <definedName name="повор_крА">#REF!</definedName>
    <definedName name="повор_крБ" localSheetId="24">#REF!</definedName>
    <definedName name="повор_крБ" localSheetId="11">#REF!</definedName>
    <definedName name="повор_крБ">#REF!</definedName>
    <definedName name="повор_крВ" localSheetId="24">#REF!</definedName>
    <definedName name="повор_крВ" localSheetId="11">#REF!</definedName>
    <definedName name="повор_крВ">#REF!</definedName>
    <definedName name="повор_крГ" localSheetId="24">#REF!</definedName>
    <definedName name="повор_крГ" localSheetId="11">#REF!</definedName>
    <definedName name="повор_крГ">#REF!</definedName>
    <definedName name="повор_крД" localSheetId="24">#REF!</definedName>
    <definedName name="повор_крД" localSheetId="11">#REF!</definedName>
    <definedName name="повор_крД">#REF!</definedName>
    <definedName name="повор_крЕ" localSheetId="24">#REF!</definedName>
    <definedName name="повор_крЕ" localSheetId="11">#REF!</definedName>
    <definedName name="повор_крЕ">#REF!</definedName>
    <definedName name="повор_крЖ" localSheetId="24">#REF!</definedName>
    <definedName name="повор_крЖ" localSheetId="11">#REF!</definedName>
    <definedName name="повор_крЖ">#REF!</definedName>
    <definedName name="под" localSheetId="24">#REF!</definedName>
    <definedName name="под" localSheetId="11">#REF!</definedName>
    <definedName name="под">#REF!</definedName>
    <definedName name="подгор_крА" localSheetId="24">#REF!</definedName>
    <definedName name="подгор_крА" localSheetId="11">#REF!</definedName>
    <definedName name="подгор_крА">#REF!</definedName>
    <definedName name="подгор_крБ" localSheetId="24">#REF!</definedName>
    <definedName name="подгор_крБ" localSheetId="11">#REF!</definedName>
    <definedName name="подгор_крБ">#REF!</definedName>
    <definedName name="подгор_крВ" localSheetId="24">#REF!</definedName>
    <definedName name="подгор_крВ" localSheetId="11">#REF!</definedName>
    <definedName name="подгор_крВ">#REF!</definedName>
    <definedName name="подгор_крГ" localSheetId="24">#REF!</definedName>
    <definedName name="подгор_крГ" localSheetId="11">#REF!</definedName>
    <definedName name="подгор_крГ">#REF!</definedName>
    <definedName name="подгор_крД" localSheetId="24">#REF!</definedName>
    <definedName name="подгор_крД" localSheetId="11">#REF!</definedName>
    <definedName name="подгор_крД">#REF!</definedName>
    <definedName name="подгор_крЕ" localSheetId="24">#REF!</definedName>
    <definedName name="подгор_крЕ" localSheetId="11">#REF!</definedName>
    <definedName name="подгор_крЕ">#REF!</definedName>
    <definedName name="подгор_крЖ" localSheetId="24">#REF!</definedName>
    <definedName name="подгор_крЖ" localSheetId="11">#REF!</definedName>
    <definedName name="подгор_крЖ">#REF!</definedName>
    <definedName name="пожар" localSheetId="24">#REF!</definedName>
    <definedName name="пожар" localSheetId="11">#REF!</definedName>
    <definedName name="пожар">#REF!</definedName>
    <definedName name="понпш" localSheetId="24">#REF!</definedName>
    <definedName name="понпш" localSheetId="11">#REF!</definedName>
    <definedName name="понпш">#REF!</definedName>
    <definedName name="попопоппп" localSheetId="24">#REF!</definedName>
    <definedName name="попопоппп" localSheetId="11">#REF!</definedName>
    <definedName name="попопоппп">#REF!</definedName>
    <definedName name="пор" localSheetId="24">#REF!</definedName>
    <definedName name="пор" localSheetId="11">#REF!</definedName>
    <definedName name="пор">#REF!</definedName>
    <definedName name="ПОРЛ" localSheetId="24">#REF!</definedName>
    <definedName name="ПОРЛ" localSheetId="11">#REF!</definedName>
    <definedName name="ПОРЛ">#REF!</definedName>
    <definedName name="Посад.площ.">'[41]Обстановка дороги'!$AJ$121</definedName>
    <definedName name="пп" localSheetId="24">#REF!</definedName>
    <definedName name="пп" localSheetId="11">#REF!</definedName>
    <definedName name="пп">#REF!</definedName>
    <definedName name="ппп" localSheetId="24">#REF!</definedName>
    <definedName name="ппп" localSheetId="11">#REF!</definedName>
    <definedName name="ппп">#REF!</definedName>
    <definedName name="ппп." localSheetId="24">#REF!</definedName>
    <definedName name="ппп." localSheetId="11">#REF!</definedName>
    <definedName name="ппп.">#REF!</definedName>
    <definedName name="пппп" localSheetId="24">#REF!</definedName>
    <definedName name="пппп" localSheetId="11">#REF!</definedName>
    <definedName name="пппп">#REF!</definedName>
    <definedName name="ппппппппппп" localSheetId="24">#REF!</definedName>
    <definedName name="ппппппппппп" localSheetId="11">#REF!</definedName>
    <definedName name="ппппппппппп">#REF!</definedName>
    <definedName name="пппппппппппп" localSheetId="24">#REF!</definedName>
    <definedName name="пппппппппппп" localSheetId="11">#REF!</definedName>
    <definedName name="пппппппппппп">#REF!</definedName>
    <definedName name="ппппппппппппп" localSheetId="24">#REF!</definedName>
    <definedName name="ппппппппппппп" localSheetId="11">#REF!</definedName>
    <definedName name="ппппппппппппп">#REF!</definedName>
    <definedName name="пппппппппппппппппппва" localSheetId="24">#REF!</definedName>
    <definedName name="пппппппппппппппппппва" localSheetId="11">#REF!</definedName>
    <definedName name="пппппппппппппппппппва">#REF!</definedName>
    <definedName name="ппппппппппппппппппппп" localSheetId="24">#REF!</definedName>
    <definedName name="ппппппппппппппппппппп" localSheetId="11">#REF!</definedName>
    <definedName name="ппппппппппппппппппппп">#REF!</definedName>
    <definedName name="пппрр" localSheetId="24">#REF!</definedName>
    <definedName name="пппрр" localSheetId="11">#REF!</definedName>
    <definedName name="пппрр">#REF!</definedName>
    <definedName name="пр">'[39]C.с '!$D$69</definedName>
    <definedName name="пр1">[16]C.с!$E$58</definedName>
    <definedName name="преапреапрар" localSheetId="24">#REF!</definedName>
    <definedName name="преапреапрар" localSheetId="11">#REF!</definedName>
    <definedName name="преапреапрар" localSheetId="13">#REF!</definedName>
    <definedName name="преапреапрар">#REF!</definedName>
    <definedName name="прно">[71]Лист1!$A$316:$O$318</definedName>
    <definedName name="про" localSheetId="24">[36]Лист1!#REF!</definedName>
    <definedName name="про" localSheetId="11">[36]Лист1!#REF!</definedName>
    <definedName name="про" localSheetId="13">[36]Лист1!#REF!</definedName>
    <definedName name="про">[36]Лист1!#REF!</definedName>
    <definedName name="проект" localSheetId="24">#REF!</definedName>
    <definedName name="проект" localSheetId="11">#REF!</definedName>
    <definedName name="проект" localSheetId="13">#REF!</definedName>
    <definedName name="проект">#REF!</definedName>
    <definedName name="прол">'[40]C.с  (2)'!$I$80</definedName>
    <definedName name="пролл" localSheetId="24">#REF!</definedName>
    <definedName name="пролл" localSheetId="11">#REF!</definedName>
    <definedName name="пролл">#REF!</definedName>
    <definedName name="ПРОТОКОЛ_ИТОГИ_БНДС">'[50]Протокол ДЦ'!$E$11,'[50]Протокол ДЦ'!$E$22</definedName>
    <definedName name="прп" localSheetId="24">#REF!</definedName>
    <definedName name="прп" localSheetId="11">#REF!</definedName>
    <definedName name="прп" localSheetId="13">#REF!</definedName>
    <definedName name="прп">#REF!</definedName>
    <definedName name="ПРППОРЛОРЛО" localSheetId="24">#REF!</definedName>
    <definedName name="ПРППОРЛОРЛО" localSheetId="11">#REF!</definedName>
    <definedName name="ПРППОРЛОРЛО" localSheetId="13">#REF!</definedName>
    <definedName name="ПРППОРЛОРЛО">#REF!</definedName>
    <definedName name="прпр.эж" localSheetId="24">#REF!</definedName>
    <definedName name="прпр.эж" localSheetId="11">#REF!</definedName>
    <definedName name="прпр.эж">#REF!</definedName>
    <definedName name="ПРПРП" localSheetId="24">#REF!</definedName>
    <definedName name="ПРПРП" localSheetId="11">#REF!</definedName>
    <definedName name="ПРПРП">#REF!</definedName>
    <definedName name="прпрпрп" localSheetId="24">#REF!</definedName>
    <definedName name="прпрпрп" localSheetId="11">#REF!</definedName>
    <definedName name="прпрпрп">#REF!</definedName>
    <definedName name="ПРРР" localSheetId="24">#REF!</definedName>
    <definedName name="ПРРР" localSheetId="11">#REF!</definedName>
    <definedName name="ПРРР">#REF!</definedName>
    <definedName name="прррррррр" localSheetId="24">#REF!</definedName>
    <definedName name="прррррррр" localSheetId="11">#REF!</definedName>
    <definedName name="прррррррр">#REF!</definedName>
    <definedName name="р" localSheetId="24">#REF!</definedName>
    <definedName name="р" localSheetId="11">#REF!</definedName>
    <definedName name="р">#REF!</definedName>
    <definedName name="Р_01">[6]Фм!$H$17</definedName>
    <definedName name="Р_02">[6]Фм!$H$22</definedName>
    <definedName name="Р_1" localSheetId="24">#REF!</definedName>
    <definedName name="Р_1" localSheetId="11">#REF!</definedName>
    <definedName name="Р_1" localSheetId="13">#REF!</definedName>
    <definedName name="Р_1">#REF!</definedName>
    <definedName name="Р_10" localSheetId="24">#REF!</definedName>
    <definedName name="Р_10" localSheetId="11">#REF!</definedName>
    <definedName name="Р_10" localSheetId="13">#REF!</definedName>
    <definedName name="Р_10">#REF!</definedName>
    <definedName name="Р_100" localSheetId="24">[20]Ф!#REF!</definedName>
    <definedName name="Р_100" localSheetId="11">[20]Ф!#REF!</definedName>
    <definedName name="Р_100" localSheetId="13">[20]Ф!#REF!</definedName>
    <definedName name="Р_100">[20]Ф!#REF!</definedName>
    <definedName name="Р_101" localSheetId="24">#REF!</definedName>
    <definedName name="Р_101" localSheetId="11">#REF!</definedName>
    <definedName name="Р_101" localSheetId="13">#REF!</definedName>
    <definedName name="Р_101">#REF!</definedName>
    <definedName name="Р_11" localSheetId="24">#REF!</definedName>
    <definedName name="Р_11" localSheetId="11">#REF!</definedName>
    <definedName name="Р_11" localSheetId="13">#REF!</definedName>
    <definedName name="Р_11">#REF!</definedName>
    <definedName name="Р_111" localSheetId="24">[27]Ф!#REF!</definedName>
    <definedName name="Р_111" localSheetId="11">[27]Ф!#REF!</definedName>
    <definedName name="Р_111" localSheetId="13">[27]Ф!#REF!</definedName>
    <definedName name="Р_111">[27]Ф!#REF!</definedName>
    <definedName name="Р_11а" localSheetId="24">[13]Ф!#REF!</definedName>
    <definedName name="Р_11а" localSheetId="11">[13]Ф!#REF!</definedName>
    <definedName name="Р_11а" localSheetId="13">[13]Ф!#REF!</definedName>
    <definedName name="Р_11а">[13]Ф!#REF!</definedName>
    <definedName name="Р_13" localSheetId="24">#REF!</definedName>
    <definedName name="Р_13" localSheetId="11">#REF!</definedName>
    <definedName name="Р_13" localSheetId="13">#REF!</definedName>
    <definedName name="Р_13">#REF!</definedName>
    <definedName name="Р_14" localSheetId="24">#REF!</definedName>
    <definedName name="Р_14" localSheetId="11">#REF!</definedName>
    <definedName name="Р_14" localSheetId="13">#REF!</definedName>
    <definedName name="Р_14">#REF!</definedName>
    <definedName name="Р_15" localSheetId="24">[72]Ф!#REF!</definedName>
    <definedName name="Р_15" localSheetId="11">[72]Ф!#REF!</definedName>
    <definedName name="Р_15" localSheetId="13">[72]Ф!#REF!</definedName>
    <definedName name="Р_15">[72]Ф!#REF!</definedName>
    <definedName name="Р_150" localSheetId="24">[13]Ф!#REF!</definedName>
    <definedName name="Р_150" localSheetId="11">[13]Ф!#REF!</definedName>
    <definedName name="Р_150" localSheetId="13">[13]Ф!#REF!</definedName>
    <definedName name="Р_150">[13]Ф!#REF!</definedName>
    <definedName name="Р_151" localSheetId="24">#REF!</definedName>
    <definedName name="Р_151" localSheetId="11">#REF!</definedName>
    <definedName name="Р_151" localSheetId="13">#REF!</definedName>
    <definedName name="Р_151">#REF!</definedName>
    <definedName name="Р_152" localSheetId="24">#REF!</definedName>
    <definedName name="Р_152" localSheetId="11">#REF!</definedName>
    <definedName name="Р_152" localSheetId="13">#REF!</definedName>
    <definedName name="Р_152">#REF!</definedName>
    <definedName name="Р_153" localSheetId="24">#REF!</definedName>
    <definedName name="Р_153" localSheetId="11">#REF!</definedName>
    <definedName name="Р_153" localSheetId="13">#REF!</definedName>
    <definedName name="Р_153">#REF!</definedName>
    <definedName name="Р_154" localSheetId="24">#REF!</definedName>
    <definedName name="Р_154" localSheetId="11">#REF!</definedName>
    <definedName name="Р_154">#REF!</definedName>
    <definedName name="Р_15а" localSheetId="24">[20]Ф!#REF!</definedName>
    <definedName name="Р_15а" localSheetId="11">[20]Ф!#REF!</definedName>
    <definedName name="Р_15а" localSheetId="13">[20]Ф!#REF!</definedName>
    <definedName name="Р_15а">[20]Ф!#REF!</definedName>
    <definedName name="Р_16" localSheetId="24">#REF!</definedName>
    <definedName name="Р_16" localSheetId="11">#REF!</definedName>
    <definedName name="Р_16" localSheetId="13">#REF!</definedName>
    <definedName name="Р_16">#REF!</definedName>
    <definedName name="Р_17" localSheetId="24">[72]Ф!#REF!</definedName>
    <definedName name="Р_17" localSheetId="11">[72]Ф!#REF!</definedName>
    <definedName name="Р_17" localSheetId="13">[72]Ф!#REF!</definedName>
    <definedName name="Р_17">[72]Ф!#REF!</definedName>
    <definedName name="Р_17а" localSheetId="24">[20]Ф!#REF!</definedName>
    <definedName name="Р_17а" localSheetId="11">[20]Ф!#REF!</definedName>
    <definedName name="Р_17а">[20]Ф!#REF!</definedName>
    <definedName name="Р_18" localSheetId="24">[62]Ф!#REF!</definedName>
    <definedName name="Р_18" localSheetId="11">[62]Ф!#REF!</definedName>
    <definedName name="Р_18">[62]Ф!#REF!</definedName>
    <definedName name="Р_19" localSheetId="24">#REF!</definedName>
    <definedName name="Р_19" localSheetId="11">#REF!</definedName>
    <definedName name="Р_19" localSheetId="13">#REF!</definedName>
    <definedName name="Р_19">#REF!</definedName>
    <definedName name="Р_190" localSheetId="24">#REF!</definedName>
    <definedName name="Р_190" localSheetId="11">#REF!</definedName>
    <definedName name="Р_190" localSheetId="13">#REF!</definedName>
    <definedName name="Р_190">#REF!</definedName>
    <definedName name="Р_2" localSheetId="24">#REF!</definedName>
    <definedName name="Р_2" localSheetId="11">#REF!</definedName>
    <definedName name="Р_2" localSheetId="13">#REF!</definedName>
    <definedName name="Р_2">#REF!</definedName>
    <definedName name="Р_20" localSheetId="24">#REF!</definedName>
    <definedName name="Р_20" localSheetId="11">#REF!</definedName>
    <definedName name="Р_20">#REF!</definedName>
    <definedName name="Р_21" localSheetId="24">#REF!</definedName>
    <definedName name="Р_21" localSheetId="11">#REF!</definedName>
    <definedName name="Р_21">#REF!</definedName>
    <definedName name="Р_210" localSheetId="24">#REF!</definedName>
    <definedName name="Р_210" localSheetId="11">#REF!</definedName>
    <definedName name="Р_210">#REF!</definedName>
    <definedName name="Р_211" localSheetId="24">[12]Ф!#REF!</definedName>
    <definedName name="Р_211" localSheetId="11">[12]Ф!#REF!</definedName>
    <definedName name="Р_211" localSheetId="13">[12]Ф!#REF!</definedName>
    <definedName name="Р_211">[12]Ф!#REF!</definedName>
    <definedName name="Р_211а" localSheetId="24">[12]Ф!#REF!</definedName>
    <definedName name="Р_211а" localSheetId="11">[12]Ф!#REF!</definedName>
    <definedName name="Р_211а">[12]Ф!#REF!</definedName>
    <definedName name="Р_212" localSheetId="24">[12]Ф!#REF!</definedName>
    <definedName name="Р_212" localSheetId="11">[12]Ф!#REF!</definedName>
    <definedName name="Р_212">[12]Ф!#REF!</definedName>
    <definedName name="Р_22" localSheetId="24">#REF!</definedName>
    <definedName name="Р_22" localSheetId="11">#REF!</definedName>
    <definedName name="Р_22" localSheetId="13">#REF!</definedName>
    <definedName name="Р_22">#REF!</definedName>
    <definedName name="Р_23" localSheetId="24">#REF!</definedName>
    <definedName name="Р_23" localSheetId="11">#REF!</definedName>
    <definedName name="Р_23" localSheetId="13">#REF!</definedName>
    <definedName name="Р_23">#REF!</definedName>
    <definedName name="Р_233" localSheetId="24">#REF!</definedName>
    <definedName name="Р_233" localSheetId="11">#REF!</definedName>
    <definedName name="Р_233" localSheetId="13">#REF!</definedName>
    <definedName name="Р_233">#REF!</definedName>
    <definedName name="Р_24" localSheetId="24">#REF!</definedName>
    <definedName name="Р_24" localSheetId="11">#REF!</definedName>
    <definedName name="Р_24">#REF!</definedName>
    <definedName name="Р_241" localSheetId="24">#REF!</definedName>
    <definedName name="Р_241" localSheetId="11">#REF!</definedName>
    <definedName name="Р_241">#REF!</definedName>
    <definedName name="Р_25" localSheetId="24">#REF!</definedName>
    <definedName name="Р_25" localSheetId="11">#REF!</definedName>
    <definedName name="Р_25">#REF!</definedName>
    <definedName name="Р_26" localSheetId="24">#REF!</definedName>
    <definedName name="Р_26" localSheetId="11">#REF!</definedName>
    <definedName name="Р_26">#REF!</definedName>
    <definedName name="Р_29" localSheetId="24">#REF!</definedName>
    <definedName name="Р_29" localSheetId="11">#REF!</definedName>
    <definedName name="Р_29">#REF!</definedName>
    <definedName name="Р_3" localSheetId="24">#REF!</definedName>
    <definedName name="Р_3" localSheetId="11">#REF!</definedName>
    <definedName name="Р_3">#REF!</definedName>
    <definedName name="Р_300" localSheetId="24">#REF!</definedName>
    <definedName name="Р_300" localSheetId="11">#REF!</definedName>
    <definedName name="Р_300">#REF!</definedName>
    <definedName name="Р_301" localSheetId="24">#REF!</definedName>
    <definedName name="Р_301" localSheetId="11">#REF!</definedName>
    <definedName name="Р_301">#REF!</definedName>
    <definedName name="Р_31" localSheetId="24">[68]Ф!#REF!</definedName>
    <definedName name="Р_31" localSheetId="11">[68]Ф!#REF!</definedName>
    <definedName name="Р_31" localSheetId="13">[68]Ф!#REF!</definedName>
    <definedName name="Р_31">[68]Ф!#REF!</definedName>
    <definedName name="Р_311" localSheetId="24">#REF!</definedName>
    <definedName name="Р_311" localSheetId="11">#REF!</definedName>
    <definedName name="Р_311" localSheetId="13">#REF!</definedName>
    <definedName name="Р_311">#REF!</definedName>
    <definedName name="Р_32" localSheetId="24">[72]Ф!#REF!</definedName>
    <definedName name="Р_32" localSheetId="11">[72]Ф!#REF!</definedName>
    <definedName name="Р_32" localSheetId="13">[72]Ф!#REF!</definedName>
    <definedName name="Р_32">[72]Ф!#REF!</definedName>
    <definedName name="Р_33" localSheetId="24">#REF!</definedName>
    <definedName name="Р_33" localSheetId="11">#REF!</definedName>
    <definedName name="Р_33" localSheetId="13">#REF!</definedName>
    <definedName name="Р_33">#REF!</definedName>
    <definedName name="Р_333" localSheetId="24">#REF!</definedName>
    <definedName name="Р_333" localSheetId="11">#REF!</definedName>
    <definedName name="Р_333" localSheetId="13">#REF!</definedName>
    <definedName name="Р_333">#REF!</definedName>
    <definedName name="Р_34" localSheetId="24">[68]Ф!#REF!</definedName>
    <definedName name="Р_34" localSheetId="11">[68]Ф!#REF!</definedName>
    <definedName name="Р_34" localSheetId="13">[68]Ф!#REF!</definedName>
    <definedName name="Р_34">[68]Ф!#REF!</definedName>
    <definedName name="Р_35" localSheetId="24">[72]Ф!#REF!</definedName>
    <definedName name="Р_35" localSheetId="11">[72]Ф!#REF!</definedName>
    <definedName name="Р_35" localSheetId="13">[72]Ф!#REF!</definedName>
    <definedName name="Р_35">[72]Ф!#REF!</definedName>
    <definedName name="Р_36" localSheetId="24">#REF!</definedName>
    <definedName name="Р_36" localSheetId="11">#REF!</definedName>
    <definedName name="Р_36" localSheetId="13">#REF!</definedName>
    <definedName name="Р_36">#REF!</definedName>
    <definedName name="Р_37" localSheetId="24">#REF!</definedName>
    <definedName name="Р_37" localSheetId="11">#REF!</definedName>
    <definedName name="Р_37" localSheetId="13">#REF!</definedName>
    <definedName name="Р_37">#REF!</definedName>
    <definedName name="Р_38" localSheetId="24">#REF!</definedName>
    <definedName name="Р_38" localSheetId="11">#REF!</definedName>
    <definedName name="Р_38" localSheetId="13">#REF!</definedName>
    <definedName name="Р_38">#REF!</definedName>
    <definedName name="Р_39">[51]Ф!$H$52</definedName>
    <definedName name="Р_4" localSheetId="24">#REF!</definedName>
    <definedName name="Р_4" localSheetId="11">#REF!</definedName>
    <definedName name="Р_4" localSheetId="13">#REF!</definedName>
    <definedName name="Р_4">#REF!</definedName>
    <definedName name="Р_40" localSheetId="24">#REF!</definedName>
    <definedName name="Р_40" localSheetId="11">#REF!</definedName>
    <definedName name="Р_40" localSheetId="13">#REF!</definedName>
    <definedName name="Р_40">#REF!</definedName>
    <definedName name="Р_401" localSheetId="24">#REF!</definedName>
    <definedName name="Р_401" localSheetId="11">#REF!</definedName>
    <definedName name="Р_401" localSheetId="13">#REF!</definedName>
    <definedName name="Р_401">#REF!</definedName>
    <definedName name="Р_402" localSheetId="24">#REF!</definedName>
    <definedName name="Р_402" localSheetId="11">#REF!</definedName>
    <definedName name="Р_402">#REF!</definedName>
    <definedName name="Р_41">[63]Ф!$H$57</definedName>
    <definedName name="Р_411" localSheetId="24">#REF!</definedName>
    <definedName name="Р_411" localSheetId="11">#REF!</definedName>
    <definedName name="Р_411" localSheetId="13">#REF!</definedName>
    <definedName name="Р_411">#REF!</definedName>
    <definedName name="Р_43" localSheetId="24">[68]Ф!#REF!</definedName>
    <definedName name="Р_43" localSheetId="11">[68]Ф!#REF!</definedName>
    <definedName name="Р_43" localSheetId="13">[68]Ф!#REF!</definedName>
    <definedName name="Р_43">[68]Ф!#REF!</definedName>
    <definedName name="Р_44" localSheetId="24">[72]Ф!#REF!</definedName>
    <definedName name="Р_44" localSheetId="11">[72]Ф!#REF!</definedName>
    <definedName name="Р_44" localSheetId="13">[72]Ф!#REF!</definedName>
    <definedName name="Р_44">[72]Ф!#REF!</definedName>
    <definedName name="Р_44а" localSheetId="24">[12]Ф!#REF!</definedName>
    <definedName name="Р_44а" localSheetId="11">[12]Ф!#REF!</definedName>
    <definedName name="Р_44а">[12]Ф!#REF!</definedName>
    <definedName name="Р_45" localSheetId="24">#REF!</definedName>
    <definedName name="Р_45" localSheetId="11">#REF!</definedName>
    <definedName name="Р_45" localSheetId="13">#REF!</definedName>
    <definedName name="Р_45">#REF!</definedName>
    <definedName name="Р_46" localSheetId="24">#REF!</definedName>
    <definedName name="Р_46" localSheetId="11">#REF!</definedName>
    <definedName name="Р_46" localSheetId="13">#REF!</definedName>
    <definedName name="Р_46">#REF!</definedName>
    <definedName name="Р_47" localSheetId="24">#REF!</definedName>
    <definedName name="Р_47" localSheetId="11">#REF!</definedName>
    <definedName name="Р_47" localSheetId="13">#REF!</definedName>
    <definedName name="Р_47">#REF!</definedName>
    <definedName name="Р_48" localSheetId="24">#REF!</definedName>
    <definedName name="Р_48" localSheetId="11">#REF!</definedName>
    <definedName name="Р_48">#REF!</definedName>
    <definedName name="Р_49" localSheetId="24">[72]Ф!#REF!</definedName>
    <definedName name="Р_49" localSheetId="11">[72]Ф!#REF!</definedName>
    <definedName name="Р_49" localSheetId="13">[72]Ф!#REF!</definedName>
    <definedName name="Р_49">[72]Ф!#REF!</definedName>
    <definedName name="Р_49а" localSheetId="24">[72]Ф!#REF!</definedName>
    <definedName name="Р_49а" localSheetId="11">[72]Ф!#REF!</definedName>
    <definedName name="Р_49а">[72]Ф!#REF!</definedName>
    <definedName name="Р_5" localSheetId="24">#REF!</definedName>
    <definedName name="Р_5" localSheetId="11">#REF!</definedName>
    <definedName name="Р_5" localSheetId="13">#REF!</definedName>
    <definedName name="Р_5">#REF!</definedName>
    <definedName name="Р_50" localSheetId="24">#REF!</definedName>
    <definedName name="Р_50" localSheetId="11">#REF!</definedName>
    <definedName name="Р_50" localSheetId="13">#REF!</definedName>
    <definedName name="Р_50">#REF!</definedName>
    <definedName name="Р_51" localSheetId="24">#REF!</definedName>
    <definedName name="Р_51" localSheetId="11">#REF!</definedName>
    <definedName name="Р_51" localSheetId="13">#REF!</definedName>
    <definedName name="Р_51">#REF!</definedName>
    <definedName name="Р_52" localSheetId="24">#REF!</definedName>
    <definedName name="Р_52" localSheetId="11">#REF!</definedName>
    <definedName name="Р_52">#REF!</definedName>
    <definedName name="Р_53" localSheetId="24">[72]Ф!#REF!</definedName>
    <definedName name="Р_53" localSheetId="11">[72]Ф!#REF!</definedName>
    <definedName name="Р_53" localSheetId="13">[72]Ф!#REF!</definedName>
    <definedName name="Р_53">[72]Ф!#REF!</definedName>
    <definedName name="Р_532" localSheetId="24">[64]Ф!#REF!</definedName>
    <definedName name="Р_532" localSheetId="11">[64]Ф!#REF!</definedName>
    <definedName name="Р_532">[64]Ф!#REF!</definedName>
    <definedName name="Р_54" localSheetId="24">#REF!</definedName>
    <definedName name="Р_54" localSheetId="11">#REF!</definedName>
    <definedName name="Р_54" localSheetId="13">#REF!</definedName>
    <definedName name="Р_54">#REF!</definedName>
    <definedName name="Р_55" localSheetId="24">#REF!</definedName>
    <definedName name="Р_55" localSheetId="11">#REF!</definedName>
    <definedName name="Р_55" localSheetId="13">#REF!</definedName>
    <definedName name="Р_55">#REF!</definedName>
    <definedName name="Р_57" localSheetId="24">#REF!</definedName>
    <definedName name="Р_57" localSheetId="11">#REF!</definedName>
    <definedName name="Р_57" localSheetId="13">#REF!</definedName>
    <definedName name="Р_57">#REF!</definedName>
    <definedName name="Р_58" localSheetId="24">#REF!</definedName>
    <definedName name="Р_58" localSheetId="11">#REF!</definedName>
    <definedName name="Р_58">#REF!</definedName>
    <definedName name="Р_59" localSheetId="24">#REF!</definedName>
    <definedName name="Р_59" localSheetId="11">#REF!</definedName>
    <definedName name="Р_59">#REF!</definedName>
    <definedName name="Р_59а" localSheetId="24">[72]Ф!#REF!</definedName>
    <definedName name="Р_59а" localSheetId="11">[72]Ф!#REF!</definedName>
    <definedName name="Р_59а" localSheetId="13">[72]Ф!#REF!</definedName>
    <definedName name="Р_59а">[72]Ф!#REF!</definedName>
    <definedName name="Р_6" localSheetId="24">[73]Ф!#REF!</definedName>
    <definedName name="Р_6" localSheetId="11">[73]Ф!#REF!</definedName>
    <definedName name="Р_6">[73]Ф!#REF!</definedName>
    <definedName name="Р_60" localSheetId="24">#REF!</definedName>
    <definedName name="Р_60" localSheetId="11">#REF!</definedName>
    <definedName name="Р_60" localSheetId="13">#REF!</definedName>
    <definedName name="Р_60">#REF!</definedName>
    <definedName name="Р_63" localSheetId="24">#REF!</definedName>
    <definedName name="Р_63" localSheetId="11">#REF!</definedName>
    <definedName name="Р_63" localSheetId="13">#REF!</definedName>
    <definedName name="Р_63">#REF!</definedName>
    <definedName name="Р_64" localSheetId="24">#REF!</definedName>
    <definedName name="Р_64" localSheetId="11">#REF!</definedName>
    <definedName name="Р_64" localSheetId="13">#REF!</definedName>
    <definedName name="Р_64">#REF!</definedName>
    <definedName name="Р_68" localSheetId="24">#REF!</definedName>
    <definedName name="Р_68" localSheetId="11">#REF!</definedName>
    <definedName name="Р_68">#REF!</definedName>
    <definedName name="Р_69" localSheetId="24">#REF!</definedName>
    <definedName name="Р_69" localSheetId="11">#REF!</definedName>
    <definedName name="Р_69">#REF!</definedName>
    <definedName name="Р_69а" localSheetId="24">[13]Ф!#REF!</definedName>
    <definedName name="Р_69а" localSheetId="11">[13]Ф!#REF!</definedName>
    <definedName name="Р_69а" localSheetId="13">[13]Ф!#REF!</definedName>
    <definedName name="Р_69а">[13]Ф!#REF!</definedName>
    <definedName name="Р_7" localSheetId="24">#REF!</definedName>
    <definedName name="Р_7" localSheetId="11">#REF!</definedName>
    <definedName name="Р_7" localSheetId="13">#REF!</definedName>
    <definedName name="Р_7">#REF!</definedName>
    <definedName name="Р_72" localSheetId="24">#REF!</definedName>
    <definedName name="Р_72" localSheetId="11">#REF!</definedName>
    <definedName name="Р_72" localSheetId="13">#REF!</definedName>
    <definedName name="Р_72">#REF!</definedName>
    <definedName name="Р_720" localSheetId="24">#REF!</definedName>
    <definedName name="Р_720" localSheetId="11">#REF!</definedName>
    <definedName name="Р_720" localSheetId="13">#REF!</definedName>
    <definedName name="Р_720">#REF!</definedName>
    <definedName name="Р_74" localSheetId="24">#REF!</definedName>
    <definedName name="Р_74" localSheetId="11">#REF!</definedName>
    <definedName name="Р_74">#REF!</definedName>
    <definedName name="Р_79" localSheetId="24">#REF!</definedName>
    <definedName name="Р_79" localSheetId="11">#REF!</definedName>
    <definedName name="Р_79">#REF!</definedName>
    <definedName name="Р_790" localSheetId="24">#REF!</definedName>
    <definedName name="Р_790" localSheetId="11">#REF!</definedName>
    <definedName name="Р_790">#REF!</definedName>
    <definedName name="Р_791" localSheetId="24">#REF!</definedName>
    <definedName name="Р_791" localSheetId="11">#REF!</definedName>
    <definedName name="Р_791">#REF!</definedName>
    <definedName name="Р_8" localSheetId="24">#REF!</definedName>
    <definedName name="Р_8" localSheetId="11">#REF!</definedName>
    <definedName name="Р_8">#REF!</definedName>
    <definedName name="Р_83" localSheetId="24">#REF!</definedName>
    <definedName name="Р_83" localSheetId="11">#REF!</definedName>
    <definedName name="Р_83">#REF!</definedName>
    <definedName name="Р_88" localSheetId="24">#REF!</definedName>
    <definedName name="Р_88" localSheetId="11">#REF!</definedName>
    <definedName name="Р_88">#REF!</definedName>
    <definedName name="Р_9" localSheetId="24">#REF!</definedName>
    <definedName name="Р_9" localSheetId="11">#REF!</definedName>
    <definedName name="Р_9">#REF!</definedName>
    <definedName name="Р_900" localSheetId="24">[13]Ф!#REF!</definedName>
    <definedName name="Р_900" localSheetId="11">[13]Ф!#REF!</definedName>
    <definedName name="Р_900" localSheetId="13">[13]Ф!#REF!</definedName>
    <definedName name="Р_900">[13]Ф!#REF!</definedName>
    <definedName name="Р_901" localSheetId="24">[13]Ф!#REF!</definedName>
    <definedName name="Р_901" localSheetId="11">[13]Ф!#REF!</definedName>
    <definedName name="Р_901">[13]Ф!#REF!</definedName>
    <definedName name="Р_9а" localSheetId="24">[13]Ф!#REF!</definedName>
    <definedName name="Р_9а" localSheetId="11">[13]Ф!#REF!</definedName>
    <definedName name="Р_9а">[13]Ф!#REF!</definedName>
    <definedName name="р1" localSheetId="24">#REF!</definedName>
    <definedName name="р1" localSheetId="11">#REF!</definedName>
    <definedName name="р1" localSheetId="13">#REF!</definedName>
    <definedName name="р1">#REF!</definedName>
    <definedName name="раа" localSheetId="24">#REF!</definedName>
    <definedName name="раа" localSheetId="11">#REF!</definedName>
    <definedName name="раа" localSheetId="13">#REF!</definedName>
    <definedName name="раа">#REF!</definedName>
    <definedName name="разборка" localSheetId="24">#REF!</definedName>
    <definedName name="разборка" localSheetId="11">#REF!</definedName>
    <definedName name="разборка" localSheetId="13">#REF!</definedName>
    <definedName name="разборка">#REF!</definedName>
    <definedName name="рамонь_крА" localSheetId="24">#REF!</definedName>
    <definedName name="рамонь_крА" localSheetId="11">#REF!</definedName>
    <definedName name="рамонь_крА">#REF!</definedName>
    <definedName name="рамонь_крБ" localSheetId="24">#REF!</definedName>
    <definedName name="рамонь_крБ" localSheetId="11">#REF!</definedName>
    <definedName name="рамонь_крБ">#REF!</definedName>
    <definedName name="рамонь_крВ" localSheetId="24">#REF!</definedName>
    <definedName name="рамонь_крВ" localSheetId="11">#REF!</definedName>
    <definedName name="рамонь_крВ">#REF!</definedName>
    <definedName name="рамонь_крГ" localSheetId="24">#REF!</definedName>
    <definedName name="рамонь_крГ" localSheetId="11">#REF!</definedName>
    <definedName name="рамонь_крГ">#REF!</definedName>
    <definedName name="рамонь_крД" localSheetId="24">#REF!</definedName>
    <definedName name="рамонь_крД" localSheetId="11">#REF!</definedName>
    <definedName name="рамонь_крД">#REF!</definedName>
    <definedName name="рамонь_крЕ" localSheetId="24">#REF!</definedName>
    <definedName name="рамонь_крЕ" localSheetId="11">#REF!</definedName>
    <definedName name="рамонь_крЕ">#REF!</definedName>
    <definedName name="рамонь_крЖ" localSheetId="24">#REF!</definedName>
    <definedName name="рамонь_крЖ" localSheetId="11">#REF!</definedName>
    <definedName name="рамонь_крЖ">#REF!</definedName>
    <definedName name="рарарар" localSheetId="24">#REF!</definedName>
    <definedName name="рарарар" localSheetId="11">#REF!</definedName>
    <definedName name="рарарар">#REF!</definedName>
    <definedName name="рвпар" localSheetId="24">#REF!</definedName>
    <definedName name="рвпар" localSheetId="11">#REF!</definedName>
    <definedName name="рвпар">#REF!</definedName>
    <definedName name="регцентр" localSheetId="24">#REF!</definedName>
    <definedName name="регцентр" localSheetId="11">#REF!</definedName>
    <definedName name="регцентр">#REF!</definedName>
    <definedName name="Реес" localSheetId="24">#REF!</definedName>
    <definedName name="Реес" localSheetId="11">#REF!</definedName>
    <definedName name="Реес">#REF!</definedName>
    <definedName name="реест1" localSheetId="24">#REF!</definedName>
    <definedName name="реест1" localSheetId="11">#REF!</definedName>
    <definedName name="реест1">#REF!</definedName>
    <definedName name="реестр" localSheetId="24">#REF!</definedName>
    <definedName name="реестр" localSheetId="11">#REF!</definedName>
    <definedName name="реестр">#REF!</definedName>
    <definedName name="реестр1" localSheetId="24">#REF!</definedName>
    <definedName name="реестр1" localSheetId="11">#REF!</definedName>
    <definedName name="реестр1">#REF!</definedName>
    <definedName name="реестр11" localSheetId="24">#REF!</definedName>
    <definedName name="реестр11" localSheetId="11">#REF!</definedName>
    <definedName name="реестр11">#REF!</definedName>
    <definedName name="реестртаблица" localSheetId="24">#REF!</definedName>
    <definedName name="реестртаблица" localSheetId="11">#REF!</definedName>
    <definedName name="реестртаблица">#REF!</definedName>
    <definedName name="Рекульт.БЭ">[41]Рекультивация!$AJ$51</definedName>
    <definedName name="Рекульт.ТЭ">[41]Рекультивация!$AJ$24</definedName>
    <definedName name="рено" localSheetId="24" hidden="1">{#N/A,#N/A,TRUE,"Сводка балансов"}</definedName>
    <definedName name="рено" localSheetId="11" hidden="1">{#N/A,#N/A,TRUE,"Сводка балансов"}</definedName>
    <definedName name="рено" localSheetId="13" hidden="1">{#N/A,#N/A,TRUE,"Сводка балансов"}</definedName>
    <definedName name="рено" hidden="1">{#N/A,#N/A,TRUE,"Сводка балансов"}</definedName>
    <definedName name="репьев_крА" localSheetId="24">#REF!</definedName>
    <definedName name="репьев_крА" localSheetId="11">#REF!</definedName>
    <definedName name="репьев_крА">#REF!</definedName>
    <definedName name="репьев_крБ" localSheetId="24">#REF!</definedName>
    <definedName name="репьев_крБ" localSheetId="11">#REF!</definedName>
    <definedName name="репьев_крБ">#REF!</definedName>
    <definedName name="репьев_крВ" localSheetId="24">#REF!</definedName>
    <definedName name="репьев_крВ" localSheetId="11">#REF!</definedName>
    <definedName name="репьев_крВ">#REF!</definedName>
    <definedName name="репьев_крГ" localSheetId="24">#REF!</definedName>
    <definedName name="репьев_крГ" localSheetId="11">#REF!</definedName>
    <definedName name="репьев_крГ">#REF!</definedName>
    <definedName name="репьев_крД" localSheetId="24">#REF!</definedName>
    <definedName name="репьев_крД" localSheetId="11">#REF!</definedName>
    <definedName name="репьев_крД">#REF!</definedName>
    <definedName name="репьев_крЕ" localSheetId="24">#REF!</definedName>
    <definedName name="репьев_крЕ" localSheetId="11">#REF!</definedName>
    <definedName name="репьев_крЕ">#REF!</definedName>
    <definedName name="репьев_крЖ" localSheetId="24">#REF!</definedName>
    <definedName name="репьев_крЖ" localSheetId="11">#REF!</definedName>
    <definedName name="репьев_крЖ">#REF!</definedName>
    <definedName name="рзщр" localSheetId="24">#REF!</definedName>
    <definedName name="рзщр" localSheetId="11">#REF!</definedName>
    <definedName name="рзщр">#REF!</definedName>
    <definedName name="рм">'[39]C.с '!$D$28</definedName>
    <definedName name="рмп">'[39]C.с '!$D$25</definedName>
    <definedName name="ро" localSheetId="24">[74]Лист1!#REF!</definedName>
    <definedName name="ро" localSheetId="11">[74]Лист1!#REF!</definedName>
    <definedName name="ро">[74]Лист1!#REF!</definedName>
    <definedName name="РОЛРОЛР" localSheetId="24">#REF!</definedName>
    <definedName name="РОЛРОЛР" localSheetId="11">#REF!</definedName>
    <definedName name="РОЛРОЛР" localSheetId="13">#REF!</definedName>
    <definedName name="РОЛРОЛР">#REF!</definedName>
    <definedName name="рооооооооо" localSheetId="24">#REF!</definedName>
    <definedName name="рооооооооо" localSheetId="11">#REF!</definedName>
    <definedName name="рооооооооо" localSheetId="13">#REF!</definedName>
    <definedName name="рооооооооо">#REF!</definedName>
    <definedName name="рооооооооооооо" localSheetId="24">#REF!</definedName>
    <definedName name="рооооооооооооо" localSheetId="11">#REF!</definedName>
    <definedName name="рооооооооооооо" localSheetId="13">#REF!</definedName>
    <definedName name="рооооооооооооо">#REF!</definedName>
    <definedName name="рор" localSheetId="24">#REF!</definedName>
    <definedName name="рор" localSheetId="11">#REF!</definedName>
    <definedName name="рор">#REF!</definedName>
    <definedName name="россошь_крА" localSheetId="24">#REF!</definedName>
    <definedName name="россошь_крА" localSheetId="11">#REF!</definedName>
    <definedName name="россошь_крА">#REF!</definedName>
    <definedName name="россошь_крБ" localSheetId="24">#REF!</definedName>
    <definedName name="россошь_крБ" localSheetId="11">#REF!</definedName>
    <definedName name="россошь_крБ">#REF!</definedName>
    <definedName name="россошь_крВ" localSheetId="24">#REF!</definedName>
    <definedName name="россошь_крВ" localSheetId="11">#REF!</definedName>
    <definedName name="россошь_крВ">#REF!</definedName>
    <definedName name="россошь_крГ" localSheetId="24">#REF!</definedName>
    <definedName name="россошь_крГ" localSheetId="11">#REF!</definedName>
    <definedName name="россошь_крГ">#REF!</definedName>
    <definedName name="россошь_крД" localSheetId="24">#REF!</definedName>
    <definedName name="россошь_крД" localSheetId="11">#REF!</definedName>
    <definedName name="россошь_крД">#REF!</definedName>
    <definedName name="россошь_крЕ" localSheetId="24">#REF!</definedName>
    <definedName name="россошь_крЕ" localSheetId="11">#REF!</definedName>
    <definedName name="россошь_крЕ">#REF!</definedName>
    <definedName name="россошь_крЖ" localSheetId="24">#REF!</definedName>
    <definedName name="россошь_крЖ" localSheetId="11">#REF!</definedName>
    <definedName name="россошь_крЖ">#REF!</definedName>
    <definedName name="рпа" localSheetId="24">#REF!</definedName>
    <definedName name="рпа" localSheetId="11">#REF!</definedName>
    <definedName name="рпа">#REF!</definedName>
    <definedName name="рпп">'[39]C.с '!$D$49</definedName>
    <definedName name="рпрпрррпрпрпр" localSheetId="24">#REF!</definedName>
    <definedName name="рпрпрррпрпрпр" localSheetId="11">#REF!</definedName>
    <definedName name="рпрпрррпрпрпр">#REF!</definedName>
    <definedName name="РПТ" localSheetId="24" hidden="1">{#N/A,#N/A,TRUE,"Сводка балансов"}</definedName>
    <definedName name="РПТ" localSheetId="11" hidden="1">{#N/A,#N/A,TRUE,"Сводка балансов"}</definedName>
    <definedName name="РПТ" localSheetId="13" hidden="1">{#N/A,#N/A,TRUE,"Сводка балансов"}</definedName>
    <definedName name="РПТ" hidden="1">{#N/A,#N/A,TRUE,"Сводка балансов"}</definedName>
    <definedName name="рпуп" localSheetId="24">#REF!</definedName>
    <definedName name="рпуп" localSheetId="11">#REF!</definedName>
    <definedName name="рпуп">#REF!</definedName>
    <definedName name="рр" localSheetId="24">#REF!</definedName>
    <definedName name="рр" localSheetId="11">#REF!</definedName>
    <definedName name="рр">#REF!</definedName>
    <definedName name="Рр_1" localSheetId="24">#REF!</definedName>
    <definedName name="Рр_1" localSheetId="11">#REF!</definedName>
    <definedName name="Рр_1">#REF!</definedName>
    <definedName name="ррп" localSheetId="24">'[45]C.с '!#REF!</definedName>
    <definedName name="ррп" localSheetId="11">'[45]C.с '!#REF!</definedName>
    <definedName name="ррп" localSheetId="13">'[45]C.с '!#REF!</definedName>
    <definedName name="ррп">'[45]C.с '!#REF!</definedName>
    <definedName name="ррр" localSheetId="24">#REF!</definedName>
    <definedName name="ррр" localSheetId="11">#REF!</definedName>
    <definedName name="ррр" localSheetId="13">#REF!</definedName>
    <definedName name="ррр">#REF!</definedName>
    <definedName name="рррпр" localSheetId="24">#REF!</definedName>
    <definedName name="рррпр" localSheetId="11">#REF!</definedName>
    <definedName name="рррпр" localSheetId="13">#REF!</definedName>
    <definedName name="рррпр">#REF!</definedName>
    <definedName name="рррр" localSheetId="24">#REF!</definedName>
    <definedName name="рррр" localSheetId="11">#REF!</definedName>
    <definedName name="рррр">#REF!</definedName>
    <definedName name="ррррр" localSheetId="24">#REF!</definedName>
    <definedName name="ррррр" localSheetId="11">#REF!</definedName>
    <definedName name="ррррр">#REF!</definedName>
    <definedName name="рррррр" localSheetId="24">#REF!</definedName>
    <definedName name="рррррр" localSheetId="11">#REF!</definedName>
    <definedName name="рррррр">#REF!</definedName>
    <definedName name="рррррррррррр" localSheetId="24">[18]К.С.М.!#REF!</definedName>
    <definedName name="рррррррррррр" localSheetId="11">[18]К.С.М.!#REF!</definedName>
    <definedName name="рррррррррррр" localSheetId="13">[18]К.С.М.!#REF!</definedName>
    <definedName name="рррррррррррр">[18]К.С.М.!#REF!</definedName>
    <definedName name="ррррррррррррр" localSheetId="24">#REF!</definedName>
    <definedName name="ррррррррррррр" localSheetId="11">#REF!</definedName>
    <definedName name="ррррррррррррр" localSheetId="13">#REF!</definedName>
    <definedName name="ррррррррррррр">#REF!</definedName>
    <definedName name="рррррррррррррр" localSheetId="24">#REF!</definedName>
    <definedName name="рррррррррррррр" localSheetId="11">#REF!</definedName>
    <definedName name="рррррррррррррр" localSheetId="13">#REF!</definedName>
    <definedName name="рррррррррррррр">#REF!</definedName>
    <definedName name="ррррррррррррррррр" localSheetId="24">#REF!</definedName>
    <definedName name="ррррррррррррррррр" localSheetId="11">#REF!</definedName>
    <definedName name="ррррррррррррррррр" localSheetId="13">#REF!</definedName>
    <definedName name="ррррррррррррррррр">#REF!</definedName>
    <definedName name="ррррррррррррррррррррр" localSheetId="24">#REF!</definedName>
    <definedName name="ррррррррррррррррррррр" localSheetId="11">#REF!</definedName>
    <definedName name="ррррррррррррррррррррр">#REF!</definedName>
    <definedName name="рррррррррррррррррррррррррррррр" localSheetId="24">#REF!</definedName>
    <definedName name="рррррррррррррррррррррррррррррр" localSheetId="11">#REF!</definedName>
    <definedName name="рррррррррррррррррррррррррррррр">#REF!</definedName>
    <definedName name="рсп" localSheetId="24">'[45]C.с '!#REF!</definedName>
    <definedName name="рсп" localSheetId="11">'[45]C.с '!#REF!</definedName>
    <definedName name="рсп" localSheetId="13">'[45]C.с '!#REF!</definedName>
    <definedName name="рсп">'[45]C.с '!#REF!</definedName>
    <definedName name="Рубка_леса">'[41] Подготовительные работы'!$AJ$71</definedName>
    <definedName name="с" localSheetId="24">#REF!</definedName>
    <definedName name="с" localSheetId="11">#REF!</definedName>
    <definedName name="с">#REF!</definedName>
    <definedName name="С112" localSheetId="24">#REF!</definedName>
    <definedName name="С112" localSheetId="11">#REF!</definedName>
    <definedName name="С112">#REF!</definedName>
    <definedName name="С113" localSheetId="24">#REF!</definedName>
    <definedName name="С113" localSheetId="11">#REF!</definedName>
    <definedName name="С113">#REF!</definedName>
    <definedName name="С120" localSheetId="24">#REF!</definedName>
    <definedName name="С120" localSheetId="11">#REF!</definedName>
    <definedName name="С120">#REF!</definedName>
    <definedName name="сапрсапр" localSheetId="24">#REF!</definedName>
    <definedName name="сапрсапр" localSheetId="11">#REF!</definedName>
    <definedName name="сапрсапр">#REF!</definedName>
    <definedName name="сваи" localSheetId="24">#REF!</definedName>
    <definedName name="сваи" localSheetId="11">#REF!</definedName>
    <definedName name="сваи">#REF!</definedName>
    <definedName name="семил_крА" localSheetId="24">#REF!</definedName>
    <definedName name="семил_крА" localSheetId="11">#REF!</definedName>
    <definedName name="семил_крА">#REF!</definedName>
    <definedName name="семил_крБ" localSheetId="24">#REF!</definedName>
    <definedName name="семил_крБ" localSheetId="11">#REF!</definedName>
    <definedName name="семил_крБ">#REF!</definedName>
    <definedName name="семил_крВ" localSheetId="24">#REF!</definedName>
    <definedName name="семил_крВ" localSheetId="11">#REF!</definedName>
    <definedName name="семил_крВ">#REF!</definedName>
    <definedName name="семил_крГ" localSheetId="24">#REF!</definedName>
    <definedName name="семил_крГ" localSheetId="11">#REF!</definedName>
    <definedName name="семил_крГ">#REF!</definedName>
    <definedName name="семил_крД" localSheetId="24">#REF!</definedName>
    <definedName name="семил_крД" localSheetId="11">#REF!</definedName>
    <definedName name="семил_крД">#REF!</definedName>
    <definedName name="семил_крЕ" localSheetId="24">#REF!</definedName>
    <definedName name="семил_крЕ" localSheetId="11">#REF!</definedName>
    <definedName name="семил_крЕ">#REF!</definedName>
    <definedName name="семил_крЖ" localSheetId="24">#REF!</definedName>
    <definedName name="семил_крЖ" localSheetId="11">#REF!</definedName>
    <definedName name="семил_крЖ">#REF!</definedName>
    <definedName name="си">[16]C.с!$I$28</definedName>
    <definedName name="Сигн.столбики">'[41]Обстановка дороги'!$AJ$24</definedName>
    <definedName name="см.158нов" localSheetId="24">#REF!</definedName>
    <definedName name="см.158нов" localSheetId="11">#REF!</definedName>
    <definedName name="см.158нов">#REF!</definedName>
    <definedName name="см110нов" localSheetId="24">#REF!</definedName>
    <definedName name="см110нов" localSheetId="11">#REF!</definedName>
    <definedName name="см110нов">#REF!</definedName>
    <definedName name="см129нов" localSheetId="24">#REF!</definedName>
    <definedName name="см129нов" localSheetId="11">#REF!</definedName>
    <definedName name="см129нов">#REF!</definedName>
    <definedName name="смммммммммм" localSheetId="24">[18]К.С.М.!#REF!</definedName>
    <definedName name="смммммммммм" localSheetId="11">[18]К.С.М.!#REF!</definedName>
    <definedName name="смммммммммм" localSheetId="13">[18]К.С.М.!#REF!</definedName>
    <definedName name="смммммммммм">[18]К.С.М.!#REF!</definedName>
    <definedName name="смр" localSheetId="24">#REF!</definedName>
    <definedName name="смр" localSheetId="11">#REF!</definedName>
    <definedName name="смр" localSheetId="13">#REF!</definedName>
    <definedName name="смр">#REF!</definedName>
    <definedName name="Снятие" localSheetId="24">#REF!</definedName>
    <definedName name="Снятие" localSheetId="11">#REF!</definedName>
    <definedName name="Снятие" localSheetId="13">#REF!</definedName>
    <definedName name="Снятие">#REF!</definedName>
    <definedName name="сп2" localSheetId="24">#REF!</definedName>
    <definedName name="сп2" localSheetId="11">#REF!</definedName>
    <definedName name="сп2" localSheetId="13">#REF!</definedName>
    <definedName name="сп2">#REF!</definedName>
    <definedName name="спр2" localSheetId="24">#REF!</definedName>
    <definedName name="спр2" localSheetId="11">#REF!</definedName>
    <definedName name="спр2">#REF!</definedName>
    <definedName name="спр22" localSheetId="24">#REF!</definedName>
    <definedName name="спр22" localSheetId="11">#REF!</definedName>
    <definedName name="спр22">#REF!</definedName>
    <definedName name="спр33" localSheetId="24">#REF!</definedName>
    <definedName name="спр33" localSheetId="11">#REF!</definedName>
    <definedName name="спр33">#REF!</definedName>
    <definedName name="сроки">[44]Коэффициенты!$A$1:$A$65536</definedName>
    <definedName name="сс" localSheetId="24">#REF!</definedName>
    <definedName name="сс" localSheetId="11">#REF!</definedName>
    <definedName name="сс" localSheetId="13">#REF!</definedName>
    <definedName name="сс">#REF!</definedName>
    <definedName name="стадия_П">[44]база!$J$1:$J$65536</definedName>
    <definedName name="стд" localSheetId="24">#REF!</definedName>
    <definedName name="стд" localSheetId="11">#REF!</definedName>
    <definedName name="стд">#REF!</definedName>
    <definedName name="страх" localSheetId="24">#REF!</definedName>
    <definedName name="страх" localSheetId="11">#REF!</definedName>
    <definedName name="страх">#REF!</definedName>
    <definedName name="сттт" localSheetId="24">#REF!</definedName>
    <definedName name="сттт" localSheetId="11">#REF!</definedName>
    <definedName name="сттт">#REF!</definedName>
    <definedName name="т" localSheetId="24">#REF!</definedName>
    <definedName name="т" localSheetId="11">#REF!</definedName>
    <definedName name="т">#REF!</definedName>
    <definedName name="Т.а." localSheetId="24">#REF!</definedName>
    <definedName name="Т.а." localSheetId="11">#REF!</definedName>
    <definedName name="Т.а.">#REF!</definedName>
    <definedName name="Т_1" localSheetId="24">#REF!</definedName>
    <definedName name="Т_1" localSheetId="11">#REF!</definedName>
    <definedName name="Т_1">#REF!</definedName>
    <definedName name="Т_10" localSheetId="24">#REF!</definedName>
    <definedName name="Т_10" localSheetId="11">#REF!</definedName>
    <definedName name="Т_10">#REF!</definedName>
    <definedName name="Т_13" localSheetId="24">#REF!</definedName>
    <definedName name="Т_13" localSheetId="11">#REF!</definedName>
    <definedName name="Т_13">#REF!</definedName>
    <definedName name="Т_16" localSheetId="24">#REF!</definedName>
    <definedName name="Т_16" localSheetId="11">#REF!</definedName>
    <definedName name="Т_16">#REF!</definedName>
    <definedName name="Т_25" localSheetId="24">#REF!</definedName>
    <definedName name="Т_25" localSheetId="11">#REF!</definedName>
    <definedName name="Т_25">#REF!</definedName>
    <definedName name="Т_28" localSheetId="24">#REF!</definedName>
    <definedName name="Т_28" localSheetId="11">#REF!</definedName>
    <definedName name="Т_28">#REF!</definedName>
    <definedName name="Т_31" localSheetId="24">#REF!</definedName>
    <definedName name="Т_31" localSheetId="11">#REF!</definedName>
    <definedName name="Т_31">#REF!</definedName>
    <definedName name="Т_35" localSheetId="24">#REF!</definedName>
    <definedName name="Т_35" localSheetId="11">#REF!</definedName>
    <definedName name="Т_35">#REF!</definedName>
    <definedName name="Т_351" localSheetId="24">#REF!</definedName>
    <definedName name="Т_351" localSheetId="11">#REF!</definedName>
    <definedName name="Т_351">#REF!</definedName>
    <definedName name="Т_352" localSheetId="24">#REF!</definedName>
    <definedName name="Т_352" localSheetId="11">#REF!</definedName>
    <definedName name="Т_352">#REF!</definedName>
    <definedName name="Т_353" localSheetId="24">#REF!</definedName>
    <definedName name="Т_353" localSheetId="11">#REF!</definedName>
    <definedName name="Т_353">#REF!</definedName>
    <definedName name="Т_354" localSheetId="24">#REF!</definedName>
    <definedName name="Т_354" localSheetId="11">#REF!</definedName>
    <definedName name="Т_354">#REF!</definedName>
    <definedName name="Т_355" localSheetId="24">#REF!</definedName>
    <definedName name="Т_355" localSheetId="11">#REF!</definedName>
    <definedName name="Т_355">#REF!</definedName>
    <definedName name="Т_372" localSheetId="24">#REF!</definedName>
    <definedName name="Т_372" localSheetId="11">#REF!</definedName>
    <definedName name="Т_372">#REF!</definedName>
    <definedName name="Т_39" localSheetId="24">#REF!</definedName>
    <definedName name="Т_39" localSheetId="11">#REF!</definedName>
    <definedName name="Т_39">#REF!</definedName>
    <definedName name="Т_4" localSheetId="24">#REF!</definedName>
    <definedName name="Т_4" localSheetId="11">#REF!</definedName>
    <definedName name="Т_4">#REF!</definedName>
    <definedName name="Т_40" localSheetId="24">#REF!</definedName>
    <definedName name="Т_40" localSheetId="11">#REF!</definedName>
    <definedName name="Т_40">#REF!</definedName>
    <definedName name="Т_43" localSheetId="24">#REF!</definedName>
    <definedName name="Т_43" localSheetId="11">#REF!</definedName>
    <definedName name="Т_43">#REF!</definedName>
    <definedName name="Т_44" localSheetId="24">#REF!</definedName>
    <definedName name="Т_44" localSheetId="11">#REF!</definedName>
    <definedName name="Т_44">#REF!</definedName>
    <definedName name="Т_46" localSheetId="24">#REF!</definedName>
    <definedName name="Т_46" localSheetId="11">#REF!</definedName>
    <definedName name="Т_46">#REF!</definedName>
    <definedName name="Т_461" localSheetId="24">#REF!</definedName>
    <definedName name="Т_461" localSheetId="11">#REF!</definedName>
    <definedName name="Т_461">#REF!</definedName>
    <definedName name="Т_49" localSheetId="24">#REF!</definedName>
    <definedName name="Т_49" localSheetId="11">#REF!</definedName>
    <definedName name="Т_49">#REF!</definedName>
    <definedName name="Т_52" localSheetId="24">#REF!</definedName>
    <definedName name="Т_52" localSheetId="11">#REF!</definedName>
    <definedName name="Т_52">#REF!</definedName>
    <definedName name="Т_56" localSheetId="24">#REF!</definedName>
    <definedName name="Т_56" localSheetId="11">#REF!</definedName>
    <definedName name="Т_56">#REF!</definedName>
    <definedName name="Т_59" localSheetId="24">#REF!</definedName>
    <definedName name="Т_59" localSheetId="11">#REF!</definedName>
    <definedName name="Т_59">#REF!</definedName>
    <definedName name="Т_590" localSheetId="24">#REF!</definedName>
    <definedName name="Т_590" localSheetId="11">#REF!</definedName>
    <definedName name="Т_590">#REF!</definedName>
    <definedName name="Т_5901" localSheetId="24">#REF!</definedName>
    <definedName name="Т_5901" localSheetId="11">#REF!</definedName>
    <definedName name="Т_5901">#REF!</definedName>
    <definedName name="Т_63" localSheetId="24">#REF!</definedName>
    <definedName name="Т_63" localSheetId="11">#REF!</definedName>
    <definedName name="Т_63">#REF!</definedName>
    <definedName name="Т_67" localSheetId="24">#REF!</definedName>
    <definedName name="Т_67" localSheetId="11">#REF!</definedName>
    <definedName name="Т_67">#REF!</definedName>
    <definedName name="Т_7" localSheetId="24">#REF!</definedName>
    <definedName name="Т_7" localSheetId="11">#REF!</definedName>
    <definedName name="Т_7">#REF!</definedName>
    <definedName name="Т_70" localSheetId="24">#REF!</definedName>
    <definedName name="Т_70" localSheetId="11">#REF!</definedName>
    <definedName name="Т_70">#REF!</definedName>
    <definedName name="Т_72" localSheetId="24">#REF!</definedName>
    <definedName name="Т_72" localSheetId="11">#REF!</definedName>
    <definedName name="Т_72">#REF!</definedName>
    <definedName name="Т_74" localSheetId="24">#REF!</definedName>
    <definedName name="Т_74" localSheetId="11">#REF!</definedName>
    <definedName name="Т_74">#REF!</definedName>
    <definedName name="Т12" localSheetId="24">#REF!</definedName>
    <definedName name="Т12" localSheetId="11">#REF!</definedName>
    <definedName name="Т12">#REF!</definedName>
    <definedName name="Т12_1" localSheetId="24">#REF!</definedName>
    <definedName name="Т12_1" localSheetId="11">#REF!</definedName>
    <definedName name="Т12_1">#REF!</definedName>
    <definedName name="Т12_4" localSheetId="24">#REF!</definedName>
    <definedName name="Т12_4" localSheetId="11">#REF!</definedName>
    <definedName name="Т12_4">#REF!</definedName>
    <definedName name="Т13" localSheetId="24">#REF!</definedName>
    <definedName name="Т13" localSheetId="11">#REF!</definedName>
    <definedName name="Т13">#REF!</definedName>
    <definedName name="Т14" localSheetId="24">#REF!</definedName>
    <definedName name="Т14" localSheetId="11">#REF!</definedName>
    <definedName name="Т14">#REF!</definedName>
    <definedName name="Т14_1" localSheetId="24">#REF!</definedName>
    <definedName name="Т14_1" localSheetId="11">#REF!</definedName>
    <definedName name="Т14_1">#REF!</definedName>
    <definedName name="Т14_4" localSheetId="24">#REF!</definedName>
    <definedName name="Т14_4" localSheetId="11">#REF!</definedName>
    <definedName name="Т14_4">#REF!</definedName>
    <definedName name="Т14_6" localSheetId="24">#REF!</definedName>
    <definedName name="Т14_6" localSheetId="11">#REF!</definedName>
    <definedName name="Т14_6">#REF!</definedName>
    <definedName name="Т14_7" localSheetId="24">#REF!</definedName>
    <definedName name="Т14_7" localSheetId="11">#REF!</definedName>
    <definedName name="Т14_7">#REF!</definedName>
    <definedName name="т17" localSheetId="24">#REF!</definedName>
    <definedName name="т17" localSheetId="11">#REF!</definedName>
    <definedName name="т17">#REF!</definedName>
    <definedName name="Т18" localSheetId="24">#REF!</definedName>
    <definedName name="Т18" localSheetId="11">#REF!</definedName>
    <definedName name="Т18">#REF!</definedName>
    <definedName name="Т200" localSheetId="24">#REF!</definedName>
    <definedName name="Т200" localSheetId="11">#REF!</definedName>
    <definedName name="Т200">#REF!</definedName>
    <definedName name="Т25" localSheetId="24">#REF!</definedName>
    <definedName name="Т25" localSheetId="11">#REF!</definedName>
    <definedName name="Т25">#REF!</definedName>
    <definedName name="талов_крА" localSheetId="24">#REF!</definedName>
    <definedName name="талов_крА" localSheetId="11">#REF!</definedName>
    <definedName name="талов_крА">#REF!</definedName>
    <definedName name="талов_крБ" localSheetId="24">#REF!</definedName>
    <definedName name="талов_крБ" localSheetId="11">#REF!</definedName>
    <definedName name="талов_крБ">#REF!</definedName>
    <definedName name="талов_крВ" localSheetId="24">#REF!</definedName>
    <definedName name="талов_крВ" localSheetId="11">#REF!</definedName>
    <definedName name="талов_крВ">#REF!</definedName>
    <definedName name="талов_крГ" localSheetId="24">#REF!</definedName>
    <definedName name="талов_крГ" localSheetId="11">#REF!</definedName>
    <definedName name="талов_крГ">#REF!</definedName>
    <definedName name="талов_крД" localSheetId="24">#REF!</definedName>
    <definedName name="талов_крД" localSheetId="11">#REF!</definedName>
    <definedName name="талов_крД">#REF!</definedName>
    <definedName name="талов_крЕ" localSheetId="24">#REF!</definedName>
    <definedName name="талов_крЕ" localSheetId="11">#REF!</definedName>
    <definedName name="талов_крЕ">#REF!</definedName>
    <definedName name="талов_крЖ" localSheetId="24">#REF!</definedName>
    <definedName name="талов_крЖ" localSheetId="11">#REF!</definedName>
    <definedName name="талов_крЖ">#REF!</definedName>
    <definedName name="ТендСниж">0.985</definedName>
    <definedName name="тернов_крА" localSheetId="24">#REF!</definedName>
    <definedName name="тернов_крА" localSheetId="11">#REF!</definedName>
    <definedName name="тернов_крА">#REF!</definedName>
    <definedName name="тернов_крБ" localSheetId="24">#REF!</definedName>
    <definedName name="тернов_крБ" localSheetId="11">#REF!</definedName>
    <definedName name="тернов_крБ">#REF!</definedName>
    <definedName name="тернов_крВ" localSheetId="24">#REF!</definedName>
    <definedName name="тернов_крВ" localSheetId="11">#REF!</definedName>
    <definedName name="тернов_крВ">#REF!</definedName>
    <definedName name="тернов_крГ" localSheetId="24">#REF!</definedName>
    <definedName name="тернов_крГ" localSheetId="11">#REF!</definedName>
    <definedName name="тернов_крГ">#REF!</definedName>
    <definedName name="тернов_крД" localSheetId="24">#REF!</definedName>
    <definedName name="тернов_крД" localSheetId="11">#REF!</definedName>
    <definedName name="тернов_крД">#REF!</definedName>
    <definedName name="тернов_крЕ" localSheetId="24">#REF!</definedName>
    <definedName name="тернов_крЕ" localSheetId="11">#REF!</definedName>
    <definedName name="тернов_крЕ">#REF!</definedName>
    <definedName name="тернов_крЖ" localSheetId="24">#REF!</definedName>
    <definedName name="тернов_крЖ" localSheetId="11">#REF!</definedName>
    <definedName name="тернов_крЖ">#REF!</definedName>
    <definedName name="тз" localSheetId="24">#REF!</definedName>
    <definedName name="тз" localSheetId="11">#REF!</definedName>
    <definedName name="тз">#REF!</definedName>
    <definedName name="тимс" localSheetId="24" hidden="1">{#N/A,#N/A,TRUE,"Сводка балансов"}</definedName>
    <definedName name="тимс" localSheetId="11" hidden="1">{#N/A,#N/A,TRUE,"Сводка балансов"}</definedName>
    <definedName name="тимс" localSheetId="13" hidden="1">{#N/A,#N/A,TRUE,"Сводка балансов"}</definedName>
    <definedName name="тимс" hidden="1">{#N/A,#N/A,TRUE,"Сводка балансов"}</definedName>
    <definedName name="тип2" localSheetId="24">#REF!</definedName>
    <definedName name="тип2" localSheetId="11">#REF!</definedName>
    <definedName name="тип2">#REF!</definedName>
    <definedName name="торг" localSheetId="24">#REF!</definedName>
    <definedName name="торг" localSheetId="11">#REF!</definedName>
    <definedName name="торг">#REF!</definedName>
    <definedName name="Тощ.бет." localSheetId="24">#REF!</definedName>
    <definedName name="Тощ.бет." localSheetId="11">#REF!</definedName>
    <definedName name="Тощ.бет.">#REF!</definedName>
    <definedName name="трог" localSheetId="24" hidden="1">{#N/A,#N/A,TRUE,"Сводка балансов"}</definedName>
    <definedName name="трог" localSheetId="11" hidden="1">{#N/A,#N/A,TRUE,"Сводка балансов"}</definedName>
    <definedName name="трог" localSheetId="13" hidden="1">{#N/A,#N/A,TRUE,"Сводка балансов"}</definedName>
    <definedName name="трог" hidden="1">{#N/A,#N/A,TRUE,"Сводка балансов"}</definedName>
    <definedName name="тррррррртрт" localSheetId="24">#REF!</definedName>
    <definedName name="тррррррртрт" localSheetId="11">#REF!</definedName>
    <definedName name="тррррррртрт">#REF!</definedName>
    <definedName name="Трубы">'[41]Искусственные сооружения'!$AJ$182</definedName>
    <definedName name="тт" localSheetId="24">#REF!</definedName>
    <definedName name="тт" localSheetId="11">#REF!</definedName>
    <definedName name="тт" localSheetId="13">#REF!</definedName>
    <definedName name="тт">#REF!</definedName>
    <definedName name="тт45ни" localSheetId="24">#REF!</definedName>
    <definedName name="тт45ни" localSheetId="11">#REF!</definedName>
    <definedName name="тт45ни" localSheetId="13">#REF!</definedName>
    <definedName name="тт45ни">#REF!</definedName>
    <definedName name="ттт" localSheetId="24">#REF!</definedName>
    <definedName name="ттт" localSheetId="11">#REF!</definedName>
    <definedName name="ттт" localSheetId="13">#REF!</definedName>
    <definedName name="ттт">#REF!</definedName>
    <definedName name="тттт" localSheetId="24">#REF!</definedName>
    <definedName name="тттт" localSheetId="11">#REF!</definedName>
    <definedName name="тттт">#REF!</definedName>
    <definedName name="тттттттттттттттттттттттттттт" localSheetId="24">#REF!</definedName>
    <definedName name="тттттттттттттттттттттттттттт" localSheetId="11">#REF!</definedName>
    <definedName name="тттттттттттттттттттттттттттт">#REF!</definedName>
    <definedName name="тьтььььььььььььььььььь" localSheetId="24">#REF!</definedName>
    <definedName name="тьтььььььььььььььььььь" localSheetId="11">#REF!</definedName>
    <definedName name="тьтььььььььььььььььььь">#REF!</definedName>
    <definedName name="у" localSheetId="24">#REF!</definedName>
    <definedName name="у" localSheetId="11">#REF!</definedName>
    <definedName name="у">#REF!</definedName>
    <definedName name="у1" localSheetId="24">#REF!</definedName>
    <definedName name="у1" localSheetId="11">#REF!</definedName>
    <definedName name="у1">#REF!</definedName>
    <definedName name="у2" localSheetId="24">#REF!</definedName>
    <definedName name="у2" localSheetId="11">#REF!</definedName>
    <definedName name="у2">#REF!</definedName>
    <definedName name="уке" localSheetId="24">#REF!</definedName>
    <definedName name="уке" localSheetId="11">#REF!</definedName>
    <definedName name="уке">#REF!</definedName>
    <definedName name="укккккккккккккккккккккккк" localSheetId="24">#REF!</definedName>
    <definedName name="укккккккккккккккккккккккк" localSheetId="11">#REF!</definedName>
    <definedName name="укккккккккккккккккккккккк">#REF!</definedName>
    <definedName name="Укр.обочин">'[41]Дорожная одежда'!$AJ$51</definedName>
    <definedName name="Укреп.оаботы">'[41]Земляное полотно'!$AJ$70</definedName>
    <definedName name="укук" localSheetId="24">#REF!</definedName>
    <definedName name="укук" localSheetId="11">#REF!</definedName>
    <definedName name="укук" localSheetId="13">#REF!</definedName>
    <definedName name="укук">#REF!</definedName>
    <definedName name="УМ1" localSheetId="24">#REF!</definedName>
    <definedName name="УМ1" localSheetId="11">#REF!</definedName>
    <definedName name="УМ1" localSheetId="13">#REF!</definedName>
    <definedName name="УМ1">#REF!</definedName>
    <definedName name="умгкр" localSheetId="24">#REF!</definedName>
    <definedName name="умгкр" localSheetId="11">#REF!</definedName>
    <definedName name="умгкр" localSheetId="13">#REF!</definedName>
    <definedName name="умгкр">#REF!</definedName>
    <definedName name="умгкр1" localSheetId="24">#REF!</definedName>
    <definedName name="умгкр1" localSheetId="11">#REF!</definedName>
    <definedName name="умгкр1">#REF!</definedName>
    <definedName name="УПВКАП" localSheetId="24">#REF!</definedName>
    <definedName name="УПВКАП" localSheetId="11">#REF!</definedName>
    <definedName name="УПВКАП">#REF!</definedName>
    <definedName name="уперп" localSheetId="24">#REF!</definedName>
    <definedName name="уперп" localSheetId="11">#REF!</definedName>
    <definedName name="уперп">#REF!</definedName>
    <definedName name="ууу" localSheetId="24">#REF!</definedName>
    <definedName name="ууу" localSheetId="11">#REF!</definedName>
    <definedName name="ууу">#REF!</definedName>
    <definedName name="уууууууууав" localSheetId="24">#REF!</definedName>
    <definedName name="уууууууууав" localSheetId="11">#REF!</definedName>
    <definedName name="уууууууууав">#REF!</definedName>
    <definedName name="уууууууууук" localSheetId="24">#REF!</definedName>
    <definedName name="уууууууууук" localSheetId="11">#REF!</definedName>
    <definedName name="уууууууууук">#REF!</definedName>
    <definedName name="уууууууууууу" localSheetId="24">#REF!</definedName>
    <definedName name="уууууууууууу" localSheetId="11">#REF!</definedName>
    <definedName name="уууууууууууу">#REF!</definedName>
    <definedName name="ууууууууууууууууу" localSheetId="24">#REF!</definedName>
    <definedName name="ууууууууууууууууу" localSheetId="11">#REF!</definedName>
    <definedName name="ууууууууууууууууу">#REF!</definedName>
    <definedName name="уууууууууууууууууууу" localSheetId="24">#REF!</definedName>
    <definedName name="уууууууууууууууууууу" localSheetId="11">#REF!</definedName>
    <definedName name="уууууууууууууууууууу">#REF!</definedName>
    <definedName name="УЦ" localSheetId="24">#REF!</definedName>
    <definedName name="УЦ" localSheetId="11">#REF!</definedName>
    <definedName name="УЦ">#REF!</definedName>
    <definedName name="уыпыыыыыыыыыыыыыыыыыыы" localSheetId="24">#REF!</definedName>
    <definedName name="уыпыыыыыыыыыыыыыыыыыыы" localSheetId="11">#REF!</definedName>
    <definedName name="уыпыыыыыыыыыыыыыыыыыыы">#REF!</definedName>
    <definedName name="ф" localSheetId="24">#REF!</definedName>
    <definedName name="ф" localSheetId="11">#REF!</definedName>
    <definedName name="ф">#REF!</definedName>
    <definedName name="Ф_10" localSheetId="24">[67]ф10!#REF!</definedName>
    <definedName name="Ф_10" localSheetId="11">[67]ф10!#REF!</definedName>
    <definedName name="Ф_10" localSheetId="13">[67]ф10!#REF!</definedName>
    <definedName name="Ф_10">[67]ф10!#REF!</definedName>
    <definedName name="Ф_11" localSheetId="24">[67]ф10!#REF!</definedName>
    <definedName name="Ф_11" localSheetId="11">[67]ф10!#REF!</definedName>
    <definedName name="Ф_11">[67]ф10!#REF!</definedName>
    <definedName name="Ф_12" localSheetId="24">[67]ф10!#REF!</definedName>
    <definedName name="Ф_12" localSheetId="11">[67]ф10!#REF!</definedName>
    <definedName name="Ф_12">[67]ф10!#REF!</definedName>
    <definedName name="Ф_13" localSheetId="24">[67]ф10!#REF!</definedName>
    <definedName name="Ф_13" localSheetId="11">[67]ф10!#REF!</definedName>
    <definedName name="Ф_13">[67]ф10!#REF!</definedName>
    <definedName name="Ф_14" localSheetId="24">[67]ф10!#REF!</definedName>
    <definedName name="Ф_14" localSheetId="11">[67]ф10!#REF!</definedName>
    <definedName name="Ф_14">[67]ф10!#REF!</definedName>
    <definedName name="Ф_15" localSheetId="24">[67]ф10!#REF!</definedName>
    <definedName name="Ф_15" localSheetId="11">[67]ф10!#REF!</definedName>
    <definedName name="Ф_15">[67]ф10!#REF!</definedName>
    <definedName name="Ф_16" localSheetId="24">[67]ф10!#REF!</definedName>
    <definedName name="Ф_16" localSheetId="11">[67]ф10!#REF!</definedName>
    <definedName name="Ф_16">[67]ф10!#REF!</definedName>
    <definedName name="Ф_160" localSheetId="24">[75]ф10!#REF!</definedName>
    <definedName name="Ф_160" localSheetId="11">[75]ф10!#REF!</definedName>
    <definedName name="Ф_160">[75]ф10!#REF!</definedName>
    <definedName name="Ф_193" localSheetId="24">[75]ф10!#REF!</definedName>
    <definedName name="Ф_193" localSheetId="11">[75]ф10!#REF!</definedName>
    <definedName name="Ф_193">[75]ф10!#REF!</definedName>
    <definedName name="Ф_2" localSheetId="24">[67]ф10!#REF!</definedName>
    <definedName name="Ф_2" localSheetId="11">[67]ф10!#REF!</definedName>
    <definedName name="Ф_2">[67]ф10!#REF!</definedName>
    <definedName name="Ф_3" localSheetId="24">[67]ф10!#REF!</definedName>
    <definedName name="Ф_3" localSheetId="11">[67]ф10!#REF!</definedName>
    <definedName name="Ф_3">[67]ф10!#REF!</definedName>
    <definedName name="Ф_31" localSheetId="24">[67]ф10!#REF!</definedName>
    <definedName name="Ф_31" localSheetId="11">[67]ф10!#REF!</definedName>
    <definedName name="Ф_31">[67]ф10!#REF!</definedName>
    <definedName name="Ф_32" localSheetId="24">[67]ф10!#REF!</definedName>
    <definedName name="Ф_32" localSheetId="11">[67]ф10!#REF!</definedName>
    <definedName name="Ф_32">[67]ф10!#REF!</definedName>
    <definedName name="Ф_38" localSheetId="24">[75]ф10!#REF!</definedName>
    <definedName name="Ф_38" localSheetId="11">[75]ф10!#REF!</definedName>
    <definedName name="Ф_38">[75]ф10!#REF!</definedName>
    <definedName name="Ф_4" localSheetId="24">[67]ф10!#REF!</definedName>
    <definedName name="Ф_4" localSheetId="11">[67]ф10!#REF!</definedName>
    <definedName name="Ф_4">[67]ф10!#REF!</definedName>
    <definedName name="Ф_5" localSheetId="24">[67]ф10!#REF!</definedName>
    <definedName name="Ф_5" localSheetId="11">[67]ф10!#REF!</definedName>
    <definedName name="Ф_5">[67]ф10!#REF!</definedName>
    <definedName name="Ф_6" localSheetId="24">[67]ф10!#REF!</definedName>
    <definedName name="Ф_6" localSheetId="11">[67]ф10!#REF!</definedName>
    <definedName name="Ф_6">[67]ф10!#REF!</definedName>
    <definedName name="Ф_7" localSheetId="24">[67]ф10!#REF!</definedName>
    <definedName name="Ф_7" localSheetId="11">[67]ф10!#REF!</definedName>
    <definedName name="Ф_7">[67]ф10!#REF!</definedName>
    <definedName name="Ф_8" localSheetId="24">[67]ф10!#REF!</definedName>
    <definedName name="Ф_8" localSheetId="11">[67]ф10!#REF!</definedName>
    <definedName name="Ф_8">[67]ф10!#REF!</definedName>
    <definedName name="Ф_83" localSheetId="24">[67]ф10!#REF!</definedName>
    <definedName name="Ф_83" localSheetId="11">[67]ф10!#REF!</definedName>
    <definedName name="Ф_83">[67]ф10!#REF!</definedName>
    <definedName name="Ф_9" localSheetId="24">[67]ф10!#REF!</definedName>
    <definedName name="Ф_9" localSheetId="11">[67]ф10!#REF!</definedName>
    <definedName name="Ф_9">[67]ф10!#REF!</definedName>
    <definedName name="Ф_98" localSheetId="24">[75]ф10!#REF!</definedName>
    <definedName name="Ф_98" localSheetId="11">[75]ф10!#REF!</definedName>
    <definedName name="Ф_98">[75]ф10!#REF!</definedName>
    <definedName name="ф1" localSheetId="24">#REF!</definedName>
    <definedName name="ф1" localSheetId="11">#REF!</definedName>
    <definedName name="ф1" localSheetId="13">#REF!</definedName>
    <definedName name="ф1">#REF!</definedName>
    <definedName name="ф2">'[76]C.с '!$H$86</definedName>
    <definedName name="ф4" localSheetId="24">#REF!</definedName>
    <definedName name="ф4" localSheetId="11">#REF!</definedName>
    <definedName name="ф4" localSheetId="13">#REF!</definedName>
    <definedName name="ф4">#REF!</definedName>
    <definedName name="ФААААААААААААААА" localSheetId="24">#REF!</definedName>
    <definedName name="ФААААААААААААААА" localSheetId="11">#REF!</definedName>
    <definedName name="ФААААААААААААААА" localSheetId="13">#REF!</definedName>
    <definedName name="ФААААААААААААААА">#REF!</definedName>
    <definedName name="фввввввввв" localSheetId="24">#REF!</definedName>
    <definedName name="фввввввввв" localSheetId="11">#REF!</definedName>
    <definedName name="фввввввввв" localSheetId="13">#REF!</definedName>
    <definedName name="фввввввввв">#REF!</definedName>
    <definedName name="фвввввввввввввввввввв" localSheetId="24">#REF!</definedName>
    <definedName name="фвввввввввввввввввввв" localSheetId="11">#REF!</definedName>
    <definedName name="фвввввввввввввввввввв">#REF!</definedName>
    <definedName name="фвввввввввуууууууууууп" localSheetId="24">#REF!</definedName>
    <definedName name="фвввввввввуууууууууууп" localSheetId="11">#REF!</definedName>
    <definedName name="фвввввввввуууууууууууп">#REF!</definedName>
    <definedName name="февраль" localSheetId="24">#REF!</definedName>
    <definedName name="февраль" localSheetId="11">#REF!</definedName>
    <definedName name="февраль">#REF!</definedName>
    <definedName name="фф" localSheetId="24">#REF!</definedName>
    <definedName name="фф" localSheetId="11">#REF!</definedName>
    <definedName name="фф">#REF!</definedName>
    <definedName name="ффф" localSheetId="24">#REF!</definedName>
    <definedName name="ффф" localSheetId="11">#REF!</definedName>
    <definedName name="ффф">#REF!</definedName>
    <definedName name="фффф" localSheetId="24">#REF!</definedName>
    <definedName name="фффф" localSheetId="11">#REF!</definedName>
    <definedName name="фффф">#REF!</definedName>
    <definedName name="ффффффффвасссссссссссссс" localSheetId="24">#REF!</definedName>
    <definedName name="ффффффффвасссссссссссссс" localSheetId="11">#REF!</definedName>
    <definedName name="ффффффффвасссссссссссссс">#REF!</definedName>
    <definedName name="ФФФФФФФФФФФФФФФ" localSheetId="24">#REF!</definedName>
    <definedName name="ФФФФФФФФФФФФФФФ" localSheetId="11">#REF!</definedName>
    <definedName name="ФФФФФФФФФФФФФФФ">#REF!</definedName>
    <definedName name="ФФФФФФФФФФФЫЫЫЫЫЫЫ" localSheetId="24">#REF!</definedName>
    <definedName name="ФФФФФФФФФФФЫЫЫЫЫЫЫ" localSheetId="11">#REF!</definedName>
    <definedName name="ФФФФФФФФФФФЫЫЫЫЫЫЫ">#REF!</definedName>
    <definedName name="фцыв" localSheetId="24">#REF!</definedName>
    <definedName name="фцыв" localSheetId="11">#REF!</definedName>
    <definedName name="фцыв">#REF!</definedName>
    <definedName name="ФЫАЫАВЫ" localSheetId="24">#REF!</definedName>
    <definedName name="ФЫАЫАВЫ" localSheetId="11">#REF!</definedName>
    <definedName name="ФЫАЫАВЫ">#REF!</definedName>
    <definedName name="ФЫВВВВВ" localSheetId="24">#REF!</definedName>
    <definedName name="ФЫВВВВВ" localSheetId="11">#REF!</definedName>
    <definedName name="ФЫВВВВВ">#REF!</definedName>
    <definedName name="фыыыыыыыыыыыыыа" localSheetId="24">#REF!</definedName>
    <definedName name="фыыыыыыыыыыыыыа" localSheetId="11">#REF!</definedName>
    <definedName name="фыыыыыыыыыыыыыа">#REF!</definedName>
    <definedName name="х" localSheetId="24">#REF!</definedName>
    <definedName name="х" localSheetId="11">#REF!</definedName>
    <definedName name="х">#REF!</definedName>
    <definedName name="хзщ" localSheetId="24">#REF!</definedName>
    <definedName name="хзщ" localSheetId="11">#REF!</definedName>
    <definedName name="хзщ">#REF!</definedName>
    <definedName name="хохол_крА" localSheetId="24">#REF!</definedName>
    <definedName name="хохол_крА" localSheetId="11">#REF!</definedName>
    <definedName name="хохол_крА">#REF!</definedName>
    <definedName name="хохол_крБ" localSheetId="24">#REF!</definedName>
    <definedName name="хохол_крБ" localSheetId="11">#REF!</definedName>
    <definedName name="хохол_крБ">#REF!</definedName>
    <definedName name="хохол_крВ" localSheetId="24">#REF!</definedName>
    <definedName name="хохол_крВ" localSheetId="11">#REF!</definedName>
    <definedName name="хохол_крВ">#REF!</definedName>
    <definedName name="хохол_крГ" localSheetId="24">#REF!</definedName>
    <definedName name="хохол_крГ" localSheetId="11">#REF!</definedName>
    <definedName name="хохол_крГ">#REF!</definedName>
    <definedName name="хохол_крД" localSheetId="24">#REF!</definedName>
    <definedName name="хохол_крД" localSheetId="11">#REF!</definedName>
    <definedName name="хохол_крД">#REF!</definedName>
    <definedName name="хохол_крЕ" localSheetId="24">#REF!</definedName>
    <definedName name="хохол_крЕ" localSheetId="11">#REF!</definedName>
    <definedName name="хохол_крЕ">#REF!</definedName>
    <definedName name="хохол_крЖ" localSheetId="24">#REF!</definedName>
    <definedName name="хохол_крЖ" localSheetId="11">#REF!</definedName>
    <definedName name="хохол_крЖ">#REF!</definedName>
    <definedName name="хххх" localSheetId="24">#REF!</definedName>
    <definedName name="хххх" localSheetId="11">#REF!</definedName>
    <definedName name="хххх">#REF!</definedName>
    <definedName name="хшнир" localSheetId="24">#REF!</definedName>
    <definedName name="хшнир" localSheetId="11">#REF!</definedName>
    <definedName name="хшнир">#REF!</definedName>
    <definedName name="ц" localSheetId="24">#REF!</definedName>
    <definedName name="ц" localSheetId="11">#REF!</definedName>
    <definedName name="ц">#REF!</definedName>
    <definedName name="цкеен" localSheetId="24">#REF!</definedName>
    <definedName name="цкеен" localSheetId="11">#REF!</definedName>
    <definedName name="цкеен">#REF!</definedName>
    <definedName name="цкрт" localSheetId="24">#REF!</definedName>
    <definedName name="цкрт" localSheetId="11">#REF!</definedName>
    <definedName name="цкрт">#REF!</definedName>
    <definedName name="цол" localSheetId="24">#REF!</definedName>
    <definedName name="цол" localSheetId="11">#REF!</definedName>
    <definedName name="цол">#REF!</definedName>
    <definedName name="цуауыыыыыыыыыыыыыыыыы" localSheetId="24">#REF!</definedName>
    <definedName name="цуауыыыыыыыыыыыыыыыыы" localSheetId="11">#REF!</definedName>
    <definedName name="цуауыыыыыыыыыыыыыыыыы">#REF!</definedName>
    <definedName name="цуенгш" localSheetId="24">#REF!</definedName>
    <definedName name="цуенгш" localSheetId="11">#REF!</definedName>
    <definedName name="цуенгш">#REF!</definedName>
    <definedName name="цуецкуе" localSheetId="24" hidden="1">{#N/A,#N/A,TRUE,"Сводка балансов"}</definedName>
    <definedName name="цуецкуе" localSheetId="11" hidden="1">{#N/A,#N/A,TRUE,"Сводка балансов"}</definedName>
    <definedName name="цуецкуе" localSheetId="13" hidden="1">{#N/A,#N/A,TRUE,"Сводка балансов"}</definedName>
    <definedName name="цуецкуе" hidden="1">{#N/A,#N/A,TRUE,"Сводка балансов"}</definedName>
    <definedName name="цуккккккккккккккккккк" localSheetId="24">#REF!</definedName>
    <definedName name="цуккккккккккккккккккк" localSheetId="11">#REF!</definedName>
    <definedName name="цуккккккккккккккккккк">#REF!</definedName>
    <definedName name="цукчфффффффффффф" localSheetId="24">#REF!</definedName>
    <definedName name="цукчфффффффффффф" localSheetId="11">#REF!</definedName>
    <definedName name="цукчфффффффффффф">#REF!</definedName>
    <definedName name="цууууууууууууууууууууу" localSheetId="24">#REF!</definedName>
    <definedName name="цууууууууууууууууууууу" localSheetId="11">#REF!</definedName>
    <definedName name="цууууууууууууууууууууу">#REF!</definedName>
    <definedName name="цфввввввввввввввв" localSheetId="24">#REF!</definedName>
    <definedName name="цфввввввввввввввв" localSheetId="11">#REF!</definedName>
    <definedName name="цфввввввввввввввв">#REF!</definedName>
    <definedName name="цц" localSheetId="24">#REF!</definedName>
    <definedName name="цц" localSheetId="11">#REF!</definedName>
    <definedName name="цц">#REF!</definedName>
    <definedName name="цццц" localSheetId="24">#REF!</definedName>
    <definedName name="цццц" localSheetId="11">#REF!</definedName>
    <definedName name="цццц">#REF!</definedName>
    <definedName name="ццццц" localSheetId="24">#REF!</definedName>
    <definedName name="ццццц" localSheetId="11">#REF!</definedName>
    <definedName name="ццццц">#REF!</definedName>
    <definedName name="ццццццццццццууууууууууууууууу" localSheetId="24">#REF!</definedName>
    <definedName name="ццццццццццццууууууууууууууууу" localSheetId="11">#REF!</definedName>
    <definedName name="ццццццццццццууууууууууууууууу">#REF!</definedName>
    <definedName name="ццццццццццццццццц" localSheetId="24">#REF!</definedName>
    <definedName name="ццццццццццццццццц" localSheetId="11">#REF!</definedName>
    <definedName name="ццццццццццццццццц">#REF!</definedName>
    <definedName name="ч" localSheetId="24">#REF!</definedName>
    <definedName name="ч" localSheetId="11">#REF!</definedName>
    <definedName name="ч">#REF!</definedName>
    <definedName name="Ч_Щ_1" localSheetId="24">#REF!</definedName>
    <definedName name="Ч_Щ_1" localSheetId="11">#REF!</definedName>
    <definedName name="Ч_Щ_1">#REF!</definedName>
    <definedName name="Ч_Щ_2">'[9]ч. щ. 2'!$F$29</definedName>
    <definedName name="чапр" localSheetId="24">#REF!</definedName>
    <definedName name="чапр" localSheetId="11">#REF!</definedName>
    <definedName name="чапр" localSheetId="13">#REF!</definedName>
    <definedName name="чапр">#REF!</definedName>
    <definedName name="Чспп" localSheetId="24">#REF!</definedName>
    <definedName name="Чспп" localSheetId="11">#REF!</definedName>
    <definedName name="Чспп" localSheetId="13">#REF!</definedName>
    <definedName name="Чспп">#REF!</definedName>
    <definedName name="чсссссссссс" localSheetId="24">#REF!</definedName>
    <definedName name="чсссссссссс" localSheetId="11">#REF!</definedName>
    <definedName name="чсссссссссс" localSheetId="13">#REF!</definedName>
    <definedName name="чсссссссссс">#REF!</definedName>
    <definedName name="чч" localSheetId="24">#REF!</definedName>
    <definedName name="чч" localSheetId="11">#REF!</definedName>
    <definedName name="чч">#REF!</definedName>
    <definedName name="ччч" localSheetId="24">#REF!</definedName>
    <definedName name="ччч" localSheetId="11">#REF!</definedName>
    <definedName name="ччч">#REF!</definedName>
    <definedName name="ш" localSheetId="24">#REF!</definedName>
    <definedName name="ш" localSheetId="11">#REF!</definedName>
    <definedName name="ш">#REF!</definedName>
    <definedName name="шзшзхх" localSheetId="24">#REF!</definedName>
    <definedName name="шзшзхх" localSheetId="11">#REF!</definedName>
    <definedName name="шзшзхх">#REF!</definedName>
    <definedName name="ШЛЮЖОЛО" localSheetId="24">#REF!</definedName>
    <definedName name="ШЛЮЖОЛО" localSheetId="11">#REF!</definedName>
    <definedName name="ШЛЮЖОЛО">#REF!</definedName>
    <definedName name="шшщз" localSheetId="24">#REF!</definedName>
    <definedName name="шшщз" localSheetId="11">#REF!</definedName>
    <definedName name="шшщз">#REF!</definedName>
    <definedName name="щ" localSheetId="24">#REF!</definedName>
    <definedName name="щ" localSheetId="11">#REF!</definedName>
    <definedName name="щ">#REF!</definedName>
    <definedName name="щшг" localSheetId="24">#REF!</definedName>
    <definedName name="щшг" localSheetId="11">#REF!</definedName>
    <definedName name="щшг">#REF!</definedName>
    <definedName name="ъ" localSheetId="24">#REF!</definedName>
    <definedName name="ъ" localSheetId="11">#REF!</definedName>
    <definedName name="ъ">#REF!</definedName>
    <definedName name="ъъъъ" localSheetId="24">#REF!</definedName>
    <definedName name="ъъъъ" localSheetId="11">#REF!</definedName>
    <definedName name="ъъъъ">#REF!</definedName>
    <definedName name="ы" localSheetId="24">#REF!</definedName>
    <definedName name="ы" localSheetId="11">#REF!</definedName>
    <definedName name="ы">#REF!</definedName>
    <definedName name="ыаааааааааааа" localSheetId="24">#REF!</definedName>
    <definedName name="ыаааааааааааа" localSheetId="11">#REF!</definedName>
    <definedName name="ыаааааааааааа">#REF!</definedName>
    <definedName name="ыаааыыыыыыыыыыыыыыыыыы" localSheetId="24">#REF!</definedName>
    <definedName name="ыаааыыыыыыыыыыыыыыыыыы" localSheetId="11">#REF!</definedName>
    <definedName name="ыаааыыыыыыыыыыыыыыыыыы">#REF!</definedName>
    <definedName name="ыаов">[77]hx_abc4!$A$20:$IV$20</definedName>
    <definedName name="ыаов_1" localSheetId="11">[78]hx_abc4!$20:$20</definedName>
    <definedName name="ыаов_1" localSheetId="13">[78]hx_abc4!$20:$20</definedName>
    <definedName name="ыаов_1">[79]hx_abc4!$20:$20</definedName>
    <definedName name="ыасяавааааааааааааааааааа" localSheetId="24">#REF!</definedName>
    <definedName name="ыасяавааааааааааааааааааа" localSheetId="11">#REF!</definedName>
    <definedName name="ыасяавааааааааааааааааааа" localSheetId="13">#REF!</definedName>
    <definedName name="ыасяавааааааааааааааааааа">#REF!</definedName>
    <definedName name="ыв" localSheetId="24">#REF!</definedName>
    <definedName name="ыв" localSheetId="11">#REF!</definedName>
    <definedName name="ыв" localSheetId="13">#REF!</definedName>
    <definedName name="ыв">#REF!</definedName>
    <definedName name="ывааааааа" localSheetId="24">#REF!</definedName>
    <definedName name="ывааааааа" localSheetId="11">#REF!</definedName>
    <definedName name="ывааааааа" localSheetId="13">#REF!</definedName>
    <definedName name="ывааааааа">#REF!</definedName>
    <definedName name="ывапроорпавыываппавывапрпа" localSheetId="24">#REF!</definedName>
    <definedName name="ывапроорпавыываппавывапрпа" localSheetId="11">#REF!</definedName>
    <definedName name="ывапроорпавыываппавывапрпа">#REF!</definedName>
    <definedName name="ываы" localSheetId="24">#REF!</definedName>
    <definedName name="ываы" localSheetId="11">#REF!</definedName>
    <definedName name="ываы">#REF!</definedName>
    <definedName name="ыввыфвфвф" localSheetId="24">#REF!</definedName>
    <definedName name="ыввыфвфвф" localSheetId="11">#REF!</definedName>
    <definedName name="ыввыфвфвф">#REF!</definedName>
    <definedName name="ЫВПАПАПАПАПАПАПАПАПАПАПАПАПАПАПА" localSheetId="24">#REF!</definedName>
    <definedName name="ЫВПАПАПАПАПАПАПАПАПАПАПАПАПАПАПА" localSheetId="11">#REF!</definedName>
    <definedName name="ЫВПАПАПАПАПАПАПАПАПАПАПАПАПАПАПА">#REF!</definedName>
    <definedName name="ЫВПВПЫВП" localSheetId="24">#REF!</definedName>
    <definedName name="ЫВПВПЫВП" localSheetId="11">#REF!</definedName>
    <definedName name="ЫВПВПЫВП">#REF!</definedName>
    <definedName name="ЫВППЫВП" localSheetId="24">#REF!</definedName>
    <definedName name="ЫВППЫВП" localSheetId="11">#REF!</definedName>
    <definedName name="ЫВППЫВП">#REF!</definedName>
    <definedName name="ЫПВВПВАП" localSheetId="24">#REF!</definedName>
    <definedName name="ЫПВВПВАП" localSheetId="11">#REF!</definedName>
    <definedName name="ЫПВВПВАП">#REF!</definedName>
    <definedName name="ыуааауаааааааааааааа" localSheetId="24">#REF!</definedName>
    <definedName name="ыуааауаааааааааааааа" localSheetId="11">#REF!</definedName>
    <definedName name="ыуааауаааааааааааааа">#REF!</definedName>
    <definedName name="ЫУВКП" localSheetId="24">#REF!</definedName>
    <definedName name="ЫУВКП" localSheetId="11">#REF!</definedName>
    <definedName name="ЫУВКП">#REF!</definedName>
    <definedName name="ыупаааааааааааааааа" localSheetId="24">#REF!</definedName>
    <definedName name="ыупаааааааааааааааа" localSheetId="11">#REF!</definedName>
    <definedName name="ыупаааааааааааааааа">#REF!</definedName>
    <definedName name="ыфввввввввввввввввв" localSheetId="24">#REF!</definedName>
    <definedName name="ыфввввввввввввввввв" localSheetId="11">#REF!</definedName>
    <definedName name="ыфввввввввввввввввв">#REF!</definedName>
    <definedName name="ыцвввввввввввв" localSheetId="24">#REF!</definedName>
    <definedName name="ыцвввввввввввв" localSheetId="11">#REF!</definedName>
    <definedName name="ыцвввввввввввв">#REF!</definedName>
    <definedName name="ыы" localSheetId="24">#REF!</definedName>
    <definedName name="ыы" localSheetId="11">#REF!</definedName>
    <definedName name="ыы">#REF!</definedName>
    <definedName name="ыыы" localSheetId="24">#REF!</definedName>
    <definedName name="ыыы" localSheetId="11">#REF!</definedName>
    <definedName name="ыыы">#REF!</definedName>
    <definedName name="ь" localSheetId="24">#REF!</definedName>
    <definedName name="ь" localSheetId="11">#REF!</definedName>
    <definedName name="ь">#REF!</definedName>
    <definedName name="ьлдщгрш7нш" localSheetId="24">#REF!</definedName>
    <definedName name="ьлдщгрш7нш" localSheetId="11">#REF!</definedName>
    <definedName name="ьлдщгрш7нш">#REF!</definedName>
    <definedName name="ьтьть" localSheetId="24">#REF!</definedName>
    <definedName name="ьтьть" localSheetId="11">#REF!</definedName>
    <definedName name="ьтьть">#REF!</definedName>
    <definedName name="ьь" localSheetId="24">#REF!</definedName>
    <definedName name="ьь" localSheetId="11">#REF!</definedName>
    <definedName name="ьь">#REF!</definedName>
    <definedName name="ьььь" localSheetId="24">#REF!</definedName>
    <definedName name="ьььь" localSheetId="11">#REF!</definedName>
    <definedName name="ьььь">#REF!</definedName>
    <definedName name="ььььь" localSheetId="24">#REF!</definedName>
    <definedName name="ььььь" localSheetId="11">#REF!</definedName>
    <definedName name="ььььь">#REF!</definedName>
    <definedName name="ьььььь" localSheetId="24">#REF!</definedName>
    <definedName name="ьььььь" localSheetId="11">#REF!</definedName>
    <definedName name="ьььььь">#REF!</definedName>
    <definedName name="ьььььььь" localSheetId="24">#REF!</definedName>
    <definedName name="ьььььььь" localSheetId="11">#REF!</definedName>
    <definedName name="ьььььььь">#REF!</definedName>
    <definedName name="ььььььььььььььььь" localSheetId="24">#REF!</definedName>
    <definedName name="ььььььььььььььььь" localSheetId="11">#REF!</definedName>
    <definedName name="ььььььььььььььььь">#REF!</definedName>
    <definedName name="ьььььььььььььььььь" localSheetId="24">#REF!</definedName>
    <definedName name="ьььььььььььььььььь" localSheetId="11">#REF!</definedName>
    <definedName name="ьььььььььььььььььь">#REF!</definedName>
    <definedName name="э" localSheetId="24">#REF!</definedName>
    <definedName name="э" localSheetId="11">#REF!</definedName>
    <definedName name="э">#REF!</definedName>
    <definedName name="эксперт" localSheetId="24">#REF!</definedName>
    <definedName name="эксперт" localSheetId="11">#REF!</definedName>
    <definedName name="эксперт">#REF!</definedName>
    <definedName name="эл">'[39]C.с '!$I$39</definedName>
    <definedName name="элт" localSheetId="24">#REF!</definedName>
    <definedName name="элт" localSheetId="11">#REF!</definedName>
    <definedName name="элт">#REF!</definedName>
    <definedName name="эртиль_крА" localSheetId="24">#REF!</definedName>
    <definedName name="эртиль_крА" localSheetId="11">#REF!</definedName>
    <definedName name="эртиль_крА">#REF!</definedName>
    <definedName name="эртиль_крБ" localSheetId="24">#REF!</definedName>
    <definedName name="эртиль_крБ" localSheetId="11">#REF!</definedName>
    <definedName name="эртиль_крБ">#REF!</definedName>
    <definedName name="эртиль_крВ" localSheetId="24">#REF!</definedName>
    <definedName name="эртиль_крВ" localSheetId="11">#REF!</definedName>
    <definedName name="эртиль_крВ">#REF!</definedName>
    <definedName name="эртиль_крГ" localSheetId="24">#REF!</definedName>
    <definedName name="эртиль_крГ" localSheetId="11">#REF!</definedName>
    <definedName name="эртиль_крГ">#REF!</definedName>
    <definedName name="эртиль_крД" localSheetId="24">#REF!</definedName>
    <definedName name="эртиль_крД" localSheetId="11">#REF!</definedName>
    <definedName name="эртиль_крД">#REF!</definedName>
    <definedName name="эртиль_крЕ" localSheetId="24">#REF!</definedName>
    <definedName name="эртиль_крЕ" localSheetId="11">#REF!</definedName>
    <definedName name="эртиль_крЕ">#REF!</definedName>
    <definedName name="эртиль_крЖ" localSheetId="24">#REF!</definedName>
    <definedName name="эртиль_крЖ" localSheetId="11">#REF!</definedName>
    <definedName name="эртиль_крЖ">#REF!</definedName>
    <definedName name="ээ" localSheetId="24">#REF!</definedName>
    <definedName name="ээ" localSheetId="11">#REF!</definedName>
    <definedName name="ээ">#REF!</definedName>
    <definedName name="ю" localSheetId="24">#REF!</definedName>
    <definedName name="ю" localSheetId="11">#REF!</definedName>
    <definedName name="ю">#REF!</definedName>
    <definedName name="юж" localSheetId="24">#REF!</definedName>
    <definedName name="юж" localSheetId="11">#REF!</definedName>
    <definedName name="юж">#REF!</definedName>
    <definedName name="юля" localSheetId="24">#REF!</definedName>
    <definedName name="юля" localSheetId="11">#REF!</definedName>
    <definedName name="юля">#REF!</definedName>
    <definedName name="юю" localSheetId="24">#REF!</definedName>
    <definedName name="юю" localSheetId="11">#REF!</definedName>
    <definedName name="юю">#REF!</definedName>
    <definedName name="ююююю" localSheetId="24">#REF!</definedName>
    <definedName name="ююююю" localSheetId="11">#REF!</definedName>
    <definedName name="ююююю">#REF!</definedName>
    <definedName name="я" localSheetId="24">#REF!</definedName>
    <definedName name="я" localSheetId="11">#REF!</definedName>
    <definedName name="я">#REF!</definedName>
    <definedName name="яччччччччч" localSheetId="24">#REF!</definedName>
    <definedName name="яччччччччч" localSheetId="11">#REF!</definedName>
    <definedName name="яччччччччч">#REF!</definedName>
    <definedName name="яя" localSheetId="24">#REF!</definedName>
    <definedName name="яя" localSheetId="11">#REF!</definedName>
    <definedName name="яя">#REF!</definedName>
    <definedName name="яяя" localSheetId="24">#REF!</definedName>
    <definedName name="яяя" localSheetId="11">#REF!</definedName>
    <definedName name="яяя">#REF!</definedName>
  </definedNames>
  <calcPr calcId="162913" fullPrecision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4" i="35" l="1"/>
  <c r="G44" i="35"/>
  <c r="C44" i="35"/>
  <c r="E44" i="35"/>
  <c r="F44" i="35"/>
  <c r="D44" i="35"/>
  <c r="E46" i="35" l="1"/>
  <c r="I24" i="34" l="1"/>
  <c r="J24" i="34"/>
  <c r="K24" i="34"/>
  <c r="L24" i="34"/>
  <c r="M24" i="34"/>
  <c r="AK181" i="36"/>
  <c r="AK180" i="36"/>
  <c r="K153" i="36"/>
  <c r="I153" i="36"/>
  <c r="D153" i="36"/>
  <c r="K152" i="36"/>
  <c r="I152" i="36"/>
  <c r="D152" i="36"/>
  <c r="K151" i="36"/>
  <c r="L158" i="36" s="1"/>
  <c r="P23" i="34" s="1"/>
  <c r="I151" i="36"/>
  <c r="J158" i="36" s="1"/>
  <c r="O23" i="34" s="1"/>
  <c r="D151" i="36"/>
  <c r="K150" i="36"/>
  <c r="J150" i="36"/>
  <c r="K149" i="36"/>
  <c r="J149" i="36"/>
  <c r="AF148" i="36"/>
  <c r="K146" i="36"/>
  <c r="J146" i="36"/>
  <c r="K145" i="36"/>
  <c r="J145" i="36"/>
  <c r="AF144" i="36"/>
  <c r="A144" i="36"/>
  <c r="K142" i="36"/>
  <c r="J142" i="36"/>
  <c r="K141" i="36"/>
  <c r="J141" i="36"/>
  <c r="A140" i="36"/>
  <c r="K138" i="36"/>
  <c r="J138" i="36"/>
  <c r="K137" i="36"/>
  <c r="J137" i="36"/>
  <c r="K136" i="36"/>
  <c r="I136" i="36"/>
  <c r="A136" i="36"/>
  <c r="A134" i="36"/>
  <c r="V130" i="36"/>
  <c r="U130" i="36"/>
  <c r="T130" i="36"/>
  <c r="S130" i="36"/>
  <c r="R130" i="36"/>
  <c r="Q130" i="36"/>
  <c r="L130" i="36"/>
  <c r="P131" i="36" s="1"/>
  <c r="K130" i="36"/>
  <c r="J130" i="36"/>
  <c r="I131" i="36" s="1"/>
  <c r="I130" i="36"/>
  <c r="H130" i="36"/>
  <c r="G130" i="36"/>
  <c r="F130" i="36"/>
  <c r="E130" i="36"/>
  <c r="C130" i="36"/>
  <c r="B130" i="36"/>
  <c r="V127" i="36"/>
  <c r="U127" i="36"/>
  <c r="T127" i="36"/>
  <c r="S127" i="36"/>
  <c r="R127" i="36"/>
  <c r="Q127" i="36"/>
  <c r="L127" i="36"/>
  <c r="P128" i="36" s="1"/>
  <c r="K127" i="36"/>
  <c r="J127" i="36"/>
  <c r="O128" i="36" s="1"/>
  <c r="I127" i="36"/>
  <c r="H127" i="36"/>
  <c r="G127" i="36"/>
  <c r="F127" i="36"/>
  <c r="E127" i="36"/>
  <c r="C127" i="36"/>
  <c r="B127" i="36"/>
  <c r="K124" i="36"/>
  <c r="F124" i="36"/>
  <c r="K123" i="36"/>
  <c r="K122" i="36" s="1"/>
  <c r="I123" i="36"/>
  <c r="I122" i="36" s="1"/>
  <c r="G123" i="36"/>
  <c r="G122" i="36" s="1"/>
  <c r="H122" i="36"/>
  <c r="F121" i="36"/>
  <c r="E121" i="36"/>
  <c r="B121" i="36"/>
  <c r="J118" i="36"/>
  <c r="I118" i="36"/>
  <c r="H118" i="36"/>
  <c r="F118" i="36"/>
  <c r="K117" i="36"/>
  <c r="F117" i="36"/>
  <c r="K116" i="36"/>
  <c r="F116" i="36"/>
  <c r="K115" i="36"/>
  <c r="F115" i="36"/>
  <c r="V114" i="36"/>
  <c r="U114" i="36"/>
  <c r="T114" i="36"/>
  <c r="S114" i="36"/>
  <c r="R114" i="36"/>
  <c r="Q114" i="36"/>
  <c r="L114" i="36"/>
  <c r="K114" i="36"/>
  <c r="J114" i="36"/>
  <c r="I114" i="36"/>
  <c r="G114" i="36"/>
  <c r="F114" i="36"/>
  <c r="E114" i="36"/>
  <c r="C114" i="36"/>
  <c r="B114" i="36"/>
  <c r="L113" i="36"/>
  <c r="K113" i="36"/>
  <c r="J113" i="36"/>
  <c r="I113" i="36"/>
  <c r="H113" i="36"/>
  <c r="G113" i="36"/>
  <c r="K112" i="36"/>
  <c r="I112" i="36"/>
  <c r="H112" i="36"/>
  <c r="G112" i="36"/>
  <c r="K111" i="36"/>
  <c r="I111" i="36"/>
  <c r="H111" i="36"/>
  <c r="G111" i="36"/>
  <c r="L110" i="36"/>
  <c r="K110" i="36"/>
  <c r="J110" i="36"/>
  <c r="I110" i="36"/>
  <c r="H110" i="36"/>
  <c r="G110" i="36"/>
  <c r="V109" i="36"/>
  <c r="U109" i="36"/>
  <c r="T109" i="36"/>
  <c r="S109" i="36"/>
  <c r="R109" i="36"/>
  <c r="Q109" i="36"/>
  <c r="F109" i="36"/>
  <c r="E109" i="36"/>
  <c r="B109" i="36"/>
  <c r="K106" i="36"/>
  <c r="F106" i="36"/>
  <c r="K105" i="36"/>
  <c r="K104" i="36" s="1"/>
  <c r="I105" i="36"/>
  <c r="I104" i="36" s="1"/>
  <c r="G105" i="36"/>
  <c r="G104" i="36" s="1"/>
  <c r="H104" i="36"/>
  <c r="F103" i="36"/>
  <c r="E103" i="36"/>
  <c r="B103" i="36"/>
  <c r="J100" i="36"/>
  <c r="I100" i="36"/>
  <c r="H100" i="36"/>
  <c r="F100" i="36"/>
  <c r="K99" i="36"/>
  <c r="F99" i="36"/>
  <c r="K98" i="36"/>
  <c r="F98" i="36"/>
  <c r="K97" i="36"/>
  <c r="F97" i="36"/>
  <c r="V96" i="36"/>
  <c r="U96" i="36"/>
  <c r="T96" i="36"/>
  <c r="S96" i="36"/>
  <c r="R96" i="36"/>
  <c r="Q96" i="36"/>
  <c r="L96" i="36"/>
  <c r="K96" i="36"/>
  <c r="J96" i="36"/>
  <c r="I96" i="36"/>
  <c r="G96" i="36"/>
  <c r="F96" i="36"/>
  <c r="E96" i="36"/>
  <c r="C96" i="36"/>
  <c r="B96" i="36"/>
  <c r="L95" i="36"/>
  <c r="K95" i="36"/>
  <c r="J95" i="36"/>
  <c r="I95" i="36"/>
  <c r="H95" i="36"/>
  <c r="G95" i="36"/>
  <c r="K94" i="36"/>
  <c r="I94" i="36"/>
  <c r="H94" i="36"/>
  <c r="G94" i="36"/>
  <c r="K93" i="36"/>
  <c r="I93" i="36"/>
  <c r="H93" i="36"/>
  <c r="G93" i="36"/>
  <c r="L92" i="36"/>
  <c r="K92" i="36"/>
  <c r="J92" i="36"/>
  <c r="I92" i="36"/>
  <c r="H92" i="36"/>
  <c r="G92" i="36"/>
  <c r="V91" i="36"/>
  <c r="U91" i="36"/>
  <c r="T91" i="36"/>
  <c r="S91" i="36"/>
  <c r="R91" i="36"/>
  <c r="Q91" i="36"/>
  <c r="F91" i="36"/>
  <c r="E91" i="36"/>
  <c r="B91" i="36"/>
  <c r="V88" i="36"/>
  <c r="U88" i="36"/>
  <c r="T88" i="36"/>
  <c r="S88" i="36"/>
  <c r="R88" i="36"/>
  <c r="Q88" i="36"/>
  <c r="L88" i="36"/>
  <c r="P89" i="36" s="1"/>
  <c r="K88" i="36"/>
  <c r="J88" i="36"/>
  <c r="O89" i="36" s="1"/>
  <c r="I88" i="36"/>
  <c r="H88" i="36"/>
  <c r="G88" i="36"/>
  <c r="F88" i="36"/>
  <c r="E88" i="36"/>
  <c r="C88" i="36"/>
  <c r="B88" i="36"/>
  <c r="V85" i="36"/>
  <c r="U85" i="36"/>
  <c r="T85" i="36"/>
  <c r="S85" i="36"/>
  <c r="R85" i="36"/>
  <c r="Q85" i="36"/>
  <c r="L85" i="36"/>
  <c r="P86" i="36" s="1"/>
  <c r="K85" i="36"/>
  <c r="J85" i="36"/>
  <c r="I86" i="36" s="1"/>
  <c r="I85" i="36"/>
  <c r="H85" i="36"/>
  <c r="G85" i="36"/>
  <c r="F85" i="36"/>
  <c r="E85" i="36"/>
  <c r="C85" i="36"/>
  <c r="B85" i="36"/>
  <c r="K82" i="36"/>
  <c r="F82" i="36"/>
  <c r="K81" i="36"/>
  <c r="K80" i="36" s="1"/>
  <c r="I81" i="36"/>
  <c r="I80" i="36" s="1"/>
  <c r="G81" i="36"/>
  <c r="G80" i="36" s="1"/>
  <c r="H80" i="36"/>
  <c r="F79" i="36"/>
  <c r="E79" i="36"/>
  <c r="B79" i="36"/>
  <c r="J76" i="36"/>
  <c r="I76" i="36"/>
  <c r="H76" i="36"/>
  <c r="F76" i="36"/>
  <c r="K75" i="36"/>
  <c r="F75" i="36"/>
  <c r="K74" i="36"/>
  <c r="F74" i="36"/>
  <c r="K73" i="36"/>
  <c r="F73" i="36"/>
  <c r="V72" i="36"/>
  <c r="U72" i="36"/>
  <c r="T72" i="36"/>
  <c r="S72" i="36"/>
  <c r="R72" i="36"/>
  <c r="Q72" i="36"/>
  <c r="L72" i="36"/>
  <c r="K72" i="36"/>
  <c r="J72" i="36"/>
  <c r="I72" i="36"/>
  <c r="G72" i="36"/>
  <c r="F72" i="36"/>
  <c r="E72" i="36"/>
  <c r="C72" i="36"/>
  <c r="B72" i="36"/>
  <c r="L71" i="36"/>
  <c r="K71" i="36"/>
  <c r="J71" i="36"/>
  <c r="I71" i="36"/>
  <c r="H71" i="36"/>
  <c r="G71" i="36"/>
  <c r="K70" i="36"/>
  <c r="I70" i="36"/>
  <c r="H70" i="36"/>
  <c r="G70" i="36"/>
  <c r="K69" i="36"/>
  <c r="I69" i="36"/>
  <c r="H69" i="36"/>
  <c r="G69" i="36"/>
  <c r="L68" i="36"/>
  <c r="K68" i="36"/>
  <c r="J68" i="36"/>
  <c r="I68" i="36"/>
  <c r="H68" i="36"/>
  <c r="G68" i="36"/>
  <c r="V67" i="36"/>
  <c r="U67" i="36"/>
  <c r="T67" i="36"/>
  <c r="S67" i="36"/>
  <c r="R67" i="36"/>
  <c r="Q67" i="36"/>
  <c r="F67" i="36"/>
  <c r="E67" i="36"/>
  <c r="B67" i="36"/>
  <c r="A66" i="36"/>
  <c r="K64" i="36"/>
  <c r="J64" i="36"/>
  <c r="K63" i="36"/>
  <c r="J63" i="36"/>
  <c r="K62" i="36"/>
  <c r="I62" i="36"/>
  <c r="A62" i="36"/>
  <c r="K60" i="36"/>
  <c r="J60" i="36"/>
  <c r="K59" i="36"/>
  <c r="J59" i="36"/>
  <c r="K58" i="36"/>
  <c r="I58" i="36"/>
  <c r="A58" i="36"/>
  <c r="A56" i="36"/>
  <c r="A54" i="36"/>
  <c r="K52" i="36"/>
  <c r="J52" i="36"/>
  <c r="K51" i="36"/>
  <c r="J51" i="36"/>
  <c r="K50" i="36"/>
  <c r="I50" i="36"/>
  <c r="A50" i="36"/>
  <c r="K48" i="36"/>
  <c r="J48" i="36"/>
  <c r="K47" i="36"/>
  <c r="J47" i="36"/>
  <c r="K46" i="36"/>
  <c r="I46" i="36"/>
  <c r="A46" i="36"/>
  <c r="A44" i="36"/>
  <c r="A42" i="36"/>
  <c r="K40" i="36"/>
  <c r="J40" i="36"/>
  <c r="K39" i="36"/>
  <c r="J39" i="36"/>
  <c r="K38" i="36"/>
  <c r="I38" i="36"/>
  <c r="A38" i="36"/>
  <c r="A36" i="36"/>
  <c r="K34" i="36"/>
  <c r="J34" i="36"/>
  <c r="K33" i="36"/>
  <c r="J33" i="36"/>
  <c r="K32" i="36"/>
  <c r="I32" i="36"/>
  <c r="A32" i="36"/>
  <c r="A30" i="36"/>
  <c r="K28" i="36"/>
  <c r="J28" i="36"/>
  <c r="K27" i="36"/>
  <c r="J27" i="36"/>
  <c r="AF26" i="36"/>
  <c r="K26" i="36"/>
  <c r="I26" i="36"/>
  <c r="A26" i="36"/>
  <c r="AC24" i="36"/>
  <c r="C24" i="36"/>
  <c r="A22" i="36"/>
  <c r="H10" i="36"/>
  <c r="L74" i="36" l="1"/>
  <c r="L166" i="36"/>
  <c r="J73" i="36"/>
  <c r="L73" i="36"/>
  <c r="J97" i="36"/>
  <c r="O86" i="36"/>
  <c r="O131" i="36"/>
  <c r="J98" i="36"/>
  <c r="L157" i="36"/>
  <c r="L165" i="36" s="1"/>
  <c r="L168" i="36" s="1"/>
  <c r="I89" i="36"/>
  <c r="J105" i="36"/>
  <c r="J106" i="36" s="1"/>
  <c r="L98" i="36"/>
  <c r="J116" i="36"/>
  <c r="I128" i="36"/>
  <c r="J157" i="36"/>
  <c r="J160" i="36" s="1"/>
  <c r="Q23" i="34" s="1"/>
  <c r="J74" i="36"/>
  <c r="L116" i="36"/>
  <c r="L97" i="36"/>
  <c r="J115" i="36"/>
  <c r="L115" i="36"/>
  <c r="L81" i="36"/>
  <c r="J81" i="36"/>
  <c r="L123" i="36"/>
  <c r="J123" i="36"/>
  <c r="K86" i="36"/>
  <c r="K89" i="36"/>
  <c r="L105" i="36"/>
  <c r="K128" i="36"/>
  <c r="K131" i="36"/>
  <c r="S23" i="34" l="1"/>
  <c r="L174" i="36"/>
  <c r="L160" i="36"/>
  <c r="R23" i="34" s="1"/>
  <c r="J104" i="36"/>
  <c r="J93" i="36" s="1"/>
  <c r="J94" i="36"/>
  <c r="J112" i="36"/>
  <c r="J124" i="36"/>
  <c r="J122" i="36"/>
  <c r="J111" i="36" s="1"/>
  <c r="L94" i="36"/>
  <c r="L106" i="36"/>
  <c r="L104" i="36"/>
  <c r="L93" i="36" s="1"/>
  <c r="L124" i="36"/>
  <c r="L122" i="36"/>
  <c r="L111" i="36" s="1"/>
  <c r="L112" i="36"/>
  <c r="J70" i="36"/>
  <c r="J82" i="36"/>
  <c r="J80" i="36"/>
  <c r="J69" i="36" s="1"/>
  <c r="L82" i="36"/>
  <c r="L80" i="36"/>
  <c r="L69" i="36" s="1"/>
  <c r="L70" i="36"/>
  <c r="I107" i="36"/>
  <c r="O107" i="36" s="1"/>
  <c r="J99" i="36"/>
  <c r="J75" i="36" l="1"/>
  <c r="O77" i="36" s="1"/>
  <c r="I83" i="36"/>
  <c r="O83" i="36" s="1"/>
  <c r="K125" i="36"/>
  <c r="P125" i="36" s="1"/>
  <c r="L117" i="36"/>
  <c r="K119" i="36" s="1"/>
  <c r="J117" i="36"/>
  <c r="O119" i="36" s="1"/>
  <c r="I125" i="36"/>
  <c r="O125" i="36" s="1"/>
  <c r="O101" i="36"/>
  <c r="I101" i="36"/>
  <c r="K83" i="36"/>
  <c r="P83" i="36" s="1"/>
  <c r="L75" i="36"/>
  <c r="P77" i="36" s="1"/>
  <c r="K107" i="36"/>
  <c r="P107" i="36" s="1"/>
  <c r="L99" i="36"/>
  <c r="K101" i="36" s="1"/>
  <c r="I77" i="36" l="1"/>
  <c r="I148" i="36"/>
  <c r="J155" i="36" s="1"/>
  <c r="J156" i="36" s="1"/>
  <c r="I140" i="36"/>
  <c r="I144" i="36"/>
  <c r="K77" i="36"/>
  <c r="P119" i="36"/>
  <c r="P101" i="36"/>
  <c r="I119" i="36"/>
  <c r="J161" i="36" l="1"/>
  <c r="F23" i="34"/>
  <c r="T23" i="34"/>
  <c r="K144" i="36"/>
  <c r="K140" i="36"/>
  <c r="K148" i="36"/>
  <c r="L155" i="36" s="1"/>
  <c r="L163" i="36" s="1"/>
  <c r="L164" i="36" l="1"/>
  <c r="H23" i="34" s="1"/>
  <c r="L169" i="36"/>
  <c r="L172" i="36" s="1"/>
  <c r="L156" i="36"/>
  <c r="L161" i="36" l="1"/>
  <c r="G23" i="34"/>
  <c r="U23" i="34" s="1"/>
  <c r="V23" i="34"/>
  <c r="L173" i="36"/>
  <c r="D49" i="35" l="1"/>
  <c r="D53" i="35"/>
  <c r="C53" i="35" s="1"/>
  <c r="D59" i="35"/>
  <c r="C59" i="35" s="1"/>
  <c r="D60" i="35"/>
  <c r="C60" i="35" s="1"/>
  <c r="C49" i="35"/>
  <c r="E60" i="35"/>
  <c r="F60" i="35"/>
  <c r="E58" i="35"/>
  <c r="E57" i="35"/>
  <c r="E56" i="35"/>
  <c r="E55" i="35"/>
  <c r="E54" i="35"/>
  <c r="E53" i="35"/>
  <c r="E52" i="35"/>
  <c r="E51" i="35"/>
  <c r="E49" i="35"/>
  <c r="E47" i="35"/>
  <c r="E48" i="35"/>
  <c r="F49" i="35"/>
  <c r="H31" i="35"/>
  <c r="G65" i="35"/>
  <c r="G68" i="35" s="1"/>
  <c r="E65" i="35"/>
  <c r="G63" i="35"/>
  <c r="G66" i="35" s="1"/>
  <c r="G69" i="35" s="1"/>
  <c r="E63" i="35"/>
  <c r="E66" i="35" s="1"/>
  <c r="E69" i="35" s="1"/>
  <c r="C63" i="35"/>
  <c r="C64" i="35" s="1"/>
  <c r="H54" i="35"/>
  <c r="H55" i="35" s="1"/>
  <c r="F53" i="35"/>
  <c r="F55" i="35" l="1"/>
  <c r="D55" i="35"/>
  <c r="C55" i="35" s="1"/>
  <c r="G70" i="35"/>
  <c r="F54" i="35"/>
  <c r="G64" i="35"/>
  <c r="G67" i="35" s="1"/>
  <c r="E68" i="35"/>
  <c r="E70" i="35" s="1"/>
  <c r="D54" i="35"/>
  <c r="C54" i="35" s="1"/>
  <c r="E64" i="35"/>
  <c r="E67" i="35" s="1"/>
  <c r="L29" i="34"/>
  <c r="L25" i="34" s="1"/>
  <c r="V27" i="34"/>
  <c r="U27" i="34"/>
  <c r="T27" i="34"/>
  <c r="X24" i="34"/>
  <c r="X29" i="34" s="1"/>
  <c r="X25" i="34" s="1"/>
  <c r="W24" i="34"/>
  <c r="W29" i="34" s="1"/>
  <c r="W25" i="34" s="1"/>
  <c r="M29" i="34"/>
  <c r="M25" i="34" s="1"/>
  <c r="K29" i="34"/>
  <c r="K25" i="34" s="1"/>
  <c r="J29" i="34"/>
  <c r="J25" i="34" s="1"/>
  <c r="I29" i="34"/>
  <c r="I25" i="34" s="1"/>
  <c r="N13" i="34"/>
  <c r="N24" i="34" s="1"/>
  <c r="N29" i="34" l="1"/>
  <c r="N25" i="34" s="1"/>
  <c r="L26" i="24" l="1"/>
  <c r="AJ19" i="24"/>
  <c r="Q25" i="6" l="1"/>
  <c r="Q16" i="6"/>
  <c r="J145" i="28" l="1"/>
  <c r="J144" i="28"/>
  <c r="J149" i="28" s="1"/>
  <c r="Z21" i="6" l="1"/>
  <c r="Q17" i="34"/>
  <c r="O21" i="6"/>
  <c r="O17" i="34"/>
  <c r="L347" i="27"/>
  <c r="L357" i="27" s="1"/>
  <c r="L360" i="27" s="1"/>
  <c r="J348" i="27"/>
  <c r="J347" i="27"/>
  <c r="J352" i="27" s="1"/>
  <c r="L589" i="26"/>
  <c r="L588" i="26"/>
  <c r="L598" i="26" s="1"/>
  <c r="L601" i="26" s="1"/>
  <c r="J589" i="26"/>
  <c r="J588" i="26"/>
  <c r="J593" i="26" s="1"/>
  <c r="Z20" i="6" l="1"/>
  <c r="Q16" i="34"/>
  <c r="P15" i="34"/>
  <c r="L599" i="26"/>
  <c r="Z19" i="6"/>
  <c r="Q15" i="34"/>
  <c r="O19" i="6"/>
  <c r="O15" i="34"/>
  <c r="O20" i="6"/>
  <c r="O16" i="34"/>
  <c r="S15" i="34"/>
  <c r="S16" i="34"/>
  <c r="P19" i="6"/>
  <c r="L352" i="27"/>
  <c r="R16" i="34" s="1"/>
  <c r="L593" i="26"/>
  <c r="R15" i="34" s="1"/>
  <c r="AB19" i="6" l="1"/>
  <c r="AA19" i="6"/>
  <c r="AB20" i="6"/>
  <c r="AA20" i="6"/>
  <c r="K141" i="28" l="1"/>
  <c r="D141" i="28"/>
  <c r="K140" i="28"/>
  <c r="D140" i="28"/>
  <c r="K139" i="28"/>
  <c r="D139" i="28"/>
  <c r="D138" i="28"/>
  <c r="AL136" i="28"/>
  <c r="A134" i="28"/>
  <c r="AA130" i="28"/>
  <c r="Z130" i="28"/>
  <c r="Y130" i="28"/>
  <c r="K129" i="28"/>
  <c r="F129" i="28"/>
  <c r="K128" i="28"/>
  <c r="K127" i="28" s="1"/>
  <c r="I128" i="28"/>
  <c r="I127" i="28" s="1"/>
  <c r="G128" i="28"/>
  <c r="G127" i="28" s="1"/>
  <c r="H127" i="28"/>
  <c r="AA125" i="28"/>
  <c r="Z125" i="28"/>
  <c r="Y125" i="28"/>
  <c r="J124" i="28"/>
  <c r="I124" i="28"/>
  <c r="H124" i="28"/>
  <c r="F124" i="28"/>
  <c r="K123" i="28"/>
  <c r="F123" i="28"/>
  <c r="K122" i="28"/>
  <c r="F122" i="28"/>
  <c r="K121" i="28"/>
  <c r="F121" i="28"/>
  <c r="AA120" i="28"/>
  <c r="Z120" i="28"/>
  <c r="Y120" i="28"/>
  <c r="V120" i="28"/>
  <c r="U120" i="28"/>
  <c r="T120" i="28"/>
  <c r="S120" i="28"/>
  <c r="R120" i="28"/>
  <c r="Q120" i="28"/>
  <c r="L120" i="28"/>
  <c r="K120" i="28"/>
  <c r="J120" i="28"/>
  <c r="I120" i="28"/>
  <c r="G120" i="28"/>
  <c r="F120" i="28"/>
  <c r="E120" i="28"/>
  <c r="C120" i="28"/>
  <c r="B120" i="28"/>
  <c r="L119" i="28"/>
  <c r="K119" i="28"/>
  <c r="J119" i="28"/>
  <c r="I119" i="28"/>
  <c r="H119" i="28"/>
  <c r="G119" i="28"/>
  <c r="K118" i="28"/>
  <c r="I118" i="28"/>
  <c r="H118" i="28"/>
  <c r="G118" i="28"/>
  <c r="K117" i="28"/>
  <c r="I117" i="28"/>
  <c r="H117" i="28"/>
  <c r="G117" i="28"/>
  <c r="L116" i="28"/>
  <c r="K116" i="28"/>
  <c r="J116" i="28"/>
  <c r="I116" i="28"/>
  <c r="H116" i="28"/>
  <c r="G116" i="28"/>
  <c r="V115" i="28"/>
  <c r="U115" i="28"/>
  <c r="T115" i="28"/>
  <c r="S115" i="28"/>
  <c r="R115" i="28"/>
  <c r="Q115" i="28"/>
  <c r="F115" i="28"/>
  <c r="E115" i="28"/>
  <c r="C115" i="28"/>
  <c r="B115" i="28"/>
  <c r="AA112" i="28"/>
  <c r="Z112" i="28"/>
  <c r="Y112" i="28"/>
  <c r="K111" i="28"/>
  <c r="F111" i="28"/>
  <c r="K110" i="28"/>
  <c r="K109" i="28" s="1"/>
  <c r="I110" i="28"/>
  <c r="I109" i="28" s="1"/>
  <c r="G110" i="28"/>
  <c r="G109" i="28" s="1"/>
  <c r="H109" i="28"/>
  <c r="AA107" i="28"/>
  <c r="Z107" i="28"/>
  <c r="Y107" i="28"/>
  <c r="J106" i="28"/>
  <c r="I106" i="28"/>
  <c r="H106" i="28"/>
  <c r="F106" i="28"/>
  <c r="K105" i="28"/>
  <c r="F105" i="28"/>
  <c r="K104" i="28"/>
  <c r="F104" i="28"/>
  <c r="K103" i="28"/>
  <c r="F103" i="28"/>
  <c r="AA102" i="28"/>
  <c r="Z102" i="28"/>
  <c r="Y102" i="28"/>
  <c r="V102" i="28"/>
  <c r="U102" i="28"/>
  <c r="T102" i="28"/>
  <c r="S102" i="28"/>
  <c r="R102" i="28"/>
  <c r="Q102" i="28"/>
  <c r="L102" i="28"/>
  <c r="K102" i="28"/>
  <c r="J102" i="28"/>
  <c r="X102" i="28" s="1"/>
  <c r="I102" i="28"/>
  <c r="G102" i="28"/>
  <c r="F102" i="28"/>
  <c r="E102" i="28"/>
  <c r="C102" i="28"/>
  <c r="B102" i="28"/>
  <c r="L101" i="28"/>
  <c r="K101" i="28"/>
  <c r="J101" i="28"/>
  <c r="I101" i="28"/>
  <c r="H101" i="28"/>
  <c r="G101" i="28"/>
  <c r="K100" i="28"/>
  <c r="I100" i="28"/>
  <c r="H100" i="28"/>
  <c r="G100" i="28"/>
  <c r="K99" i="28"/>
  <c r="I99" i="28"/>
  <c r="H99" i="28"/>
  <c r="G99" i="28"/>
  <c r="L98" i="28"/>
  <c r="K98" i="28"/>
  <c r="J98" i="28"/>
  <c r="W98" i="28" s="1"/>
  <c r="I98" i="28"/>
  <c r="H98" i="28"/>
  <c r="G98" i="28"/>
  <c r="V97" i="28"/>
  <c r="U97" i="28"/>
  <c r="T97" i="28"/>
  <c r="S97" i="28"/>
  <c r="R97" i="28"/>
  <c r="Q97" i="28"/>
  <c r="F97" i="28"/>
  <c r="E97" i="28"/>
  <c r="C97" i="28"/>
  <c r="B97" i="28"/>
  <c r="AA94" i="28"/>
  <c r="Z94" i="28"/>
  <c r="Y94" i="28"/>
  <c r="K93" i="28"/>
  <c r="F93" i="28"/>
  <c r="K92" i="28"/>
  <c r="K91" i="28" s="1"/>
  <c r="I92" i="28"/>
  <c r="I91" i="28" s="1"/>
  <c r="G92" i="28"/>
  <c r="G91" i="28" s="1"/>
  <c r="H91" i="28"/>
  <c r="AA89" i="28"/>
  <c r="Z89" i="28"/>
  <c r="Y89" i="28"/>
  <c r="J88" i="28"/>
  <c r="I88" i="28"/>
  <c r="H88" i="28"/>
  <c r="F88" i="28"/>
  <c r="K87" i="28"/>
  <c r="F87" i="28"/>
  <c r="K86" i="28"/>
  <c r="F86" i="28"/>
  <c r="K85" i="28"/>
  <c r="F85" i="28"/>
  <c r="AA84" i="28"/>
  <c r="Z84" i="28"/>
  <c r="Y84" i="28"/>
  <c r="V84" i="28"/>
  <c r="U84" i="28"/>
  <c r="T84" i="28"/>
  <c r="S84" i="28"/>
  <c r="R84" i="28"/>
  <c r="Q84" i="28"/>
  <c r="L84" i="28"/>
  <c r="K84" i="28"/>
  <c r="J84" i="28"/>
  <c r="X84" i="28" s="1"/>
  <c r="I84" i="28"/>
  <c r="G84" i="28"/>
  <c r="F84" i="28"/>
  <c r="E84" i="28"/>
  <c r="C84" i="28"/>
  <c r="B84" i="28"/>
  <c r="L83" i="28"/>
  <c r="K83" i="28"/>
  <c r="J83" i="28"/>
  <c r="I83" i="28"/>
  <c r="H83" i="28"/>
  <c r="G83" i="28"/>
  <c r="K82" i="28"/>
  <c r="I82" i="28"/>
  <c r="H82" i="28"/>
  <c r="G82" i="28"/>
  <c r="K81" i="28"/>
  <c r="I81" i="28"/>
  <c r="H81" i="28"/>
  <c r="G81" i="28"/>
  <c r="L80" i="28"/>
  <c r="K80" i="28"/>
  <c r="J80" i="28"/>
  <c r="W80" i="28" s="1"/>
  <c r="I80" i="28"/>
  <c r="H80" i="28"/>
  <c r="G80" i="28"/>
  <c r="V79" i="28"/>
  <c r="U79" i="28"/>
  <c r="T79" i="28"/>
  <c r="S79" i="28"/>
  <c r="R79" i="28"/>
  <c r="Q79" i="28"/>
  <c r="F79" i="28"/>
  <c r="E79" i="28"/>
  <c r="C79" i="28"/>
  <c r="B79" i="28"/>
  <c r="AA78" i="28"/>
  <c r="Z78" i="28"/>
  <c r="Y78" i="28"/>
  <c r="V77" i="28"/>
  <c r="U77" i="28"/>
  <c r="T77" i="28"/>
  <c r="S77" i="28"/>
  <c r="R77" i="28"/>
  <c r="Q77" i="28"/>
  <c r="J77" i="28"/>
  <c r="X78" i="28" s="1"/>
  <c r="I77" i="28"/>
  <c r="G77" i="28"/>
  <c r="F77" i="28"/>
  <c r="L77" i="28" s="1"/>
  <c r="E77" i="28"/>
  <c r="C77" i="28"/>
  <c r="B77" i="28"/>
  <c r="AA74" i="28"/>
  <c r="Z74" i="28"/>
  <c r="Y74" i="28"/>
  <c r="K73" i="28"/>
  <c r="F73" i="28"/>
  <c r="K72" i="28"/>
  <c r="K71" i="28" s="1"/>
  <c r="I72" i="28"/>
  <c r="I71" i="28" s="1"/>
  <c r="G72" i="28"/>
  <c r="G71" i="28" s="1"/>
  <c r="H71" i="28"/>
  <c r="AA69" i="28"/>
  <c r="Z69" i="28"/>
  <c r="Y69" i="28"/>
  <c r="J68" i="28"/>
  <c r="I68" i="28"/>
  <c r="H68" i="28"/>
  <c r="F68" i="28"/>
  <c r="K67" i="28"/>
  <c r="F67" i="28"/>
  <c r="K66" i="28"/>
  <c r="F66" i="28"/>
  <c r="K65" i="28"/>
  <c r="F65" i="28"/>
  <c r="L64" i="28"/>
  <c r="K64" i="28"/>
  <c r="J64" i="28"/>
  <c r="I64" i="28"/>
  <c r="H64" i="28"/>
  <c r="G64" i="28"/>
  <c r="K63" i="28"/>
  <c r="I63" i="28"/>
  <c r="H63" i="28"/>
  <c r="G63" i="28"/>
  <c r="K62" i="28"/>
  <c r="I62" i="28"/>
  <c r="H62" i="28"/>
  <c r="G62" i="28"/>
  <c r="L61" i="28"/>
  <c r="K61" i="28"/>
  <c r="J61" i="28"/>
  <c r="I61" i="28"/>
  <c r="H61" i="28"/>
  <c r="G61" i="28"/>
  <c r="V60" i="28"/>
  <c r="U60" i="28"/>
  <c r="T60" i="28"/>
  <c r="L66" i="28" s="1"/>
  <c r="S60" i="28"/>
  <c r="J66" i="28" s="1"/>
  <c r="R60" i="28"/>
  <c r="L65" i="28" s="1"/>
  <c r="Q60" i="28"/>
  <c r="J65" i="28" s="1"/>
  <c r="F60" i="28"/>
  <c r="E60" i="28"/>
  <c r="C60" i="28"/>
  <c r="B60" i="28"/>
  <c r="AA59" i="28"/>
  <c r="Z59" i="28"/>
  <c r="Y59" i="28"/>
  <c r="V58" i="28"/>
  <c r="U58" i="28"/>
  <c r="T58" i="28"/>
  <c r="S58" i="28"/>
  <c r="R58" i="28"/>
  <c r="Q58" i="28"/>
  <c r="J58" i="28"/>
  <c r="X59" i="28" s="1"/>
  <c r="I58" i="28"/>
  <c r="H58" i="28"/>
  <c r="G58" i="28"/>
  <c r="F58" i="28"/>
  <c r="L58" i="28" s="1"/>
  <c r="K59" i="28" s="1"/>
  <c r="E58" i="28"/>
  <c r="C58" i="28"/>
  <c r="B58" i="28"/>
  <c r="AA57" i="28"/>
  <c r="Z57" i="28"/>
  <c r="Y57" i="28"/>
  <c r="V56" i="28"/>
  <c r="U56" i="28"/>
  <c r="T56" i="28"/>
  <c r="S56" i="28"/>
  <c r="R56" i="28"/>
  <c r="Q56" i="28"/>
  <c r="J56" i="28"/>
  <c r="I57" i="28" s="1"/>
  <c r="I56" i="28"/>
  <c r="G56" i="28"/>
  <c r="F56" i="28"/>
  <c r="L56" i="28" s="1"/>
  <c r="E56" i="28"/>
  <c r="C56" i="28"/>
  <c r="B56" i="28"/>
  <c r="AA55" i="28"/>
  <c r="Z55" i="28"/>
  <c r="Y55" i="28"/>
  <c r="V54" i="28"/>
  <c r="U54" i="28"/>
  <c r="T54" i="28"/>
  <c r="S54" i="28"/>
  <c r="R54" i="28"/>
  <c r="Q54" i="28"/>
  <c r="J54" i="28"/>
  <c r="X55" i="28" s="1"/>
  <c r="I54" i="28"/>
  <c r="H54" i="28"/>
  <c r="G54" i="28"/>
  <c r="F54" i="28"/>
  <c r="L54" i="28" s="1"/>
  <c r="E54" i="28"/>
  <c r="C54" i="28"/>
  <c r="B54" i="28"/>
  <c r="AA53" i="28"/>
  <c r="Z53" i="28"/>
  <c r="Y53" i="28"/>
  <c r="V52" i="28"/>
  <c r="U52" i="28"/>
  <c r="T52" i="28"/>
  <c r="S52" i="28"/>
  <c r="R52" i="28"/>
  <c r="Q52" i="28"/>
  <c r="J52" i="28"/>
  <c r="X53" i="28" s="1"/>
  <c r="I52" i="28"/>
  <c r="G52" i="28"/>
  <c r="F52" i="28"/>
  <c r="L52" i="28" s="1"/>
  <c r="E52" i="28"/>
  <c r="C52" i="28"/>
  <c r="B52" i="28"/>
  <c r="AA49" i="28"/>
  <c r="Z49" i="28"/>
  <c r="Y49" i="28"/>
  <c r="K48" i="28"/>
  <c r="F48" i="28"/>
  <c r="K47" i="28"/>
  <c r="K46" i="28" s="1"/>
  <c r="I47" i="28"/>
  <c r="I46" i="28" s="1"/>
  <c r="G47" i="28"/>
  <c r="G46" i="28" s="1"/>
  <c r="H46" i="28"/>
  <c r="AA44" i="28"/>
  <c r="Z44" i="28"/>
  <c r="Y44" i="28"/>
  <c r="J43" i="28"/>
  <c r="I43" i="28"/>
  <c r="H43" i="28"/>
  <c r="F43" i="28"/>
  <c r="K42" i="28"/>
  <c r="F42" i="28"/>
  <c r="K41" i="28"/>
  <c r="F41" i="28"/>
  <c r="K40" i="28"/>
  <c r="F40" i="28"/>
  <c r="L39" i="28"/>
  <c r="K39" i="28"/>
  <c r="J39" i="28"/>
  <c r="I39" i="28"/>
  <c r="H39" i="28"/>
  <c r="G39" i="28"/>
  <c r="K38" i="28"/>
  <c r="I38" i="28"/>
  <c r="H38" i="28"/>
  <c r="G38" i="28"/>
  <c r="K37" i="28"/>
  <c r="I37" i="28"/>
  <c r="H37" i="28"/>
  <c r="G37" i="28"/>
  <c r="L36" i="28"/>
  <c r="K36" i="28"/>
  <c r="J36" i="28"/>
  <c r="I36" i="28"/>
  <c r="H36" i="28"/>
  <c r="G36" i="28"/>
  <c r="V35" i="28"/>
  <c r="U35" i="28"/>
  <c r="T35" i="28"/>
  <c r="L41" i="28" s="1"/>
  <c r="S35" i="28"/>
  <c r="J41" i="28" s="1"/>
  <c r="R35" i="28"/>
  <c r="L40" i="28" s="1"/>
  <c r="Q35" i="28"/>
  <c r="J40" i="28" s="1"/>
  <c r="F35" i="28"/>
  <c r="E35" i="28"/>
  <c r="C35" i="28"/>
  <c r="B35" i="28"/>
  <c r="AA34" i="28"/>
  <c r="Z34" i="28"/>
  <c r="Y34" i="28"/>
  <c r="V33" i="28"/>
  <c r="U33" i="28"/>
  <c r="T33" i="28"/>
  <c r="S33" i="28"/>
  <c r="R33" i="28"/>
  <c r="Q33" i="28"/>
  <c r="L33" i="28"/>
  <c r="P34" i="28" s="1"/>
  <c r="K33" i="28"/>
  <c r="J33" i="28"/>
  <c r="X34" i="28" s="1"/>
  <c r="I33" i="28"/>
  <c r="H33" i="28"/>
  <c r="G33" i="28"/>
  <c r="F33" i="28"/>
  <c r="E33" i="28"/>
  <c r="C33" i="28"/>
  <c r="B33" i="28"/>
  <c r="AA30" i="28"/>
  <c r="Z30" i="28"/>
  <c r="Y30" i="28"/>
  <c r="K29" i="28"/>
  <c r="F29" i="28"/>
  <c r="K28" i="28"/>
  <c r="K27" i="28" s="1"/>
  <c r="I28" i="28"/>
  <c r="I27" i="28" s="1"/>
  <c r="G28" i="28"/>
  <c r="G27" i="28" s="1"/>
  <c r="H27" i="28"/>
  <c r="AA25" i="28"/>
  <c r="Z25" i="28"/>
  <c r="Y25" i="28"/>
  <c r="J24" i="28"/>
  <c r="I24" i="28"/>
  <c r="H24" i="28"/>
  <c r="F24" i="28"/>
  <c r="K23" i="28"/>
  <c r="F23" i="28"/>
  <c r="K22" i="28"/>
  <c r="F22" i="28"/>
  <c r="K21" i="28"/>
  <c r="F21" i="28"/>
  <c r="L20" i="28"/>
  <c r="K20" i="28"/>
  <c r="J20" i="28"/>
  <c r="I20" i="28"/>
  <c r="H20" i="28"/>
  <c r="G20" i="28"/>
  <c r="K19" i="28"/>
  <c r="I19" i="28"/>
  <c r="H19" i="28"/>
  <c r="G19" i="28"/>
  <c r="K18" i="28"/>
  <c r="I18" i="28"/>
  <c r="H18" i="28"/>
  <c r="G18" i="28"/>
  <c r="L17" i="28"/>
  <c r="K17" i="28"/>
  <c r="J17" i="28"/>
  <c r="I17" i="28"/>
  <c r="H17" i="28"/>
  <c r="G17" i="28"/>
  <c r="V16" i="28"/>
  <c r="U16" i="28"/>
  <c r="T16" i="28"/>
  <c r="L22" i="28" s="1"/>
  <c r="S16" i="28"/>
  <c r="J22" i="28" s="1"/>
  <c r="R16" i="28"/>
  <c r="L21" i="28" s="1"/>
  <c r="Q16" i="28"/>
  <c r="J21" i="28" s="1"/>
  <c r="F16" i="28"/>
  <c r="E16" i="28"/>
  <c r="C16" i="28"/>
  <c r="B16" i="28"/>
  <c r="A15" i="28"/>
  <c r="J86" i="28" l="1"/>
  <c r="J103" i="28"/>
  <c r="J122" i="28"/>
  <c r="J72" i="28"/>
  <c r="J63" i="28" s="1"/>
  <c r="W63" i="28" s="1"/>
  <c r="L85" i="28"/>
  <c r="L121" i="28"/>
  <c r="J110" i="28"/>
  <c r="J111" i="28" s="1"/>
  <c r="L144" i="28"/>
  <c r="L154" i="28" s="1"/>
  <c r="L157" i="28" s="1"/>
  <c r="J85" i="28"/>
  <c r="J104" i="28"/>
  <c r="J121" i="28"/>
  <c r="J92" i="28"/>
  <c r="W92" i="28" s="1"/>
  <c r="L86" i="28"/>
  <c r="L128" i="28"/>
  <c r="L129" i="28" s="1"/>
  <c r="L122" i="28"/>
  <c r="K34" i="28"/>
  <c r="O55" i="28"/>
  <c r="L104" i="28"/>
  <c r="K138" i="28"/>
  <c r="L145" i="28" s="1"/>
  <c r="L103" i="28"/>
  <c r="J47" i="28"/>
  <c r="W47" i="28" s="1"/>
  <c r="X120" i="28"/>
  <c r="L28" i="28"/>
  <c r="J28" i="28"/>
  <c r="W36" i="28"/>
  <c r="P53" i="28"/>
  <c r="K53" i="28"/>
  <c r="K55" i="28"/>
  <c r="P55" i="28"/>
  <c r="P57" i="28"/>
  <c r="K57" i="28"/>
  <c r="P78" i="28"/>
  <c r="K78" i="28"/>
  <c r="L92" i="28"/>
  <c r="J128" i="28"/>
  <c r="W17" i="28"/>
  <c r="O34" i="28"/>
  <c r="L47" i="28"/>
  <c r="O53" i="28"/>
  <c r="O59" i="28"/>
  <c r="L72" i="28"/>
  <c r="O78" i="28"/>
  <c r="L110" i="28"/>
  <c r="W116" i="28"/>
  <c r="M145" i="28"/>
  <c r="X57" i="28"/>
  <c r="I55" i="28"/>
  <c r="O57" i="28"/>
  <c r="P59" i="28"/>
  <c r="I34" i="28"/>
  <c r="I53" i="28"/>
  <c r="I59" i="28"/>
  <c r="W61" i="28"/>
  <c r="I78" i="28"/>
  <c r="J73" i="28" l="1"/>
  <c r="I74" i="28" s="1"/>
  <c r="J71" i="28"/>
  <c r="J62" i="28" s="1"/>
  <c r="J109" i="28"/>
  <c r="J99" i="28" s="1"/>
  <c r="W72" i="28"/>
  <c r="J100" i="28"/>
  <c r="W100" i="28" s="1"/>
  <c r="W110" i="28"/>
  <c r="S17" i="34"/>
  <c r="P17" i="34"/>
  <c r="L155" i="28"/>
  <c r="L118" i="28"/>
  <c r="L127" i="28"/>
  <c r="L117" i="28" s="1"/>
  <c r="P21" i="6"/>
  <c r="L149" i="28"/>
  <c r="R17" i="34" s="1"/>
  <c r="J82" i="28"/>
  <c r="W82" i="28" s="1"/>
  <c r="J93" i="28"/>
  <c r="J87" i="28" s="1"/>
  <c r="J91" i="28"/>
  <c r="J81" i="28" s="1"/>
  <c r="J48" i="28"/>
  <c r="I49" i="28" s="1"/>
  <c r="J38" i="28"/>
  <c r="W38" i="28" s="1"/>
  <c r="J46" i="28"/>
  <c r="J37" i="28" s="1"/>
  <c r="L91" i="28"/>
  <c r="L81" i="28" s="1"/>
  <c r="L82" i="28"/>
  <c r="L93" i="28"/>
  <c r="W128" i="28"/>
  <c r="J127" i="28"/>
  <c r="J117" i="28" s="1"/>
  <c r="J118" i="28"/>
  <c r="W118" i="28" s="1"/>
  <c r="J129" i="28"/>
  <c r="I112" i="28"/>
  <c r="J105" i="28"/>
  <c r="L123" i="28"/>
  <c r="K130" i="28"/>
  <c r="P130" i="28" s="1"/>
  <c r="J19" i="28"/>
  <c r="W19" i="28" s="1"/>
  <c r="J29" i="28"/>
  <c r="J27" i="28"/>
  <c r="J18" i="28" s="1"/>
  <c r="W28" i="28"/>
  <c r="I94" i="28"/>
  <c r="L111" i="28"/>
  <c r="L109" i="28"/>
  <c r="L99" i="28" s="1"/>
  <c r="L100" i="28"/>
  <c r="L63" i="28"/>
  <c r="L73" i="28"/>
  <c r="L71" i="28"/>
  <c r="L62" i="28" s="1"/>
  <c r="L38" i="28"/>
  <c r="L48" i="28"/>
  <c r="L46" i="28"/>
  <c r="L37" i="28" s="1"/>
  <c r="L27" i="28"/>
  <c r="L18" i="28" s="1"/>
  <c r="L19" i="28"/>
  <c r="L29" i="28"/>
  <c r="J42" i="28" l="1"/>
  <c r="X44" i="28" s="1"/>
  <c r="J67" i="28"/>
  <c r="I69" i="28" s="1"/>
  <c r="I76" i="28" s="1"/>
  <c r="AB21" i="6"/>
  <c r="AA21" i="6"/>
  <c r="O44" i="28"/>
  <c r="K30" i="28"/>
  <c r="P30" i="28" s="1"/>
  <c r="L23" i="28"/>
  <c r="K25" i="28" s="1"/>
  <c r="X94" i="28"/>
  <c r="O94" i="28"/>
  <c r="J23" i="28"/>
  <c r="I25" i="28" s="1"/>
  <c r="I30" i="28"/>
  <c r="P125" i="28"/>
  <c r="K125" i="28"/>
  <c r="K132" i="28" s="1"/>
  <c r="O89" i="28"/>
  <c r="I89" i="28"/>
  <c r="I96" i="28" s="1"/>
  <c r="I107" i="28"/>
  <c r="I114" i="28" s="1"/>
  <c r="O107" i="28"/>
  <c r="K94" i="28"/>
  <c r="P94" i="28" s="1"/>
  <c r="L87" i="28"/>
  <c r="P89" i="28" s="1"/>
  <c r="X49" i="28"/>
  <c r="O49" i="28"/>
  <c r="L42" i="28"/>
  <c r="K44" i="28" s="1"/>
  <c r="K49" i="28"/>
  <c r="P49" i="28" s="1"/>
  <c r="X74" i="28"/>
  <c r="O74" i="28"/>
  <c r="I44" i="28"/>
  <c r="I51" i="28" s="1"/>
  <c r="X112" i="28"/>
  <c r="O112" i="28"/>
  <c r="X89" i="28"/>
  <c r="L67" i="28"/>
  <c r="K69" i="28" s="1"/>
  <c r="K74" i="28"/>
  <c r="P74" i="28" s="1"/>
  <c r="L105" i="28"/>
  <c r="K107" i="28" s="1"/>
  <c r="K112" i="28"/>
  <c r="P112" i="28" s="1"/>
  <c r="J123" i="28"/>
  <c r="I125" i="28" s="1"/>
  <c r="I130" i="28"/>
  <c r="O69" i="28"/>
  <c r="X107" i="28"/>
  <c r="X69" i="28" l="1"/>
  <c r="X25" i="28"/>
  <c r="O25" i="28"/>
  <c r="P25" i="28"/>
  <c r="K89" i="28"/>
  <c r="K96" i="28" s="1"/>
  <c r="K76" i="28"/>
  <c r="K32" i="28"/>
  <c r="P44" i="28"/>
  <c r="I32" i="28"/>
  <c r="P107" i="28"/>
  <c r="P69" i="28"/>
  <c r="I132" i="28"/>
  <c r="K51" i="28"/>
  <c r="O125" i="28"/>
  <c r="X125" i="28"/>
  <c r="K114" i="28"/>
  <c r="O30" i="28"/>
  <c r="X30" i="28"/>
  <c r="O130" i="28"/>
  <c r="X130" i="28"/>
  <c r="K134" i="28" l="1"/>
  <c r="I136" i="28"/>
  <c r="J142" i="28" s="1"/>
  <c r="K136" i="28"/>
  <c r="L142" i="28" s="1"/>
  <c r="M134" i="28"/>
  <c r="I134" i="28"/>
  <c r="G17" i="34" l="1"/>
  <c r="L152" i="28"/>
  <c r="J143" i="28"/>
  <c r="J150" i="28" s="1"/>
  <c r="F17" i="34"/>
  <c r="T17" i="34" s="1"/>
  <c r="L143" i="28"/>
  <c r="L150" i="28" s="1"/>
  <c r="AL340" i="27"/>
  <c r="K337" i="27"/>
  <c r="I337" i="27"/>
  <c r="K336" i="27"/>
  <c r="I336" i="27"/>
  <c r="A335" i="27"/>
  <c r="AA333" i="27"/>
  <c r="Z333" i="27"/>
  <c r="Y333" i="27"/>
  <c r="V332" i="27"/>
  <c r="U332" i="27"/>
  <c r="T332" i="27"/>
  <c r="S332" i="27"/>
  <c r="R332" i="27"/>
  <c r="Q332" i="27"/>
  <c r="K332" i="27"/>
  <c r="J332" i="27"/>
  <c r="X333" i="27" s="1"/>
  <c r="I332" i="27"/>
  <c r="H332" i="27"/>
  <c r="G332" i="27"/>
  <c r="F332" i="27"/>
  <c r="L332" i="27" s="1"/>
  <c r="K333" i="27" s="1"/>
  <c r="E332" i="27"/>
  <c r="C332" i="27"/>
  <c r="B332" i="27"/>
  <c r="AA331" i="27"/>
  <c r="Z331" i="27"/>
  <c r="Y331" i="27"/>
  <c r="M331" i="27"/>
  <c r="V330" i="27"/>
  <c r="U330" i="27"/>
  <c r="T330" i="27"/>
  <c r="S330" i="27"/>
  <c r="R330" i="27"/>
  <c r="Q330" i="27"/>
  <c r="K330" i="27"/>
  <c r="J330" i="27"/>
  <c r="I331" i="27" s="1"/>
  <c r="I330" i="27"/>
  <c r="H330" i="27"/>
  <c r="G330" i="27"/>
  <c r="F330" i="27"/>
  <c r="M330" i="27" s="1"/>
  <c r="E330" i="27"/>
  <c r="C330" i="27"/>
  <c r="B330" i="27"/>
  <c r="AA327" i="27"/>
  <c r="Z327" i="27"/>
  <c r="Y327" i="27"/>
  <c r="K326" i="27"/>
  <c r="F326" i="27"/>
  <c r="K325" i="27"/>
  <c r="K324" i="27" s="1"/>
  <c r="I325" i="27"/>
  <c r="I324" i="27" s="1"/>
  <c r="G325" i="27"/>
  <c r="H324" i="27"/>
  <c r="AA322" i="27"/>
  <c r="Z322" i="27"/>
  <c r="Y322" i="27"/>
  <c r="J321" i="27"/>
  <c r="I321" i="27"/>
  <c r="H321" i="27"/>
  <c r="F321" i="27"/>
  <c r="K320" i="27"/>
  <c r="F320" i="27"/>
  <c r="K319" i="27"/>
  <c r="F319" i="27"/>
  <c r="K318" i="27"/>
  <c r="F318" i="27"/>
  <c r="AA317" i="27"/>
  <c r="Z317" i="27"/>
  <c r="Y317" i="27"/>
  <c r="V317" i="27"/>
  <c r="U317" i="27"/>
  <c r="T317" i="27"/>
  <c r="S317" i="27"/>
  <c r="R317" i="27"/>
  <c r="Q317" i="27"/>
  <c r="L317" i="27"/>
  <c r="K317" i="27"/>
  <c r="J317" i="27"/>
  <c r="X317" i="27" s="1"/>
  <c r="I317" i="27"/>
  <c r="G317" i="27"/>
  <c r="F317" i="27"/>
  <c r="E317" i="27"/>
  <c r="C317" i="27"/>
  <c r="B317" i="27"/>
  <c r="L316" i="27"/>
  <c r="K316" i="27"/>
  <c r="J316" i="27"/>
  <c r="I316" i="27"/>
  <c r="H316" i="27"/>
  <c r="G316" i="27"/>
  <c r="K315" i="27"/>
  <c r="I315" i="27"/>
  <c r="H315" i="27"/>
  <c r="G315" i="27"/>
  <c r="K314" i="27"/>
  <c r="I314" i="27"/>
  <c r="H314" i="27"/>
  <c r="G314" i="27"/>
  <c r="L313" i="27"/>
  <c r="K313" i="27"/>
  <c r="J313" i="27"/>
  <c r="I313" i="27"/>
  <c r="H313" i="27"/>
  <c r="G313" i="27"/>
  <c r="V312" i="27"/>
  <c r="U312" i="27"/>
  <c r="T312" i="27"/>
  <c r="S312" i="27"/>
  <c r="R312" i="27"/>
  <c r="Q312" i="27"/>
  <c r="F312" i="27"/>
  <c r="E312" i="27"/>
  <c r="C312" i="27"/>
  <c r="B312" i="27"/>
  <c r="AA309" i="27"/>
  <c r="Z309" i="27"/>
  <c r="Y309" i="27"/>
  <c r="K308" i="27"/>
  <c r="F308" i="27"/>
  <c r="K307" i="27"/>
  <c r="K306" i="27" s="1"/>
  <c r="I307" i="27"/>
  <c r="I306" i="27" s="1"/>
  <c r="G307" i="27"/>
  <c r="G306" i="27" s="1"/>
  <c r="H306" i="27"/>
  <c r="AA304" i="27"/>
  <c r="Z304" i="27"/>
  <c r="Y304" i="27"/>
  <c r="J303" i="27"/>
  <c r="I303" i="27"/>
  <c r="H303" i="27"/>
  <c r="F303" i="27"/>
  <c r="K302" i="27"/>
  <c r="F302" i="27"/>
  <c r="K301" i="27"/>
  <c r="F301" i="27"/>
  <c r="K300" i="27"/>
  <c r="F300" i="27"/>
  <c r="AA299" i="27"/>
  <c r="Z299" i="27"/>
  <c r="Y299" i="27"/>
  <c r="V299" i="27"/>
  <c r="U299" i="27"/>
  <c r="T299" i="27"/>
  <c r="S299" i="27"/>
  <c r="R299" i="27"/>
  <c r="Q299" i="27"/>
  <c r="L299" i="27"/>
  <c r="K299" i="27"/>
  <c r="J299" i="27"/>
  <c r="X299" i="27" s="1"/>
  <c r="I299" i="27"/>
  <c r="G299" i="27"/>
  <c r="F299" i="27"/>
  <c r="E299" i="27"/>
  <c r="C299" i="27"/>
  <c r="B299" i="27"/>
  <c r="L298" i="27"/>
  <c r="K298" i="27"/>
  <c r="J298" i="27"/>
  <c r="I298" i="27"/>
  <c r="H298" i="27"/>
  <c r="G298" i="27"/>
  <c r="K297" i="27"/>
  <c r="I297" i="27"/>
  <c r="H297" i="27"/>
  <c r="G297" i="27"/>
  <c r="K296" i="27"/>
  <c r="I296" i="27"/>
  <c r="H296" i="27"/>
  <c r="G296" i="27"/>
  <c r="L295" i="27"/>
  <c r="K295" i="27"/>
  <c r="J295" i="27"/>
  <c r="I295" i="27"/>
  <c r="H295" i="27"/>
  <c r="G295" i="27"/>
  <c r="V294" i="27"/>
  <c r="U294" i="27"/>
  <c r="T294" i="27"/>
  <c r="S294" i="27"/>
  <c r="R294" i="27"/>
  <c r="Q294" i="27"/>
  <c r="F294" i="27"/>
  <c r="E294" i="27"/>
  <c r="C294" i="27"/>
  <c r="B294" i="27"/>
  <c r="AA291" i="27"/>
  <c r="Z291" i="27"/>
  <c r="Y291" i="27"/>
  <c r="K290" i="27"/>
  <c r="F290" i="27"/>
  <c r="K289" i="27"/>
  <c r="K288" i="27" s="1"/>
  <c r="I289" i="27"/>
  <c r="I288" i="27" s="1"/>
  <c r="G289" i="27"/>
  <c r="G288" i="27" s="1"/>
  <c r="H288" i="27"/>
  <c r="AA286" i="27"/>
  <c r="Z286" i="27"/>
  <c r="Y286" i="27"/>
  <c r="J285" i="27"/>
  <c r="I285" i="27"/>
  <c r="H285" i="27"/>
  <c r="F285" i="27"/>
  <c r="K284" i="27"/>
  <c r="F284" i="27"/>
  <c r="K283" i="27"/>
  <c r="F283" i="27"/>
  <c r="K282" i="27"/>
  <c r="F282" i="27"/>
  <c r="AA281" i="27"/>
  <c r="Z281" i="27"/>
  <c r="Y281" i="27"/>
  <c r="V281" i="27"/>
  <c r="U281" i="27"/>
  <c r="T281" i="27"/>
  <c r="S281" i="27"/>
  <c r="R281" i="27"/>
  <c r="Q281" i="27"/>
  <c r="L281" i="27"/>
  <c r="K281" i="27"/>
  <c r="J281" i="27"/>
  <c r="X281" i="27" s="1"/>
  <c r="I281" i="27"/>
  <c r="G281" i="27"/>
  <c r="F281" i="27"/>
  <c r="E281" i="27"/>
  <c r="C281" i="27"/>
  <c r="B281" i="27"/>
  <c r="L280" i="27"/>
  <c r="K280" i="27"/>
  <c r="J280" i="27"/>
  <c r="I280" i="27"/>
  <c r="H280" i="27"/>
  <c r="G280" i="27"/>
  <c r="K279" i="27"/>
  <c r="I279" i="27"/>
  <c r="H279" i="27"/>
  <c r="G279" i="27"/>
  <c r="K278" i="27"/>
  <c r="I278" i="27"/>
  <c r="H278" i="27"/>
  <c r="G278" i="27"/>
  <c r="L277" i="27"/>
  <c r="K277" i="27"/>
  <c r="J277" i="27"/>
  <c r="I277" i="27"/>
  <c r="H277" i="27"/>
  <c r="G277" i="27"/>
  <c r="V276" i="27"/>
  <c r="U276" i="27"/>
  <c r="T276" i="27"/>
  <c r="S276" i="27"/>
  <c r="R276" i="27"/>
  <c r="Q276" i="27"/>
  <c r="F276" i="27"/>
  <c r="E276" i="27"/>
  <c r="C276" i="27"/>
  <c r="B276" i="27"/>
  <c r="AA273" i="27"/>
  <c r="Z273" i="27"/>
  <c r="Y273" i="27"/>
  <c r="K272" i="27"/>
  <c r="F272" i="27"/>
  <c r="K271" i="27"/>
  <c r="K270" i="27" s="1"/>
  <c r="I271" i="27"/>
  <c r="I270" i="27" s="1"/>
  <c r="G271" i="27"/>
  <c r="G270" i="27" s="1"/>
  <c r="H270" i="27"/>
  <c r="AA268" i="27"/>
  <c r="Z268" i="27"/>
  <c r="Y268" i="27"/>
  <c r="J267" i="27"/>
  <c r="I267" i="27"/>
  <c r="H267" i="27"/>
  <c r="F267" i="27"/>
  <c r="K266" i="27"/>
  <c r="F266" i="27"/>
  <c r="K265" i="27"/>
  <c r="F265" i="27"/>
  <c r="K264" i="27"/>
  <c r="F264" i="27"/>
  <c r="AA263" i="27"/>
  <c r="Z263" i="27"/>
  <c r="Y263" i="27"/>
  <c r="V263" i="27"/>
  <c r="U263" i="27"/>
  <c r="T263" i="27"/>
  <c r="S263" i="27"/>
  <c r="R263" i="27"/>
  <c r="Q263" i="27"/>
  <c r="L263" i="27"/>
  <c r="K263" i="27"/>
  <c r="J263" i="27"/>
  <c r="X263" i="27" s="1"/>
  <c r="I263" i="27"/>
  <c r="G263" i="27"/>
  <c r="F263" i="27"/>
  <c r="E263" i="27"/>
  <c r="C263" i="27"/>
  <c r="B263" i="27"/>
  <c r="L262" i="27"/>
  <c r="K262" i="27"/>
  <c r="J262" i="27"/>
  <c r="I262" i="27"/>
  <c r="H262" i="27"/>
  <c r="G262" i="27"/>
  <c r="K261" i="27"/>
  <c r="I261" i="27"/>
  <c r="H261" i="27"/>
  <c r="G261" i="27"/>
  <c r="K260" i="27"/>
  <c r="I260" i="27"/>
  <c r="H260" i="27"/>
  <c r="G260" i="27"/>
  <c r="L259" i="27"/>
  <c r="K259" i="27"/>
  <c r="J259" i="27"/>
  <c r="W259" i="27" s="1"/>
  <c r="I259" i="27"/>
  <c r="H259" i="27"/>
  <c r="G259" i="27"/>
  <c r="V258" i="27"/>
  <c r="U258" i="27"/>
  <c r="T258" i="27"/>
  <c r="S258" i="27"/>
  <c r="R258" i="27"/>
  <c r="Q258" i="27"/>
  <c r="F258" i="27"/>
  <c r="E258" i="27"/>
  <c r="C258" i="27"/>
  <c r="B258" i="27"/>
  <c r="AA255" i="27"/>
  <c r="Z255" i="27"/>
  <c r="Y255" i="27"/>
  <c r="K254" i="27"/>
  <c r="F254" i="27"/>
  <c r="K253" i="27"/>
  <c r="K252" i="27" s="1"/>
  <c r="I253" i="27"/>
  <c r="I252" i="27" s="1"/>
  <c r="G253" i="27"/>
  <c r="G252" i="27" s="1"/>
  <c r="H252" i="27"/>
  <c r="AA250" i="27"/>
  <c r="Z250" i="27"/>
  <c r="Y250" i="27"/>
  <c r="J249" i="27"/>
  <c r="I249" i="27"/>
  <c r="H249" i="27"/>
  <c r="F249" i="27"/>
  <c r="K248" i="27"/>
  <c r="F248" i="27"/>
  <c r="K247" i="27"/>
  <c r="F247" i="27"/>
  <c r="K246" i="27"/>
  <c r="F246" i="27"/>
  <c r="AA245" i="27"/>
  <c r="Z245" i="27"/>
  <c r="Y245" i="27"/>
  <c r="V245" i="27"/>
  <c r="U245" i="27"/>
  <c r="T245" i="27"/>
  <c r="S245" i="27"/>
  <c r="R245" i="27"/>
  <c r="Q245" i="27"/>
  <c r="L245" i="27"/>
  <c r="K245" i="27"/>
  <c r="J245" i="27"/>
  <c r="X245" i="27" s="1"/>
  <c r="I245" i="27"/>
  <c r="G245" i="27"/>
  <c r="F245" i="27"/>
  <c r="E245" i="27"/>
  <c r="C245" i="27"/>
  <c r="B245" i="27"/>
  <c r="L244" i="27"/>
  <c r="K244" i="27"/>
  <c r="J244" i="27"/>
  <c r="I244" i="27"/>
  <c r="H244" i="27"/>
  <c r="G244" i="27"/>
  <c r="K243" i="27"/>
  <c r="I243" i="27"/>
  <c r="H243" i="27"/>
  <c r="G243" i="27"/>
  <c r="K242" i="27"/>
  <c r="I242" i="27"/>
  <c r="H242" i="27"/>
  <c r="G242" i="27"/>
  <c r="L241" i="27"/>
  <c r="K241" i="27"/>
  <c r="J241" i="27"/>
  <c r="I241" i="27"/>
  <c r="H241" i="27"/>
  <c r="G241" i="27"/>
  <c r="V240" i="27"/>
  <c r="U240" i="27"/>
  <c r="T240" i="27"/>
  <c r="S240" i="27"/>
  <c r="R240" i="27"/>
  <c r="Q240" i="27"/>
  <c r="F240" i="27"/>
  <c r="E240" i="27"/>
  <c r="C240" i="27"/>
  <c r="B240" i="27"/>
  <c r="AA237" i="27"/>
  <c r="Z237" i="27"/>
  <c r="Y237" i="27"/>
  <c r="K236" i="27"/>
  <c r="F236" i="27"/>
  <c r="K235" i="27"/>
  <c r="K234" i="27" s="1"/>
  <c r="I235" i="27"/>
  <c r="I234" i="27" s="1"/>
  <c r="G235" i="27"/>
  <c r="G234" i="27" s="1"/>
  <c r="H234" i="27"/>
  <c r="AA232" i="27"/>
  <c r="Z232" i="27"/>
  <c r="Y232" i="27"/>
  <c r="J231" i="27"/>
  <c r="I231" i="27"/>
  <c r="H231" i="27"/>
  <c r="F231" i="27"/>
  <c r="K230" i="27"/>
  <c r="F230" i="27"/>
  <c r="K229" i="27"/>
  <c r="F229" i="27"/>
  <c r="K228" i="27"/>
  <c r="F228" i="27"/>
  <c r="AA227" i="27"/>
  <c r="Z227" i="27"/>
  <c r="Y227" i="27"/>
  <c r="V227" i="27"/>
  <c r="U227" i="27"/>
  <c r="T227" i="27"/>
  <c r="S227" i="27"/>
  <c r="R227" i="27"/>
  <c r="Q227" i="27"/>
  <c r="L227" i="27"/>
  <c r="K227" i="27"/>
  <c r="J227" i="27"/>
  <c r="X227" i="27" s="1"/>
  <c r="I227" i="27"/>
  <c r="G227" i="27"/>
  <c r="F227" i="27"/>
  <c r="E227" i="27"/>
  <c r="C227" i="27"/>
  <c r="B227" i="27"/>
  <c r="L226" i="27"/>
  <c r="K226" i="27"/>
  <c r="J226" i="27"/>
  <c r="I226" i="27"/>
  <c r="H226" i="27"/>
  <c r="G226" i="27"/>
  <c r="K225" i="27"/>
  <c r="I225" i="27"/>
  <c r="H225" i="27"/>
  <c r="G225" i="27"/>
  <c r="K224" i="27"/>
  <c r="I224" i="27"/>
  <c r="H224" i="27"/>
  <c r="G224" i="27"/>
  <c r="L223" i="27"/>
  <c r="K223" i="27"/>
  <c r="J223" i="27"/>
  <c r="I223" i="27"/>
  <c r="H223" i="27"/>
  <c r="G223" i="27"/>
  <c r="V222" i="27"/>
  <c r="U222" i="27"/>
  <c r="T222" i="27"/>
  <c r="S222" i="27"/>
  <c r="R222" i="27"/>
  <c r="Q222" i="27"/>
  <c r="F222" i="27"/>
  <c r="E222" i="27"/>
  <c r="C222" i="27"/>
  <c r="B222" i="27"/>
  <c r="AA219" i="27"/>
  <c r="Z219" i="27"/>
  <c r="Y219" i="27"/>
  <c r="K218" i="27"/>
  <c r="F218" i="27"/>
  <c r="K217" i="27"/>
  <c r="K216" i="27" s="1"/>
  <c r="I217" i="27"/>
  <c r="I216" i="27" s="1"/>
  <c r="G217" i="27"/>
  <c r="G216" i="27" s="1"/>
  <c r="H216" i="27"/>
  <c r="AA214" i="27"/>
  <c r="Z214" i="27"/>
  <c r="Y214" i="27"/>
  <c r="J213" i="27"/>
  <c r="I213" i="27"/>
  <c r="H213" i="27"/>
  <c r="F213" i="27"/>
  <c r="K212" i="27"/>
  <c r="F212" i="27"/>
  <c r="K211" i="27"/>
  <c r="F211" i="27"/>
  <c r="K210" i="27"/>
  <c r="F210" i="27"/>
  <c r="AA209" i="27"/>
  <c r="Z209" i="27"/>
  <c r="Y209" i="27"/>
  <c r="V209" i="27"/>
  <c r="U209" i="27"/>
  <c r="T209" i="27"/>
  <c r="S209" i="27"/>
  <c r="R209" i="27"/>
  <c r="Q209" i="27"/>
  <c r="L209" i="27"/>
  <c r="K209" i="27"/>
  <c r="J209" i="27"/>
  <c r="X209" i="27" s="1"/>
  <c r="I209" i="27"/>
  <c r="G209" i="27"/>
  <c r="F209" i="27"/>
  <c r="E209" i="27"/>
  <c r="C209" i="27"/>
  <c r="B209" i="27"/>
  <c r="L208" i="27"/>
  <c r="K208" i="27"/>
  <c r="J208" i="27"/>
  <c r="I208" i="27"/>
  <c r="H208" i="27"/>
  <c r="G208" i="27"/>
  <c r="K207" i="27"/>
  <c r="I207" i="27"/>
  <c r="H207" i="27"/>
  <c r="G207" i="27"/>
  <c r="K206" i="27"/>
  <c r="I206" i="27"/>
  <c r="H206" i="27"/>
  <c r="G206" i="27"/>
  <c r="L205" i="27"/>
  <c r="K205" i="27"/>
  <c r="J205" i="27"/>
  <c r="I205" i="27"/>
  <c r="H205" i="27"/>
  <c r="G205" i="27"/>
  <c r="V204" i="27"/>
  <c r="U204" i="27"/>
  <c r="T204" i="27"/>
  <c r="S204" i="27"/>
  <c r="R204" i="27"/>
  <c r="Q204" i="27"/>
  <c r="F204" i="27"/>
  <c r="E204" i="27"/>
  <c r="C204" i="27"/>
  <c r="B204" i="27"/>
  <c r="AA201" i="27"/>
  <c r="Z201" i="27"/>
  <c r="Y201" i="27"/>
  <c r="K200" i="27"/>
  <c r="F200" i="27"/>
  <c r="K199" i="27"/>
  <c r="K198" i="27" s="1"/>
  <c r="I199" i="27"/>
  <c r="I198" i="27" s="1"/>
  <c r="G199" i="27"/>
  <c r="G198" i="27" s="1"/>
  <c r="H198" i="27"/>
  <c r="AA196" i="27"/>
  <c r="Z196" i="27"/>
  <c r="Y196" i="27"/>
  <c r="J195" i="27"/>
  <c r="I195" i="27"/>
  <c r="H195" i="27"/>
  <c r="F195" i="27"/>
  <c r="K194" i="27"/>
  <c r="F194" i="27"/>
  <c r="K193" i="27"/>
  <c r="F193" i="27"/>
  <c r="K192" i="27"/>
  <c r="F192" i="27"/>
  <c r="AA191" i="27"/>
  <c r="Z191" i="27"/>
  <c r="Y191" i="27"/>
  <c r="V191" i="27"/>
  <c r="U191" i="27"/>
  <c r="T191" i="27"/>
  <c r="S191" i="27"/>
  <c r="R191" i="27"/>
  <c r="Q191" i="27"/>
  <c r="L191" i="27"/>
  <c r="K191" i="27"/>
  <c r="J191" i="27"/>
  <c r="X191" i="27" s="1"/>
  <c r="I191" i="27"/>
  <c r="G191" i="27"/>
  <c r="F191" i="27"/>
  <c r="E191" i="27"/>
  <c r="C191" i="27"/>
  <c r="B191" i="27"/>
  <c r="L190" i="27"/>
  <c r="K190" i="27"/>
  <c r="J190" i="27"/>
  <c r="I190" i="27"/>
  <c r="H190" i="27"/>
  <c r="G190" i="27"/>
  <c r="K189" i="27"/>
  <c r="I189" i="27"/>
  <c r="H189" i="27"/>
  <c r="G189" i="27"/>
  <c r="K188" i="27"/>
  <c r="I188" i="27"/>
  <c r="H188" i="27"/>
  <c r="G188" i="27"/>
  <c r="L187" i="27"/>
  <c r="K187" i="27"/>
  <c r="J187" i="27"/>
  <c r="W187" i="27" s="1"/>
  <c r="I187" i="27"/>
  <c r="H187" i="27"/>
  <c r="G187" i="27"/>
  <c r="V186" i="27"/>
  <c r="U186" i="27"/>
  <c r="T186" i="27"/>
  <c r="S186" i="27"/>
  <c r="R186" i="27"/>
  <c r="Q186" i="27"/>
  <c r="F186" i="27"/>
  <c r="E186" i="27"/>
  <c r="C186" i="27"/>
  <c r="B186" i="27"/>
  <c r="AA183" i="27"/>
  <c r="Z183" i="27"/>
  <c r="Y183" i="27"/>
  <c r="K182" i="27"/>
  <c r="F182" i="27"/>
  <c r="K181" i="27"/>
  <c r="K180" i="27" s="1"/>
  <c r="I181" i="27"/>
  <c r="I180" i="27" s="1"/>
  <c r="G181" i="27"/>
  <c r="G180" i="27" s="1"/>
  <c r="H180" i="27"/>
  <c r="AA178" i="27"/>
  <c r="Z178" i="27"/>
  <c r="Y178" i="27"/>
  <c r="J177" i="27"/>
  <c r="I177" i="27"/>
  <c r="H177" i="27"/>
  <c r="F177" i="27"/>
  <c r="K176" i="27"/>
  <c r="F176" i="27"/>
  <c r="K175" i="27"/>
  <c r="F175" i="27"/>
  <c r="K174" i="27"/>
  <c r="F174" i="27"/>
  <c r="AA173" i="27"/>
  <c r="Z173" i="27"/>
  <c r="Y173" i="27"/>
  <c r="V173" i="27"/>
  <c r="U173" i="27"/>
  <c r="T173" i="27"/>
  <c r="S173" i="27"/>
  <c r="R173" i="27"/>
  <c r="Q173" i="27"/>
  <c r="L173" i="27"/>
  <c r="K173" i="27"/>
  <c r="J173" i="27"/>
  <c r="X173" i="27" s="1"/>
  <c r="I173" i="27"/>
  <c r="G173" i="27"/>
  <c r="F173" i="27"/>
  <c r="E173" i="27"/>
  <c r="C173" i="27"/>
  <c r="B173" i="27"/>
  <c r="L172" i="27"/>
  <c r="K172" i="27"/>
  <c r="J172" i="27"/>
  <c r="I172" i="27"/>
  <c r="H172" i="27"/>
  <c r="G172" i="27"/>
  <c r="K171" i="27"/>
  <c r="I171" i="27"/>
  <c r="H171" i="27"/>
  <c r="G171" i="27"/>
  <c r="K170" i="27"/>
  <c r="I170" i="27"/>
  <c r="H170" i="27"/>
  <c r="G170" i="27"/>
  <c r="L169" i="27"/>
  <c r="K169" i="27"/>
  <c r="J169" i="27"/>
  <c r="W169" i="27" s="1"/>
  <c r="I169" i="27"/>
  <c r="H169" i="27"/>
  <c r="G169" i="27"/>
  <c r="V168" i="27"/>
  <c r="U168" i="27"/>
  <c r="T168" i="27"/>
  <c r="S168" i="27"/>
  <c r="R168" i="27"/>
  <c r="Q168" i="27"/>
  <c r="F168" i="27"/>
  <c r="E168" i="27"/>
  <c r="C168" i="27"/>
  <c r="B168" i="27"/>
  <c r="AA165" i="27"/>
  <c r="Z165" i="27"/>
  <c r="Y165" i="27"/>
  <c r="K164" i="27"/>
  <c r="F164" i="27"/>
  <c r="K163" i="27"/>
  <c r="K162" i="27" s="1"/>
  <c r="I163" i="27"/>
  <c r="I162" i="27" s="1"/>
  <c r="G163" i="27"/>
  <c r="G162" i="27" s="1"/>
  <c r="H162" i="27"/>
  <c r="AA160" i="27"/>
  <c r="Z160" i="27"/>
  <c r="Y160" i="27"/>
  <c r="J159" i="27"/>
  <c r="I159" i="27"/>
  <c r="H159" i="27"/>
  <c r="F159" i="27"/>
  <c r="K158" i="27"/>
  <c r="F158" i="27"/>
  <c r="K157" i="27"/>
  <c r="F157" i="27"/>
  <c r="K156" i="27"/>
  <c r="F156" i="27"/>
  <c r="AA155" i="27"/>
  <c r="Z155" i="27"/>
  <c r="Y155" i="27"/>
  <c r="V155" i="27"/>
  <c r="U155" i="27"/>
  <c r="T155" i="27"/>
  <c r="S155" i="27"/>
  <c r="R155" i="27"/>
  <c r="Q155" i="27"/>
  <c r="L155" i="27"/>
  <c r="K155" i="27"/>
  <c r="J155" i="27"/>
  <c r="X155" i="27" s="1"/>
  <c r="I155" i="27"/>
  <c r="G155" i="27"/>
  <c r="F155" i="27"/>
  <c r="E155" i="27"/>
  <c r="C155" i="27"/>
  <c r="B155" i="27"/>
  <c r="L154" i="27"/>
  <c r="K154" i="27"/>
  <c r="J154" i="27"/>
  <c r="I154" i="27"/>
  <c r="H154" i="27"/>
  <c r="G154" i="27"/>
  <c r="K153" i="27"/>
  <c r="I153" i="27"/>
  <c r="H153" i="27"/>
  <c r="G153" i="27"/>
  <c r="K152" i="27"/>
  <c r="I152" i="27"/>
  <c r="H152" i="27"/>
  <c r="G152" i="27"/>
  <c r="L151" i="27"/>
  <c r="K151" i="27"/>
  <c r="J151" i="27"/>
  <c r="W151" i="27" s="1"/>
  <c r="I151" i="27"/>
  <c r="H151" i="27"/>
  <c r="G151" i="27"/>
  <c r="V150" i="27"/>
  <c r="U150" i="27"/>
  <c r="T150" i="27"/>
  <c r="S150" i="27"/>
  <c r="R150" i="27"/>
  <c r="Q150" i="27"/>
  <c r="F150" i="27"/>
  <c r="E150" i="27"/>
  <c r="C150" i="27"/>
  <c r="B150" i="27"/>
  <c r="AA147" i="27"/>
  <c r="Z147" i="27"/>
  <c r="Y147" i="27"/>
  <c r="K146" i="27"/>
  <c r="F146" i="27"/>
  <c r="K145" i="27"/>
  <c r="K144" i="27" s="1"/>
  <c r="I145" i="27"/>
  <c r="I144" i="27" s="1"/>
  <c r="G145" i="27"/>
  <c r="G144" i="27" s="1"/>
  <c r="H144" i="27"/>
  <c r="AA142" i="27"/>
  <c r="Z142" i="27"/>
  <c r="Y142" i="27"/>
  <c r="J141" i="27"/>
  <c r="I141" i="27"/>
  <c r="H141" i="27"/>
  <c r="F141" i="27"/>
  <c r="K140" i="27"/>
  <c r="F140" i="27"/>
  <c r="K139" i="27"/>
  <c r="F139" i="27"/>
  <c r="K138" i="27"/>
  <c r="F138" i="27"/>
  <c r="AA137" i="27"/>
  <c r="Z137" i="27"/>
  <c r="Y137" i="27"/>
  <c r="V137" i="27"/>
  <c r="U137" i="27"/>
  <c r="T137" i="27"/>
  <c r="S137" i="27"/>
  <c r="R137" i="27"/>
  <c r="Q137" i="27"/>
  <c r="L137" i="27"/>
  <c r="K137" i="27"/>
  <c r="J137" i="27"/>
  <c r="X137" i="27" s="1"/>
  <c r="I137" i="27"/>
  <c r="G137" i="27"/>
  <c r="F137" i="27"/>
  <c r="E137" i="27"/>
  <c r="C137" i="27"/>
  <c r="B137" i="27"/>
  <c r="L136" i="27"/>
  <c r="K136" i="27"/>
  <c r="J136" i="27"/>
  <c r="I136" i="27"/>
  <c r="H136" i="27"/>
  <c r="G136" i="27"/>
  <c r="K135" i="27"/>
  <c r="I135" i="27"/>
  <c r="H135" i="27"/>
  <c r="G135" i="27"/>
  <c r="K134" i="27"/>
  <c r="I134" i="27"/>
  <c r="H134" i="27"/>
  <c r="G134" i="27"/>
  <c r="L133" i="27"/>
  <c r="K133" i="27"/>
  <c r="J133" i="27"/>
  <c r="I133" i="27"/>
  <c r="H133" i="27"/>
  <c r="G133" i="27"/>
  <c r="V132" i="27"/>
  <c r="U132" i="27"/>
  <c r="T132" i="27"/>
  <c r="S132" i="27"/>
  <c r="R132" i="27"/>
  <c r="Q132" i="27"/>
  <c r="F132" i="27"/>
  <c r="E132" i="27"/>
  <c r="C132" i="27"/>
  <c r="B132" i="27"/>
  <c r="AA131" i="27"/>
  <c r="Z131" i="27"/>
  <c r="Y131" i="27"/>
  <c r="V130" i="27"/>
  <c r="U130" i="27"/>
  <c r="T130" i="27"/>
  <c r="S130" i="27"/>
  <c r="R130" i="27"/>
  <c r="Q130" i="27"/>
  <c r="K130" i="27"/>
  <c r="J130" i="27"/>
  <c r="O131" i="27" s="1"/>
  <c r="I130" i="27"/>
  <c r="G130" i="27"/>
  <c r="F130" i="27"/>
  <c r="L130" i="27" s="1"/>
  <c r="P131" i="27" s="1"/>
  <c r="E130" i="27"/>
  <c r="C130" i="27"/>
  <c r="B130" i="27"/>
  <c r="AA127" i="27"/>
  <c r="Z127" i="27"/>
  <c r="Y127" i="27"/>
  <c r="K126" i="27"/>
  <c r="F126" i="27"/>
  <c r="K125" i="27"/>
  <c r="K124" i="27" s="1"/>
  <c r="I125" i="27"/>
  <c r="I124" i="27" s="1"/>
  <c r="G125" i="27"/>
  <c r="G124" i="27" s="1"/>
  <c r="H124" i="27"/>
  <c r="AA122" i="27"/>
  <c r="Z122" i="27"/>
  <c r="Y122" i="27"/>
  <c r="J121" i="27"/>
  <c r="I121" i="27"/>
  <c r="H121" i="27"/>
  <c r="F121" i="27"/>
  <c r="K120" i="27"/>
  <c r="F120" i="27"/>
  <c r="K119" i="27"/>
  <c r="F119" i="27"/>
  <c r="K118" i="27"/>
  <c r="F118" i="27"/>
  <c r="L117" i="27"/>
  <c r="K117" i="27"/>
  <c r="J117" i="27"/>
  <c r="I117" i="27"/>
  <c r="H117" i="27"/>
  <c r="G117" i="27"/>
  <c r="K116" i="27"/>
  <c r="I116" i="27"/>
  <c r="H116" i="27"/>
  <c r="G116" i="27"/>
  <c r="K115" i="27"/>
  <c r="I115" i="27"/>
  <c r="H115" i="27"/>
  <c r="G115" i="27"/>
  <c r="L114" i="27"/>
  <c r="K114" i="27"/>
  <c r="J114" i="27"/>
  <c r="I114" i="27"/>
  <c r="H114" i="27"/>
  <c r="G114" i="27"/>
  <c r="V113" i="27"/>
  <c r="U113" i="27"/>
  <c r="T113" i="27"/>
  <c r="L119" i="27" s="1"/>
  <c r="S113" i="27"/>
  <c r="J119" i="27" s="1"/>
  <c r="R113" i="27"/>
  <c r="L118" i="27" s="1"/>
  <c r="Q113" i="27"/>
  <c r="J118" i="27" s="1"/>
  <c r="F113" i="27"/>
  <c r="E113" i="27"/>
  <c r="C113" i="27"/>
  <c r="B113" i="27"/>
  <c r="AA112" i="27"/>
  <c r="Z112" i="27"/>
  <c r="Y112" i="27"/>
  <c r="V111" i="27"/>
  <c r="U111" i="27"/>
  <c r="T111" i="27"/>
  <c r="S111" i="27"/>
  <c r="R111" i="27"/>
  <c r="Q111" i="27"/>
  <c r="K111" i="27"/>
  <c r="J111" i="27"/>
  <c r="O112" i="27" s="1"/>
  <c r="I111" i="27"/>
  <c r="G111" i="27"/>
  <c r="F111" i="27"/>
  <c r="E111" i="27"/>
  <c r="C111" i="27"/>
  <c r="B111" i="27"/>
  <c r="AA110" i="27"/>
  <c r="Z110" i="27"/>
  <c r="Y110" i="27"/>
  <c r="V109" i="27"/>
  <c r="U109" i="27"/>
  <c r="T109" i="27"/>
  <c r="S109" i="27"/>
  <c r="R109" i="27"/>
  <c r="Q109" i="27"/>
  <c r="K109" i="27"/>
  <c r="J109" i="27"/>
  <c r="I109" i="27"/>
  <c r="G109" i="27"/>
  <c r="F109" i="27"/>
  <c r="L109" i="27" s="1"/>
  <c r="K110" i="27" s="1"/>
  <c r="E109" i="27"/>
  <c r="C109" i="27"/>
  <c r="B109" i="27"/>
  <c r="AA108" i="27"/>
  <c r="Z108" i="27"/>
  <c r="Y108" i="27"/>
  <c r="V107" i="27"/>
  <c r="U107" i="27"/>
  <c r="T107" i="27"/>
  <c r="S107" i="27"/>
  <c r="R107" i="27"/>
  <c r="Q107" i="27"/>
  <c r="K107" i="27"/>
  <c r="J107" i="27"/>
  <c r="I108" i="27" s="1"/>
  <c r="I107" i="27"/>
  <c r="H107" i="27"/>
  <c r="G107" i="27"/>
  <c r="F107" i="27"/>
  <c r="L107" i="27" s="1"/>
  <c r="K108" i="27" s="1"/>
  <c r="E107" i="27"/>
  <c r="C107" i="27"/>
  <c r="B107" i="27"/>
  <c r="AA104" i="27"/>
  <c r="Z104" i="27"/>
  <c r="Y104" i="27"/>
  <c r="K103" i="27"/>
  <c r="F103" i="27"/>
  <c r="K102" i="27"/>
  <c r="K101" i="27" s="1"/>
  <c r="I102" i="27"/>
  <c r="I101" i="27" s="1"/>
  <c r="G102" i="27"/>
  <c r="G101" i="27" s="1"/>
  <c r="H101" i="27"/>
  <c r="AA99" i="27"/>
  <c r="Z99" i="27"/>
  <c r="Y99" i="27"/>
  <c r="J98" i="27"/>
  <c r="I98" i="27"/>
  <c r="H98" i="27"/>
  <c r="F98" i="27"/>
  <c r="K97" i="27"/>
  <c r="F97" i="27"/>
  <c r="K96" i="27"/>
  <c r="F96" i="27"/>
  <c r="K95" i="27"/>
  <c r="F95" i="27"/>
  <c r="L94" i="27"/>
  <c r="K94" i="27"/>
  <c r="J94" i="27"/>
  <c r="I94" i="27"/>
  <c r="H94" i="27"/>
  <c r="G94" i="27"/>
  <c r="K93" i="27"/>
  <c r="I93" i="27"/>
  <c r="H93" i="27"/>
  <c r="G93" i="27"/>
  <c r="K92" i="27"/>
  <c r="I92" i="27"/>
  <c r="H92" i="27"/>
  <c r="G92" i="27"/>
  <c r="L91" i="27"/>
  <c r="K91" i="27"/>
  <c r="J91" i="27"/>
  <c r="W91" i="27" s="1"/>
  <c r="I91" i="27"/>
  <c r="H91" i="27"/>
  <c r="G91" i="27"/>
  <c r="V90" i="27"/>
  <c r="U90" i="27"/>
  <c r="T90" i="27"/>
  <c r="L96" i="27" s="1"/>
  <c r="S90" i="27"/>
  <c r="J96" i="27" s="1"/>
  <c r="R90" i="27"/>
  <c r="L95" i="27" s="1"/>
  <c r="Q90" i="27"/>
  <c r="J95" i="27" s="1"/>
  <c r="F90" i="27"/>
  <c r="E90" i="27"/>
  <c r="C90" i="27"/>
  <c r="B90" i="27"/>
  <c r="AA89" i="27"/>
  <c r="Z89" i="27"/>
  <c r="Y89" i="27"/>
  <c r="V88" i="27"/>
  <c r="U88" i="27"/>
  <c r="T88" i="27"/>
  <c r="S88" i="27"/>
  <c r="R88" i="27"/>
  <c r="Q88" i="27"/>
  <c r="K88" i="27"/>
  <c r="J88" i="27"/>
  <c r="I89" i="27" s="1"/>
  <c r="I88" i="27"/>
  <c r="H88" i="27"/>
  <c r="G88" i="27"/>
  <c r="F88" i="27"/>
  <c r="M88" i="27" s="1"/>
  <c r="E88" i="27"/>
  <c r="C88" i="27"/>
  <c r="B88" i="27"/>
  <c r="AA87" i="27"/>
  <c r="Z87" i="27"/>
  <c r="Y87" i="27"/>
  <c r="M87" i="27"/>
  <c r="V86" i="27"/>
  <c r="U86" i="27"/>
  <c r="T86" i="27"/>
  <c r="S86" i="27"/>
  <c r="R86" i="27"/>
  <c r="Q86" i="27"/>
  <c r="K86" i="27"/>
  <c r="J86" i="27"/>
  <c r="I87" i="27" s="1"/>
  <c r="I86" i="27"/>
  <c r="G86" i="27"/>
  <c r="F86" i="27"/>
  <c r="L86" i="27" s="1"/>
  <c r="K87" i="27" s="1"/>
  <c r="E86" i="27"/>
  <c r="C86" i="27"/>
  <c r="B86" i="27"/>
  <c r="AA85" i="27"/>
  <c r="Z85" i="27"/>
  <c r="Y85" i="27"/>
  <c r="M85" i="27"/>
  <c r="V84" i="27"/>
  <c r="U84" i="27"/>
  <c r="T84" i="27"/>
  <c r="S84" i="27"/>
  <c r="R84" i="27"/>
  <c r="Q84" i="27"/>
  <c r="K84" i="27"/>
  <c r="J84" i="27"/>
  <c r="I85" i="27" s="1"/>
  <c r="I84" i="27"/>
  <c r="H84" i="27"/>
  <c r="G84" i="27"/>
  <c r="F84" i="27"/>
  <c r="L84" i="27" s="1"/>
  <c r="P85" i="27" s="1"/>
  <c r="E84" i="27"/>
  <c r="C84" i="27"/>
  <c r="B84" i="27"/>
  <c r="AA83" i="27"/>
  <c r="Z83" i="27"/>
  <c r="Y83" i="27"/>
  <c r="V82" i="27"/>
  <c r="U82" i="27"/>
  <c r="T82" i="27"/>
  <c r="S82" i="27"/>
  <c r="R82" i="27"/>
  <c r="Q82" i="27"/>
  <c r="K82" i="27"/>
  <c r="J82" i="27"/>
  <c r="I83" i="27" s="1"/>
  <c r="I82" i="27"/>
  <c r="G82" i="27"/>
  <c r="F82" i="27"/>
  <c r="M82" i="27" s="1"/>
  <c r="E82" i="27"/>
  <c r="C82" i="27"/>
  <c r="B82" i="27"/>
  <c r="AA81" i="27"/>
  <c r="Z81" i="27"/>
  <c r="Y81" i="27"/>
  <c r="M81" i="27"/>
  <c r="V80" i="27"/>
  <c r="U80" i="27"/>
  <c r="T80" i="27"/>
  <c r="S80" i="27"/>
  <c r="R80" i="27"/>
  <c r="Q80" i="27"/>
  <c r="K80" i="27"/>
  <c r="J80" i="27"/>
  <c r="I81" i="27" s="1"/>
  <c r="I80" i="27"/>
  <c r="G80" i="27"/>
  <c r="F80" i="27"/>
  <c r="L80" i="27" s="1"/>
  <c r="E80" i="27"/>
  <c r="C80" i="27"/>
  <c r="B80" i="27"/>
  <c r="AA79" i="27"/>
  <c r="Z79" i="27"/>
  <c r="Y79" i="27"/>
  <c r="M79" i="27"/>
  <c r="V78" i="27"/>
  <c r="U78" i="27"/>
  <c r="T78" i="27"/>
  <c r="S78" i="27"/>
  <c r="R78" i="27"/>
  <c r="Q78" i="27"/>
  <c r="K78" i="27"/>
  <c r="J78" i="27"/>
  <c r="O79" i="27" s="1"/>
  <c r="I78" i="27"/>
  <c r="G78" i="27"/>
  <c r="F78" i="27"/>
  <c r="M78" i="27" s="1"/>
  <c r="E78" i="27"/>
  <c r="C78" i="27"/>
  <c r="B78" i="27"/>
  <c r="AA77" i="27"/>
  <c r="Z77" i="27"/>
  <c r="Y77" i="27"/>
  <c r="M77" i="27"/>
  <c r="V76" i="27"/>
  <c r="U76" i="27"/>
  <c r="T76" i="27"/>
  <c r="S76" i="27"/>
  <c r="R76" i="27"/>
  <c r="Q76" i="27"/>
  <c r="K76" i="27"/>
  <c r="J76" i="27"/>
  <c r="I77" i="27" s="1"/>
  <c r="I76" i="27"/>
  <c r="H76" i="27"/>
  <c r="G76" i="27"/>
  <c r="F76" i="27"/>
  <c r="L76" i="27" s="1"/>
  <c r="P77" i="27" s="1"/>
  <c r="E76" i="27"/>
  <c r="C76" i="27"/>
  <c r="B76" i="27"/>
  <c r="AA75" i="27"/>
  <c r="Z75" i="27"/>
  <c r="Y75" i="27"/>
  <c r="V74" i="27"/>
  <c r="U74" i="27"/>
  <c r="T74" i="27"/>
  <c r="S74" i="27"/>
  <c r="R74" i="27"/>
  <c r="Q74" i="27"/>
  <c r="K74" i="27"/>
  <c r="J74" i="27"/>
  <c r="O75" i="27" s="1"/>
  <c r="I74" i="27"/>
  <c r="G74" i="27"/>
  <c r="F74" i="27"/>
  <c r="M74" i="27" s="1"/>
  <c r="E74" i="27"/>
  <c r="C74" i="27"/>
  <c r="B74" i="27"/>
  <c r="AA71" i="27"/>
  <c r="Z71" i="27"/>
  <c r="Y71" i="27"/>
  <c r="K70" i="27"/>
  <c r="F70" i="27"/>
  <c r="K69" i="27"/>
  <c r="K68" i="27" s="1"/>
  <c r="I69" i="27"/>
  <c r="I68" i="27" s="1"/>
  <c r="G69" i="27"/>
  <c r="G68" i="27" s="1"/>
  <c r="H68" i="27"/>
  <c r="AA66" i="27"/>
  <c r="Z66" i="27"/>
  <c r="Y66" i="27"/>
  <c r="J65" i="27"/>
  <c r="I65" i="27"/>
  <c r="H65" i="27"/>
  <c r="F65" i="27"/>
  <c r="K64" i="27"/>
  <c r="F64" i="27"/>
  <c r="K63" i="27"/>
  <c r="F63" i="27"/>
  <c r="K62" i="27"/>
  <c r="F62" i="27"/>
  <c r="L61" i="27"/>
  <c r="K61" i="27"/>
  <c r="J61" i="27"/>
  <c r="I61" i="27"/>
  <c r="H61" i="27"/>
  <c r="G61" i="27"/>
  <c r="K60" i="27"/>
  <c r="I60" i="27"/>
  <c r="H60" i="27"/>
  <c r="G60" i="27"/>
  <c r="K59" i="27"/>
  <c r="I59" i="27"/>
  <c r="H59" i="27"/>
  <c r="G59" i="27"/>
  <c r="L58" i="27"/>
  <c r="K58" i="27"/>
  <c r="J58" i="27"/>
  <c r="I58" i="27"/>
  <c r="H58" i="27"/>
  <c r="G58" i="27"/>
  <c r="V57" i="27"/>
  <c r="U57" i="27"/>
  <c r="T57" i="27"/>
  <c r="L63" i="27" s="1"/>
  <c r="S57" i="27"/>
  <c r="J63" i="27" s="1"/>
  <c r="R57" i="27"/>
  <c r="L62" i="27" s="1"/>
  <c r="Q57" i="27"/>
  <c r="J62" i="27" s="1"/>
  <c r="F57" i="27"/>
  <c r="E57" i="27"/>
  <c r="C57" i="27"/>
  <c r="B57" i="27"/>
  <c r="AA56" i="27"/>
  <c r="Z56" i="27"/>
  <c r="Y56" i="27"/>
  <c r="V55" i="27"/>
  <c r="U55" i="27"/>
  <c r="T55" i="27"/>
  <c r="S55" i="27"/>
  <c r="R55" i="27"/>
  <c r="Q55" i="27"/>
  <c r="L55" i="27"/>
  <c r="K56" i="27" s="1"/>
  <c r="K55" i="27"/>
  <c r="J55" i="27"/>
  <c r="X56" i="27" s="1"/>
  <c r="I55" i="27"/>
  <c r="H55" i="27"/>
  <c r="G55" i="27"/>
  <c r="F55" i="27"/>
  <c r="E55" i="27"/>
  <c r="C55" i="27"/>
  <c r="B55" i="27"/>
  <c r="AA52" i="27"/>
  <c r="Z52" i="27"/>
  <c r="Y52" i="27"/>
  <c r="K51" i="27"/>
  <c r="F51" i="27"/>
  <c r="K50" i="27"/>
  <c r="K49" i="27" s="1"/>
  <c r="I50" i="27"/>
  <c r="I49" i="27" s="1"/>
  <c r="G50" i="27"/>
  <c r="G49" i="27" s="1"/>
  <c r="H49" i="27"/>
  <c r="AA47" i="27"/>
  <c r="Z47" i="27"/>
  <c r="Y47" i="27"/>
  <c r="J46" i="27"/>
  <c r="I46" i="27"/>
  <c r="H46" i="27"/>
  <c r="F46" i="27"/>
  <c r="K45" i="27"/>
  <c r="F45" i="27"/>
  <c r="K44" i="27"/>
  <c r="F44" i="27"/>
  <c r="K43" i="27"/>
  <c r="F43" i="27"/>
  <c r="L42" i="27"/>
  <c r="K42" i="27"/>
  <c r="J42" i="27"/>
  <c r="I42" i="27"/>
  <c r="H42" i="27"/>
  <c r="G42" i="27"/>
  <c r="K41" i="27"/>
  <c r="I41" i="27"/>
  <c r="H41" i="27"/>
  <c r="G41" i="27"/>
  <c r="K40" i="27"/>
  <c r="I40" i="27"/>
  <c r="H40" i="27"/>
  <c r="G40" i="27"/>
  <c r="L39" i="27"/>
  <c r="K39" i="27"/>
  <c r="J39" i="27"/>
  <c r="I39" i="27"/>
  <c r="H39" i="27"/>
  <c r="G39" i="27"/>
  <c r="V38" i="27"/>
  <c r="U38" i="27"/>
  <c r="T38" i="27"/>
  <c r="L44" i="27" s="1"/>
  <c r="S38" i="27"/>
  <c r="J44" i="27" s="1"/>
  <c r="R38" i="27"/>
  <c r="L43" i="27" s="1"/>
  <c r="Q38" i="27"/>
  <c r="J43" i="27" s="1"/>
  <c r="F38" i="27"/>
  <c r="E38" i="27"/>
  <c r="C38" i="27"/>
  <c r="B38" i="27"/>
  <c r="AA37" i="27"/>
  <c r="Z37" i="27"/>
  <c r="Y37" i="27"/>
  <c r="V36" i="27"/>
  <c r="U36" i="27"/>
  <c r="T36" i="27"/>
  <c r="S36" i="27"/>
  <c r="R36" i="27"/>
  <c r="Q36" i="27"/>
  <c r="L36" i="27"/>
  <c r="K37" i="27" s="1"/>
  <c r="K36" i="27"/>
  <c r="J36" i="27"/>
  <c r="O37" i="27" s="1"/>
  <c r="I36" i="27"/>
  <c r="H36" i="27"/>
  <c r="G36" i="27"/>
  <c r="F36" i="27"/>
  <c r="E36" i="27"/>
  <c r="C36" i="27"/>
  <c r="B36" i="27"/>
  <c r="AA33" i="27"/>
  <c r="Z33" i="27"/>
  <c r="Y33" i="27"/>
  <c r="K32" i="27"/>
  <c r="F32" i="27"/>
  <c r="K31" i="27"/>
  <c r="K30" i="27" s="1"/>
  <c r="I31" i="27"/>
  <c r="I30" i="27" s="1"/>
  <c r="G31" i="27"/>
  <c r="G30" i="27" s="1"/>
  <c r="H30" i="27"/>
  <c r="AA28" i="27"/>
  <c r="Z28" i="27"/>
  <c r="Y28" i="27"/>
  <c r="J27" i="27"/>
  <c r="I27" i="27"/>
  <c r="H27" i="27"/>
  <c r="F27" i="27"/>
  <c r="K26" i="27"/>
  <c r="F26" i="27"/>
  <c r="K25" i="27"/>
  <c r="F25" i="27"/>
  <c r="K24" i="27"/>
  <c r="F24" i="27"/>
  <c r="AA23" i="27"/>
  <c r="Z23" i="27"/>
  <c r="Y23" i="27"/>
  <c r="V23" i="27"/>
  <c r="U23" i="27"/>
  <c r="T23" i="27"/>
  <c r="S23" i="27"/>
  <c r="R23" i="27"/>
  <c r="Q23" i="27"/>
  <c r="L23" i="27"/>
  <c r="K23" i="27"/>
  <c r="J23" i="27"/>
  <c r="X23" i="27" s="1"/>
  <c r="I23" i="27"/>
  <c r="G23" i="27"/>
  <c r="F23" i="27"/>
  <c r="E23" i="27"/>
  <c r="C23" i="27"/>
  <c r="B23" i="27"/>
  <c r="AA22" i="27"/>
  <c r="Z22" i="27"/>
  <c r="Y22" i="27"/>
  <c r="V22" i="27"/>
  <c r="U22" i="27"/>
  <c r="T22" i="27"/>
  <c r="S22" i="27"/>
  <c r="R22" i="27"/>
  <c r="Q22" i="27"/>
  <c r="L22" i="27"/>
  <c r="K22" i="27"/>
  <c r="J22" i="27"/>
  <c r="X22" i="27" s="1"/>
  <c r="I22" i="27"/>
  <c r="G22" i="27"/>
  <c r="F22" i="27"/>
  <c r="E22" i="27"/>
  <c r="C22" i="27"/>
  <c r="B22" i="27"/>
  <c r="L21" i="27"/>
  <c r="K21" i="27"/>
  <c r="J21" i="27"/>
  <c r="I21" i="27"/>
  <c r="H21" i="27"/>
  <c r="G21" i="27"/>
  <c r="K20" i="27"/>
  <c r="I20" i="27"/>
  <c r="H20" i="27"/>
  <c r="G20" i="27"/>
  <c r="K19" i="27"/>
  <c r="I19" i="27"/>
  <c r="H19" i="27"/>
  <c r="G19" i="27"/>
  <c r="L18" i="27"/>
  <c r="K18" i="27"/>
  <c r="J18" i="27"/>
  <c r="I18" i="27"/>
  <c r="H18" i="27"/>
  <c r="G18" i="27"/>
  <c r="V17" i="27"/>
  <c r="U17" i="27"/>
  <c r="T17" i="27"/>
  <c r="S17" i="27"/>
  <c r="R17" i="27"/>
  <c r="Q17" i="27"/>
  <c r="F17" i="27"/>
  <c r="E17" i="27"/>
  <c r="C17" i="27"/>
  <c r="B17" i="27"/>
  <c r="A16" i="27"/>
  <c r="F21" i="6" l="1"/>
  <c r="J145" i="27"/>
  <c r="W145" i="27" s="1"/>
  <c r="L192" i="27"/>
  <c r="L247" i="27"/>
  <c r="L264" i="27"/>
  <c r="L283" i="27"/>
  <c r="L211" i="27"/>
  <c r="J253" i="27"/>
  <c r="J243" i="27" s="1"/>
  <c r="W243" i="27" s="1"/>
  <c r="L153" i="28"/>
  <c r="L158" i="28"/>
  <c r="L139" i="27"/>
  <c r="L175" i="27"/>
  <c r="H17" i="34"/>
  <c r="V17" i="34" s="1"/>
  <c r="U17" i="34"/>
  <c r="L138" i="27"/>
  <c r="J163" i="27"/>
  <c r="J162" i="27" s="1"/>
  <c r="J152" i="27" s="1"/>
  <c r="L157" i="27"/>
  <c r="L174" i="27"/>
  <c r="J199" i="27"/>
  <c r="J198" i="27" s="1"/>
  <c r="J188" i="27" s="1"/>
  <c r="L193" i="27"/>
  <c r="L210" i="27"/>
  <c r="L235" i="27"/>
  <c r="L236" i="27" s="1"/>
  <c r="L229" i="27"/>
  <c r="L246" i="27"/>
  <c r="J271" i="27"/>
  <c r="W271" i="27" s="1"/>
  <c r="L282" i="27"/>
  <c r="L318" i="27"/>
  <c r="G21" i="6"/>
  <c r="L217" i="27"/>
  <c r="L216" i="27" s="1"/>
  <c r="L206" i="27" s="1"/>
  <c r="J156" i="27"/>
  <c r="J192" i="27"/>
  <c r="J211" i="27"/>
  <c r="J228" i="27"/>
  <c r="J247" i="27"/>
  <c r="J264" i="27"/>
  <c r="J300" i="27"/>
  <c r="J319" i="27"/>
  <c r="L330" i="27"/>
  <c r="P331" i="27" s="1"/>
  <c r="J24" i="27"/>
  <c r="J69" i="27"/>
  <c r="W69" i="27" s="1"/>
  <c r="L24" i="27"/>
  <c r="L102" i="27"/>
  <c r="L103" i="27" s="1"/>
  <c r="J138" i="27"/>
  <c r="J157" i="27"/>
  <c r="J174" i="27"/>
  <c r="J301" i="27"/>
  <c r="J318" i="27"/>
  <c r="L50" i="27"/>
  <c r="L49" i="27" s="1"/>
  <c r="L40" i="27" s="1"/>
  <c r="J31" i="27"/>
  <c r="J32" i="27" s="1"/>
  <c r="L25" i="27"/>
  <c r="M80" i="27"/>
  <c r="L301" i="27"/>
  <c r="J193" i="27"/>
  <c r="J210" i="27"/>
  <c r="J229" i="27"/>
  <c r="J246" i="27"/>
  <c r="J265" i="27"/>
  <c r="J282" i="27"/>
  <c r="L300" i="27"/>
  <c r="L319" i="27"/>
  <c r="M86" i="27"/>
  <c r="L88" i="27"/>
  <c r="K89" i="27" s="1"/>
  <c r="L74" i="27"/>
  <c r="K75" i="27" s="1"/>
  <c r="L82" i="27"/>
  <c r="K83" i="27" s="1"/>
  <c r="L78" i="27"/>
  <c r="P79" i="27" s="1"/>
  <c r="M332" i="27"/>
  <c r="O85" i="27"/>
  <c r="O89" i="27"/>
  <c r="P37" i="27"/>
  <c r="M76" i="27"/>
  <c r="O81" i="27"/>
  <c r="O83" i="27"/>
  <c r="J102" i="27"/>
  <c r="J93" i="27" s="1"/>
  <c r="W93" i="27" s="1"/>
  <c r="O108" i="27"/>
  <c r="P110" i="27"/>
  <c r="X131" i="27"/>
  <c r="X331" i="27"/>
  <c r="O77" i="27"/>
  <c r="X81" i="27"/>
  <c r="X108" i="27"/>
  <c r="J139" i="27"/>
  <c r="I131" i="27"/>
  <c r="L156" i="27"/>
  <c r="L228" i="27"/>
  <c r="L253" i="27"/>
  <c r="L252" i="27" s="1"/>
  <c r="L242" i="27" s="1"/>
  <c r="J25" i="27"/>
  <c r="K77" i="27"/>
  <c r="K85" i="27"/>
  <c r="M130" i="27"/>
  <c r="K131" i="27"/>
  <c r="J217" i="27"/>
  <c r="J216" i="27" s="1"/>
  <c r="J206" i="27" s="1"/>
  <c r="O331" i="27"/>
  <c r="P81" i="27"/>
  <c r="K81" i="27"/>
  <c r="W133" i="27"/>
  <c r="G324" i="27"/>
  <c r="L325" i="27"/>
  <c r="W18" i="27"/>
  <c r="L31" i="27"/>
  <c r="I37" i="27"/>
  <c r="X37" i="27"/>
  <c r="W39" i="27"/>
  <c r="J50" i="27"/>
  <c r="O56" i="27"/>
  <c r="L69" i="27"/>
  <c r="I75" i="27"/>
  <c r="X85" i="27"/>
  <c r="X89" i="27"/>
  <c r="L145" i="27"/>
  <c r="J181" i="27"/>
  <c r="L181" i="27"/>
  <c r="L289" i="27"/>
  <c r="J289" i="27"/>
  <c r="X75" i="27"/>
  <c r="P56" i="27"/>
  <c r="X83" i="27"/>
  <c r="O110" i="27"/>
  <c r="X110" i="27"/>
  <c r="I110" i="27"/>
  <c r="M111" i="27"/>
  <c r="L111" i="27"/>
  <c r="L125" i="27"/>
  <c r="J125" i="27"/>
  <c r="I56" i="27"/>
  <c r="W58" i="27"/>
  <c r="X77" i="27"/>
  <c r="I79" i="27"/>
  <c r="X79" i="27"/>
  <c r="M84" i="27"/>
  <c r="X87" i="27"/>
  <c r="O87" i="27"/>
  <c r="P87" i="27"/>
  <c r="W241" i="27"/>
  <c r="P108" i="27"/>
  <c r="I112" i="27"/>
  <c r="X112" i="27"/>
  <c r="W114" i="27"/>
  <c r="L163" i="27"/>
  <c r="L207" i="27"/>
  <c r="J325" i="27"/>
  <c r="P333" i="27"/>
  <c r="L265" i="27"/>
  <c r="J175" i="27"/>
  <c r="J283" i="27"/>
  <c r="L307" i="27"/>
  <c r="W313" i="27"/>
  <c r="L199" i="27"/>
  <c r="W205" i="27"/>
  <c r="J235" i="27"/>
  <c r="L271" i="27"/>
  <c r="W277" i="27"/>
  <c r="J307" i="27"/>
  <c r="O333" i="27"/>
  <c r="W223" i="27"/>
  <c r="W295" i="27"/>
  <c r="I333" i="27"/>
  <c r="J20" i="27" l="1"/>
  <c r="W20" i="27" s="1"/>
  <c r="W163" i="27"/>
  <c r="J146" i="27"/>
  <c r="L101" i="27"/>
  <c r="L92" i="27" s="1"/>
  <c r="J252" i="27"/>
  <c r="J242" i="27" s="1"/>
  <c r="J135" i="27"/>
  <c r="W135" i="27" s="1"/>
  <c r="J144" i="27"/>
  <c r="J134" i="27" s="1"/>
  <c r="W199" i="27"/>
  <c r="W253" i="27"/>
  <c r="P89" i="27"/>
  <c r="J164" i="27"/>
  <c r="J158" i="27" s="1"/>
  <c r="X160" i="27" s="1"/>
  <c r="L93" i="27"/>
  <c r="J254" i="27"/>
  <c r="I255" i="27" s="1"/>
  <c r="L218" i="27"/>
  <c r="L212" i="27" s="1"/>
  <c r="J153" i="27"/>
  <c r="W153" i="27" s="1"/>
  <c r="J189" i="27"/>
  <c r="W189" i="27" s="1"/>
  <c r="H21" i="6"/>
  <c r="J200" i="27"/>
  <c r="J194" i="27" s="1"/>
  <c r="I196" i="27" s="1"/>
  <c r="J270" i="27"/>
  <c r="J260" i="27" s="1"/>
  <c r="J101" i="27"/>
  <c r="J92" i="27" s="1"/>
  <c r="J207" i="27"/>
  <c r="W207" i="27" s="1"/>
  <c r="W217" i="27"/>
  <c r="J261" i="27"/>
  <c r="W261" i="27" s="1"/>
  <c r="J218" i="27"/>
  <c r="J212" i="27" s="1"/>
  <c r="X214" i="27" s="1"/>
  <c r="J272" i="27"/>
  <c r="J266" i="27" s="1"/>
  <c r="L234" i="27"/>
  <c r="L224" i="27" s="1"/>
  <c r="L225" i="27"/>
  <c r="J70" i="27"/>
  <c r="J64" i="27" s="1"/>
  <c r="L21" i="6"/>
  <c r="J30" i="27"/>
  <c r="J19" i="27" s="1"/>
  <c r="K341" i="27"/>
  <c r="L348" i="27" s="1"/>
  <c r="J103" i="27"/>
  <c r="I104" i="27" s="1"/>
  <c r="W31" i="27"/>
  <c r="M21" i="6"/>
  <c r="K331" i="27"/>
  <c r="K79" i="27"/>
  <c r="L41" i="27"/>
  <c r="J60" i="27"/>
  <c r="W60" i="27" s="1"/>
  <c r="P75" i="27"/>
  <c r="L243" i="27"/>
  <c r="L51" i="27"/>
  <c r="K52" i="27" s="1"/>
  <c r="P52" i="27" s="1"/>
  <c r="J68" i="27"/>
  <c r="J59" i="27" s="1"/>
  <c r="P83" i="27"/>
  <c r="L254" i="27"/>
  <c r="K255" i="27" s="1"/>
  <c r="P255" i="27" s="1"/>
  <c r="W102" i="27"/>
  <c r="J140" i="27"/>
  <c r="I147" i="27"/>
  <c r="L180" i="27"/>
  <c r="L170" i="27" s="1"/>
  <c r="L182" i="27"/>
  <c r="L171" i="27"/>
  <c r="L70" i="27"/>
  <c r="L60" i="27"/>
  <c r="L68" i="27"/>
  <c r="L59" i="27" s="1"/>
  <c r="L324" i="27"/>
  <c r="L314" i="27" s="1"/>
  <c r="L315" i="27"/>
  <c r="L326" i="27"/>
  <c r="J116" i="27"/>
  <c r="W116" i="27" s="1"/>
  <c r="J126" i="27"/>
  <c r="W125" i="27"/>
  <c r="J124" i="27"/>
  <c r="J115" i="27" s="1"/>
  <c r="W289" i="27"/>
  <c r="J288" i="27"/>
  <c r="J278" i="27" s="1"/>
  <c r="J279" i="27"/>
  <c r="W279" i="27" s="1"/>
  <c r="J290" i="27"/>
  <c r="J182" i="27"/>
  <c r="W181" i="27"/>
  <c r="J180" i="27"/>
  <c r="J170" i="27" s="1"/>
  <c r="J171" i="27"/>
  <c r="W171" i="27" s="1"/>
  <c r="L32" i="27"/>
  <c r="L20" i="27"/>
  <c r="L30" i="27"/>
  <c r="L19" i="27" s="1"/>
  <c r="L306" i="27"/>
  <c r="L296" i="27" s="1"/>
  <c r="L297" i="27"/>
  <c r="L308" i="27"/>
  <c r="J326" i="27"/>
  <c r="W325" i="27"/>
  <c r="J324" i="27"/>
  <c r="J314" i="27" s="1"/>
  <c r="J315" i="27"/>
  <c r="W315" i="27" s="1"/>
  <c r="L124" i="27"/>
  <c r="L115" i="27" s="1"/>
  <c r="L116" i="27"/>
  <c r="L126" i="27"/>
  <c r="K112" i="27"/>
  <c r="P112" i="27"/>
  <c r="L290" i="27"/>
  <c r="L288" i="27"/>
  <c r="L278" i="27" s="1"/>
  <c r="L279" i="27"/>
  <c r="L164" i="27"/>
  <c r="L162" i="27"/>
  <c r="L152" i="27" s="1"/>
  <c r="L153" i="27"/>
  <c r="J236" i="27"/>
  <c r="W235" i="27"/>
  <c r="J234" i="27"/>
  <c r="J224" i="27" s="1"/>
  <c r="J225" i="27"/>
  <c r="W225" i="27" s="1"/>
  <c r="L200" i="27"/>
  <c r="L198" i="27"/>
  <c r="L188" i="27" s="1"/>
  <c r="L189" i="27"/>
  <c r="I219" i="27"/>
  <c r="K237" i="27"/>
  <c r="P237" i="27" s="1"/>
  <c r="L230" i="27"/>
  <c r="P232" i="27" s="1"/>
  <c r="J308" i="27"/>
  <c r="W307" i="27"/>
  <c r="J306" i="27"/>
  <c r="J296" i="27" s="1"/>
  <c r="J297" i="27"/>
  <c r="W297" i="27" s="1"/>
  <c r="L272" i="27"/>
  <c r="L270" i="27"/>
  <c r="L260" i="27" s="1"/>
  <c r="L261" i="27"/>
  <c r="I201" i="27"/>
  <c r="L97" i="27"/>
  <c r="K99" i="27" s="1"/>
  <c r="K104" i="27"/>
  <c r="P104" i="27" s="1"/>
  <c r="L144" i="27"/>
  <c r="L134" i="27" s="1"/>
  <c r="L135" i="27"/>
  <c r="L146" i="27"/>
  <c r="J41" i="27"/>
  <c r="W41" i="27" s="1"/>
  <c r="J49" i="27"/>
  <c r="J40" i="27" s="1"/>
  <c r="J51" i="27"/>
  <c r="W50" i="27"/>
  <c r="I33" i="27"/>
  <c r="J26" i="27"/>
  <c r="X28" i="27" s="1"/>
  <c r="J97" i="27" l="1"/>
  <c r="X99" i="27" s="1"/>
  <c r="L45" i="27"/>
  <c r="P47" i="27" s="1"/>
  <c r="O142" i="27"/>
  <c r="I165" i="27"/>
  <c r="O165" i="27" s="1"/>
  <c r="O268" i="27"/>
  <c r="I273" i="27"/>
  <c r="X273" i="27" s="1"/>
  <c r="K219" i="27"/>
  <c r="P219" i="27" s="1"/>
  <c r="L248" i="27"/>
  <c r="P250" i="27" s="1"/>
  <c r="J248" i="27"/>
  <c r="I250" i="27" s="1"/>
  <c r="I257" i="27" s="1"/>
  <c r="I71" i="27"/>
  <c r="O71" i="27" s="1"/>
  <c r="P16" i="34"/>
  <c r="L358" i="27"/>
  <c r="O160" i="27"/>
  <c r="P20" i="6"/>
  <c r="N21" i="6"/>
  <c r="O214" i="27"/>
  <c r="I203" i="27"/>
  <c r="P99" i="27"/>
  <c r="P214" i="27"/>
  <c r="K214" i="27"/>
  <c r="J320" i="27"/>
  <c r="X322" i="27" s="1"/>
  <c r="I327" i="27"/>
  <c r="O99" i="27"/>
  <c r="I142" i="27"/>
  <c r="I149" i="27" s="1"/>
  <c r="K106" i="27"/>
  <c r="X201" i="27"/>
  <c r="O201" i="27"/>
  <c r="L266" i="27"/>
  <c r="P268" i="27" s="1"/>
  <c r="K273" i="27"/>
  <c r="P273" i="27" s="1"/>
  <c r="J302" i="27"/>
  <c r="I304" i="27" s="1"/>
  <c r="I309" i="27"/>
  <c r="O219" i="27"/>
  <c r="X219" i="27"/>
  <c r="L194" i="27"/>
  <c r="P196" i="27" s="1"/>
  <c r="K201" i="27"/>
  <c r="P201" i="27" s="1"/>
  <c r="J230" i="27"/>
  <c r="X232" i="27" s="1"/>
  <c r="I237" i="27"/>
  <c r="I214" i="27"/>
  <c r="I221" i="27" s="1"/>
  <c r="O28" i="27"/>
  <c r="L284" i="27"/>
  <c r="K286" i="27" s="1"/>
  <c r="K291" i="27"/>
  <c r="P291" i="27" s="1"/>
  <c r="K309" i="27"/>
  <c r="P309" i="27" s="1"/>
  <c r="L302" i="27"/>
  <c r="P304" i="27" s="1"/>
  <c r="J120" i="27"/>
  <c r="X122" i="27" s="1"/>
  <c r="I127" i="27"/>
  <c r="K232" i="27"/>
  <c r="K239" i="27" s="1"/>
  <c r="I268" i="27"/>
  <c r="I275" i="27" s="1"/>
  <c r="X142" i="27"/>
  <c r="K183" i="27"/>
  <c r="P183" i="27" s="1"/>
  <c r="L176" i="27"/>
  <c r="P178" i="27" s="1"/>
  <c r="I160" i="27"/>
  <c r="X268" i="27"/>
  <c r="J45" i="27"/>
  <c r="X47" i="27" s="1"/>
  <c r="I52" i="27"/>
  <c r="L158" i="27"/>
  <c r="P160" i="27" s="1"/>
  <c r="K165" i="27"/>
  <c r="P165" i="27" s="1"/>
  <c r="K127" i="27"/>
  <c r="P127" i="27" s="1"/>
  <c r="L120" i="27"/>
  <c r="K122" i="27" s="1"/>
  <c r="X33" i="27"/>
  <c r="O33" i="27"/>
  <c r="O196" i="27"/>
  <c r="L26" i="27"/>
  <c r="P28" i="27" s="1"/>
  <c r="K33" i="27"/>
  <c r="P33" i="27" s="1"/>
  <c r="J176" i="27"/>
  <c r="I178" i="27" s="1"/>
  <c r="I183" i="27"/>
  <c r="I99" i="27"/>
  <c r="I106" i="27" s="1"/>
  <c r="K327" i="27"/>
  <c r="P327" i="27" s="1"/>
  <c r="L320" i="27"/>
  <c r="K322" i="27" s="1"/>
  <c r="I28" i="27"/>
  <c r="I35" i="27" s="1"/>
  <c r="K47" i="27"/>
  <c r="K54" i="27" s="1"/>
  <c r="X66" i="27"/>
  <c r="I66" i="27"/>
  <c r="K147" i="27"/>
  <c r="P147" i="27" s="1"/>
  <c r="L140" i="27"/>
  <c r="P142" i="27" s="1"/>
  <c r="O232" i="27"/>
  <c r="O104" i="27"/>
  <c r="X104" i="27"/>
  <c r="J284" i="27"/>
  <c r="I286" i="27" s="1"/>
  <c r="I291" i="27"/>
  <c r="X255" i="27"/>
  <c r="O255" i="27"/>
  <c r="K71" i="27"/>
  <c r="P71" i="27" s="1"/>
  <c r="L64" i="27"/>
  <c r="P66" i="27" s="1"/>
  <c r="X147" i="27"/>
  <c r="O147" i="27"/>
  <c r="O66" i="27"/>
  <c r="X196" i="27"/>
  <c r="X165" i="27" l="1"/>
  <c r="K268" i="27"/>
  <c r="K275" i="27" s="1"/>
  <c r="I167" i="27"/>
  <c r="K250" i="27"/>
  <c r="K257" i="27" s="1"/>
  <c r="K221" i="27"/>
  <c r="K304" i="27"/>
  <c r="K311" i="27" s="1"/>
  <c r="P122" i="27"/>
  <c r="O122" i="27"/>
  <c r="I122" i="27"/>
  <c r="O322" i="27"/>
  <c r="O273" i="27"/>
  <c r="X71" i="27"/>
  <c r="O250" i="27"/>
  <c r="X250" i="27"/>
  <c r="I73" i="27"/>
  <c r="I322" i="27"/>
  <c r="I329" i="27" s="1"/>
  <c r="I232" i="27"/>
  <c r="I239" i="27" s="1"/>
  <c r="I311" i="27"/>
  <c r="K160" i="27"/>
  <c r="K167" i="27" s="1"/>
  <c r="O304" i="27"/>
  <c r="X304" i="27"/>
  <c r="K329" i="27"/>
  <c r="K129" i="27"/>
  <c r="K293" i="27"/>
  <c r="I293" i="27"/>
  <c r="K178" i="27"/>
  <c r="K185" i="27" s="1"/>
  <c r="O47" i="27"/>
  <c r="X178" i="27"/>
  <c r="I185" i="27"/>
  <c r="O178" i="27"/>
  <c r="I47" i="27"/>
  <c r="I54" i="27" s="1"/>
  <c r="K196" i="27"/>
  <c r="K203" i="27" s="1"/>
  <c r="O52" i="27"/>
  <c r="X52" i="27"/>
  <c r="K66" i="27"/>
  <c r="K73" i="27" s="1"/>
  <c r="O127" i="27"/>
  <c r="X127" i="27"/>
  <c r="X286" i="27"/>
  <c r="K142" i="27"/>
  <c r="K149" i="27" s="1"/>
  <c r="X327" i="27"/>
  <c r="O327" i="27"/>
  <c r="P286" i="27"/>
  <c r="I129" i="27"/>
  <c r="O309" i="27"/>
  <c r="X309" i="27"/>
  <c r="X183" i="27"/>
  <c r="O183" i="27"/>
  <c r="O291" i="27"/>
  <c r="X291" i="27"/>
  <c r="O286" i="27"/>
  <c r="P322" i="27"/>
  <c r="K28" i="27"/>
  <c r="K35" i="27" s="1"/>
  <c r="O237" i="27"/>
  <c r="X237" i="27"/>
  <c r="K335" i="27" l="1"/>
  <c r="I335" i="27"/>
  <c r="I340" i="27"/>
  <c r="J345" i="27" s="1"/>
  <c r="K340" i="27"/>
  <c r="L345" i="27" s="1"/>
  <c r="G16" i="34" l="1"/>
  <c r="L355" i="27"/>
  <c r="J346" i="27"/>
  <c r="J353" i="27" s="1"/>
  <c r="F16" i="34"/>
  <c r="T16" i="34" s="1"/>
  <c r="L346" i="27"/>
  <c r="L353" i="27" s="1"/>
  <c r="K580" i="26"/>
  <c r="I580" i="26"/>
  <c r="I579" i="26"/>
  <c r="K576" i="26"/>
  <c r="I576" i="26"/>
  <c r="K575" i="26"/>
  <c r="I575" i="26"/>
  <c r="A574" i="26"/>
  <c r="K572" i="26"/>
  <c r="I572" i="26"/>
  <c r="K571" i="26"/>
  <c r="I571" i="26"/>
  <c r="A570" i="26"/>
  <c r="AA568" i="26"/>
  <c r="Z568" i="26"/>
  <c r="Y568" i="26"/>
  <c r="V567" i="26"/>
  <c r="U567" i="26"/>
  <c r="T567" i="26"/>
  <c r="S567" i="26"/>
  <c r="R567" i="26"/>
  <c r="Q567" i="26"/>
  <c r="I567" i="26"/>
  <c r="F567" i="26"/>
  <c r="L567" i="26" s="1"/>
  <c r="E567" i="26"/>
  <c r="B567" i="26"/>
  <c r="AA566" i="26"/>
  <c r="Z566" i="26"/>
  <c r="Y566" i="26"/>
  <c r="V565" i="26"/>
  <c r="U565" i="26"/>
  <c r="T565" i="26"/>
  <c r="S565" i="26"/>
  <c r="R565" i="26"/>
  <c r="Q565" i="26"/>
  <c r="I565" i="26"/>
  <c r="F565" i="26"/>
  <c r="L565" i="26" s="1"/>
  <c r="E565" i="26"/>
  <c r="B565" i="26"/>
  <c r="AA562" i="26"/>
  <c r="Z562" i="26"/>
  <c r="Y562" i="26"/>
  <c r="K561" i="26"/>
  <c r="F561" i="26"/>
  <c r="K560" i="26"/>
  <c r="K559" i="26" s="1"/>
  <c r="I560" i="26"/>
  <c r="I559" i="26" s="1"/>
  <c r="G560" i="26"/>
  <c r="G559" i="26" s="1"/>
  <c r="H559" i="26"/>
  <c r="AA557" i="26"/>
  <c r="Z557" i="26"/>
  <c r="Y557" i="26"/>
  <c r="J556" i="26"/>
  <c r="I556" i="26"/>
  <c r="H556" i="26"/>
  <c r="F556" i="26"/>
  <c r="K555" i="26"/>
  <c r="F555" i="26"/>
  <c r="K554" i="26"/>
  <c r="F554" i="26"/>
  <c r="K553" i="26"/>
  <c r="F553" i="26"/>
  <c r="L552" i="26"/>
  <c r="K552" i="26"/>
  <c r="J552" i="26"/>
  <c r="I552" i="26"/>
  <c r="H552" i="26"/>
  <c r="G552" i="26"/>
  <c r="K551" i="26"/>
  <c r="I551" i="26"/>
  <c r="H551" i="26"/>
  <c r="G551" i="26"/>
  <c r="K550" i="26"/>
  <c r="I550" i="26"/>
  <c r="H550" i="26"/>
  <c r="G550" i="26"/>
  <c r="L549" i="26"/>
  <c r="K549" i="26"/>
  <c r="J549" i="26"/>
  <c r="W549" i="26" s="1"/>
  <c r="I549" i="26"/>
  <c r="H549" i="26"/>
  <c r="G549" i="26"/>
  <c r="V548" i="26"/>
  <c r="U548" i="26"/>
  <c r="T548" i="26"/>
  <c r="L554" i="26" s="1"/>
  <c r="S548" i="26"/>
  <c r="J554" i="26" s="1"/>
  <c r="R548" i="26"/>
  <c r="L553" i="26" s="1"/>
  <c r="Q548" i="26"/>
  <c r="J553" i="26" s="1"/>
  <c r="F548" i="26"/>
  <c r="E548" i="26"/>
  <c r="C548" i="26"/>
  <c r="B548" i="26"/>
  <c r="AA545" i="26"/>
  <c r="Z545" i="26"/>
  <c r="Y545" i="26"/>
  <c r="K544" i="26"/>
  <c r="F544" i="26"/>
  <c r="K543" i="26"/>
  <c r="K542" i="26" s="1"/>
  <c r="I543" i="26"/>
  <c r="I542" i="26" s="1"/>
  <c r="G543" i="26"/>
  <c r="G542" i="26" s="1"/>
  <c r="H542" i="26"/>
  <c r="AA540" i="26"/>
  <c r="Z540" i="26"/>
  <c r="Y540" i="26"/>
  <c r="J539" i="26"/>
  <c r="I539" i="26"/>
  <c r="H539" i="26"/>
  <c r="F539" i="26"/>
  <c r="K538" i="26"/>
  <c r="F538" i="26"/>
  <c r="K537" i="26"/>
  <c r="F537" i="26"/>
  <c r="K536" i="26"/>
  <c r="F536" i="26"/>
  <c r="AA535" i="26"/>
  <c r="Z535" i="26"/>
  <c r="Y535" i="26"/>
  <c r="V535" i="26"/>
  <c r="U535" i="26"/>
  <c r="T535" i="26"/>
  <c r="S535" i="26"/>
  <c r="R535" i="26"/>
  <c r="Q535" i="26"/>
  <c r="L535" i="26"/>
  <c r="K535" i="26"/>
  <c r="J535" i="26"/>
  <c r="X535" i="26" s="1"/>
  <c r="I535" i="26"/>
  <c r="G535" i="26"/>
  <c r="F535" i="26"/>
  <c r="E535" i="26"/>
  <c r="C535" i="26"/>
  <c r="B535" i="26"/>
  <c r="L534" i="26"/>
  <c r="K534" i="26"/>
  <c r="J534" i="26"/>
  <c r="I534" i="26"/>
  <c r="H534" i="26"/>
  <c r="G534" i="26"/>
  <c r="K533" i="26"/>
  <c r="I533" i="26"/>
  <c r="H533" i="26"/>
  <c r="G533" i="26"/>
  <c r="K532" i="26"/>
  <c r="I532" i="26"/>
  <c r="H532" i="26"/>
  <c r="G532" i="26"/>
  <c r="L531" i="26"/>
  <c r="K531" i="26"/>
  <c r="J531" i="26"/>
  <c r="I531" i="26"/>
  <c r="H531" i="26"/>
  <c r="G531" i="26"/>
  <c r="V530" i="26"/>
  <c r="U530" i="26"/>
  <c r="T530" i="26"/>
  <c r="S530" i="26"/>
  <c r="R530" i="26"/>
  <c r="Q530" i="26"/>
  <c r="F530" i="26"/>
  <c r="E530" i="26"/>
  <c r="C530" i="26"/>
  <c r="B530" i="26"/>
  <c r="AA527" i="26"/>
  <c r="Z527" i="26"/>
  <c r="Y527" i="26"/>
  <c r="K526" i="26"/>
  <c r="F526" i="26"/>
  <c r="K525" i="26"/>
  <c r="K524" i="26" s="1"/>
  <c r="I525" i="26"/>
  <c r="I524" i="26" s="1"/>
  <c r="G525" i="26"/>
  <c r="G524" i="26" s="1"/>
  <c r="H524" i="26"/>
  <c r="AA522" i="26"/>
  <c r="Z522" i="26"/>
  <c r="Y522" i="26"/>
  <c r="J521" i="26"/>
  <c r="I521" i="26"/>
  <c r="H521" i="26"/>
  <c r="F521" i="26"/>
  <c r="K520" i="26"/>
  <c r="F520" i="26"/>
  <c r="K519" i="26"/>
  <c r="F519" i="26"/>
  <c r="K518" i="26"/>
  <c r="F518" i="26"/>
  <c r="AA517" i="26"/>
  <c r="Z517" i="26"/>
  <c r="Y517" i="26"/>
  <c r="V517" i="26"/>
  <c r="U517" i="26"/>
  <c r="T517" i="26"/>
  <c r="S517" i="26"/>
  <c r="R517" i="26"/>
  <c r="Q517" i="26"/>
  <c r="L517" i="26"/>
  <c r="K517" i="26"/>
  <c r="J517" i="26"/>
  <c r="X517" i="26" s="1"/>
  <c r="I517" i="26"/>
  <c r="G517" i="26"/>
  <c r="F517" i="26"/>
  <c r="E517" i="26"/>
  <c r="C517" i="26"/>
  <c r="B517" i="26"/>
  <c r="L516" i="26"/>
  <c r="K516" i="26"/>
  <c r="J516" i="26"/>
  <c r="I516" i="26"/>
  <c r="H516" i="26"/>
  <c r="G516" i="26"/>
  <c r="K515" i="26"/>
  <c r="I515" i="26"/>
  <c r="H515" i="26"/>
  <c r="G515" i="26"/>
  <c r="K514" i="26"/>
  <c r="I514" i="26"/>
  <c r="H514" i="26"/>
  <c r="G514" i="26"/>
  <c r="L513" i="26"/>
  <c r="K513" i="26"/>
  <c r="J513" i="26"/>
  <c r="I513" i="26"/>
  <c r="H513" i="26"/>
  <c r="G513" i="26"/>
  <c r="V512" i="26"/>
  <c r="U512" i="26"/>
  <c r="T512" i="26"/>
  <c r="S512" i="26"/>
  <c r="R512" i="26"/>
  <c r="Q512" i="26"/>
  <c r="F512" i="26"/>
  <c r="E512" i="26"/>
  <c r="C512" i="26"/>
  <c r="B512" i="26"/>
  <c r="AA511" i="26"/>
  <c r="Z511" i="26"/>
  <c r="Y511" i="26"/>
  <c r="V510" i="26"/>
  <c r="U510" i="26"/>
  <c r="T510" i="26"/>
  <c r="S510" i="26"/>
  <c r="R510" i="26"/>
  <c r="Q510" i="26"/>
  <c r="L510" i="26"/>
  <c r="P511" i="26" s="1"/>
  <c r="K510" i="26"/>
  <c r="J510" i="26"/>
  <c r="X511" i="26" s="1"/>
  <c r="I510" i="26"/>
  <c r="H510" i="26"/>
  <c r="G510" i="26"/>
  <c r="F510" i="26"/>
  <c r="E510" i="26"/>
  <c r="C510" i="26"/>
  <c r="B510" i="26"/>
  <c r="AA509" i="26"/>
  <c r="Z509" i="26"/>
  <c r="Y509" i="26"/>
  <c r="V508" i="26"/>
  <c r="U508" i="26"/>
  <c r="T508" i="26"/>
  <c r="S508" i="26"/>
  <c r="R508" i="26"/>
  <c r="Q508" i="26"/>
  <c r="L508" i="26"/>
  <c r="P509" i="26" s="1"/>
  <c r="K508" i="26"/>
  <c r="J508" i="26"/>
  <c r="O509" i="26" s="1"/>
  <c r="I508" i="26"/>
  <c r="H508" i="26"/>
  <c r="G508" i="26"/>
  <c r="F508" i="26"/>
  <c r="E508" i="26"/>
  <c r="C508" i="26"/>
  <c r="B508" i="26"/>
  <c r="AA505" i="26"/>
  <c r="Z505" i="26"/>
  <c r="Y505" i="26"/>
  <c r="K504" i="26"/>
  <c r="F504" i="26"/>
  <c r="K503" i="26"/>
  <c r="K502" i="26" s="1"/>
  <c r="I503" i="26"/>
  <c r="I502" i="26" s="1"/>
  <c r="G503" i="26"/>
  <c r="G502" i="26" s="1"/>
  <c r="H502" i="26"/>
  <c r="AA500" i="26"/>
  <c r="Z500" i="26"/>
  <c r="Y500" i="26"/>
  <c r="J499" i="26"/>
  <c r="I499" i="26"/>
  <c r="H499" i="26"/>
  <c r="F499" i="26"/>
  <c r="K498" i="26"/>
  <c r="F498" i="26"/>
  <c r="K497" i="26"/>
  <c r="F497" i="26"/>
  <c r="K496" i="26"/>
  <c r="F496" i="26"/>
  <c r="L495" i="26"/>
  <c r="K495" i="26"/>
  <c r="J495" i="26"/>
  <c r="I495" i="26"/>
  <c r="H495" i="26"/>
  <c r="G495" i="26"/>
  <c r="K494" i="26"/>
  <c r="I494" i="26"/>
  <c r="H494" i="26"/>
  <c r="G494" i="26"/>
  <c r="K493" i="26"/>
  <c r="I493" i="26"/>
  <c r="H493" i="26"/>
  <c r="G493" i="26"/>
  <c r="L492" i="26"/>
  <c r="K492" i="26"/>
  <c r="J492" i="26"/>
  <c r="I492" i="26"/>
  <c r="H492" i="26"/>
  <c r="G492" i="26"/>
  <c r="V491" i="26"/>
  <c r="U491" i="26"/>
  <c r="T491" i="26"/>
  <c r="L497" i="26" s="1"/>
  <c r="S491" i="26"/>
  <c r="J497" i="26" s="1"/>
  <c r="R491" i="26"/>
  <c r="L496" i="26" s="1"/>
  <c r="Q491" i="26"/>
  <c r="J496" i="26" s="1"/>
  <c r="F491" i="26"/>
  <c r="E491" i="26"/>
  <c r="C491" i="26"/>
  <c r="B491" i="26"/>
  <c r="AA488" i="26"/>
  <c r="Z488" i="26"/>
  <c r="Y488" i="26"/>
  <c r="K487" i="26"/>
  <c r="F487" i="26"/>
  <c r="K486" i="26"/>
  <c r="K485" i="26" s="1"/>
  <c r="I486" i="26"/>
  <c r="I485" i="26" s="1"/>
  <c r="G486" i="26"/>
  <c r="G485" i="26" s="1"/>
  <c r="H485" i="26"/>
  <c r="AA483" i="26"/>
  <c r="Z483" i="26"/>
  <c r="Y483" i="26"/>
  <c r="J482" i="26"/>
  <c r="I482" i="26"/>
  <c r="H482" i="26"/>
  <c r="F482" i="26"/>
  <c r="K481" i="26"/>
  <c r="F481" i="26"/>
  <c r="K480" i="26"/>
  <c r="F480" i="26"/>
  <c r="K479" i="26"/>
  <c r="F479" i="26"/>
  <c r="AA478" i="26"/>
  <c r="Z478" i="26"/>
  <c r="Y478" i="26"/>
  <c r="V478" i="26"/>
  <c r="U478" i="26"/>
  <c r="T478" i="26"/>
  <c r="S478" i="26"/>
  <c r="R478" i="26"/>
  <c r="Q478" i="26"/>
  <c r="L478" i="26"/>
  <c r="K478" i="26"/>
  <c r="J478" i="26"/>
  <c r="X478" i="26" s="1"/>
  <c r="I478" i="26"/>
  <c r="G478" i="26"/>
  <c r="F478" i="26"/>
  <c r="E478" i="26"/>
  <c r="C478" i="26"/>
  <c r="B478" i="26"/>
  <c r="L477" i="26"/>
  <c r="K477" i="26"/>
  <c r="J477" i="26"/>
  <c r="I477" i="26"/>
  <c r="H477" i="26"/>
  <c r="G477" i="26"/>
  <c r="K476" i="26"/>
  <c r="I476" i="26"/>
  <c r="H476" i="26"/>
  <c r="G476" i="26"/>
  <c r="K475" i="26"/>
  <c r="I475" i="26"/>
  <c r="H475" i="26"/>
  <c r="G475" i="26"/>
  <c r="L474" i="26"/>
  <c r="K474" i="26"/>
  <c r="J474" i="26"/>
  <c r="I474" i="26"/>
  <c r="H474" i="26"/>
  <c r="G474" i="26"/>
  <c r="V473" i="26"/>
  <c r="U473" i="26"/>
  <c r="T473" i="26"/>
  <c r="S473" i="26"/>
  <c r="R473" i="26"/>
  <c r="Q473" i="26"/>
  <c r="F473" i="26"/>
  <c r="E473" i="26"/>
  <c r="C473" i="26"/>
  <c r="B473" i="26"/>
  <c r="AA470" i="26"/>
  <c r="Z470" i="26"/>
  <c r="Y470" i="26"/>
  <c r="K469" i="26"/>
  <c r="F469" i="26"/>
  <c r="K468" i="26"/>
  <c r="K467" i="26" s="1"/>
  <c r="I468" i="26"/>
  <c r="I467" i="26" s="1"/>
  <c r="G468" i="26"/>
  <c r="G467" i="26" s="1"/>
  <c r="H467" i="26"/>
  <c r="AA465" i="26"/>
  <c r="Z465" i="26"/>
  <c r="Y465" i="26"/>
  <c r="J464" i="26"/>
  <c r="I464" i="26"/>
  <c r="H464" i="26"/>
  <c r="F464" i="26"/>
  <c r="K463" i="26"/>
  <c r="F463" i="26"/>
  <c r="K462" i="26"/>
  <c r="F462" i="26"/>
  <c r="K461" i="26"/>
  <c r="F461" i="26"/>
  <c r="AA460" i="26"/>
  <c r="Z460" i="26"/>
  <c r="Y460" i="26"/>
  <c r="V460" i="26"/>
  <c r="U460" i="26"/>
  <c r="T460" i="26"/>
  <c r="S460" i="26"/>
  <c r="R460" i="26"/>
  <c r="Q460" i="26"/>
  <c r="L460" i="26"/>
  <c r="K460" i="26"/>
  <c r="J460" i="26"/>
  <c r="X460" i="26" s="1"/>
  <c r="I460" i="26"/>
  <c r="G460" i="26"/>
  <c r="F460" i="26"/>
  <c r="E460" i="26"/>
  <c r="C460" i="26"/>
  <c r="B460" i="26"/>
  <c r="L459" i="26"/>
  <c r="K459" i="26"/>
  <c r="J459" i="26"/>
  <c r="I459" i="26"/>
  <c r="H459" i="26"/>
  <c r="G459" i="26"/>
  <c r="K458" i="26"/>
  <c r="I458" i="26"/>
  <c r="H458" i="26"/>
  <c r="G458" i="26"/>
  <c r="K457" i="26"/>
  <c r="I457" i="26"/>
  <c r="H457" i="26"/>
  <c r="G457" i="26"/>
  <c r="L456" i="26"/>
  <c r="K456" i="26"/>
  <c r="J456" i="26"/>
  <c r="I456" i="26"/>
  <c r="H456" i="26"/>
  <c r="G456" i="26"/>
  <c r="V455" i="26"/>
  <c r="U455" i="26"/>
  <c r="T455" i="26"/>
  <c r="S455" i="26"/>
  <c r="R455" i="26"/>
  <c r="Q455" i="26"/>
  <c r="F455" i="26"/>
  <c r="E455" i="26"/>
  <c r="C455" i="26"/>
  <c r="B455" i="26"/>
  <c r="AA452" i="26"/>
  <c r="Z452" i="26"/>
  <c r="Y452" i="26"/>
  <c r="K451" i="26"/>
  <c r="F451" i="26"/>
  <c r="K450" i="26"/>
  <c r="K449" i="26" s="1"/>
  <c r="I450" i="26"/>
  <c r="I449" i="26" s="1"/>
  <c r="G450" i="26"/>
  <c r="G449" i="26" s="1"/>
  <c r="H449" i="26"/>
  <c r="AA447" i="26"/>
  <c r="Z447" i="26"/>
  <c r="Y447" i="26"/>
  <c r="J446" i="26"/>
  <c r="I446" i="26"/>
  <c r="H446" i="26"/>
  <c r="F446" i="26"/>
  <c r="K445" i="26"/>
  <c r="F445" i="26"/>
  <c r="K444" i="26"/>
  <c r="F444" i="26"/>
  <c r="K443" i="26"/>
  <c r="F443" i="26"/>
  <c r="AA442" i="26"/>
  <c r="Z442" i="26"/>
  <c r="Y442" i="26"/>
  <c r="V442" i="26"/>
  <c r="U442" i="26"/>
  <c r="T442" i="26"/>
  <c r="S442" i="26"/>
  <c r="R442" i="26"/>
  <c r="Q442" i="26"/>
  <c r="L442" i="26"/>
  <c r="K442" i="26"/>
  <c r="J442" i="26"/>
  <c r="X442" i="26" s="1"/>
  <c r="I442" i="26"/>
  <c r="G442" i="26"/>
  <c r="F442" i="26"/>
  <c r="E442" i="26"/>
  <c r="C442" i="26"/>
  <c r="B442" i="26"/>
  <c r="L441" i="26"/>
  <c r="K441" i="26"/>
  <c r="J441" i="26"/>
  <c r="I441" i="26"/>
  <c r="H441" i="26"/>
  <c r="G441" i="26"/>
  <c r="K440" i="26"/>
  <c r="I440" i="26"/>
  <c r="H440" i="26"/>
  <c r="G440" i="26"/>
  <c r="K439" i="26"/>
  <c r="I439" i="26"/>
  <c r="H439" i="26"/>
  <c r="G439" i="26"/>
  <c r="L438" i="26"/>
  <c r="K438" i="26"/>
  <c r="J438" i="26"/>
  <c r="W438" i="26" s="1"/>
  <c r="I438" i="26"/>
  <c r="H438" i="26"/>
  <c r="G438" i="26"/>
  <c r="V437" i="26"/>
  <c r="U437" i="26"/>
  <c r="T437" i="26"/>
  <c r="S437" i="26"/>
  <c r="R437" i="26"/>
  <c r="Q437" i="26"/>
  <c r="F437" i="26"/>
  <c r="E437" i="26"/>
  <c r="C437" i="26"/>
  <c r="B437" i="26"/>
  <c r="AA436" i="26"/>
  <c r="Z436" i="26"/>
  <c r="Y436" i="26"/>
  <c r="V435" i="26"/>
  <c r="U435" i="26"/>
  <c r="T435" i="26"/>
  <c r="S435" i="26"/>
  <c r="R435" i="26"/>
  <c r="Q435" i="26"/>
  <c r="L435" i="26"/>
  <c r="P436" i="26" s="1"/>
  <c r="K435" i="26"/>
  <c r="J435" i="26"/>
  <c r="X436" i="26" s="1"/>
  <c r="I435" i="26"/>
  <c r="H435" i="26"/>
  <c r="G435" i="26"/>
  <c r="F435" i="26"/>
  <c r="E435" i="26"/>
  <c r="C435" i="26"/>
  <c r="B435" i="26"/>
  <c r="AA434" i="26"/>
  <c r="Z434" i="26"/>
  <c r="Y434" i="26"/>
  <c r="V433" i="26"/>
  <c r="U433" i="26"/>
  <c r="T433" i="26"/>
  <c r="S433" i="26"/>
  <c r="R433" i="26"/>
  <c r="Q433" i="26"/>
  <c r="L433" i="26"/>
  <c r="P434" i="26" s="1"/>
  <c r="K433" i="26"/>
  <c r="J433" i="26"/>
  <c r="X434" i="26" s="1"/>
  <c r="I433" i="26"/>
  <c r="H433" i="26"/>
  <c r="G433" i="26"/>
  <c r="F433" i="26"/>
  <c r="E433" i="26"/>
  <c r="C433" i="26"/>
  <c r="B433" i="26"/>
  <c r="AA430" i="26"/>
  <c r="Z430" i="26"/>
  <c r="Y430" i="26"/>
  <c r="K429" i="26"/>
  <c r="F429" i="26"/>
  <c r="K428" i="26"/>
  <c r="K427" i="26" s="1"/>
  <c r="I428" i="26"/>
  <c r="I427" i="26" s="1"/>
  <c r="G428" i="26"/>
  <c r="G427" i="26" s="1"/>
  <c r="H427" i="26"/>
  <c r="AA425" i="26"/>
  <c r="Z425" i="26"/>
  <c r="Y425" i="26"/>
  <c r="J424" i="26"/>
  <c r="I424" i="26"/>
  <c r="H424" i="26"/>
  <c r="F424" i="26"/>
  <c r="K423" i="26"/>
  <c r="F423" i="26"/>
  <c r="K422" i="26"/>
  <c r="F422" i="26"/>
  <c r="K421" i="26"/>
  <c r="F421" i="26"/>
  <c r="L420" i="26"/>
  <c r="K420" i="26"/>
  <c r="J420" i="26"/>
  <c r="I420" i="26"/>
  <c r="H420" i="26"/>
  <c r="G420" i="26"/>
  <c r="K419" i="26"/>
  <c r="I419" i="26"/>
  <c r="H419" i="26"/>
  <c r="G419" i="26"/>
  <c r="K418" i="26"/>
  <c r="I418" i="26"/>
  <c r="H418" i="26"/>
  <c r="G418" i="26"/>
  <c r="L417" i="26"/>
  <c r="K417" i="26"/>
  <c r="J417" i="26"/>
  <c r="W417" i="26" s="1"/>
  <c r="I417" i="26"/>
  <c r="H417" i="26"/>
  <c r="G417" i="26"/>
  <c r="V416" i="26"/>
  <c r="U416" i="26"/>
  <c r="T416" i="26"/>
  <c r="L422" i="26" s="1"/>
  <c r="S416" i="26"/>
  <c r="J422" i="26" s="1"/>
  <c r="R416" i="26"/>
  <c r="L421" i="26" s="1"/>
  <c r="Q416" i="26"/>
  <c r="J421" i="26" s="1"/>
  <c r="F416" i="26"/>
  <c r="E416" i="26"/>
  <c r="C416" i="26"/>
  <c r="B416" i="26"/>
  <c r="AA413" i="26"/>
  <c r="Z413" i="26"/>
  <c r="Y413" i="26"/>
  <c r="K412" i="26"/>
  <c r="F412" i="26"/>
  <c r="K411" i="26"/>
  <c r="K410" i="26" s="1"/>
  <c r="I411" i="26"/>
  <c r="I410" i="26" s="1"/>
  <c r="G411" i="26"/>
  <c r="G410" i="26" s="1"/>
  <c r="H410" i="26"/>
  <c r="AA408" i="26"/>
  <c r="Z408" i="26"/>
  <c r="Y408" i="26"/>
  <c r="J407" i="26"/>
  <c r="I407" i="26"/>
  <c r="H407" i="26"/>
  <c r="F407" i="26"/>
  <c r="K406" i="26"/>
  <c r="F406" i="26"/>
  <c r="K405" i="26"/>
  <c r="F405" i="26"/>
  <c r="K404" i="26"/>
  <c r="F404" i="26"/>
  <c r="AA403" i="26"/>
  <c r="Z403" i="26"/>
  <c r="Y403" i="26"/>
  <c r="V403" i="26"/>
  <c r="U403" i="26"/>
  <c r="T403" i="26"/>
  <c r="S403" i="26"/>
  <c r="R403" i="26"/>
  <c r="Q403" i="26"/>
  <c r="L403" i="26"/>
  <c r="K403" i="26"/>
  <c r="J403" i="26"/>
  <c r="X403" i="26" s="1"/>
  <c r="I403" i="26"/>
  <c r="G403" i="26"/>
  <c r="F403" i="26"/>
  <c r="E403" i="26"/>
  <c r="C403" i="26"/>
  <c r="B403" i="26"/>
  <c r="L402" i="26"/>
  <c r="K402" i="26"/>
  <c r="J402" i="26"/>
  <c r="I402" i="26"/>
  <c r="H402" i="26"/>
  <c r="G402" i="26"/>
  <c r="K401" i="26"/>
  <c r="I401" i="26"/>
  <c r="H401" i="26"/>
  <c r="G401" i="26"/>
  <c r="K400" i="26"/>
  <c r="I400" i="26"/>
  <c r="H400" i="26"/>
  <c r="G400" i="26"/>
  <c r="L399" i="26"/>
  <c r="K399" i="26"/>
  <c r="J399" i="26"/>
  <c r="I399" i="26"/>
  <c r="H399" i="26"/>
  <c r="G399" i="26"/>
  <c r="V398" i="26"/>
  <c r="U398" i="26"/>
  <c r="T398" i="26"/>
  <c r="S398" i="26"/>
  <c r="R398" i="26"/>
  <c r="Q398" i="26"/>
  <c r="F398" i="26"/>
  <c r="E398" i="26"/>
  <c r="C398" i="26"/>
  <c r="B398" i="26"/>
  <c r="AA395" i="26"/>
  <c r="Z395" i="26"/>
  <c r="Y395" i="26"/>
  <c r="K394" i="26"/>
  <c r="F394" i="26"/>
  <c r="K393" i="26"/>
  <c r="K392" i="26" s="1"/>
  <c r="I393" i="26"/>
  <c r="I392" i="26" s="1"/>
  <c r="G393" i="26"/>
  <c r="G392" i="26" s="1"/>
  <c r="H392" i="26"/>
  <c r="AA390" i="26"/>
  <c r="Z390" i="26"/>
  <c r="Y390" i="26"/>
  <c r="J389" i="26"/>
  <c r="I389" i="26"/>
  <c r="H389" i="26"/>
  <c r="F389" i="26"/>
  <c r="K388" i="26"/>
  <c r="F388" i="26"/>
  <c r="K387" i="26"/>
  <c r="F387" i="26"/>
  <c r="K386" i="26"/>
  <c r="F386" i="26"/>
  <c r="AA385" i="26"/>
  <c r="Z385" i="26"/>
  <c r="Y385" i="26"/>
  <c r="V385" i="26"/>
  <c r="U385" i="26"/>
  <c r="T385" i="26"/>
  <c r="S385" i="26"/>
  <c r="R385" i="26"/>
  <c r="Q385" i="26"/>
  <c r="L385" i="26"/>
  <c r="K385" i="26"/>
  <c r="J385" i="26"/>
  <c r="X385" i="26" s="1"/>
  <c r="I385" i="26"/>
  <c r="G385" i="26"/>
  <c r="F385" i="26"/>
  <c r="E385" i="26"/>
  <c r="C385" i="26"/>
  <c r="B385" i="26"/>
  <c r="L384" i="26"/>
  <c r="K384" i="26"/>
  <c r="J384" i="26"/>
  <c r="I384" i="26"/>
  <c r="H384" i="26"/>
  <c r="G384" i="26"/>
  <c r="K383" i="26"/>
  <c r="I383" i="26"/>
  <c r="H383" i="26"/>
  <c r="G383" i="26"/>
  <c r="K382" i="26"/>
  <c r="I382" i="26"/>
  <c r="H382" i="26"/>
  <c r="G382" i="26"/>
  <c r="L381" i="26"/>
  <c r="K381" i="26"/>
  <c r="J381" i="26"/>
  <c r="W381" i="26" s="1"/>
  <c r="I381" i="26"/>
  <c r="H381" i="26"/>
  <c r="G381" i="26"/>
  <c r="V380" i="26"/>
  <c r="U380" i="26"/>
  <c r="T380" i="26"/>
  <c r="S380" i="26"/>
  <c r="R380" i="26"/>
  <c r="Q380" i="26"/>
  <c r="F380" i="26"/>
  <c r="E380" i="26"/>
  <c r="C380" i="26"/>
  <c r="B380" i="26"/>
  <c r="AA377" i="26"/>
  <c r="Z377" i="26"/>
  <c r="Y377" i="26"/>
  <c r="K376" i="26"/>
  <c r="F376" i="26"/>
  <c r="K375" i="26"/>
  <c r="K374" i="26" s="1"/>
  <c r="I375" i="26"/>
  <c r="I374" i="26" s="1"/>
  <c r="G375" i="26"/>
  <c r="G374" i="26" s="1"/>
  <c r="H374" i="26"/>
  <c r="AA372" i="26"/>
  <c r="Z372" i="26"/>
  <c r="Y372" i="26"/>
  <c r="J371" i="26"/>
  <c r="I371" i="26"/>
  <c r="H371" i="26"/>
  <c r="F371" i="26"/>
  <c r="K370" i="26"/>
  <c r="F370" i="26"/>
  <c r="K369" i="26"/>
  <c r="F369" i="26"/>
  <c r="K368" i="26"/>
  <c r="F368" i="26"/>
  <c r="AA367" i="26"/>
  <c r="Z367" i="26"/>
  <c r="Y367" i="26"/>
  <c r="V367" i="26"/>
  <c r="U367" i="26"/>
  <c r="T367" i="26"/>
  <c r="S367" i="26"/>
  <c r="R367" i="26"/>
  <c r="Q367" i="26"/>
  <c r="L367" i="26"/>
  <c r="K367" i="26"/>
  <c r="J367" i="26"/>
  <c r="X367" i="26" s="1"/>
  <c r="I367" i="26"/>
  <c r="G367" i="26"/>
  <c r="F367" i="26"/>
  <c r="E367" i="26"/>
  <c r="C367" i="26"/>
  <c r="B367" i="26"/>
  <c r="L366" i="26"/>
  <c r="K366" i="26"/>
  <c r="J366" i="26"/>
  <c r="I366" i="26"/>
  <c r="H366" i="26"/>
  <c r="G366" i="26"/>
  <c r="K365" i="26"/>
  <c r="I365" i="26"/>
  <c r="H365" i="26"/>
  <c r="G365" i="26"/>
  <c r="K364" i="26"/>
  <c r="I364" i="26"/>
  <c r="H364" i="26"/>
  <c r="G364" i="26"/>
  <c r="L363" i="26"/>
  <c r="K363" i="26"/>
  <c r="J363" i="26"/>
  <c r="W363" i="26" s="1"/>
  <c r="I363" i="26"/>
  <c r="H363" i="26"/>
  <c r="G363" i="26"/>
  <c r="V362" i="26"/>
  <c r="U362" i="26"/>
  <c r="T362" i="26"/>
  <c r="S362" i="26"/>
  <c r="R362" i="26"/>
  <c r="Q362" i="26"/>
  <c r="F362" i="26"/>
  <c r="E362" i="26"/>
  <c r="C362" i="26"/>
  <c r="B362" i="26"/>
  <c r="AA359" i="26"/>
  <c r="Z359" i="26"/>
  <c r="Y359" i="26"/>
  <c r="K358" i="26"/>
  <c r="F358" i="26"/>
  <c r="K357" i="26"/>
  <c r="K356" i="26" s="1"/>
  <c r="I357" i="26"/>
  <c r="I356" i="26" s="1"/>
  <c r="G357" i="26"/>
  <c r="H356" i="26"/>
  <c r="AA354" i="26"/>
  <c r="Z354" i="26"/>
  <c r="Y354" i="26"/>
  <c r="J353" i="26"/>
  <c r="I353" i="26"/>
  <c r="H353" i="26"/>
  <c r="F353" i="26"/>
  <c r="K352" i="26"/>
  <c r="F352" i="26"/>
  <c r="K351" i="26"/>
  <c r="F351" i="26"/>
  <c r="K350" i="26"/>
  <c r="F350" i="26"/>
  <c r="AA349" i="26"/>
  <c r="Z349" i="26"/>
  <c r="Y349" i="26"/>
  <c r="V349" i="26"/>
  <c r="U349" i="26"/>
  <c r="T349" i="26"/>
  <c r="S349" i="26"/>
  <c r="R349" i="26"/>
  <c r="Q349" i="26"/>
  <c r="L349" i="26"/>
  <c r="K349" i="26"/>
  <c r="J349" i="26"/>
  <c r="X349" i="26" s="1"/>
  <c r="I349" i="26"/>
  <c r="G349" i="26"/>
  <c r="F349" i="26"/>
  <c r="E349" i="26"/>
  <c r="C349" i="26"/>
  <c r="B349" i="26"/>
  <c r="L348" i="26"/>
  <c r="K348" i="26"/>
  <c r="J348" i="26"/>
  <c r="I348" i="26"/>
  <c r="H348" i="26"/>
  <c r="G348" i="26"/>
  <c r="K347" i="26"/>
  <c r="I347" i="26"/>
  <c r="H347" i="26"/>
  <c r="G347" i="26"/>
  <c r="K346" i="26"/>
  <c r="I346" i="26"/>
  <c r="H346" i="26"/>
  <c r="G346" i="26"/>
  <c r="L345" i="26"/>
  <c r="K345" i="26"/>
  <c r="J345" i="26"/>
  <c r="I345" i="26"/>
  <c r="H345" i="26"/>
  <c r="G345" i="26"/>
  <c r="V344" i="26"/>
  <c r="U344" i="26"/>
  <c r="T344" i="26"/>
  <c r="S344" i="26"/>
  <c r="R344" i="26"/>
  <c r="Q344" i="26"/>
  <c r="F344" i="26"/>
  <c r="E344" i="26"/>
  <c r="C344" i="26"/>
  <c r="B344" i="26"/>
  <c r="AA341" i="26"/>
  <c r="Z341" i="26"/>
  <c r="Y341" i="26"/>
  <c r="K340" i="26"/>
  <c r="F340" i="26"/>
  <c r="K339" i="26"/>
  <c r="K338" i="26" s="1"/>
  <c r="I339" i="26"/>
  <c r="I338" i="26" s="1"/>
  <c r="G339" i="26"/>
  <c r="G338" i="26" s="1"/>
  <c r="H338" i="26"/>
  <c r="AA336" i="26"/>
  <c r="Z336" i="26"/>
  <c r="Y336" i="26"/>
  <c r="J335" i="26"/>
  <c r="I335" i="26"/>
  <c r="H335" i="26"/>
  <c r="F335" i="26"/>
  <c r="K334" i="26"/>
  <c r="F334" i="26"/>
  <c r="K333" i="26"/>
  <c r="F333" i="26"/>
  <c r="K332" i="26"/>
  <c r="F332" i="26"/>
  <c r="AA331" i="26"/>
  <c r="Z331" i="26"/>
  <c r="Y331" i="26"/>
  <c r="V331" i="26"/>
  <c r="U331" i="26"/>
  <c r="T331" i="26"/>
  <c r="S331" i="26"/>
  <c r="R331" i="26"/>
  <c r="Q331" i="26"/>
  <c r="L331" i="26"/>
  <c r="K331" i="26"/>
  <c r="J331" i="26"/>
  <c r="X331" i="26" s="1"/>
  <c r="I331" i="26"/>
  <c r="G331" i="26"/>
  <c r="F331" i="26"/>
  <c r="E331" i="26"/>
  <c r="C331" i="26"/>
  <c r="B331" i="26"/>
  <c r="L330" i="26"/>
  <c r="K330" i="26"/>
  <c r="J330" i="26"/>
  <c r="I330" i="26"/>
  <c r="H330" i="26"/>
  <c r="G330" i="26"/>
  <c r="K329" i="26"/>
  <c r="I329" i="26"/>
  <c r="H329" i="26"/>
  <c r="G329" i="26"/>
  <c r="K328" i="26"/>
  <c r="I328" i="26"/>
  <c r="H328" i="26"/>
  <c r="G328" i="26"/>
  <c r="L327" i="26"/>
  <c r="K327" i="26"/>
  <c r="J327" i="26"/>
  <c r="I327" i="26"/>
  <c r="H327" i="26"/>
  <c r="G327" i="26"/>
  <c r="V326" i="26"/>
  <c r="U326" i="26"/>
  <c r="T326" i="26"/>
  <c r="S326" i="26"/>
  <c r="R326" i="26"/>
  <c r="Q326" i="26"/>
  <c r="F326" i="26"/>
  <c r="E326" i="26"/>
  <c r="C326" i="26"/>
  <c r="B326" i="26"/>
  <c r="AA325" i="26"/>
  <c r="Z325" i="26"/>
  <c r="Y325" i="26"/>
  <c r="V324" i="26"/>
  <c r="U324" i="26"/>
  <c r="T324" i="26"/>
  <c r="S324" i="26"/>
  <c r="R324" i="26"/>
  <c r="Q324" i="26"/>
  <c r="L324" i="26"/>
  <c r="P325" i="26" s="1"/>
  <c r="K324" i="26"/>
  <c r="J324" i="26"/>
  <c r="X325" i="26" s="1"/>
  <c r="I324" i="26"/>
  <c r="H324" i="26"/>
  <c r="G324" i="26"/>
  <c r="F324" i="26"/>
  <c r="E324" i="26"/>
  <c r="C324" i="26"/>
  <c r="B324" i="26"/>
  <c r="AA323" i="26"/>
  <c r="Z323" i="26"/>
  <c r="Y323" i="26"/>
  <c r="V322" i="26"/>
  <c r="U322" i="26"/>
  <c r="T322" i="26"/>
  <c r="S322" i="26"/>
  <c r="R322" i="26"/>
  <c r="Q322" i="26"/>
  <c r="L322" i="26"/>
  <c r="P323" i="26" s="1"/>
  <c r="K322" i="26"/>
  <c r="J322" i="26"/>
  <c r="X323" i="26" s="1"/>
  <c r="I322" i="26"/>
  <c r="H322" i="26"/>
  <c r="G322" i="26"/>
  <c r="F322" i="26"/>
  <c r="E322" i="26"/>
  <c r="C322" i="26"/>
  <c r="B322" i="26"/>
  <c r="AA321" i="26"/>
  <c r="Z321" i="26"/>
  <c r="Y321" i="26"/>
  <c r="V320" i="26"/>
  <c r="U320" i="26"/>
  <c r="T320" i="26"/>
  <c r="S320" i="26"/>
  <c r="R320" i="26"/>
  <c r="Q320" i="26"/>
  <c r="L320" i="26"/>
  <c r="P321" i="26" s="1"/>
  <c r="K320" i="26"/>
  <c r="J320" i="26"/>
  <c r="X321" i="26" s="1"/>
  <c r="I320" i="26"/>
  <c r="H320" i="26"/>
  <c r="G320" i="26"/>
  <c r="F320" i="26"/>
  <c r="E320" i="26"/>
  <c r="C320" i="26"/>
  <c r="B320" i="26"/>
  <c r="AA319" i="26"/>
  <c r="Z319" i="26"/>
  <c r="Y319" i="26"/>
  <c r="V318" i="26"/>
  <c r="U318" i="26"/>
  <c r="T318" i="26"/>
  <c r="S318" i="26"/>
  <c r="R318" i="26"/>
  <c r="Q318" i="26"/>
  <c r="L318" i="26"/>
  <c r="K319" i="26" s="1"/>
  <c r="K318" i="26"/>
  <c r="J318" i="26"/>
  <c r="X319" i="26" s="1"/>
  <c r="I318" i="26"/>
  <c r="H318" i="26"/>
  <c r="G318" i="26"/>
  <c r="F318" i="26"/>
  <c r="E318" i="26"/>
  <c r="C318" i="26"/>
  <c r="B318" i="26"/>
  <c r="AA317" i="26"/>
  <c r="Z317" i="26"/>
  <c r="Y317" i="26"/>
  <c r="V316" i="26"/>
  <c r="U316" i="26"/>
  <c r="T316" i="26"/>
  <c r="S316" i="26"/>
  <c r="R316" i="26"/>
  <c r="Q316" i="26"/>
  <c r="L316" i="26"/>
  <c r="K317" i="26" s="1"/>
  <c r="K316" i="26"/>
  <c r="J316" i="26"/>
  <c r="X317" i="26" s="1"/>
  <c r="I316" i="26"/>
  <c r="H316" i="26"/>
  <c r="G316" i="26"/>
  <c r="F316" i="26"/>
  <c r="E316" i="26"/>
  <c r="C316" i="26"/>
  <c r="B316" i="26"/>
  <c r="AA315" i="26"/>
  <c r="Z315" i="26"/>
  <c r="Y315" i="26"/>
  <c r="V314" i="26"/>
  <c r="U314" i="26"/>
  <c r="T314" i="26"/>
  <c r="S314" i="26"/>
  <c r="R314" i="26"/>
  <c r="Q314" i="26"/>
  <c r="I314" i="26"/>
  <c r="F314" i="26"/>
  <c r="L314" i="26" s="1"/>
  <c r="E314" i="26"/>
  <c r="C314" i="26"/>
  <c r="B314" i="26"/>
  <c r="AA311" i="26"/>
  <c r="Z311" i="26"/>
  <c r="Y311" i="26"/>
  <c r="K310" i="26"/>
  <c r="F310" i="26"/>
  <c r="K309" i="26"/>
  <c r="K308" i="26" s="1"/>
  <c r="I309" i="26"/>
  <c r="I308" i="26" s="1"/>
  <c r="G309" i="26"/>
  <c r="H308" i="26"/>
  <c r="AA306" i="26"/>
  <c r="Z306" i="26"/>
  <c r="Y306" i="26"/>
  <c r="J305" i="26"/>
  <c r="I305" i="26"/>
  <c r="H305" i="26"/>
  <c r="F305" i="26"/>
  <c r="K304" i="26"/>
  <c r="F304" i="26"/>
  <c r="K303" i="26"/>
  <c r="F303" i="26"/>
  <c r="K302" i="26"/>
  <c r="F302" i="26"/>
  <c r="L301" i="26"/>
  <c r="K301" i="26"/>
  <c r="J301" i="26"/>
  <c r="I301" i="26"/>
  <c r="H301" i="26"/>
  <c r="G301" i="26"/>
  <c r="K300" i="26"/>
  <c r="I300" i="26"/>
  <c r="H300" i="26"/>
  <c r="G300" i="26"/>
  <c r="K299" i="26"/>
  <c r="I299" i="26"/>
  <c r="H299" i="26"/>
  <c r="G299" i="26"/>
  <c r="L298" i="26"/>
  <c r="K298" i="26"/>
  <c r="J298" i="26"/>
  <c r="I298" i="26"/>
  <c r="H298" i="26"/>
  <c r="G298" i="26"/>
  <c r="V297" i="26"/>
  <c r="U297" i="26"/>
  <c r="T297" i="26"/>
  <c r="L303" i="26" s="1"/>
  <c r="S297" i="26"/>
  <c r="J303" i="26" s="1"/>
  <c r="R297" i="26"/>
  <c r="L302" i="26" s="1"/>
  <c r="Q297" i="26"/>
  <c r="J302" i="26" s="1"/>
  <c r="F297" i="26"/>
  <c r="E297" i="26"/>
  <c r="C297" i="26"/>
  <c r="B297" i="26"/>
  <c r="AA294" i="26"/>
  <c r="Z294" i="26"/>
  <c r="Y294" i="26"/>
  <c r="K293" i="26"/>
  <c r="F293" i="26"/>
  <c r="K292" i="26"/>
  <c r="K291" i="26" s="1"/>
  <c r="I292" i="26"/>
  <c r="I291" i="26" s="1"/>
  <c r="G292" i="26"/>
  <c r="G291" i="26" s="1"/>
  <c r="H291" i="26"/>
  <c r="AA289" i="26"/>
  <c r="Z289" i="26"/>
  <c r="Y289" i="26"/>
  <c r="J288" i="26"/>
  <c r="I288" i="26"/>
  <c r="H288" i="26"/>
  <c r="F288" i="26"/>
  <c r="K287" i="26"/>
  <c r="F287" i="26"/>
  <c r="K286" i="26"/>
  <c r="F286" i="26"/>
  <c r="K285" i="26"/>
  <c r="F285" i="26"/>
  <c r="AA284" i="26"/>
  <c r="Z284" i="26"/>
  <c r="Y284" i="26"/>
  <c r="V284" i="26"/>
  <c r="U284" i="26"/>
  <c r="T284" i="26"/>
  <c r="S284" i="26"/>
  <c r="R284" i="26"/>
  <c r="Q284" i="26"/>
  <c r="K284" i="26"/>
  <c r="I284" i="26"/>
  <c r="G284" i="26"/>
  <c r="F284" i="26"/>
  <c r="L284" i="26" s="1"/>
  <c r="E284" i="26"/>
  <c r="C284" i="26"/>
  <c r="B284" i="26"/>
  <c r="L283" i="26"/>
  <c r="K283" i="26"/>
  <c r="J283" i="26"/>
  <c r="I283" i="26"/>
  <c r="H283" i="26"/>
  <c r="G283" i="26"/>
  <c r="K282" i="26"/>
  <c r="I282" i="26"/>
  <c r="H282" i="26"/>
  <c r="G282" i="26"/>
  <c r="K281" i="26"/>
  <c r="I281" i="26"/>
  <c r="H281" i="26"/>
  <c r="G281" i="26"/>
  <c r="L280" i="26"/>
  <c r="K280" i="26"/>
  <c r="J280" i="26"/>
  <c r="W280" i="26" s="1"/>
  <c r="I280" i="26"/>
  <c r="H280" i="26"/>
  <c r="G280" i="26"/>
  <c r="V279" i="26"/>
  <c r="U279" i="26"/>
  <c r="T279" i="26"/>
  <c r="S279" i="26"/>
  <c r="R279" i="26"/>
  <c r="Q279" i="26"/>
  <c r="F279" i="26"/>
  <c r="E279" i="26"/>
  <c r="C279" i="26"/>
  <c r="B279" i="26"/>
  <c r="AA278" i="26"/>
  <c r="Z278" i="26"/>
  <c r="Y278" i="26"/>
  <c r="V277" i="26"/>
  <c r="U277" i="26"/>
  <c r="T277" i="26"/>
  <c r="S277" i="26"/>
  <c r="R277" i="26"/>
  <c r="Q277" i="26"/>
  <c r="I277" i="26"/>
  <c r="F277" i="26"/>
  <c r="L277" i="26" s="1"/>
  <c r="E277" i="26"/>
  <c r="C277" i="26"/>
  <c r="B277" i="26"/>
  <c r="AA276" i="26"/>
  <c r="Z276" i="26"/>
  <c r="Y276" i="26"/>
  <c r="V275" i="26"/>
  <c r="U275" i="26"/>
  <c r="T275" i="26"/>
  <c r="S275" i="26"/>
  <c r="R275" i="26"/>
  <c r="Q275" i="26"/>
  <c r="I275" i="26"/>
  <c r="F275" i="26"/>
  <c r="L275" i="26" s="1"/>
  <c r="E275" i="26"/>
  <c r="C275" i="26"/>
  <c r="B275" i="26"/>
  <c r="AA272" i="26"/>
  <c r="Z272" i="26"/>
  <c r="Y272" i="26"/>
  <c r="K271" i="26"/>
  <c r="F271" i="26"/>
  <c r="K270" i="26"/>
  <c r="K269" i="26" s="1"/>
  <c r="I270" i="26"/>
  <c r="I269" i="26" s="1"/>
  <c r="G270" i="26"/>
  <c r="G269" i="26" s="1"/>
  <c r="H269" i="26"/>
  <c r="AA267" i="26"/>
  <c r="Z267" i="26"/>
  <c r="Y267" i="26"/>
  <c r="J266" i="26"/>
  <c r="I266" i="26"/>
  <c r="H266" i="26"/>
  <c r="F266" i="26"/>
  <c r="K265" i="26"/>
  <c r="F265" i="26"/>
  <c r="K264" i="26"/>
  <c r="F264" i="26"/>
  <c r="K263" i="26"/>
  <c r="F263" i="26"/>
  <c r="L262" i="26"/>
  <c r="K262" i="26"/>
  <c r="J262" i="26"/>
  <c r="I262" i="26"/>
  <c r="H262" i="26"/>
  <c r="G262" i="26"/>
  <c r="K261" i="26"/>
  <c r="I261" i="26"/>
  <c r="H261" i="26"/>
  <c r="G261" i="26"/>
  <c r="K260" i="26"/>
  <c r="I260" i="26"/>
  <c r="H260" i="26"/>
  <c r="G260" i="26"/>
  <c r="L259" i="26"/>
  <c r="K259" i="26"/>
  <c r="J259" i="26"/>
  <c r="W259" i="26" s="1"/>
  <c r="I259" i="26"/>
  <c r="H259" i="26"/>
  <c r="G259" i="26"/>
  <c r="V258" i="26"/>
  <c r="U258" i="26"/>
  <c r="T258" i="26"/>
  <c r="L264" i="26" s="1"/>
  <c r="S258" i="26"/>
  <c r="J264" i="26" s="1"/>
  <c r="R258" i="26"/>
  <c r="L263" i="26" s="1"/>
  <c r="Q258" i="26"/>
  <c r="J263" i="26" s="1"/>
  <c r="F258" i="26"/>
  <c r="E258" i="26"/>
  <c r="C258" i="26"/>
  <c r="B258" i="26"/>
  <c r="AA257" i="26"/>
  <c r="Z257" i="26"/>
  <c r="Y257" i="26"/>
  <c r="V256" i="26"/>
  <c r="U256" i="26"/>
  <c r="T256" i="26"/>
  <c r="S256" i="26"/>
  <c r="R256" i="26"/>
  <c r="Q256" i="26"/>
  <c r="I256" i="26"/>
  <c r="F256" i="26"/>
  <c r="L256" i="26" s="1"/>
  <c r="J256" i="26" s="1"/>
  <c r="E256" i="26"/>
  <c r="C256" i="26"/>
  <c r="B256" i="26"/>
  <c r="AA255" i="26"/>
  <c r="Z255" i="26"/>
  <c r="Y255" i="26"/>
  <c r="V254" i="26"/>
  <c r="U254" i="26"/>
  <c r="T254" i="26"/>
  <c r="S254" i="26"/>
  <c r="R254" i="26"/>
  <c r="Q254" i="26"/>
  <c r="I254" i="26"/>
  <c r="F254" i="26"/>
  <c r="L254" i="26" s="1"/>
  <c r="E254" i="26"/>
  <c r="C254" i="26"/>
  <c r="B254" i="26"/>
  <c r="AA253" i="26"/>
  <c r="Z253" i="26"/>
  <c r="Y253" i="26"/>
  <c r="V252" i="26"/>
  <c r="U252" i="26"/>
  <c r="T252" i="26"/>
  <c r="S252" i="26"/>
  <c r="R252" i="26"/>
  <c r="Q252" i="26"/>
  <c r="I252" i="26"/>
  <c r="F252" i="26"/>
  <c r="L252" i="26" s="1"/>
  <c r="J252" i="26" s="1"/>
  <c r="E252" i="26"/>
  <c r="C252" i="26"/>
  <c r="B252" i="26"/>
  <c r="AA251" i="26"/>
  <c r="Z251" i="26"/>
  <c r="Y251" i="26"/>
  <c r="V250" i="26"/>
  <c r="U250" i="26"/>
  <c r="T250" i="26"/>
  <c r="S250" i="26"/>
  <c r="R250" i="26"/>
  <c r="Q250" i="26"/>
  <c r="I250" i="26"/>
  <c r="F250" i="26"/>
  <c r="L250" i="26" s="1"/>
  <c r="E250" i="26"/>
  <c r="C250" i="26"/>
  <c r="B250" i="26"/>
  <c r="AA249" i="26"/>
  <c r="Z249" i="26"/>
  <c r="Y249" i="26"/>
  <c r="V248" i="26"/>
  <c r="U248" i="26"/>
  <c r="T248" i="26"/>
  <c r="S248" i="26"/>
  <c r="R248" i="26"/>
  <c r="Q248" i="26"/>
  <c r="I248" i="26"/>
  <c r="F248" i="26"/>
  <c r="L248" i="26" s="1"/>
  <c r="J248" i="26" s="1"/>
  <c r="I249" i="26" s="1"/>
  <c r="E248" i="26"/>
  <c r="C248" i="26"/>
  <c r="B248" i="26"/>
  <c r="AA247" i="26"/>
  <c r="Z247" i="26"/>
  <c r="Y247" i="26"/>
  <c r="V246" i="26"/>
  <c r="U246" i="26"/>
  <c r="T246" i="26"/>
  <c r="S246" i="26"/>
  <c r="R246" i="26"/>
  <c r="Q246" i="26"/>
  <c r="I246" i="26"/>
  <c r="F246" i="26"/>
  <c r="L246" i="26" s="1"/>
  <c r="E246" i="26"/>
  <c r="B246" i="26"/>
  <c r="AA245" i="26"/>
  <c r="Z245" i="26"/>
  <c r="Y245" i="26"/>
  <c r="V244" i="26"/>
  <c r="U244" i="26"/>
  <c r="T244" i="26"/>
  <c r="S244" i="26"/>
  <c r="R244" i="26"/>
  <c r="Q244" i="26"/>
  <c r="I244" i="26"/>
  <c r="F244" i="26"/>
  <c r="L244" i="26" s="1"/>
  <c r="E244" i="26"/>
  <c r="C244" i="26"/>
  <c r="B244" i="26"/>
  <c r="AA241" i="26"/>
  <c r="Z241" i="26"/>
  <c r="Y241" i="26"/>
  <c r="K240" i="26"/>
  <c r="F240" i="26"/>
  <c r="K239" i="26"/>
  <c r="K238" i="26" s="1"/>
  <c r="I239" i="26"/>
  <c r="I238" i="26" s="1"/>
  <c r="G239" i="26"/>
  <c r="G238" i="26" s="1"/>
  <c r="H238" i="26"/>
  <c r="AA236" i="26"/>
  <c r="Z236" i="26"/>
  <c r="Y236" i="26"/>
  <c r="J235" i="26"/>
  <c r="I235" i="26"/>
  <c r="H235" i="26"/>
  <c r="F235" i="26"/>
  <c r="K234" i="26"/>
  <c r="F234" i="26"/>
  <c r="K233" i="26"/>
  <c r="F233" i="26"/>
  <c r="K232" i="26"/>
  <c r="F232" i="26"/>
  <c r="L231" i="26"/>
  <c r="K231" i="26"/>
  <c r="J231" i="26"/>
  <c r="I231" i="26"/>
  <c r="H231" i="26"/>
  <c r="G231" i="26"/>
  <c r="K230" i="26"/>
  <c r="I230" i="26"/>
  <c r="H230" i="26"/>
  <c r="G230" i="26"/>
  <c r="K229" i="26"/>
  <c r="I229" i="26"/>
  <c r="H229" i="26"/>
  <c r="G229" i="26"/>
  <c r="L228" i="26"/>
  <c r="K228" i="26"/>
  <c r="J228" i="26"/>
  <c r="I228" i="26"/>
  <c r="H228" i="26"/>
  <c r="G228" i="26"/>
  <c r="V227" i="26"/>
  <c r="U227" i="26"/>
  <c r="T227" i="26"/>
  <c r="L233" i="26" s="1"/>
  <c r="S227" i="26"/>
  <c r="J233" i="26" s="1"/>
  <c r="R227" i="26"/>
  <c r="L232" i="26" s="1"/>
  <c r="Q227" i="26"/>
  <c r="J232" i="26" s="1"/>
  <c r="F227" i="26"/>
  <c r="E227" i="26"/>
  <c r="C227" i="26"/>
  <c r="B227" i="26"/>
  <c r="AA226" i="26"/>
  <c r="Z226" i="26"/>
  <c r="Y226" i="26"/>
  <c r="V225" i="26"/>
  <c r="U225" i="26"/>
  <c r="T225" i="26"/>
  <c r="S225" i="26"/>
  <c r="R225" i="26"/>
  <c r="Q225" i="26"/>
  <c r="I225" i="26"/>
  <c r="F225" i="26"/>
  <c r="L225" i="26" s="1"/>
  <c r="E225" i="26"/>
  <c r="C225" i="26"/>
  <c r="B225" i="26"/>
  <c r="AA222" i="26"/>
  <c r="Z222" i="26"/>
  <c r="X222" i="26"/>
  <c r="K221" i="26"/>
  <c r="F221" i="26"/>
  <c r="K220" i="26"/>
  <c r="K219" i="26" s="1"/>
  <c r="I220" i="26"/>
  <c r="I219" i="26" s="1"/>
  <c r="G220" i="26"/>
  <c r="G219" i="26" s="1"/>
  <c r="H219" i="26"/>
  <c r="AA217" i="26"/>
  <c r="Z217" i="26"/>
  <c r="X217" i="26"/>
  <c r="J216" i="26"/>
  <c r="I216" i="26"/>
  <c r="H216" i="26"/>
  <c r="F216" i="26"/>
  <c r="K215" i="26"/>
  <c r="F215" i="26"/>
  <c r="K214" i="26"/>
  <c r="F214" i="26"/>
  <c r="K213" i="26"/>
  <c r="F213" i="26"/>
  <c r="L212" i="26"/>
  <c r="K212" i="26"/>
  <c r="J212" i="26"/>
  <c r="I212" i="26"/>
  <c r="H212" i="26"/>
  <c r="G212" i="26"/>
  <c r="K211" i="26"/>
  <c r="I211" i="26"/>
  <c r="H211" i="26"/>
  <c r="G211" i="26"/>
  <c r="K210" i="26"/>
  <c r="I210" i="26"/>
  <c r="H210" i="26"/>
  <c r="G210" i="26"/>
  <c r="L209" i="26"/>
  <c r="K209" i="26"/>
  <c r="J209" i="26"/>
  <c r="I209" i="26"/>
  <c r="H209" i="26"/>
  <c r="G209" i="26"/>
  <c r="V208" i="26"/>
  <c r="U208" i="26"/>
  <c r="T208" i="26"/>
  <c r="L214" i="26" s="1"/>
  <c r="S208" i="26"/>
  <c r="J214" i="26" s="1"/>
  <c r="R208" i="26"/>
  <c r="L213" i="26" s="1"/>
  <c r="Q208" i="26"/>
  <c r="J213" i="26" s="1"/>
  <c r="F208" i="26"/>
  <c r="E208" i="26"/>
  <c r="C208" i="26"/>
  <c r="B208" i="26"/>
  <c r="AA207" i="26"/>
  <c r="Z207" i="26"/>
  <c r="Y207" i="26"/>
  <c r="V206" i="26"/>
  <c r="U206" i="26"/>
  <c r="T206" i="26"/>
  <c r="S206" i="26"/>
  <c r="R206" i="26"/>
  <c r="Q206" i="26"/>
  <c r="I206" i="26"/>
  <c r="F206" i="26"/>
  <c r="L206" i="26" s="1"/>
  <c r="E206" i="26"/>
  <c r="B206" i="26"/>
  <c r="AA203" i="26"/>
  <c r="Z203" i="26"/>
  <c r="X203" i="26"/>
  <c r="K202" i="26"/>
  <c r="F202" i="26"/>
  <c r="K201" i="26"/>
  <c r="K200" i="26" s="1"/>
  <c r="I201" i="26"/>
  <c r="I200" i="26" s="1"/>
  <c r="G201" i="26"/>
  <c r="H200" i="26"/>
  <c r="AA198" i="26"/>
  <c r="Z198" i="26"/>
  <c r="X198" i="26"/>
  <c r="J197" i="26"/>
  <c r="I197" i="26"/>
  <c r="H197" i="26"/>
  <c r="F197" i="26"/>
  <c r="K196" i="26"/>
  <c r="F196" i="26"/>
  <c r="K195" i="26"/>
  <c r="F195" i="26"/>
  <c r="K194" i="26"/>
  <c r="F194" i="26"/>
  <c r="L193" i="26"/>
  <c r="K193" i="26"/>
  <c r="J193" i="26"/>
  <c r="I193" i="26"/>
  <c r="H193" i="26"/>
  <c r="G193" i="26"/>
  <c r="K192" i="26"/>
  <c r="I192" i="26"/>
  <c r="H192" i="26"/>
  <c r="G192" i="26"/>
  <c r="K191" i="26"/>
  <c r="I191" i="26"/>
  <c r="H191" i="26"/>
  <c r="G191" i="26"/>
  <c r="L190" i="26"/>
  <c r="K190" i="26"/>
  <c r="J190" i="26"/>
  <c r="W190" i="26" s="1"/>
  <c r="I190" i="26"/>
  <c r="H190" i="26"/>
  <c r="G190" i="26"/>
  <c r="V189" i="26"/>
  <c r="U189" i="26"/>
  <c r="T189" i="26"/>
  <c r="L195" i="26" s="1"/>
  <c r="S189" i="26"/>
  <c r="J195" i="26" s="1"/>
  <c r="R189" i="26"/>
  <c r="L194" i="26" s="1"/>
  <c r="Q189" i="26"/>
  <c r="J194" i="26" s="1"/>
  <c r="F189" i="26"/>
  <c r="E189" i="26"/>
  <c r="C189" i="26"/>
  <c r="B189" i="26"/>
  <c r="A188" i="26"/>
  <c r="K186" i="26"/>
  <c r="I186" i="26"/>
  <c r="K185" i="26"/>
  <c r="I185" i="26"/>
  <c r="A184" i="26"/>
  <c r="AA180" i="26"/>
  <c r="Z180" i="26"/>
  <c r="Y180" i="26"/>
  <c r="K179" i="26"/>
  <c r="F179" i="26"/>
  <c r="K178" i="26"/>
  <c r="K177" i="26" s="1"/>
  <c r="I178" i="26"/>
  <c r="I177" i="26" s="1"/>
  <c r="G178" i="26"/>
  <c r="G177" i="26" s="1"/>
  <c r="H177" i="26"/>
  <c r="AA175" i="26"/>
  <c r="Z175" i="26"/>
  <c r="Y175" i="26"/>
  <c r="J174" i="26"/>
  <c r="I174" i="26"/>
  <c r="H174" i="26"/>
  <c r="F174" i="26"/>
  <c r="K173" i="26"/>
  <c r="F173" i="26"/>
  <c r="K172" i="26"/>
  <c r="F172" i="26"/>
  <c r="K171" i="26"/>
  <c r="F171" i="26"/>
  <c r="AA170" i="26"/>
  <c r="Z170" i="26"/>
  <c r="Y170" i="26"/>
  <c r="V170" i="26"/>
  <c r="U170" i="26"/>
  <c r="T170" i="26"/>
  <c r="S170" i="26"/>
  <c r="R170" i="26"/>
  <c r="Q170" i="26"/>
  <c r="L170" i="26"/>
  <c r="K170" i="26"/>
  <c r="J170" i="26"/>
  <c r="X170" i="26" s="1"/>
  <c r="I170" i="26"/>
  <c r="G170" i="26"/>
  <c r="F170" i="26"/>
  <c r="E170" i="26"/>
  <c r="C170" i="26"/>
  <c r="B170" i="26"/>
  <c r="L169" i="26"/>
  <c r="K169" i="26"/>
  <c r="J169" i="26"/>
  <c r="I169" i="26"/>
  <c r="H169" i="26"/>
  <c r="G169" i="26"/>
  <c r="K168" i="26"/>
  <c r="I168" i="26"/>
  <c r="H168" i="26"/>
  <c r="G168" i="26"/>
  <c r="K167" i="26"/>
  <c r="I167" i="26"/>
  <c r="H167" i="26"/>
  <c r="G167" i="26"/>
  <c r="L166" i="26"/>
  <c r="K166" i="26"/>
  <c r="J166" i="26"/>
  <c r="I166" i="26"/>
  <c r="H166" i="26"/>
  <c r="G166" i="26"/>
  <c r="V165" i="26"/>
  <c r="U165" i="26"/>
  <c r="T165" i="26"/>
  <c r="S165" i="26"/>
  <c r="R165" i="26"/>
  <c r="Q165" i="26"/>
  <c r="F165" i="26"/>
  <c r="E165" i="26"/>
  <c r="C165" i="26"/>
  <c r="B165" i="26"/>
  <c r="A164" i="26"/>
  <c r="K162" i="26"/>
  <c r="I162" i="26"/>
  <c r="K161" i="26"/>
  <c r="I161" i="26"/>
  <c r="A160" i="26"/>
  <c r="AA156" i="26"/>
  <c r="Z156" i="26"/>
  <c r="Y156" i="26"/>
  <c r="K155" i="26"/>
  <c r="F155" i="26"/>
  <c r="K154" i="26"/>
  <c r="K153" i="26" s="1"/>
  <c r="I154" i="26"/>
  <c r="I153" i="26" s="1"/>
  <c r="G154" i="26"/>
  <c r="G153" i="26" s="1"/>
  <c r="H153" i="26"/>
  <c r="AA151" i="26"/>
  <c r="Z151" i="26"/>
  <c r="Y151" i="26"/>
  <c r="J150" i="26"/>
  <c r="I150" i="26"/>
  <c r="H150" i="26"/>
  <c r="F150" i="26"/>
  <c r="K149" i="26"/>
  <c r="F149" i="26"/>
  <c r="K148" i="26"/>
  <c r="F148" i="26"/>
  <c r="K147" i="26"/>
  <c r="F147" i="26"/>
  <c r="AA146" i="26"/>
  <c r="Z146" i="26"/>
  <c r="Y146" i="26"/>
  <c r="V146" i="26"/>
  <c r="U146" i="26"/>
  <c r="T146" i="26"/>
  <c r="S146" i="26"/>
  <c r="R146" i="26"/>
  <c r="Q146" i="26"/>
  <c r="L146" i="26"/>
  <c r="K146" i="26"/>
  <c r="J146" i="26"/>
  <c r="X146" i="26" s="1"/>
  <c r="I146" i="26"/>
  <c r="G146" i="26"/>
  <c r="F146" i="26"/>
  <c r="E146" i="26"/>
  <c r="C146" i="26"/>
  <c r="B146" i="26"/>
  <c r="L145" i="26"/>
  <c r="K145" i="26"/>
  <c r="J145" i="26"/>
  <c r="I145" i="26"/>
  <c r="H145" i="26"/>
  <c r="G145" i="26"/>
  <c r="K144" i="26"/>
  <c r="I144" i="26"/>
  <c r="H144" i="26"/>
  <c r="G144" i="26"/>
  <c r="K143" i="26"/>
  <c r="I143" i="26"/>
  <c r="H143" i="26"/>
  <c r="G143" i="26"/>
  <c r="L142" i="26"/>
  <c r="K142" i="26"/>
  <c r="J142" i="26"/>
  <c r="W142" i="26" s="1"/>
  <c r="I142" i="26"/>
  <c r="H142" i="26"/>
  <c r="G142" i="26"/>
  <c r="V141" i="26"/>
  <c r="U141" i="26"/>
  <c r="T141" i="26"/>
  <c r="S141" i="26"/>
  <c r="R141" i="26"/>
  <c r="Q141" i="26"/>
  <c r="F141" i="26"/>
  <c r="E141" i="26"/>
  <c r="C141" i="26"/>
  <c r="B141" i="26"/>
  <c r="A140" i="26"/>
  <c r="K138" i="26"/>
  <c r="I138" i="26"/>
  <c r="K137" i="26"/>
  <c r="I137" i="26"/>
  <c r="K135" i="26"/>
  <c r="I135" i="26"/>
  <c r="K134" i="26"/>
  <c r="I134" i="26"/>
  <c r="A133" i="26"/>
  <c r="AA129" i="26"/>
  <c r="Z129" i="26"/>
  <c r="Y129" i="26"/>
  <c r="K128" i="26"/>
  <c r="F128" i="26"/>
  <c r="K127" i="26"/>
  <c r="K126" i="26" s="1"/>
  <c r="I127" i="26"/>
  <c r="I126" i="26" s="1"/>
  <c r="G127" i="26"/>
  <c r="G126" i="26" s="1"/>
  <c r="H126" i="26"/>
  <c r="AA124" i="26"/>
  <c r="Z124" i="26"/>
  <c r="Y124" i="26"/>
  <c r="J123" i="26"/>
  <c r="I123" i="26"/>
  <c r="H123" i="26"/>
  <c r="F123" i="26"/>
  <c r="K122" i="26"/>
  <c r="F122" i="26"/>
  <c r="K121" i="26"/>
  <c r="F121" i="26"/>
  <c r="K120" i="26"/>
  <c r="F120" i="26"/>
  <c r="AA119" i="26"/>
  <c r="Z119" i="26"/>
  <c r="Y119" i="26"/>
  <c r="V119" i="26"/>
  <c r="U119" i="26"/>
  <c r="T119" i="26"/>
  <c r="S119" i="26"/>
  <c r="R119" i="26"/>
  <c r="Q119" i="26"/>
  <c r="L119" i="26"/>
  <c r="K119" i="26"/>
  <c r="J119" i="26"/>
  <c r="X119" i="26" s="1"/>
  <c r="I119" i="26"/>
  <c r="G119" i="26"/>
  <c r="F119" i="26"/>
  <c r="E119" i="26"/>
  <c r="C119" i="26"/>
  <c r="B119" i="26"/>
  <c r="L118" i="26"/>
  <c r="K118" i="26"/>
  <c r="J118" i="26"/>
  <c r="I118" i="26"/>
  <c r="H118" i="26"/>
  <c r="G118" i="26"/>
  <c r="K117" i="26"/>
  <c r="I117" i="26"/>
  <c r="H117" i="26"/>
  <c r="G117" i="26"/>
  <c r="K116" i="26"/>
  <c r="I116" i="26"/>
  <c r="H116" i="26"/>
  <c r="G116" i="26"/>
  <c r="L115" i="26"/>
  <c r="K115" i="26"/>
  <c r="J115" i="26"/>
  <c r="I115" i="26"/>
  <c r="H115" i="26"/>
  <c r="G115" i="26"/>
  <c r="V114" i="26"/>
  <c r="U114" i="26"/>
  <c r="T114" i="26"/>
  <c r="S114" i="26"/>
  <c r="R114" i="26"/>
  <c r="Q114" i="26"/>
  <c r="F114" i="26"/>
  <c r="E114" i="26"/>
  <c r="C114" i="26"/>
  <c r="B114" i="26"/>
  <c r="AA111" i="26"/>
  <c r="Z111" i="26"/>
  <c r="Y111" i="26"/>
  <c r="K110" i="26"/>
  <c r="F110" i="26"/>
  <c r="K109" i="26"/>
  <c r="K108" i="26" s="1"/>
  <c r="I109" i="26"/>
  <c r="I108" i="26" s="1"/>
  <c r="G109" i="26"/>
  <c r="H108" i="26"/>
  <c r="AA106" i="26"/>
  <c r="Z106" i="26"/>
  <c r="Y106" i="26"/>
  <c r="J105" i="26"/>
  <c r="I105" i="26"/>
  <c r="H105" i="26"/>
  <c r="F105" i="26"/>
  <c r="K104" i="26"/>
  <c r="F104" i="26"/>
  <c r="K103" i="26"/>
  <c r="F103" i="26"/>
  <c r="K102" i="26"/>
  <c r="F102" i="26"/>
  <c r="AA101" i="26"/>
  <c r="Z101" i="26"/>
  <c r="Y101" i="26"/>
  <c r="V101" i="26"/>
  <c r="U101" i="26"/>
  <c r="T101" i="26"/>
  <c r="S101" i="26"/>
  <c r="R101" i="26"/>
  <c r="Q101" i="26"/>
  <c r="L101" i="26"/>
  <c r="K101" i="26"/>
  <c r="J101" i="26"/>
  <c r="X101" i="26" s="1"/>
  <c r="I101" i="26"/>
  <c r="G101" i="26"/>
  <c r="F101" i="26"/>
  <c r="E101" i="26"/>
  <c r="C101" i="26"/>
  <c r="B101" i="26"/>
  <c r="L100" i="26"/>
  <c r="K100" i="26"/>
  <c r="J100" i="26"/>
  <c r="I100" i="26"/>
  <c r="H100" i="26"/>
  <c r="G100" i="26"/>
  <c r="K99" i="26"/>
  <c r="I99" i="26"/>
  <c r="H99" i="26"/>
  <c r="G99" i="26"/>
  <c r="K98" i="26"/>
  <c r="I98" i="26"/>
  <c r="H98" i="26"/>
  <c r="G98" i="26"/>
  <c r="L97" i="26"/>
  <c r="K97" i="26"/>
  <c r="J97" i="26"/>
  <c r="W97" i="26" s="1"/>
  <c r="I97" i="26"/>
  <c r="H97" i="26"/>
  <c r="G97" i="26"/>
  <c r="V96" i="26"/>
  <c r="U96" i="26"/>
  <c r="T96" i="26"/>
  <c r="S96" i="26"/>
  <c r="R96" i="26"/>
  <c r="Q96" i="26"/>
  <c r="F96" i="26"/>
  <c r="E96" i="26"/>
  <c r="C96" i="26"/>
  <c r="B96" i="26"/>
  <c r="A95" i="26"/>
  <c r="K93" i="26"/>
  <c r="I93" i="26"/>
  <c r="K92" i="26"/>
  <c r="I92" i="26"/>
  <c r="K90" i="26"/>
  <c r="I90" i="26"/>
  <c r="K89" i="26"/>
  <c r="I89" i="26"/>
  <c r="A88" i="26"/>
  <c r="AA84" i="26"/>
  <c r="Z84" i="26"/>
  <c r="Y84" i="26"/>
  <c r="K83" i="26"/>
  <c r="F83" i="26"/>
  <c r="K82" i="26"/>
  <c r="K81" i="26" s="1"/>
  <c r="I82" i="26"/>
  <c r="I81" i="26" s="1"/>
  <c r="G82" i="26"/>
  <c r="G81" i="26" s="1"/>
  <c r="H81" i="26"/>
  <c r="AA79" i="26"/>
  <c r="Z79" i="26"/>
  <c r="Y79" i="26"/>
  <c r="J78" i="26"/>
  <c r="I78" i="26"/>
  <c r="H78" i="26"/>
  <c r="F78" i="26"/>
  <c r="K77" i="26"/>
  <c r="F77" i="26"/>
  <c r="K76" i="26"/>
  <c r="F76" i="26"/>
  <c r="K75" i="26"/>
  <c r="F75" i="26"/>
  <c r="AA74" i="26"/>
  <c r="Z74" i="26"/>
  <c r="Y74" i="26"/>
  <c r="V74" i="26"/>
  <c r="U74" i="26"/>
  <c r="T74" i="26"/>
  <c r="S74" i="26"/>
  <c r="R74" i="26"/>
  <c r="Q74" i="26"/>
  <c r="L74" i="26"/>
  <c r="K74" i="26"/>
  <c r="J74" i="26"/>
  <c r="X74" i="26" s="1"/>
  <c r="I74" i="26"/>
  <c r="G74" i="26"/>
  <c r="F74" i="26"/>
  <c r="E74" i="26"/>
  <c r="C74" i="26"/>
  <c r="B74" i="26"/>
  <c r="L73" i="26"/>
  <c r="K73" i="26"/>
  <c r="J73" i="26"/>
  <c r="I73" i="26"/>
  <c r="H73" i="26"/>
  <c r="G73" i="26"/>
  <c r="K72" i="26"/>
  <c r="I72" i="26"/>
  <c r="H72" i="26"/>
  <c r="G72" i="26"/>
  <c r="K71" i="26"/>
  <c r="I71" i="26"/>
  <c r="H71" i="26"/>
  <c r="G71" i="26"/>
  <c r="L70" i="26"/>
  <c r="K70" i="26"/>
  <c r="J70" i="26"/>
  <c r="W70" i="26" s="1"/>
  <c r="I70" i="26"/>
  <c r="H70" i="26"/>
  <c r="G70" i="26"/>
  <c r="V69" i="26"/>
  <c r="U69" i="26"/>
  <c r="T69" i="26"/>
  <c r="S69" i="26"/>
  <c r="R69" i="26"/>
  <c r="Q69" i="26"/>
  <c r="F69" i="26"/>
  <c r="E69" i="26"/>
  <c r="C69" i="26"/>
  <c r="B69" i="26"/>
  <c r="A68" i="26"/>
  <c r="K66" i="26"/>
  <c r="I66" i="26"/>
  <c r="K65" i="26"/>
  <c r="I65" i="26"/>
  <c r="K63" i="26"/>
  <c r="I63" i="26"/>
  <c r="K62" i="26"/>
  <c r="I62" i="26"/>
  <c r="A61" i="26"/>
  <c r="AA57" i="26"/>
  <c r="Z57" i="26"/>
  <c r="Y57" i="26"/>
  <c r="K56" i="26"/>
  <c r="F56" i="26"/>
  <c r="K55" i="26"/>
  <c r="K54" i="26" s="1"/>
  <c r="I55" i="26"/>
  <c r="I54" i="26" s="1"/>
  <c r="G55" i="26"/>
  <c r="G54" i="26" s="1"/>
  <c r="H54" i="26"/>
  <c r="AA52" i="26"/>
  <c r="Z52" i="26"/>
  <c r="Y52" i="26"/>
  <c r="J51" i="26"/>
  <c r="I51" i="26"/>
  <c r="H51" i="26"/>
  <c r="F51" i="26"/>
  <c r="K50" i="26"/>
  <c r="F50" i="26"/>
  <c r="K49" i="26"/>
  <c r="F49" i="26"/>
  <c r="K48" i="26"/>
  <c r="F48" i="26"/>
  <c r="AA47" i="26"/>
  <c r="Z47" i="26"/>
  <c r="Y47" i="26"/>
  <c r="V47" i="26"/>
  <c r="U47" i="26"/>
  <c r="T47" i="26"/>
  <c r="S47" i="26"/>
  <c r="R47" i="26"/>
  <c r="Q47" i="26"/>
  <c r="L47" i="26"/>
  <c r="K47" i="26"/>
  <c r="J47" i="26"/>
  <c r="X47" i="26" s="1"/>
  <c r="I47" i="26"/>
  <c r="G47" i="26"/>
  <c r="F47" i="26"/>
  <c r="E47" i="26"/>
  <c r="C47" i="26"/>
  <c r="B47" i="26"/>
  <c r="L46" i="26"/>
  <c r="K46" i="26"/>
  <c r="J46" i="26"/>
  <c r="I46" i="26"/>
  <c r="H46" i="26"/>
  <c r="G46" i="26"/>
  <c r="K45" i="26"/>
  <c r="I45" i="26"/>
  <c r="H45" i="26"/>
  <c r="G45" i="26"/>
  <c r="K44" i="26"/>
  <c r="I44" i="26"/>
  <c r="H44" i="26"/>
  <c r="G44" i="26"/>
  <c r="L43" i="26"/>
  <c r="K43" i="26"/>
  <c r="J43" i="26"/>
  <c r="I43" i="26"/>
  <c r="H43" i="26"/>
  <c r="G43" i="26"/>
  <c r="V42" i="26"/>
  <c r="U42" i="26"/>
  <c r="T42" i="26"/>
  <c r="S42" i="26"/>
  <c r="R42" i="26"/>
  <c r="Q42" i="26"/>
  <c r="F42" i="26"/>
  <c r="E42" i="26"/>
  <c r="C42" i="26"/>
  <c r="B42" i="26"/>
  <c r="A41" i="26"/>
  <c r="K39" i="26"/>
  <c r="I39" i="26"/>
  <c r="K38" i="26"/>
  <c r="I38" i="26"/>
  <c r="A37" i="26"/>
  <c r="AA33" i="26"/>
  <c r="Z33" i="26"/>
  <c r="Y33" i="26"/>
  <c r="K32" i="26"/>
  <c r="F32" i="26"/>
  <c r="K31" i="26"/>
  <c r="K30" i="26" s="1"/>
  <c r="I31" i="26"/>
  <c r="I30" i="26" s="1"/>
  <c r="G31" i="26"/>
  <c r="G30" i="26" s="1"/>
  <c r="H30" i="26"/>
  <c r="AA28" i="26"/>
  <c r="Z28" i="26"/>
  <c r="Y28" i="26"/>
  <c r="J27" i="26"/>
  <c r="I27" i="26"/>
  <c r="H27" i="26"/>
  <c r="F27" i="26"/>
  <c r="K26" i="26"/>
  <c r="F26" i="26"/>
  <c r="K25" i="26"/>
  <c r="F25" i="26"/>
  <c r="K24" i="26"/>
  <c r="F24" i="26"/>
  <c r="AA23" i="26"/>
  <c r="Z23" i="26"/>
  <c r="Y23" i="26"/>
  <c r="V23" i="26"/>
  <c r="U23" i="26"/>
  <c r="T23" i="26"/>
  <c r="S23" i="26"/>
  <c r="R23" i="26"/>
  <c r="Q23" i="26"/>
  <c r="L23" i="26"/>
  <c r="K23" i="26"/>
  <c r="J23" i="26"/>
  <c r="X23" i="26" s="1"/>
  <c r="I23" i="26"/>
  <c r="G23" i="26"/>
  <c r="F23" i="26"/>
  <c r="E23" i="26"/>
  <c r="C23" i="26"/>
  <c r="B23" i="26"/>
  <c r="L22" i="26"/>
  <c r="K22" i="26"/>
  <c r="J22" i="26"/>
  <c r="I22" i="26"/>
  <c r="H22" i="26"/>
  <c r="G22" i="26"/>
  <c r="K21" i="26"/>
  <c r="I21" i="26"/>
  <c r="H21" i="26"/>
  <c r="G21" i="26"/>
  <c r="K20" i="26"/>
  <c r="I20" i="26"/>
  <c r="H20" i="26"/>
  <c r="G20" i="26"/>
  <c r="L19" i="26"/>
  <c r="K19" i="26"/>
  <c r="J19" i="26"/>
  <c r="W19" i="26" s="1"/>
  <c r="I19" i="26"/>
  <c r="H19" i="26"/>
  <c r="G19" i="26"/>
  <c r="V18" i="26"/>
  <c r="U18" i="26"/>
  <c r="T18" i="26"/>
  <c r="S18" i="26"/>
  <c r="R18" i="26"/>
  <c r="Q18" i="26"/>
  <c r="F18" i="26"/>
  <c r="E18" i="26"/>
  <c r="C18" i="26"/>
  <c r="B18" i="26"/>
  <c r="A17" i="26"/>
  <c r="K579" i="26"/>
  <c r="J518" i="26" l="1"/>
  <c r="F20" i="6"/>
  <c r="J350" i="26"/>
  <c r="J480" i="26"/>
  <c r="L102" i="26"/>
  <c r="J461" i="26"/>
  <c r="O511" i="26"/>
  <c r="L20" i="6"/>
  <c r="J25" i="26"/>
  <c r="J147" i="26"/>
  <c r="L356" i="27"/>
  <c r="L361" i="27"/>
  <c r="U16" i="34"/>
  <c r="H16" i="34"/>
  <c r="V16" i="34" s="1"/>
  <c r="J49" i="26"/>
  <c r="G20" i="6"/>
  <c r="L444" i="26"/>
  <c r="L537" i="26"/>
  <c r="L75" i="26"/>
  <c r="J127" i="26"/>
  <c r="J126" i="26" s="1"/>
  <c r="J116" i="26" s="1"/>
  <c r="L121" i="26"/>
  <c r="J386" i="26"/>
  <c r="L405" i="26"/>
  <c r="L25" i="26"/>
  <c r="J48" i="26"/>
  <c r="J82" i="26"/>
  <c r="J83" i="26" s="1"/>
  <c r="L76" i="26"/>
  <c r="J109" i="26"/>
  <c r="J110" i="26" s="1"/>
  <c r="J104" i="26" s="1"/>
  <c r="L120" i="26"/>
  <c r="J24" i="26"/>
  <c r="J368" i="26"/>
  <c r="J387" i="26"/>
  <c r="J404" i="26"/>
  <c r="J479" i="26"/>
  <c r="J519" i="26"/>
  <c r="J536" i="26"/>
  <c r="J560" i="26"/>
  <c r="J551" i="26" s="1"/>
  <c r="W551" i="26" s="1"/>
  <c r="L172" i="26"/>
  <c r="J333" i="26"/>
  <c r="L351" i="26"/>
  <c r="L368" i="26"/>
  <c r="L387" i="26"/>
  <c r="L48" i="26"/>
  <c r="J102" i="26"/>
  <c r="J171" i="26"/>
  <c r="J292" i="26"/>
  <c r="J293" i="26" s="1"/>
  <c r="L369" i="26"/>
  <c r="L386" i="26"/>
  <c r="J444" i="26"/>
  <c r="J468" i="26"/>
  <c r="J467" i="26" s="1"/>
  <c r="J457" i="26" s="1"/>
  <c r="L462" i="26"/>
  <c r="L479" i="26"/>
  <c r="J503" i="26"/>
  <c r="J502" i="26" s="1"/>
  <c r="J493" i="26" s="1"/>
  <c r="L519" i="26"/>
  <c r="L536" i="26"/>
  <c r="J148" i="26"/>
  <c r="J309" i="26"/>
  <c r="J310" i="26" s="1"/>
  <c r="J154" i="26"/>
  <c r="J155" i="26" s="1"/>
  <c r="I156" i="26" s="1"/>
  <c r="L285" i="26"/>
  <c r="L333" i="26"/>
  <c r="J443" i="26"/>
  <c r="L461" i="26"/>
  <c r="L543" i="26"/>
  <c r="L544" i="26" s="1"/>
  <c r="L49" i="26"/>
  <c r="J76" i="26"/>
  <c r="J103" i="26"/>
  <c r="J284" i="26"/>
  <c r="X284" i="26" s="1"/>
  <c r="O321" i="26"/>
  <c r="O323" i="26"/>
  <c r="O325" i="26"/>
  <c r="J332" i="26"/>
  <c r="L350" i="26"/>
  <c r="J369" i="26"/>
  <c r="J393" i="26"/>
  <c r="J392" i="26" s="1"/>
  <c r="J382" i="26" s="1"/>
  <c r="L443" i="26"/>
  <c r="J462" i="26"/>
  <c r="L486" i="26"/>
  <c r="L487" i="26" s="1"/>
  <c r="L480" i="26"/>
  <c r="L518" i="26"/>
  <c r="J537" i="26"/>
  <c r="J286" i="26"/>
  <c r="L375" i="26"/>
  <c r="L365" i="26" s="1"/>
  <c r="L31" i="26"/>
  <c r="L32" i="26" s="1"/>
  <c r="L286" i="26"/>
  <c r="J357" i="26"/>
  <c r="J356" i="26" s="1"/>
  <c r="J346" i="26" s="1"/>
  <c r="J450" i="26"/>
  <c r="W450" i="26" s="1"/>
  <c r="J525" i="26"/>
  <c r="W525" i="26" s="1"/>
  <c r="J121" i="26"/>
  <c r="L147" i="26"/>
  <c r="P317" i="26"/>
  <c r="O319" i="26"/>
  <c r="J339" i="26"/>
  <c r="J338" i="26" s="1"/>
  <c r="J328" i="26" s="1"/>
  <c r="J351" i="26"/>
  <c r="J411" i="26"/>
  <c r="W411" i="26" s="1"/>
  <c r="L178" i="26"/>
  <c r="L168" i="26" s="1"/>
  <c r="L201" i="26"/>
  <c r="L200" i="26" s="1"/>
  <c r="L191" i="26" s="1"/>
  <c r="L270" i="26"/>
  <c r="L271" i="26" s="1"/>
  <c r="J270" i="26"/>
  <c r="W270" i="26" s="1"/>
  <c r="J285" i="26"/>
  <c r="L309" i="26"/>
  <c r="L300" i="26" s="1"/>
  <c r="P319" i="26"/>
  <c r="L332" i="26"/>
  <c r="L404" i="26"/>
  <c r="L148" i="26"/>
  <c r="L357" i="26"/>
  <c r="L358" i="26" s="1"/>
  <c r="L24" i="26"/>
  <c r="L103" i="26"/>
  <c r="J120" i="26"/>
  <c r="L127" i="26"/>
  <c r="L117" i="26" s="1"/>
  <c r="L171" i="26"/>
  <c r="O317" i="26"/>
  <c r="J405" i="26"/>
  <c r="J72" i="26"/>
  <c r="W72" i="26" s="1"/>
  <c r="W82" i="26"/>
  <c r="J149" i="26"/>
  <c r="O257" i="26"/>
  <c r="G256" i="26"/>
  <c r="I257" i="26"/>
  <c r="X257" i="26"/>
  <c r="L82" i="26"/>
  <c r="O253" i="26"/>
  <c r="G252" i="26"/>
  <c r="P315" i="26"/>
  <c r="K315" i="26"/>
  <c r="J314" i="26"/>
  <c r="J31" i="26"/>
  <c r="L220" i="26"/>
  <c r="J220" i="26"/>
  <c r="K247" i="26"/>
  <c r="J246" i="26"/>
  <c r="P247" i="26"/>
  <c r="P249" i="26"/>
  <c r="K249" i="26"/>
  <c r="J275" i="26"/>
  <c r="P276" i="26"/>
  <c r="K276" i="26"/>
  <c r="X253" i="26"/>
  <c r="L55" i="26"/>
  <c r="J153" i="26"/>
  <c r="J143" i="26" s="1"/>
  <c r="W292" i="26"/>
  <c r="J282" i="26"/>
  <c r="W282" i="26" s="1"/>
  <c r="J410" i="26"/>
  <c r="J400" i="26" s="1"/>
  <c r="J412" i="26"/>
  <c r="J201" i="26"/>
  <c r="G200" i="26"/>
  <c r="K207" i="26"/>
  <c r="J206" i="26"/>
  <c r="P207" i="26"/>
  <c r="L239" i="26"/>
  <c r="J239" i="26"/>
  <c r="K251" i="26"/>
  <c r="J250" i="26"/>
  <c r="P251" i="26"/>
  <c r="P253" i="26"/>
  <c r="K253" i="26"/>
  <c r="W43" i="26"/>
  <c r="J55" i="26"/>
  <c r="J75" i="26"/>
  <c r="L109" i="26"/>
  <c r="W115" i="26"/>
  <c r="J172" i="26"/>
  <c r="J178" i="26"/>
  <c r="K226" i="26"/>
  <c r="J225" i="26"/>
  <c r="P226" i="26"/>
  <c r="K245" i="26"/>
  <c r="J244" i="26"/>
  <c r="P245" i="26"/>
  <c r="O249" i="26"/>
  <c r="G248" i="26"/>
  <c r="X249" i="26"/>
  <c r="I253" i="26"/>
  <c r="K255" i="26"/>
  <c r="J254" i="26"/>
  <c r="P255" i="26"/>
  <c r="P257" i="26"/>
  <c r="K257" i="26"/>
  <c r="G108" i="26"/>
  <c r="L154" i="26"/>
  <c r="W166" i="26"/>
  <c r="W209" i="26"/>
  <c r="W228" i="26"/>
  <c r="L374" i="26"/>
  <c r="L364" i="26" s="1"/>
  <c r="L376" i="26"/>
  <c r="J277" i="26"/>
  <c r="P278" i="26"/>
  <c r="K278" i="26"/>
  <c r="W393" i="26"/>
  <c r="J383" i="26"/>
  <c r="W383" i="26" s="1"/>
  <c r="L292" i="26"/>
  <c r="W298" i="26"/>
  <c r="G308" i="26"/>
  <c r="I317" i="26"/>
  <c r="I319" i="26"/>
  <c r="I321" i="26"/>
  <c r="I323" i="26"/>
  <c r="I325" i="26"/>
  <c r="W327" i="26"/>
  <c r="G356" i="26"/>
  <c r="L393" i="26"/>
  <c r="W399" i="26"/>
  <c r="L428" i="26"/>
  <c r="J428" i="26"/>
  <c r="K321" i="26"/>
  <c r="K323" i="26"/>
  <c r="K325" i="26"/>
  <c r="L339" i="26"/>
  <c r="W345" i="26"/>
  <c r="J375" i="26"/>
  <c r="L411" i="26"/>
  <c r="J451" i="26"/>
  <c r="J449" i="26"/>
  <c r="J439" i="26" s="1"/>
  <c r="W468" i="26"/>
  <c r="J458" i="26"/>
  <c r="W458" i="26" s="1"/>
  <c r="K566" i="26"/>
  <c r="J565" i="26"/>
  <c r="P566" i="26"/>
  <c r="K568" i="26"/>
  <c r="J567" i="26"/>
  <c r="P568" i="26"/>
  <c r="J559" i="26"/>
  <c r="J550" i="26" s="1"/>
  <c r="K434" i="26"/>
  <c r="K436" i="26"/>
  <c r="L450" i="26"/>
  <c r="W456" i="26"/>
  <c r="J486" i="26"/>
  <c r="L503" i="26"/>
  <c r="I509" i="26"/>
  <c r="X509" i="26"/>
  <c r="I511" i="26"/>
  <c r="W513" i="26"/>
  <c r="J543" i="26"/>
  <c r="L560" i="26"/>
  <c r="O434" i="26"/>
  <c r="O436" i="26"/>
  <c r="L468" i="26"/>
  <c r="W474" i="26"/>
  <c r="K509" i="26"/>
  <c r="K511" i="26"/>
  <c r="L525" i="26"/>
  <c r="W531" i="26"/>
  <c r="W492" i="26"/>
  <c r="I434" i="26"/>
  <c r="I436" i="26"/>
  <c r="W560" i="26" l="1"/>
  <c r="J300" i="26"/>
  <c r="W300" i="26" s="1"/>
  <c r="AC20" i="6"/>
  <c r="J561" i="26"/>
  <c r="I562" i="26" s="1"/>
  <c r="W503" i="26"/>
  <c r="L542" i="26"/>
  <c r="L532" i="26" s="1"/>
  <c r="L533" i="26"/>
  <c r="J269" i="26"/>
  <c r="J260" i="26" s="1"/>
  <c r="J329" i="26"/>
  <c r="W329" i="26" s="1"/>
  <c r="J99" i="26"/>
  <c r="W99" i="26" s="1"/>
  <c r="W109" i="26"/>
  <c r="J117" i="26"/>
  <c r="W117" i="26" s="1"/>
  <c r="J526" i="26"/>
  <c r="I527" i="26" s="1"/>
  <c r="L177" i="26"/>
  <c r="L167" i="26" s="1"/>
  <c r="I111" i="26"/>
  <c r="O111" i="26" s="1"/>
  <c r="W127" i="26"/>
  <c r="J469" i="26"/>
  <c r="J463" i="26" s="1"/>
  <c r="J440" i="26"/>
  <c r="W440" i="26" s="1"/>
  <c r="J394" i="26"/>
  <c r="J388" i="26" s="1"/>
  <c r="X390" i="26" s="1"/>
  <c r="L308" i="26"/>
  <c r="L299" i="26" s="1"/>
  <c r="J401" i="26"/>
  <c r="W401" i="26" s="1"/>
  <c r="J291" i="26"/>
  <c r="J281" i="26" s="1"/>
  <c r="J144" i="26"/>
  <c r="W144" i="26" s="1"/>
  <c r="J128" i="26"/>
  <c r="I129" i="26" s="1"/>
  <c r="W339" i="26"/>
  <c r="J271" i="26"/>
  <c r="J265" i="26" s="1"/>
  <c r="J81" i="26"/>
  <c r="J71" i="26" s="1"/>
  <c r="J108" i="26"/>
  <c r="J98" i="26" s="1"/>
  <c r="I106" i="26" s="1"/>
  <c r="W154" i="26"/>
  <c r="J340" i="26"/>
  <c r="J334" i="26" s="1"/>
  <c r="H20" i="6"/>
  <c r="J494" i="26"/>
  <c r="W494" i="26" s="1"/>
  <c r="L476" i="26"/>
  <c r="J261" i="26"/>
  <c r="W261" i="26" s="1"/>
  <c r="L126" i="26"/>
  <c r="L116" i="26" s="1"/>
  <c r="L347" i="26"/>
  <c r="W357" i="26"/>
  <c r="L21" i="26"/>
  <c r="M20" i="6"/>
  <c r="L310" i="26"/>
  <c r="L304" i="26" s="1"/>
  <c r="J504" i="26"/>
  <c r="J498" i="26" s="1"/>
  <c r="L485" i="26"/>
  <c r="L475" i="26" s="1"/>
  <c r="L356" i="26"/>
  <c r="L346" i="26" s="1"/>
  <c r="J308" i="26"/>
  <c r="J299" i="26" s="1"/>
  <c r="J358" i="26"/>
  <c r="J352" i="26" s="1"/>
  <c r="I354" i="26" s="1"/>
  <c r="W309" i="26"/>
  <c r="J347" i="26"/>
  <c r="W347" i="26" s="1"/>
  <c r="L269" i="26"/>
  <c r="L260" i="26" s="1"/>
  <c r="L128" i="26"/>
  <c r="L122" i="26" s="1"/>
  <c r="L261" i="26"/>
  <c r="O151" i="26"/>
  <c r="J515" i="26"/>
  <c r="W515" i="26" s="1"/>
  <c r="L179" i="26"/>
  <c r="K180" i="26" s="1"/>
  <c r="P180" i="26" s="1"/>
  <c r="L30" i="26"/>
  <c r="L20" i="26" s="1"/>
  <c r="J524" i="26"/>
  <c r="J514" i="26" s="1"/>
  <c r="L202" i="26"/>
  <c r="L196" i="26" s="1"/>
  <c r="L192" i="26"/>
  <c r="L502" i="26"/>
  <c r="L493" i="26" s="1"/>
  <c r="L494" i="26"/>
  <c r="L504" i="26"/>
  <c r="W178" i="26"/>
  <c r="J177" i="26"/>
  <c r="J167" i="26" s="1"/>
  <c r="J168" i="26"/>
  <c r="W168" i="26" s="1"/>
  <c r="J179" i="26"/>
  <c r="O207" i="26"/>
  <c r="G206" i="26"/>
  <c r="X207" i="26"/>
  <c r="I207" i="26"/>
  <c r="I272" i="26"/>
  <c r="L469" i="26"/>
  <c r="L467" i="26"/>
  <c r="L457" i="26" s="1"/>
  <c r="L458" i="26"/>
  <c r="X568" i="26"/>
  <c r="I568" i="26"/>
  <c r="O568" i="26"/>
  <c r="G567" i="26"/>
  <c r="L412" i="26"/>
  <c r="L410" i="26"/>
  <c r="L400" i="26" s="1"/>
  <c r="L401" i="26"/>
  <c r="L392" i="26"/>
  <c r="L382" i="26" s="1"/>
  <c r="L383" i="26"/>
  <c r="L394" i="26"/>
  <c r="J304" i="26"/>
  <c r="I311" i="26"/>
  <c r="X255" i="26"/>
  <c r="I255" i="26"/>
  <c r="O255" i="26"/>
  <c r="G254" i="26"/>
  <c r="L108" i="26"/>
  <c r="L98" i="26" s="1"/>
  <c r="L110" i="26"/>
  <c r="L99" i="26"/>
  <c r="J56" i="26"/>
  <c r="J54" i="26"/>
  <c r="J44" i="26" s="1"/>
  <c r="W55" i="26"/>
  <c r="J45" i="26"/>
  <c r="W45" i="26" s="1"/>
  <c r="J230" i="26"/>
  <c r="W230" i="26" s="1"/>
  <c r="J240" i="26"/>
  <c r="W239" i="26"/>
  <c r="J238" i="26"/>
  <c r="J229" i="26" s="1"/>
  <c r="J287" i="26"/>
  <c r="I294" i="26"/>
  <c r="L265" i="26"/>
  <c r="K272" i="26"/>
  <c r="P272" i="26" s="1"/>
  <c r="O276" i="26"/>
  <c r="G275" i="26"/>
  <c r="X276" i="26"/>
  <c r="I276" i="26"/>
  <c r="X247" i="26"/>
  <c r="I247" i="26"/>
  <c r="O247" i="26"/>
  <c r="G246" i="26"/>
  <c r="L219" i="26"/>
  <c r="L210" i="26" s="1"/>
  <c r="L211" i="26"/>
  <c r="L221" i="26"/>
  <c r="J30" i="26"/>
  <c r="J20" i="26" s="1"/>
  <c r="J21" i="26"/>
  <c r="W21" i="26" s="1"/>
  <c r="J32" i="26"/>
  <c r="W31" i="26"/>
  <c r="L81" i="26"/>
  <c r="L71" i="26" s="1"/>
  <c r="L72" i="26"/>
  <c r="L83" i="26"/>
  <c r="J445" i="26"/>
  <c r="I452" i="26"/>
  <c r="J520" i="26"/>
  <c r="L155" i="26"/>
  <c r="L153" i="26"/>
  <c r="L143" i="26" s="1"/>
  <c r="L144" i="26"/>
  <c r="O245" i="26"/>
  <c r="G244" i="26"/>
  <c r="X245" i="26"/>
  <c r="I245" i="26"/>
  <c r="X151" i="26"/>
  <c r="I151" i="26"/>
  <c r="I158" i="26" s="1"/>
  <c r="O315" i="26"/>
  <c r="G314" i="26"/>
  <c r="X315" i="26"/>
  <c r="I315" i="26"/>
  <c r="L526" i="26"/>
  <c r="L524" i="26"/>
  <c r="L514" i="26" s="1"/>
  <c r="L515" i="26"/>
  <c r="L481" i="26"/>
  <c r="K488" i="26"/>
  <c r="P488" i="26" s="1"/>
  <c r="L538" i="26"/>
  <c r="K545" i="26"/>
  <c r="P545" i="26" s="1"/>
  <c r="J429" i="26"/>
  <c r="W428" i="26"/>
  <c r="J427" i="26"/>
  <c r="J418" i="26" s="1"/>
  <c r="J419" i="26"/>
  <c r="W419" i="26" s="1"/>
  <c r="L291" i="26"/>
  <c r="L281" i="26" s="1"/>
  <c r="L282" i="26"/>
  <c r="L293" i="26"/>
  <c r="L352" i="26"/>
  <c r="K359" i="26"/>
  <c r="P359" i="26" s="1"/>
  <c r="K377" i="26"/>
  <c r="P377" i="26" s="1"/>
  <c r="L370" i="26"/>
  <c r="K372" i="26" s="1"/>
  <c r="X251" i="26"/>
  <c r="I251" i="26"/>
  <c r="O251" i="26"/>
  <c r="G250" i="26"/>
  <c r="L238" i="26"/>
  <c r="L229" i="26" s="1"/>
  <c r="L230" i="26"/>
  <c r="L240" i="26"/>
  <c r="I413" i="26"/>
  <c r="J406" i="26"/>
  <c r="O408" i="26" s="1"/>
  <c r="K129" i="26"/>
  <c r="P129" i="26" s="1"/>
  <c r="W543" i="26"/>
  <c r="J542" i="26"/>
  <c r="J532" i="26" s="1"/>
  <c r="J533" i="26"/>
  <c r="W533" i="26" s="1"/>
  <c r="J544" i="26"/>
  <c r="L340" i="26"/>
  <c r="L338" i="26"/>
  <c r="L328" i="26" s="1"/>
  <c r="L329" i="26"/>
  <c r="O226" i="26"/>
  <c r="G225" i="26"/>
  <c r="X226" i="26"/>
  <c r="I226" i="26"/>
  <c r="L45" i="26"/>
  <c r="L56" i="26"/>
  <c r="L54" i="26"/>
  <c r="L44" i="26" s="1"/>
  <c r="J211" i="26"/>
  <c r="W211" i="26" s="1"/>
  <c r="J221" i="26"/>
  <c r="J219" i="26"/>
  <c r="J210" i="26" s="1"/>
  <c r="W220" i="26"/>
  <c r="L559" i="26"/>
  <c r="L550" i="26" s="1"/>
  <c r="L551" i="26"/>
  <c r="L561" i="26"/>
  <c r="W486" i="26"/>
  <c r="J485" i="26"/>
  <c r="J475" i="26" s="1"/>
  <c r="J476" i="26"/>
  <c r="W476" i="26" s="1"/>
  <c r="J487" i="26"/>
  <c r="L449" i="26"/>
  <c r="L439" i="26" s="1"/>
  <c r="L440" i="26"/>
  <c r="L451" i="26"/>
  <c r="J555" i="26"/>
  <c r="O566" i="26"/>
  <c r="G565" i="26"/>
  <c r="X566" i="26"/>
  <c r="I566" i="26"/>
  <c r="J376" i="26"/>
  <c r="W375" i="26"/>
  <c r="J374" i="26"/>
  <c r="J364" i="26" s="1"/>
  <c r="J365" i="26"/>
  <c r="W365" i="26" s="1"/>
  <c r="L427" i="26"/>
  <c r="L418" i="26" s="1"/>
  <c r="L429" i="26"/>
  <c r="L419" i="26"/>
  <c r="I395" i="26"/>
  <c r="X278" i="26"/>
  <c r="I278" i="26"/>
  <c r="O278" i="26"/>
  <c r="G277" i="26"/>
  <c r="J202" i="26"/>
  <c r="W201" i="26"/>
  <c r="J200" i="26"/>
  <c r="J191" i="26" s="1"/>
  <c r="J192" i="26"/>
  <c r="W192" i="26" s="1"/>
  <c r="X156" i="26"/>
  <c r="O156" i="26"/>
  <c r="K33" i="26"/>
  <c r="P33" i="26" s="1"/>
  <c r="L26" i="26"/>
  <c r="J77" i="26"/>
  <c r="I84" i="26"/>
  <c r="I341" i="26" l="1"/>
  <c r="K267" i="26"/>
  <c r="I470" i="26"/>
  <c r="K311" i="26"/>
  <c r="P311" i="26" s="1"/>
  <c r="I306" i="26"/>
  <c r="I313" i="26" s="1"/>
  <c r="I113" i="26"/>
  <c r="K124" i="26"/>
  <c r="K131" i="26" s="1"/>
  <c r="X79" i="26"/>
  <c r="X111" i="26"/>
  <c r="J122" i="26"/>
  <c r="O124" i="26" s="1"/>
  <c r="L173" i="26"/>
  <c r="P175" i="26" s="1"/>
  <c r="K184" i="26" s="1"/>
  <c r="O106" i="26"/>
  <c r="O267" i="26"/>
  <c r="I267" i="26"/>
  <c r="I274" i="26" s="1"/>
  <c r="K354" i="26"/>
  <c r="K361" i="26" s="1"/>
  <c r="X106" i="26"/>
  <c r="I359" i="26"/>
  <c r="O359" i="26" s="1"/>
  <c r="I505" i="26"/>
  <c r="O505" i="26" s="1"/>
  <c r="N20" i="6"/>
  <c r="O500" i="26"/>
  <c r="X500" i="26"/>
  <c r="P28" i="26"/>
  <c r="K37" i="26" s="1"/>
  <c r="I160" i="26"/>
  <c r="K28" i="26"/>
  <c r="K35" i="26" s="1"/>
  <c r="K203" i="26"/>
  <c r="P203" i="26" s="1"/>
  <c r="X306" i="26"/>
  <c r="O390" i="26"/>
  <c r="P198" i="26"/>
  <c r="K198" i="26"/>
  <c r="K274" i="26"/>
  <c r="I500" i="26"/>
  <c r="I408" i="26"/>
  <c r="I415" i="26" s="1"/>
  <c r="P267" i="26"/>
  <c r="X408" i="26"/>
  <c r="K379" i="26"/>
  <c r="P354" i="26"/>
  <c r="K294" i="26"/>
  <c r="P294" i="26" s="1"/>
  <c r="L287" i="26"/>
  <c r="K289" i="26" s="1"/>
  <c r="K395" i="26"/>
  <c r="P395" i="26" s="1"/>
  <c r="L388" i="26"/>
  <c r="K390" i="26" s="1"/>
  <c r="O79" i="26"/>
  <c r="O84" i="26"/>
  <c r="X84" i="26"/>
  <c r="X562" i="26"/>
  <c r="O562" i="26"/>
  <c r="I79" i="26"/>
  <c r="I86" i="26" s="1"/>
  <c r="X267" i="26"/>
  <c r="O522" i="26"/>
  <c r="I522" i="26"/>
  <c r="I529" i="26" s="1"/>
  <c r="X522" i="26"/>
  <c r="K84" i="26"/>
  <c r="P84" i="26" s="1"/>
  <c r="L77" i="26"/>
  <c r="K79" i="26" s="1"/>
  <c r="J26" i="26"/>
  <c r="O28" i="26" s="1"/>
  <c r="I33" i="26"/>
  <c r="K222" i="26"/>
  <c r="P222" i="26" s="1"/>
  <c r="L215" i="26"/>
  <c r="P217" i="26" s="1"/>
  <c r="O289" i="26"/>
  <c r="I289" i="26"/>
  <c r="I296" i="26" s="1"/>
  <c r="X289" i="26"/>
  <c r="J50" i="26"/>
  <c r="X52" i="26" s="1"/>
  <c r="I57" i="26"/>
  <c r="P124" i="26"/>
  <c r="I390" i="26"/>
  <c r="I397" i="26" s="1"/>
  <c r="L406" i="26"/>
  <c r="K408" i="26" s="1"/>
  <c r="K413" i="26"/>
  <c r="P413" i="26" s="1"/>
  <c r="L463" i="26"/>
  <c r="P465" i="26" s="1"/>
  <c r="K470" i="26"/>
  <c r="P470" i="26" s="1"/>
  <c r="X272" i="26"/>
  <c r="O272" i="26"/>
  <c r="P372" i="26"/>
  <c r="X129" i="26"/>
  <c r="O129" i="26"/>
  <c r="X395" i="26"/>
  <c r="O395" i="26"/>
  <c r="J370" i="26"/>
  <c r="I372" i="26" s="1"/>
  <c r="I377" i="26"/>
  <c r="X294" i="26"/>
  <c r="O294" i="26"/>
  <c r="J196" i="26"/>
  <c r="I198" i="26" s="1"/>
  <c r="I203" i="26"/>
  <c r="O557" i="26"/>
  <c r="I557" i="26"/>
  <c r="I564" i="26" s="1"/>
  <c r="J481" i="26"/>
  <c r="X483" i="26" s="1"/>
  <c r="I488" i="26"/>
  <c r="K562" i="26"/>
  <c r="P562" i="26" s="1"/>
  <c r="L555" i="26"/>
  <c r="P557" i="26" s="1"/>
  <c r="K57" i="26"/>
  <c r="P57" i="26" s="1"/>
  <c r="L50" i="26"/>
  <c r="P52" i="26" s="1"/>
  <c r="L334" i="26"/>
  <c r="P336" i="26" s="1"/>
  <c r="K341" i="26"/>
  <c r="P341" i="26" s="1"/>
  <c r="X413" i="26"/>
  <c r="O413" i="26"/>
  <c r="I430" i="26"/>
  <c r="J423" i="26"/>
  <c r="O425" i="26" s="1"/>
  <c r="P483" i="26"/>
  <c r="K483" i="26"/>
  <c r="K490" i="26" s="1"/>
  <c r="L520" i="26"/>
  <c r="P522" i="26" s="1"/>
  <c r="K527" i="26"/>
  <c r="P527" i="26" s="1"/>
  <c r="X527" i="26"/>
  <c r="O527" i="26"/>
  <c r="X336" i="26"/>
  <c r="I336" i="26"/>
  <c r="I343" i="26" s="1"/>
  <c r="O336" i="26"/>
  <c r="J173" i="26"/>
  <c r="I175" i="26" s="1"/>
  <c r="I180" i="26"/>
  <c r="I465" i="26"/>
  <c r="I472" i="26" s="1"/>
  <c r="X465" i="26"/>
  <c r="O465" i="26"/>
  <c r="K505" i="26"/>
  <c r="P505" i="26" s="1"/>
  <c r="L498" i="26"/>
  <c r="P500" i="26" s="1"/>
  <c r="P540" i="26"/>
  <c r="K540" i="26"/>
  <c r="K547" i="26" s="1"/>
  <c r="I447" i="26"/>
  <c r="I454" i="26" s="1"/>
  <c r="O447" i="26"/>
  <c r="X447" i="26"/>
  <c r="J234" i="26"/>
  <c r="O236" i="26" s="1"/>
  <c r="I241" i="26"/>
  <c r="O306" i="26"/>
  <c r="K430" i="26"/>
  <c r="P430" i="26" s="1"/>
  <c r="L423" i="26"/>
  <c r="K425" i="26" s="1"/>
  <c r="K452" i="26"/>
  <c r="P452" i="26" s="1"/>
  <c r="L445" i="26"/>
  <c r="P447" i="26" s="1"/>
  <c r="J215" i="26"/>
  <c r="Y217" i="26" s="1"/>
  <c r="I222" i="26"/>
  <c r="P306" i="26"/>
  <c r="K306" i="26"/>
  <c r="K313" i="26" s="1"/>
  <c r="J538" i="26"/>
  <c r="O540" i="26" s="1"/>
  <c r="I545" i="26"/>
  <c r="K241" i="26"/>
  <c r="P241" i="26" s="1"/>
  <c r="L234" i="26"/>
  <c r="P236" i="26" s="1"/>
  <c r="L149" i="26"/>
  <c r="P151" i="26" s="1"/>
  <c r="K156" i="26"/>
  <c r="P156" i="26" s="1"/>
  <c r="X452" i="26"/>
  <c r="O452" i="26"/>
  <c r="K111" i="26"/>
  <c r="P111" i="26" s="1"/>
  <c r="L104" i="26"/>
  <c r="K106" i="26" s="1"/>
  <c r="O311" i="26"/>
  <c r="X311" i="26"/>
  <c r="O354" i="26"/>
  <c r="X341" i="26"/>
  <c r="O341" i="26"/>
  <c r="X470" i="26"/>
  <c r="O470" i="26"/>
  <c r="X354" i="26"/>
  <c r="X557" i="26"/>
  <c r="X359" i="26" l="1"/>
  <c r="X124" i="26"/>
  <c r="X505" i="26"/>
  <c r="I361" i="26"/>
  <c r="I124" i="26"/>
  <c r="I131" i="26" s="1"/>
  <c r="I507" i="26"/>
  <c r="X28" i="26"/>
  <c r="P289" i="26"/>
  <c r="K175" i="26"/>
  <c r="K182" i="26" s="1"/>
  <c r="I133" i="26"/>
  <c r="P79" i="26"/>
  <c r="K88" i="26" s="1"/>
  <c r="P390" i="26"/>
  <c r="K217" i="26"/>
  <c r="I28" i="26"/>
  <c r="I35" i="26" s="1"/>
  <c r="I205" i="26"/>
  <c r="K205" i="26"/>
  <c r="K397" i="26"/>
  <c r="K557" i="26"/>
  <c r="K564" i="26" s="1"/>
  <c r="K415" i="26"/>
  <c r="K432" i="26"/>
  <c r="K224" i="26"/>
  <c r="O372" i="26"/>
  <c r="K86" i="26"/>
  <c r="K113" i="26"/>
  <c r="K160" i="26"/>
  <c r="I182" i="26"/>
  <c r="I217" i="26"/>
  <c r="I224" i="26" s="1"/>
  <c r="K447" i="26"/>
  <c r="K454" i="26" s="1"/>
  <c r="O175" i="26"/>
  <c r="Y198" i="26"/>
  <c r="I379" i="26"/>
  <c r="K522" i="26"/>
  <c r="K529" i="26" s="1"/>
  <c r="K336" i="26"/>
  <c r="K343" i="26" s="1"/>
  <c r="O52" i="26"/>
  <c r="K52" i="26"/>
  <c r="K59" i="26" s="1"/>
  <c r="P408" i="26"/>
  <c r="K61" i="26"/>
  <c r="O222" i="26"/>
  <c r="Y222" i="26"/>
  <c r="Y203" i="26"/>
  <c r="O203" i="26"/>
  <c r="I425" i="26"/>
  <c r="I432" i="26" s="1"/>
  <c r="K465" i="26"/>
  <c r="K472" i="26" s="1"/>
  <c r="P425" i="26"/>
  <c r="O180" i="26"/>
  <c r="X180" i="26"/>
  <c r="X236" i="26"/>
  <c r="O430" i="26"/>
  <c r="X430" i="26"/>
  <c r="O217" i="26"/>
  <c r="O488" i="26"/>
  <c r="X488" i="26"/>
  <c r="X372" i="26"/>
  <c r="X425" i="26"/>
  <c r="O57" i="26"/>
  <c r="X57" i="26"/>
  <c r="K236" i="26"/>
  <c r="K243" i="26" s="1"/>
  <c r="X540" i="26"/>
  <c r="K500" i="26"/>
  <c r="K507" i="26" s="1"/>
  <c r="X175" i="26"/>
  <c r="I52" i="26"/>
  <c r="I59" i="26" s="1"/>
  <c r="O483" i="26"/>
  <c r="O198" i="26"/>
  <c r="O545" i="26"/>
  <c r="X545" i="26"/>
  <c r="O33" i="26"/>
  <c r="I37" i="26" s="1"/>
  <c r="X33" i="26"/>
  <c r="I236" i="26"/>
  <c r="I243" i="26" s="1"/>
  <c r="K151" i="26"/>
  <c r="K158" i="26" s="1"/>
  <c r="O377" i="26"/>
  <c r="X377" i="26"/>
  <c r="I540" i="26"/>
  <c r="I547" i="26" s="1"/>
  <c r="P106" i="26"/>
  <c r="K133" i="26" s="1"/>
  <c r="I483" i="26"/>
  <c r="I490" i="26" s="1"/>
  <c r="O241" i="26"/>
  <c r="X241" i="26"/>
  <c r="K296" i="26"/>
  <c r="I88" i="26"/>
  <c r="I184" i="26" l="1"/>
  <c r="I61" i="26"/>
  <c r="K570" i="26"/>
  <c r="K574" i="26"/>
  <c r="L586" i="26" s="1"/>
  <c r="I578" i="26"/>
  <c r="I574" i="26"/>
  <c r="J586" i="26" s="1"/>
  <c r="I570" i="26"/>
  <c r="K578" i="26"/>
  <c r="L596" i="26" l="1"/>
  <c r="G15" i="34"/>
  <c r="J587" i="26"/>
  <c r="J594" i="26" s="1"/>
  <c r="F15" i="34"/>
  <c r="T15" i="34" s="1"/>
  <c r="L587" i="26"/>
  <c r="L594" i="26" s="1"/>
  <c r="F19" i="6" l="1"/>
  <c r="L19" i="6"/>
  <c r="H15" i="34"/>
  <c r="V15" i="34" s="1"/>
  <c r="AD14" i="34" s="1"/>
  <c r="U15" i="34"/>
  <c r="L597" i="26"/>
  <c r="L602" i="26"/>
  <c r="G19" i="6"/>
  <c r="AF33" i="6"/>
  <c r="H19" i="6" l="1"/>
  <c r="M19" i="6"/>
  <c r="N19" i="6" l="1"/>
  <c r="I33" i="6"/>
  <c r="J33" i="6"/>
  <c r="K33" i="6"/>
  <c r="T33" i="6"/>
  <c r="U33" i="6"/>
  <c r="V33" i="6"/>
  <c r="W33" i="6"/>
  <c r="X33" i="6"/>
  <c r="Y33" i="6"/>
  <c r="S22" i="6" l="1"/>
  <c r="Q22" i="6"/>
  <c r="S21" i="6"/>
  <c r="S20" i="6"/>
  <c r="R20" i="6"/>
  <c r="K120" i="33" l="1"/>
  <c r="I120" i="33"/>
  <c r="K119" i="33"/>
  <c r="I119" i="33"/>
  <c r="AL118" i="33"/>
  <c r="K116" i="33"/>
  <c r="I116" i="33"/>
  <c r="K115" i="33"/>
  <c r="I115" i="33"/>
  <c r="A114" i="33"/>
  <c r="AA112" i="33"/>
  <c r="Z112" i="33"/>
  <c r="X112" i="33"/>
  <c r="V111" i="33"/>
  <c r="U111" i="33"/>
  <c r="T111" i="33"/>
  <c r="S111" i="33"/>
  <c r="R111" i="33"/>
  <c r="Q111" i="33"/>
  <c r="L111" i="33"/>
  <c r="K112" i="33" s="1"/>
  <c r="K111" i="33"/>
  <c r="J111" i="33"/>
  <c r="O112" i="33" s="1"/>
  <c r="I111" i="33"/>
  <c r="H111" i="33"/>
  <c r="G111" i="33"/>
  <c r="F111" i="33"/>
  <c r="E111" i="33"/>
  <c r="C111" i="33"/>
  <c r="B111" i="33"/>
  <c r="AA108" i="33"/>
  <c r="Z108" i="33"/>
  <c r="X108" i="33"/>
  <c r="K107" i="33"/>
  <c r="F107" i="33"/>
  <c r="K106" i="33"/>
  <c r="K105" i="33" s="1"/>
  <c r="I106" i="33"/>
  <c r="I105" i="33" s="1"/>
  <c r="G106" i="33"/>
  <c r="G105" i="33" s="1"/>
  <c r="H105" i="33"/>
  <c r="AA103" i="33"/>
  <c r="Z103" i="33"/>
  <c r="X103" i="33"/>
  <c r="J102" i="33"/>
  <c r="I102" i="33"/>
  <c r="H102" i="33"/>
  <c r="F102" i="33"/>
  <c r="K101" i="33"/>
  <c r="F101" i="33"/>
  <c r="K100" i="33"/>
  <c r="F100" i="33"/>
  <c r="K99" i="33"/>
  <c r="F99" i="33"/>
  <c r="L98" i="33"/>
  <c r="K98" i="33"/>
  <c r="J98" i="33"/>
  <c r="I98" i="33"/>
  <c r="H98" i="33"/>
  <c r="G98" i="33"/>
  <c r="K97" i="33"/>
  <c r="I97" i="33"/>
  <c r="H97" i="33"/>
  <c r="G97" i="33"/>
  <c r="K96" i="33"/>
  <c r="I96" i="33"/>
  <c r="H96" i="33"/>
  <c r="G96" i="33"/>
  <c r="L95" i="33"/>
  <c r="K95" i="33"/>
  <c r="J95" i="33"/>
  <c r="I95" i="33"/>
  <c r="H95" i="33"/>
  <c r="G95" i="33"/>
  <c r="V94" i="33"/>
  <c r="U94" i="33"/>
  <c r="T94" i="33"/>
  <c r="L100" i="33" s="1"/>
  <c r="S94" i="33"/>
  <c r="J100" i="33" s="1"/>
  <c r="R94" i="33"/>
  <c r="L99" i="33" s="1"/>
  <c r="Q94" i="33"/>
  <c r="J99" i="33" s="1"/>
  <c r="F94" i="33"/>
  <c r="E94" i="33"/>
  <c r="C94" i="33"/>
  <c r="B94" i="33"/>
  <c r="AA93" i="33"/>
  <c r="Z93" i="33"/>
  <c r="Y93" i="33"/>
  <c r="V92" i="33"/>
  <c r="U92" i="33"/>
  <c r="T92" i="33"/>
  <c r="S92" i="33"/>
  <c r="R92" i="33"/>
  <c r="Q92" i="33"/>
  <c r="F92" i="33"/>
  <c r="L92" i="33" s="1"/>
  <c r="E92" i="33"/>
  <c r="C92" i="33"/>
  <c r="B92" i="33"/>
  <c r="AA89" i="33"/>
  <c r="Z89" i="33"/>
  <c r="X89" i="33"/>
  <c r="K88" i="33"/>
  <c r="F88" i="33"/>
  <c r="K87" i="33"/>
  <c r="K86" i="33" s="1"/>
  <c r="I87" i="33"/>
  <c r="I86" i="33" s="1"/>
  <c r="G87" i="33"/>
  <c r="G86" i="33" s="1"/>
  <c r="H86" i="33"/>
  <c r="AA84" i="33"/>
  <c r="Z84" i="33"/>
  <c r="X84" i="33"/>
  <c r="J83" i="33"/>
  <c r="I83" i="33"/>
  <c r="H83" i="33"/>
  <c r="F83" i="33"/>
  <c r="K82" i="33"/>
  <c r="F82" i="33"/>
  <c r="K81" i="33"/>
  <c r="F81" i="33"/>
  <c r="K80" i="33"/>
  <c r="F80" i="33"/>
  <c r="L79" i="33"/>
  <c r="K79" i="33"/>
  <c r="J79" i="33"/>
  <c r="I79" i="33"/>
  <c r="H79" i="33"/>
  <c r="G79" i="33"/>
  <c r="K78" i="33"/>
  <c r="I78" i="33"/>
  <c r="H78" i="33"/>
  <c r="G78" i="33"/>
  <c r="K77" i="33"/>
  <c r="I77" i="33"/>
  <c r="H77" i="33"/>
  <c r="G77" i="33"/>
  <c r="L76" i="33"/>
  <c r="K76" i="33"/>
  <c r="J76" i="33"/>
  <c r="I76" i="33"/>
  <c r="H76" i="33"/>
  <c r="G76" i="33"/>
  <c r="V75" i="33"/>
  <c r="U75" i="33"/>
  <c r="T75" i="33"/>
  <c r="L81" i="33" s="1"/>
  <c r="S75" i="33"/>
  <c r="J81" i="33" s="1"/>
  <c r="R75" i="33"/>
  <c r="L80" i="33" s="1"/>
  <c r="Q75" i="33"/>
  <c r="J80" i="33" s="1"/>
  <c r="F75" i="33"/>
  <c r="E75" i="33"/>
  <c r="C75" i="33"/>
  <c r="B75" i="33"/>
  <c r="A74" i="33"/>
  <c r="K72" i="33"/>
  <c r="I72" i="33"/>
  <c r="K71" i="33"/>
  <c r="I71" i="33"/>
  <c r="A70" i="33"/>
  <c r="AA68" i="33"/>
  <c r="Z68" i="33"/>
  <c r="Y68" i="33"/>
  <c r="V67" i="33"/>
  <c r="U67" i="33"/>
  <c r="T67" i="33"/>
  <c r="S67" i="33"/>
  <c r="R67" i="33"/>
  <c r="Q67" i="33"/>
  <c r="I67" i="33"/>
  <c r="H67" i="33"/>
  <c r="G67" i="33"/>
  <c r="F67" i="33"/>
  <c r="E67" i="33"/>
  <c r="C67" i="33"/>
  <c r="B67" i="33"/>
  <c r="AA66" i="33"/>
  <c r="Z66" i="33"/>
  <c r="Y66" i="33"/>
  <c r="V65" i="33"/>
  <c r="U65" i="33"/>
  <c r="T65" i="33"/>
  <c r="S65" i="33"/>
  <c r="R65" i="33"/>
  <c r="Q65" i="33"/>
  <c r="I65" i="33"/>
  <c r="H65" i="33"/>
  <c r="G65" i="33"/>
  <c r="F65" i="33"/>
  <c r="E65" i="33"/>
  <c r="C65" i="33"/>
  <c r="B65" i="33"/>
  <c r="AA62" i="33"/>
  <c r="Z62" i="33"/>
  <c r="Y62" i="33"/>
  <c r="K61" i="33"/>
  <c r="F61" i="33"/>
  <c r="K60" i="33"/>
  <c r="K59" i="33" s="1"/>
  <c r="I60" i="33"/>
  <c r="I59" i="33" s="1"/>
  <c r="G60" i="33"/>
  <c r="G59" i="33" s="1"/>
  <c r="H59" i="33"/>
  <c r="AA57" i="33"/>
  <c r="Z57" i="33"/>
  <c r="Y57" i="33"/>
  <c r="J56" i="33"/>
  <c r="I56" i="33"/>
  <c r="H56" i="33"/>
  <c r="F56" i="33"/>
  <c r="K55" i="33"/>
  <c r="F55" i="33"/>
  <c r="K54" i="33"/>
  <c r="F54" i="33"/>
  <c r="K53" i="33"/>
  <c r="F53" i="33"/>
  <c r="AA52" i="33"/>
  <c r="Z52" i="33"/>
  <c r="Y52" i="33"/>
  <c r="X52" i="33"/>
  <c r="V52" i="33"/>
  <c r="U52" i="33"/>
  <c r="T52" i="33"/>
  <c r="S52" i="33"/>
  <c r="R52" i="33"/>
  <c r="Q52" i="33"/>
  <c r="K52" i="33"/>
  <c r="I52" i="33"/>
  <c r="G52" i="33"/>
  <c r="E52" i="33"/>
  <c r="C52" i="33"/>
  <c r="B52" i="33"/>
  <c r="L51" i="33"/>
  <c r="K51" i="33"/>
  <c r="J51" i="33"/>
  <c r="I51" i="33"/>
  <c r="H51" i="33"/>
  <c r="G51" i="33"/>
  <c r="K50" i="33"/>
  <c r="I50" i="33"/>
  <c r="H50" i="33"/>
  <c r="G50" i="33"/>
  <c r="K49" i="33"/>
  <c r="I49" i="33"/>
  <c r="H49" i="33"/>
  <c r="G49" i="33"/>
  <c r="L48" i="33"/>
  <c r="K48" i="33"/>
  <c r="J48" i="33"/>
  <c r="I48" i="33"/>
  <c r="H48" i="33"/>
  <c r="G48" i="33"/>
  <c r="V47" i="33"/>
  <c r="U47" i="33"/>
  <c r="T47" i="33"/>
  <c r="L54" i="33" s="1"/>
  <c r="S47" i="33"/>
  <c r="J54" i="33" s="1"/>
  <c r="R47" i="33"/>
  <c r="Q47" i="33"/>
  <c r="J53" i="33" s="1"/>
  <c r="F47" i="33"/>
  <c r="E47" i="33"/>
  <c r="C47" i="33"/>
  <c r="B47" i="33"/>
  <c r="AA46" i="33"/>
  <c r="Z46" i="33"/>
  <c r="Y46" i="33"/>
  <c r="J45" i="33"/>
  <c r="I45" i="33"/>
  <c r="H45" i="33"/>
  <c r="F45" i="33"/>
  <c r="K44" i="33"/>
  <c r="F44" i="33"/>
  <c r="K43" i="33"/>
  <c r="F43" i="33"/>
  <c r="AA42" i="33"/>
  <c r="Z42" i="33"/>
  <c r="Y42" i="33"/>
  <c r="V42" i="33"/>
  <c r="U42" i="33"/>
  <c r="T42" i="33"/>
  <c r="S42" i="33"/>
  <c r="R42" i="33"/>
  <c r="Q42" i="33"/>
  <c r="L42" i="33"/>
  <c r="K42" i="33"/>
  <c r="J42" i="33"/>
  <c r="X42" i="33" s="1"/>
  <c r="I42" i="33"/>
  <c r="G42" i="33"/>
  <c r="F42" i="33"/>
  <c r="E42" i="33"/>
  <c r="C42" i="33"/>
  <c r="B42" i="33"/>
  <c r="L41" i="33"/>
  <c r="K41" i="33"/>
  <c r="J41" i="33"/>
  <c r="I41" i="33"/>
  <c r="H41" i="33"/>
  <c r="G41" i="33"/>
  <c r="L40" i="33"/>
  <c r="K40" i="33"/>
  <c r="J40" i="33"/>
  <c r="I40" i="33"/>
  <c r="H40" i="33"/>
  <c r="G40" i="33"/>
  <c r="L39" i="33"/>
  <c r="K39" i="33"/>
  <c r="J39" i="33"/>
  <c r="I39" i="33"/>
  <c r="H39" i="33"/>
  <c r="G39" i="33"/>
  <c r="V38" i="33"/>
  <c r="U38" i="33"/>
  <c r="T38" i="33"/>
  <c r="S38" i="33"/>
  <c r="R38" i="33"/>
  <c r="Q38" i="33"/>
  <c r="F38" i="33"/>
  <c r="E38" i="33"/>
  <c r="C38" i="33"/>
  <c r="B38" i="33"/>
  <c r="AA37" i="33"/>
  <c r="Z37" i="33"/>
  <c r="Y37" i="33"/>
  <c r="J36" i="33"/>
  <c r="I36" i="33"/>
  <c r="H36" i="33"/>
  <c r="F36" i="33"/>
  <c r="K35" i="33"/>
  <c r="F35" i="33"/>
  <c r="K34" i="33"/>
  <c r="F34" i="33"/>
  <c r="AA33" i="33"/>
  <c r="Z33" i="33"/>
  <c r="Y33" i="33"/>
  <c r="V33" i="33"/>
  <c r="U33" i="33"/>
  <c r="T33" i="33"/>
  <c r="S33" i="33"/>
  <c r="R33" i="33"/>
  <c r="Q33" i="33"/>
  <c r="L33" i="33"/>
  <c r="K33" i="33"/>
  <c r="J33" i="33"/>
  <c r="X33" i="33" s="1"/>
  <c r="I33" i="33"/>
  <c r="G33" i="33"/>
  <c r="F33" i="33"/>
  <c r="E33" i="33"/>
  <c r="C33" i="33"/>
  <c r="B33" i="33"/>
  <c r="L32" i="33"/>
  <c r="K32" i="33"/>
  <c r="J32" i="33"/>
  <c r="I32" i="33"/>
  <c r="H32" i="33"/>
  <c r="G32" i="33"/>
  <c r="L31" i="33"/>
  <c r="K31" i="33"/>
  <c r="J31" i="33"/>
  <c r="I31" i="33"/>
  <c r="H31" i="33"/>
  <c r="G31" i="33"/>
  <c r="L30" i="33"/>
  <c r="K30" i="33"/>
  <c r="J30" i="33"/>
  <c r="W30" i="33" s="1"/>
  <c r="I30" i="33"/>
  <c r="H30" i="33"/>
  <c r="G30" i="33"/>
  <c r="V29" i="33"/>
  <c r="U29" i="33"/>
  <c r="T29" i="33"/>
  <c r="S29" i="33"/>
  <c r="R29" i="33"/>
  <c r="Q29" i="33"/>
  <c r="F29" i="33"/>
  <c r="E29" i="33"/>
  <c r="C29" i="33"/>
  <c r="B29" i="33"/>
  <c r="AA28" i="33"/>
  <c r="Z28" i="33"/>
  <c r="Y28" i="33"/>
  <c r="J27" i="33"/>
  <c r="I27" i="33"/>
  <c r="H27" i="33"/>
  <c r="F27" i="33"/>
  <c r="K26" i="33"/>
  <c r="F26" i="33"/>
  <c r="K25" i="33"/>
  <c r="F25" i="33"/>
  <c r="AA24" i="33"/>
  <c r="Z24" i="33"/>
  <c r="Y24" i="33"/>
  <c r="V24" i="33"/>
  <c r="U24" i="33"/>
  <c r="T24" i="33"/>
  <c r="S24" i="33"/>
  <c r="R24" i="33"/>
  <c r="Q24" i="33"/>
  <c r="L24" i="33"/>
  <c r="K24" i="33"/>
  <c r="J24" i="33"/>
  <c r="X24" i="33" s="1"/>
  <c r="I24" i="33"/>
  <c r="G24" i="33"/>
  <c r="F24" i="33"/>
  <c r="E24" i="33"/>
  <c r="C24" i="33"/>
  <c r="B24" i="33"/>
  <c r="L23" i="33"/>
  <c r="K23" i="33"/>
  <c r="J23" i="33"/>
  <c r="I23" i="33"/>
  <c r="H23" i="33"/>
  <c r="G23" i="33"/>
  <c r="L22" i="33"/>
  <c r="K22" i="33"/>
  <c r="J22" i="33"/>
  <c r="I22" i="33"/>
  <c r="H22" i="33"/>
  <c r="G22" i="33"/>
  <c r="L21" i="33"/>
  <c r="K21" i="33"/>
  <c r="J21" i="33"/>
  <c r="I21" i="33"/>
  <c r="H21" i="33"/>
  <c r="G21" i="33"/>
  <c r="V20" i="33"/>
  <c r="U20" i="33"/>
  <c r="T20" i="33"/>
  <c r="S20" i="33"/>
  <c r="R20" i="33"/>
  <c r="Q20" i="33"/>
  <c r="F20" i="33"/>
  <c r="E20" i="33"/>
  <c r="C20" i="33"/>
  <c r="B20" i="33"/>
  <c r="AA19" i="33"/>
  <c r="Z19" i="33"/>
  <c r="Y19" i="33"/>
  <c r="V18" i="33"/>
  <c r="U18" i="33"/>
  <c r="T18" i="33"/>
  <c r="S18" i="33"/>
  <c r="R18" i="33"/>
  <c r="Q18" i="33"/>
  <c r="F18" i="33"/>
  <c r="L18" i="33" s="1"/>
  <c r="E18" i="33"/>
  <c r="C18" i="33"/>
  <c r="B18" i="33"/>
  <c r="A17" i="33"/>
  <c r="K123" i="33" l="1"/>
  <c r="I123" i="33"/>
  <c r="J34" i="33"/>
  <c r="P93" i="33"/>
  <c r="J92" i="33"/>
  <c r="G92" i="33" s="1"/>
  <c r="J18" i="33"/>
  <c r="X19" i="33" s="1"/>
  <c r="K19" i="33"/>
  <c r="J26" i="33"/>
  <c r="J43" i="33"/>
  <c r="J25" i="33"/>
  <c r="L35" i="33"/>
  <c r="J44" i="33"/>
  <c r="J106" i="33"/>
  <c r="J105" i="33" s="1"/>
  <c r="J96" i="33" s="1"/>
  <c r="L87" i="33"/>
  <c r="L86" i="33" s="1"/>
  <c r="L77" i="33" s="1"/>
  <c r="L60" i="33"/>
  <c r="L61" i="33" s="1"/>
  <c r="J35" i="33"/>
  <c r="L34" i="33"/>
  <c r="J65" i="33"/>
  <c r="O66" i="33" s="1"/>
  <c r="J67" i="33"/>
  <c r="I68" i="33" s="1"/>
  <c r="P112" i="33"/>
  <c r="L26" i="33"/>
  <c r="L25" i="33"/>
  <c r="L44" i="33"/>
  <c r="L43" i="33"/>
  <c r="L53" i="33"/>
  <c r="P19" i="33"/>
  <c r="W21" i="33"/>
  <c r="W39" i="33"/>
  <c r="W48" i="33"/>
  <c r="J60" i="33"/>
  <c r="W76" i="33"/>
  <c r="J87" i="33"/>
  <c r="L106" i="33"/>
  <c r="I112" i="33"/>
  <c r="K93" i="33"/>
  <c r="Y112" i="33"/>
  <c r="W95" i="33"/>
  <c r="I46" i="33" l="1"/>
  <c r="O37" i="33"/>
  <c r="P37" i="33"/>
  <c r="L78" i="33"/>
  <c r="X93" i="33"/>
  <c r="L88" i="33"/>
  <c r="L82" i="33" s="1"/>
  <c r="P84" i="33" s="1"/>
  <c r="K37" i="33"/>
  <c r="I93" i="33"/>
  <c r="O68" i="33"/>
  <c r="O93" i="33"/>
  <c r="L50" i="33"/>
  <c r="I28" i="33"/>
  <c r="K28" i="33"/>
  <c r="I121" i="33"/>
  <c r="J128" i="33" s="1"/>
  <c r="O19" i="33"/>
  <c r="G18" i="33"/>
  <c r="I37" i="33"/>
  <c r="X28" i="33"/>
  <c r="X68" i="33"/>
  <c r="I19" i="33"/>
  <c r="L67" i="33"/>
  <c r="P68" i="33" s="1"/>
  <c r="O46" i="33"/>
  <c r="L59" i="33"/>
  <c r="L49" i="33" s="1"/>
  <c r="O28" i="33"/>
  <c r="X46" i="33"/>
  <c r="P28" i="33"/>
  <c r="W106" i="33"/>
  <c r="L65" i="33"/>
  <c r="K66" i="33" s="1"/>
  <c r="J107" i="33"/>
  <c r="J101" i="33" s="1"/>
  <c r="O103" i="33" s="1"/>
  <c r="J97" i="33"/>
  <c r="W97" i="33" s="1"/>
  <c r="I66" i="33"/>
  <c r="P46" i="33"/>
  <c r="X37" i="33"/>
  <c r="X66" i="33"/>
  <c r="K46" i="33"/>
  <c r="J50" i="33"/>
  <c r="J61" i="33"/>
  <c r="W60" i="33"/>
  <c r="J59" i="33"/>
  <c r="J49" i="33" s="1"/>
  <c r="J78" i="33"/>
  <c r="W78" i="33" s="1"/>
  <c r="W87" i="33"/>
  <c r="J88" i="33"/>
  <c r="J86" i="33"/>
  <c r="J77" i="33" s="1"/>
  <c r="L55" i="33"/>
  <c r="K62" i="33"/>
  <c r="P62" i="33" s="1"/>
  <c r="L97" i="33"/>
  <c r="K122" i="33" s="1"/>
  <c r="L127" i="33" s="1"/>
  <c r="L135" i="33" s="1"/>
  <c r="L138" i="33" s="1"/>
  <c r="L107" i="33"/>
  <c r="L105" i="33"/>
  <c r="L96" i="33" s="1"/>
  <c r="K89" i="33" l="1"/>
  <c r="P89" i="33" s="1"/>
  <c r="K68" i="33"/>
  <c r="S22" i="34"/>
  <c r="O26" i="6"/>
  <c r="O22" i="34"/>
  <c r="P66" i="33"/>
  <c r="L130" i="33"/>
  <c r="R22" i="34" s="1"/>
  <c r="I108" i="33"/>
  <c r="O108" i="33" s="1"/>
  <c r="K121" i="33"/>
  <c r="L128" i="33" s="1"/>
  <c r="W50" i="33"/>
  <c r="I122" i="33"/>
  <c r="J127" i="33" s="1"/>
  <c r="J130" i="33" s="1"/>
  <c r="K57" i="33"/>
  <c r="K64" i="33" s="1"/>
  <c r="P57" i="33"/>
  <c r="Y103" i="33"/>
  <c r="K84" i="33"/>
  <c r="K91" i="33" s="1"/>
  <c r="J82" i="33"/>
  <c r="Y84" i="33" s="1"/>
  <c r="I89" i="33"/>
  <c r="L101" i="33"/>
  <c r="P103" i="33" s="1"/>
  <c r="K108" i="33"/>
  <c r="P108" i="33" s="1"/>
  <c r="Y108" i="33"/>
  <c r="J55" i="33"/>
  <c r="O57" i="33" s="1"/>
  <c r="I62" i="33"/>
  <c r="I103" i="33"/>
  <c r="K70" i="33" l="1"/>
  <c r="Z26" i="6"/>
  <c r="Q22" i="34"/>
  <c r="P22" i="34"/>
  <c r="L136" i="33"/>
  <c r="P26" i="6"/>
  <c r="AB26" i="6"/>
  <c r="AA26" i="6"/>
  <c r="I110" i="33"/>
  <c r="O84" i="33"/>
  <c r="K103" i="33"/>
  <c r="K110" i="33" s="1"/>
  <c r="I84" i="33"/>
  <c r="I91" i="33" s="1"/>
  <c r="I57" i="33"/>
  <c r="I64" i="33" s="1"/>
  <c r="K114" i="33"/>
  <c r="K118" i="33"/>
  <c r="L125" i="33" s="1"/>
  <c r="X57" i="33"/>
  <c r="O62" i="33"/>
  <c r="X62" i="33"/>
  <c r="O89" i="33"/>
  <c r="Y89" i="33"/>
  <c r="G22" i="34" l="1"/>
  <c r="L133" i="33"/>
  <c r="L139" i="33" s="1"/>
  <c r="L126" i="33"/>
  <c r="L131" i="33" s="1"/>
  <c r="I118" i="33"/>
  <c r="J125" i="33" s="1"/>
  <c r="I114" i="33"/>
  <c r="I70" i="33"/>
  <c r="K200" i="32"/>
  <c r="I200" i="32"/>
  <c r="K199" i="32"/>
  <c r="I199" i="32"/>
  <c r="K196" i="32"/>
  <c r="I196" i="32"/>
  <c r="K195" i="32"/>
  <c r="I195" i="32"/>
  <c r="A194" i="32"/>
  <c r="AA192" i="32"/>
  <c r="Z192" i="32"/>
  <c r="Y192" i="32"/>
  <c r="V191" i="32"/>
  <c r="U191" i="32"/>
  <c r="T191" i="32"/>
  <c r="S191" i="32"/>
  <c r="R191" i="32"/>
  <c r="Q191" i="32"/>
  <c r="K192" i="32"/>
  <c r="E191" i="32"/>
  <c r="C191" i="32"/>
  <c r="B191" i="32"/>
  <c r="AA188" i="32"/>
  <c r="Z188" i="32"/>
  <c r="Y188" i="32"/>
  <c r="K187" i="32"/>
  <c r="F187" i="32"/>
  <c r="K186" i="32"/>
  <c r="K185" i="32" s="1"/>
  <c r="I186" i="32"/>
  <c r="I185" i="32" s="1"/>
  <c r="G186" i="32"/>
  <c r="G185" i="32" s="1"/>
  <c r="H185" i="32"/>
  <c r="AA183" i="32"/>
  <c r="Z183" i="32"/>
  <c r="Y183" i="32"/>
  <c r="J182" i="32"/>
  <c r="I182" i="32"/>
  <c r="H182" i="32"/>
  <c r="F182" i="32"/>
  <c r="K181" i="32"/>
  <c r="F181" i="32"/>
  <c r="K180" i="32"/>
  <c r="F180" i="32"/>
  <c r="K179" i="32"/>
  <c r="F179" i="32"/>
  <c r="L178" i="32"/>
  <c r="K178" i="32"/>
  <c r="J178" i="32"/>
  <c r="I178" i="32"/>
  <c r="H178" i="32"/>
  <c r="G178" i="32"/>
  <c r="K177" i="32"/>
  <c r="I177" i="32"/>
  <c r="H177" i="32"/>
  <c r="G177" i="32"/>
  <c r="K176" i="32"/>
  <c r="I176" i="32"/>
  <c r="H176" i="32"/>
  <c r="G176" i="32"/>
  <c r="L175" i="32"/>
  <c r="K175" i="32"/>
  <c r="J175" i="32"/>
  <c r="I175" i="32"/>
  <c r="H175" i="32"/>
  <c r="G175" i="32"/>
  <c r="V174" i="32"/>
  <c r="U174" i="32"/>
  <c r="T174" i="32"/>
  <c r="L180" i="32" s="1"/>
  <c r="S174" i="32"/>
  <c r="J180" i="32" s="1"/>
  <c r="R174" i="32"/>
  <c r="L179" i="32" s="1"/>
  <c r="Q174" i="32"/>
  <c r="J179" i="32" s="1"/>
  <c r="F174" i="32"/>
  <c r="E174" i="32"/>
  <c r="C174" i="32"/>
  <c r="B174" i="32"/>
  <c r="AA173" i="32"/>
  <c r="Z173" i="32"/>
  <c r="Y173" i="32"/>
  <c r="V172" i="32"/>
  <c r="U172" i="32"/>
  <c r="T172" i="32"/>
  <c r="S172" i="32"/>
  <c r="R172" i="32"/>
  <c r="Q172" i="32"/>
  <c r="L172" i="32"/>
  <c r="P173" i="32" s="1"/>
  <c r="K172" i="32"/>
  <c r="J172" i="32"/>
  <c r="O173" i="32" s="1"/>
  <c r="I172" i="32"/>
  <c r="H172" i="32"/>
  <c r="G172" i="32"/>
  <c r="F172" i="32"/>
  <c r="E172" i="32"/>
  <c r="C172" i="32"/>
  <c r="B172" i="32"/>
  <c r="AA171" i="32"/>
  <c r="Z171" i="32"/>
  <c r="Y171" i="32"/>
  <c r="V170" i="32"/>
  <c r="U170" i="32"/>
  <c r="T170" i="32"/>
  <c r="S170" i="32"/>
  <c r="R170" i="32"/>
  <c r="Q170" i="32"/>
  <c r="L170" i="32"/>
  <c r="P171" i="32" s="1"/>
  <c r="K170" i="32"/>
  <c r="J170" i="32"/>
  <c r="O171" i="32" s="1"/>
  <c r="I170" i="32"/>
  <c r="H170" i="32"/>
  <c r="G170" i="32"/>
  <c r="F170" i="32"/>
  <c r="E170" i="32"/>
  <c r="C170" i="32"/>
  <c r="B170" i="32"/>
  <c r="AA167" i="32"/>
  <c r="Z167" i="32"/>
  <c r="Y167" i="32"/>
  <c r="K166" i="32"/>
  <c r="F166" i="32"/>
  <c r="K165" i="32"/>
  <c r="K164" i="32" s="1"/>
  <c r="I165" i="32"/>
  <c r="I164" i="32" s="1"/>
  <c r="G165" i="32"/>
  <c r="G164" i="32" s="1"/>
  <c r="H164" i="32"/>
  <c r="AA162" i="32"/>
  <c r="Z162" i="32"/>
  <c r="Y162" i="32"/>
  <c r="J161" i="32"/>
  <c r="I161" i="32"/>
  <c r="H161" i="32"/>
  <c r="F161" i="32"/>
  <c r="K160" i="32"/>
  <c r="F160" i="32"/>
  <c r="K159" i="32"/>
  <c r="F159" i="32"/>
  <c r="K158" i="32"/>
  <c r="F158" i="32"/>
  <c r="L157" i="32"/>
  <c r="K157" i="32"/>
  <c r="J157" i="32"/>
  <c r="I157" i="32"/>
  <c r="H157" i="32"/>
  <c r="G157" i="32"/>
  <c r="K156" i="32"/>
  <c r="I156" i="32"/>
  <c r="H156" i="32"/>
  <c r="G156" i="32"/>
  <c r="K155" i="32"/>
  <c r="I155" i="32"/>
  <c r="H155" i="32"/>
  <c r="G155" i="32"/>
  <c r="L154" i="32"/>
  <c r="K154" i="32"/>
  <c r="J154" i="32"/>
  <c r="I154" i="32"/>
  <c r="H154" i="32"/>
  <c r="G154" i="32"/>
  <c r="V153" i="32"/>
  <c r="U153" i="32"/>
  <c r="T153" i="32"/>
  <c r="L159" i="32" s="1"/>
  <c r="S153" i="32"/>
  <c r="J159" i="32" s="1"/>
  <c r="R153" i="32"/>
  <c r="L158" i="32" s="1"/>
  <c r="Q153" i="32"/>
  <c r="J158" i="32" s="1"/>
  <c r="F153" i="32"/>
  <c r="E153" i="32"/>
  <c r="C153" i="32"/>
  <c r="B153" i="32"/>
  <c r="AA150" i="32"/>
  <c r="Z150" i="32"/>
  <c r="Y150" i="32"/>
  <c r="K149" i="32"/>
  <c r="F149" i="32"/>
  <c r="K148" i="32"/>
  <c r="K147" i="32" s="1"/>
  <c r="I148" i="32"/>
  <c r="I147" i="32" s="1"/>
  <c r="G148" i="32"/>
  <c r="G147" i="32" s="1"/>
  <c r="H147" i="32"/>
  <c r="AA145" i="32"/>
  <c r="Z145" i="32"/>
  <c r="Y145" i="32"/>
  <c r="J144" i="32"/>
  <c r="I144" i="32"/>
  <c r="H144" i="32"/>
  <c r="F144" i="32"/>
  <c r="K143" i="32"/>
  <c r="F143" i="32"/>
  <c r="K142" i="32"/>
  <c r="F142" i="32"/>
  <c r="K141" i="32"/>
  <c r="F141" i="32"/>
  <c r="AA140" i="32"/>
  <c r="Z140" i="32"/>
  <c r="Y140" i="32"/>
  <c r="V140" i="32"/>
  <c r="U140" i="32"/>
  <c r="T140" i="32"/>
  <c r="S140" i="32"/>
  <c r="R140" i="32"/>
  <c r="Q140" i="32"/>
  <c r="L140" i="32"/>
  <c r="K140" i="32"/>
  <c r="J140" i="32"/>
  <c r="X140" i="32" s="1"/>
  <c r="I140" i="32"/>
  <c r="G140" i="32"/>
  <c r="F140" i="32"/>
  <c r="E140" i="32"/>
  <c r="C140" i="32"/>
  <c r="B140" i="32"/>
  <c r="L139" i="32"/>
  <c r="K139" i="32"/>
  <c r="J139" i="32"/>
  <c r="I139" i="32"/>
  <c r="H139" i="32"/>
  <c r="G139" i="32"/>
  <c r="K138" i="32"/>
  <c r="I138" i="32"/>
  <c r="H138" i="32"/>
  <c r="G138" i="32"/>
  <c r="K137" i="32"/>
  <c r="I137" i="32"/>
  <c r="H137" i="32"/>
  <c r="G137" i="32"/>
  <c r="L136" i="32"/>
  <c r="K136" i="32"/>
  <c r="J136" i="32"/>
  <c r="W136" i="32" s="1"/>
  <c r="I136" i="32"/>
  <c r="H136" i="32"/>
  <c r="G136" i="32"/>
  <c r="V135" i="32"/>
  <c r="U135" i="32"/>
  <c r="T135" i="32"/>
  <c r="S135" i="32"/>
  <c r="R135" i="32"/>
  <c r="Q135" i="32"/>
  <c r="F135" i="32"/>
  <c r="E135" i="32"/>
  <c r="C135" i="32"/>
  <c r="B135" i="32"/>
  <c r="AA134" i="32"/>
  <c r="Z134" i="32"/>
  <c r="Y134" i="32"/>
  <c r="V133" i="32"/>
  <c r="U133" i="32"/>
  <c r="T133" i="32"/>
  <c r="S133" i="32"/>
  <c r="R133" i="32"/>
  <c r="Q133" i="32"/>
  <c r="L133" i="32"/>
  <c r="K134" i="32" s="1"/>
  <c r="K133" i="32"/>
  <c r="J133" i="32"/>
  <c r="O134" i="32" s="1"/>
  <c r="I133" i="32"/>
  <c r="H133" i="32"/>
  <c r="G133" i="32"/>
  <c r="F133" i="32"/>
  <c r="E133" i="32"/>
  <c r="C133" i="32"/>
  <c r="B133" i="32"/>
  <c r="AA132" i="32"/>
  <c r="Z132" i="32"/>
  <c r="Y132" i="32"/>
  <c r="V131" i="32"/>
  <c r="U131" i="32"/>
  <c r="T131" i="32"/>
  <c r="S131" i="32"/>
  <c r="R131" i="32"/>
  <c r="Q131" i="32"/>
  <c r="L131" i="32"/>
  <c r="K132" i="32" s="1"/>
  <c r="K131" i="32"/>
  <c r="J131" i="32"/>
  <c r="O132" i="32" s="1"/>
  <c r="I131" i="32"/>
  <c r="H131" i="32"/>
  <c r="G131" i="32"/>
  <c r="F131" i="32"/>
  <c r="E131" i="32"/>
  <c r="C131" i="32"/>
  <c r="B131" i="32"/>
  <c r="AA128" i="32"/>
  <c r="Z128" i="32"/>
  <c r="Y128" i="32"/>
  <c r="K127" i="32"/>
  <c r="F127" i="32"/>
  <c r="K126" i="32"/>
  <c r="K125" i="32" s="1"/>
  <c r="I126" i="32"/>
  <c r="I125" i="32" s="1"/>
  <c r="G126" i="32"/>
  <c r="H125" i="32"/>
  <c r="AA123" i="32"/>
  <c r="Z123" i="32"/>
  <c r="Y123" i="32"/>
  <c r="J122" i="32"/>
  <c r="I122" i="32"/>
  <c r="H122" i="32"/>
  <c r="F122" i="32"/>
  <c r="K121" i="32"/>
  <c r="F121" i="32"/>
  <c r="K120" i="32"/>
  <c r="F120" i="32"/>
  <c r="K119" i="32"/>
  <c r="F119" i="32"/>
  <c r="L118" i="32"/>
  <c r="K118" i="32"/>
  <c r="J118" i="32"/>
  <c r="I118" i="32"/>
  <c r="H118" i="32"/>
  <c r="G118" i="32"/>
  <c r="K117" i="32"/>
  <c r="I117" i="32"/>
  <c r="H117" i="32"/>
  <c r="G117" i="32"/>
  <c r="K116" i="32"/>
  <c r="I116" i="32"/>
  <c r="H116" i="32"/>
  <c r="G116" i="32"/>
  <c r="L115" i="32"/>
  <c r="K115" i="32"/>
  <c r="J115" i="32"/>
  <c r="I115" i="32"/>
  <c r="H115" i="32"/>
  <c r="G115" i="32"/>
  <c r="V114" i="32"/>
  <c r="U114" i="32"/>
  <c r="T114" i="32"/>
  <c r="L120" i="32" s="1"/>
  <c r="S114" i="32"/>
  <c r="J120" i="32" s="1"/>
  <c r="R114" i="32"/>
  <c r="L119" i="32" s="1"/>
  <c r="Q114" i="32"/>
  <c r="J119" i="32" s="1"/>
  <c r="F114" i="32"/>
  <c r="E114" i="32"/>
  <c r="C114" i="32"/>
  <c r="B114" i="32"/>
  <c r="AA111" i="32"/>
  <c r="Z111" i="32"/>
  <c r="Y111" i="32"/>
  <c r="K110" i="32"/>
  <c r="F110" i="32"/>
  <c r="K109" i="32"/>
  <c r="K108" i="32" s="1"/>
  <c r="I109" i="32"/>
  <c r="I108" i="32" s="1"/>
  <c r="G109" i="32"/>
  <c r="G108" i="32" s="1"/>
  <c r="H108" i="32"/>
  <c r="AA106" i="32"/>
  <c r="Z106" i="32"/>
  <c r="Y106" i="32"/>
  <c r="J105" i="32"/>
  <c r="I105" i="32"/>
  <c r="H105" i="32"/>
  <c r="F105" i="32"/>
  <c r="K104" i="32"/>
  <c r="F104" i="32"/>
  <c r="K103" i="32"/>
  <c r="F103" i="32"/>
  <c r="K102" i="32"/>
  <c r="F102" i="32"/>
  <c r="AA101" i="32"/>
  <c r="Z101" i="32"/>
  <c r="Y101" i="32"/>
  <c r="V101" i="32"/>
  <c r="U101" i="32"/>
  <c r="T101" i="32"/>
  <c r="S101" i="32"/>
  <c r="R101" i="32"/>
  <c r="Q101" i="32"/>
  <c r="L101" i="32"/>
  <c r="K101" i="32"/>
  <c r="J101" i="32"/>
  <c r="X101" i="32" s="1"/>
  <c r="I101" i="32"/>
  <c r="G101" i="32"/>
  <c r="F101" i="32"/>
  <c r="E101" i="32"/>
  <c r="C101" i="32"/>
  <c r="B101" i="32"/>
  <c r="L100" i="32"/>
  <c r="K100" i="32"/>
  <c r="J100" i="32"/>
  <c r="I100" i="32"/>
  <c r="H100" i="32"/>
  <c r="G100" i="32"/>
  <c r="K99" i="32"/>
  <c r="I99" i="32"/>
  <c r="H99" i="32"/>
  <c r="G99" i="32"/>
  <c r="K98" i="32"/>
  <c r="I98" i="32"/>
  <c r="H98" i="32"/>
  <c r="G98" i="32"/>
  <c r="L97" i="32"/>
  <c r="K97" i="32"/>
  <c r="J97" i="32"/>
  <c r="I97" i="32"/>
  <c r="H97" i="32"/>
  <c r="G97" i="32"/>
  <c r="V96" i="32"/>
  <c r="U96" i="32"/>
  <c r="T96" i="32"/>
  <c r="S96" i="32"/>
  <c r="R96" i="32"/>
  <c r="Q96" i="32"/>
  <c r="F96" i="32"/>
  <c r="E96" i="32"/>
  <c r="C96" i="32"/>
  <c r="B96" i="32"/>
  <c r="AA93" i="32"/>
  <c r="Z93" i="32"/>
  <c r="Y93" i="32"/>
  <c r="K92" i="32"/>
  <c r="F92" i="32"/>
  <c r="K91" i="32"/>
  <c r="K90" i="32" s="1"/>
  <c r="I91" i="32"/>
  <c r="I90" i="32" s="1"/>
  <c r="G91" i="32"/>
  <c r="G90" i="32" s="1"/>
  <c r="H90" i="32"/>
  <c r="AA88" i="32"/>
  <c r="Z88" i="32"/>
  <c r="Y88" i="32"/>
  <c r="J87" i="32"/>
  <c r="I87" i="32"/>
  <c r="H87" i="32"/>
  <c r="F87" i="32"/>
  <c r="K86" i="32"/>
  <c r="F86" i="32"/>
  <c r="K85" i="32"/>
  <c r="F85" i="32"/>
  <c r="K84" i="32"/>
  <c r="F84" i="32"/>
  <c r="AA83" i="32"/>
  <c r="Z83" i="32"/>
  <c r="Y83" i="32"/>
  <c r="V83" i="32"/>
  <c r="U83" i="32"/>
  <c r="T83" i="32"/>
  <c r="S83" i="32"/>
  <c r="R83" i="32"/>
  <c r="Q83" i="32"/>
  <c r="L83" i="32"/>
  <c r="K83" i="32"/>
  <c r="J83" i="32"/>
  <c r="X83" i="32" s="1"/>
  <c r="I83" i="32"/>
  <c r="G83" i="32"/>
  <c r="F83" i="32"/>
  <c r="E83" i="32"/>
  <c r="C83" i="32"/>
  <c r="B83" i="32"/>
  <c r="L82" i="32"/>
  <c r="K82" i="32"/>
  <c r="J82" i="32"/>
  <c r="I82" i="32"/>
  <c r="H82" i="32"/>
  <c r="G82" i="32"/>
  <c r="K81" i="32"/>
  <c r="I81" i="32"/>
  <c r="H81" i="32"/>
  <c r="G81" i="32"/>
  <c r="K80" i="32"/>
  <c r="I80" i="32"/>
  <c r="H80" i="32"/>
  <c r="G80" i="32"/>
  <c r="L79" i="32"/>
  <c r="K79" i="32"/>
  <c r="J79" i="32"/>
  <c r="W79" i="32" s="1"/>
  <c r="I79" i="32"/>
  <c r="H79" i="32"/>
  <c r="G79" i="32"/>
  <c r="V78" i="32"/>
  <c r="U78" i="32"/>
  <c r="T78" i="32"/>
  <c r="S78" i="32"/>
  <c r="R78" i="32"/>
  <c r="Q78" i="32"/>
  <c r="F78" i="32"/>
  <c r="E78" i="32"/>
  <c r="C78" i="32"/>
  <c r="B78" i="32"/>
  <c r="AA77" i="32"/>
  <c r="Z77" i="32"/>
  <c r="Y77" i="32"/>
  <c r="V76" i="32"/>
  <c r="U76" i="32"/>
  <c r="T76" i="32"/>
  <c r="S76" i="32"/>
  <c r="R76" i="32"/>
  <c r="Q76" i="32"/>
  <c r="L76" i="32"/>
  <c r="K77" i="32" s="1"/>
  <c r="K76" i="32"/>
  <c r="J76" i="32"/>
  <c r="O77" i="32" s="1"/>
  <c r="I76" i="32"/>
  <c r="H76" i="32"/>
  <c r="G76" i="32"/>
  <c r="F76" i="32"/>
  <c r="E76" i="32"/>
  <c r="C76" i="32"/>
  <c r="B76" i="32"/>
  <c r="AA75" i="32"/>
  <c r="Z75" i="32"/>
  <c r="Y75" i="32"/>
  <c r="V74" i="32"/>
  <c r="U74" i="32"/>
  <c r="T74" i="32"/>
  <c r="S74" i="32"/>
  <c r="R74" i="32"/>
  <c r="Q74" i="32"/>
  <c r="L74" i="32"/>
  <c r="K75" i="32" s="1"/>
  <c r="K74" i="32"/>
  <c r="J74" i="32"/>
  <c r="O75" i="32" s="1"/>
  <c r="I74" i="32"/>
  <c r="H74" i="32"/>
  <c r="G74" i="32"/>
  <c r="F74" i="32"/>
  <c r="E74" i="32"/>
  <c r="C74" i="32"/>
  <c r="B74" i="32"/>
  <c r="AA73" i="32"/>
  <c r="Z73" i="32"/>
  <c r="Y73" i="32"/>
  <c r="V72" i="32"/>
  <c r="U72" i="32"/>
  <c r="T72" i="32"/>
  <c r="S72" i="32"/>
  <c r="R72" i="32"/>
  <c r="Q72" i="32"/>
  <c r="L72" i="32"/>
  <c r="K73" i="32" s="1"/>
  <c r="K72" i="32"/>
  <c r="J72" i="32"/>
  <c r="O73" i="32" s="1"/>
  <c r="I72" i="32"/>
  <c r="H72" i="32"/>
  <c r="G72" i="32"/>
  <c r="F72" i="32"/>
  <c r="E72" i="32"/>
  <c r="C72" i="32"/>
  <c r="B72" i="32"/>
  <c r="AA71" i="32"/>
  <c r="Z71" i="32"/>
  <c r="Y71" i="32"/>
  <c r="V70" i="32"/>
  <c r="U70" i="32"/>
  <c r="T70" i="32"/>
  <c r="S70" i="32"/>
  <c r="R70" i="32"/>
  <c r="Q70" i="32"/>
  <c r="L70" i="32"/>
  <c r="K71" i="32" s="1"/>
  <c r="K70" i="32"/>
  <c r="J70" i="32"/>
  <c r="O71" i="32" s="1"/>
  <c r="I70" i="32"/>
  <c r="H70" i="32"/>
  <c r="G70" i="32"/>
  <c r="F70" i="32"/>
  <c r="E70" i="32"/>
  <c r="C70" i="32"/>
  <c r="B70" i="32"/>
  <c r="AA69" i="32"/>
  <c r="Z69" i="32"/>
  <c r="Y69" i="32"/>
  <c r="V68" i="32"/>
  <c r="U68" i="32"/>
  <c r="T68" i="32"/>
  <c r="S68" i="32"/>
  <c r="R68" i="32"/>
  <c r="Q68" i="32"/>
  <c r="K69" i="32"/>
  <c r="O69" i="32"/>
  <c r="E68" i="32"/>
  <c r="C68" i="32"/>
  <c r="B68" i="32"/>
  <c r="AA67" i="32"/>
  <c r="Z67" i="32"/>
  <c r="Y67" i="32"/>
  <c r="V66" i="32"/>
  <c r="U66" i="32"/>
  <c r="T66" i="32"/>
  <c r="S66" i="32"/>
  <c r="R66" i="32"/>
  <c r="Q66" i="32"/>
  <c r="F66" i="32"/>
  <c r="L66" i="32" s="1"/>
  <c r="E66" i="32"/>
  <c r="C66" i="32"/>
  <c r="B66" i="32"/>
  <c r="AA65" i="32"/>
  <c r="Z65" i="32"/>
  <c r="Y65" i="32"/>
  <c r="V64" i="32"/>
  <c r="U64" i="32"/>
  <c r="T64" i="32"/>
  <c r="S64" i="32"/>
  <c r="R64" i="32"/>
  <c r="Q64" i="32"/>
  <c r="F64" i="32"/>
  <c r="L64" i="32" s="1"/>
  <c r="J64" i="32" s="1"/>
  <c r="E64" i="32"/>
  <c r="C64" i="32"/>
  <c r="B64" i="32"/>
  <c r="AA63" i="32"/>
  <c r="Z63" i="32"/>
  <c r="Y63" i="32"/>
  <c r="V62" i="32"/>
  <c r="U62" i="32"/>
  <c r="T62" i="32"/>
  <c r="S62" i="32"/>
  <c r="R62" i="32"/>
  <c r="Q62" i="32"/>
  <c r="F62" i="32"/>
  <c r="L62" i="32" s="1"/>
  <c r="E62" i="32"/>
  <c r="C62" i="32"/>
  <c r="B62" i="32"/>
  <c r="AA59" i="32"/>
  <c r="Z59" i="32"/>
  <c r="Y59" i="32"/>
  <c r="K58" i="32"/>
  <c r="F58" i="32"/>
  <c r="K57" i="32"/>
  <c r="K56" i="32" s="1"/>
  <c r="I57" i="32"/>
  <c r="I56" i="32" s="1"/>
  <c r="G57" i="32"/>
  <c r="H56" i="32"/>
  <c r="AA54" i="32"/>
  <c r="Z54" i="32"/>
  <c r="Y54" i="32"/>
  <c r="J53" i="32"/>
  <c r="I53" i="32"/>
  <c r="H53" i="32"/>
  <c r="F53" i="32"/>
  <c r="K52" i="32"/>
  <c r="F52" i="32"/>
  <c r="K51" i="32"/>
  <c r="F51" i="32"/>
  <c r="K50" i="32"/>
  <c r="F50" i="32"/>
  <c r="L49" i="32"/>
  <c r="K49" i="32"/>
  <c r="J49" i="32"/>
  <c r="I49" i="32"/>
  <c r="H49" i="32"/>
  <c r="G49" i="32"/>
  <c r="K48" i="32"/>
  <c r="I48" i="32"/>
  <c r="H48" i="32"/>
  <c r="G48" i="32"/>
  <c r="K47" i="32"/>
  <c r="I47" i="32"/>
  <c r="H47" i="32"/>
  <c r="G47" i="32"/>
  <c r="L46" i="32"/>
  <c r="K46" i="32"/>
  <c r="J46" i="32"/>
  <c r="I46" i="32"/>
  <c r="H46" i="32"/>
  <c r="G46" i="32"/>
  <c r="V45" i="32"/>
  <c r="U45" i="32"/>
  <c r="T45" i="32"/>
  <c r="L51" i="32" s="1"/>
  <c r="S45" i="32"/>
  <c r="J51" i="32" s="1"/>
  <c r="R45" i="32"/>
  <c r="L50" i="32" s="1"/>
  <c r="Q45" i="32"/>
  <c r="J50" i="32" s="1"/>
  <c r="F45" i="32"/>
  <c r="E45" i="32"/>
  <c r="C45" i="32"/>
  <c r="B45" i="32"/>
  <c r="A44" i="32"/>
  <c r="K42" i="32"/>
  <c r="I42" i="32"/>
  <c r="K41" i="32"/>
  <c r="I41" i="32"/>
  <c r="K39" i="32"/>
  <c r="I39" i="32"/>
  <c r="K38" i="32"/>
  <c r="I38" i="32"/>
  <c r="A37" i="32"/>
  <c r="AA33" i="32"/>
  <c r="Z33" i="32"/>
  <c r="Y33" i="32"/>
  <c r="K32" i="32"/>
  <c r="F32" i="32"/>
  <c r="K31" i="32"/>
  <c r="K30" i="32" s="1"/>
  <c r="I31" i="32"/>
  <c r="I30" i="32" s="1"/>
  <c r="G31" i="32"/>
  <c r="G30" i="32" s="1"/>
  <c r="H30" i="32"/>
  <c r="AA28" i="32"/>
  <c r="Z28" i="32"/>
  <c r="Y28" i="32"/>
  <c r="J27" i="32"/>
  <c r="I27" i="32"/>
  <c r="H27" i="32"/>
  <c r="F27" i="32"/>
  <c r="K26" i="32"/>
  <c r="F26" i="32"/>
  <c r="K25" i="32"/>
  <c r="F25" i="32"/>
  <c r="K24" i="32"/>
  <c r="F24" i="32"/>
  <c r="AA23" i="32"/>
  <c r="Z23" i="32"/>
  <c r="Y23" i="32"/>
  <c r="V23" i="32"/>
  <c r="U23" i="32"/>
  <c r="T23" i="32"/>
  <c r="S23" i="32"/>
  <c r="R23" i="32"/>
  <c r="Q23" i="32"/>
  <c r="L23" i="32"/>
  <c r="K23" i="32"/>
  <c r="J23" i="32"/>
  <c r="X23" i="32" s="1"/>
  <c r="I23" i="32"/>
  <c r="G23" i="32"/>
  <c r="F23" i="32"/>
  <c r="E23" i="32"/>
  <c r="C23" i="32"/>
  <c r="B23" i="32"/>
  <c r="L22" i="32"/>
  <c r="K22" i="32"/>
  <c r="J22" i="32"/>
  <c r="I22" i="32"/>
  <c r="H22" i="32"/>
  <c r="G22" i="32"/>
  <c r="K21" i="32"/>
  <c r="I21" i="32"/>
  <c r="H21" i="32"/>
  <c r="G21" i="32"/>
  <c r="K20" i="32"/>
  <c r="I20" i="32"/>
  <c r="H20" i="32"/>
  <c r="G20" i="32"/>
  <c r="L19" i="32"/>
  <c r="K19" i="32"/>
  <c r="J19" i="32"/>
  <c r="I19" i="32"/>
  <c r="H19" i="32"/>
  <c r="G19" i="32"/>
  <c r="V18" i="32"/>
  <c r="U18" i="32"/>
  <c r="T18" i="32"/>
  <c r="S18" i="32"/>
  <c r="R18" i="32"/>
  <c r="Q18" i="32"/>
  <c r="F18" i="32"/>
  <c r="E18" i="32"/>
  <c r="C18" i="32"/>
  <c r="B18" i="32"/>
  <c r="A17" i="32"/>
  <c r="J126" i="33" l="1"/>
  <c r="J131" i="33" s="1"/>
  <c r="F22" i="34"/>
  <c r="T22" i="34" s="1"/>
  <c r="L134" i="33"/>
  <c r="H22" i="34"/>
  <c r="V22" i="34" s="1"/>
  <c r="U22" i="34"/>
  <c r="G26" i="6"/>
  <c r="K204" i="32"/>
  <c r="J24" i="32"/>
  <c r="J85" i="32"/>
  <c r="I204" i="32"/>
  <c r="J148" i="32"/>
  <c r="W148" i="32" s="1"/>
  <c r="L142" i="32"/>
  <c r="K202" i="32"/>
  <c r="L209" i="32" s="1"/>
  <c r="L24" i="32"/>
  <c r="J31" i="32"/>
  <c r="J32" i="32" s="1"/>
  <c r="J26" i="32" s="1"/>
  <c r="J66" i="32"/>
  <c r="O67" i="32" s="1"/>
  <c r="K67" i="32"/>
  <c r="J62" i="32"/>
  <c r="X63" i="32" s="1"/>
  <c r="K63" i="32"/>
  <c r="O65" i="32"/>
  <c r="G64" i="32"/>
  <c r="K65" i="32"/>
  <c r="L103" i="32"/>
  <c r="J142" i="32"/>
  <c r="L25" i="32"/>
  <c r="J84" i="32"/>
  <c r="J141" i="32"/>
  <c r="L109" i="32"/>
  <c r="L110" i="32" s="1"/>
  <c r="J25" i="32"/>
  <c r="X71" i="32"/>
  <c r="I73" i="32"/>
  <c r="I75" i="32"/>
  <c r="L31" i="32"/>
  <c r="L32" i="32" s="1"/>
  <c r="K33" i="32" s="1"/>
  <c r="P33" i="32" s="1"/>
  <c r="X75" i="32"/>
  <c r="I77" i="32"/>
  <c r="I171" i="32"/>
  <c r="P134" i="32"/>
  <c r="P63" i="32"/>
  <c r="P69" i="32"/>
  <c r="P73" i="32"/>
  <c r="P77" i="32"/>
  <c r="J91" i="32"/>
  <c r="J92" i="32" s="1"/>
  <c r="I93" i="32" s="1"/>
  <c r="O93" i="32" s="1"/>
  <c r="J102" i="32"/>
  <c r="L102" i="32"/>
  <c r="L126" i="32"/>
  <c r="L127" i="32" s="1"/>
  <c r="I132" i="32"/>
  <c r="X134" i="32"/>
  <c r="X171" i="32"/>
  <c r="I173" i="32"/>
  <c r="L186" i="32"/>
  <c r="L177" i="32" s="1"/>
  <c r="J186" i="32"/>
  <c r="J185" i="32" s="1"/>
  <c r="J176" i="32" s="1"/>
  <c r="P192" i="32"/>
  <c r="P67" i="32"/>
  <c r="P65" i="32"/>
  <c r="X69" i="32"/>
  <c r="I71" i="32"/>
  <c r="X73" i="32"/>
  <c r="X77" i="32"/>
  <c r="P132" i="32"/>
  <c r="L141" i="32"/>
  <c r="X173" i="32"/>
  <c r="J109" i="32"/>
  <c r="J108" i="32" s="1"/>
  <c r="J98" i="32" s="1"/>
  <c r="J21" i="32"/>
  <c r="X65" i="32"/>
  <c r="P71" i="32"/>
  <c r="P75" i="32"/>
  <c r="L84" i="32"/>
  <c r="X132" i="32"/>
  <c r="I134" i="32"/>
  <c r="J103" i="32"/>
  <c r="K171" i="32"/>
  <c r="W175" i="32"/>
  <c r="W46" i="32"/>
  <c r="L57" i="32"/>
  <c r="I65" i="32"/>
  <c r="I69" i="32"/>
  <c r="W19" i="32"/>
  <c r="J57" i="32"/>
  <c r="G56" i="32"/>
  <c r="L85" i="32"/>
  <c r="J126" i="32"/>
  <c r="G125" i="32"/>
  <c r="L165" i="32"/>
  <c r="J165" i="32"/>
  <c r="K173" i="32"/>
  <c r="O192" i="32"/>
  <c r="X192" i="32"/>
  <c r="I192" i="32"/>
  <c r="L91" i="32"/>
  <c r="W97" i="32"/>
  <c r="L148" i="32"/>
  <c r="W154" i="32"/>
  <c r="W115" i="32"/>
  <c r="F26" i="6" l="1"/>
  <c r="P21" i="34"/>
  <c r="L219" i="32"/>
  <c r="I33" i="32"/>
  <c r="X33" i="32" s="1"/>
  <c r="H26" i="6"/>
  <c r="I67" i="32"/>
  <c r="P25" i="6"/>
  <c r="M26" i="6"/>
  <c r="I202" i="32"/>
  <c r="J209" i="32" s="1"/>
  <c r="J138" i="32"/>
  <c r="W138" i="32" s="1"/>
  <c r="J147" i="32"/>
  <c r="J137" i="32" s="1"/>
  <c r="J149" i="32"/>
  <c r="J143" i="32" s="1"/>
  <c r="L30" i="32"/>
  <c r="L20" i="32" s="1"/>
  <c r="L21" i="32"/>
  <c r="W31" i="32"/>
  <c r="W21" i="32"/>
  <c r="J30" i="32"/>
  <c r="J20" i="32" s="1"/>
  <c r="X28" i="32" s="1"/>
  <c r="L117" i="32"/>
  <c r="G66" i="32"/>
  <c r="L26" i="32"/>
  <c r="X67" i="32"/>
  <c r="G62" i="32"/>
  <c r="I63" i="32"/>
  <c r="O63" i="32"/>
  <c r="J99" i="32"/>
  <c r="W99" i="32" s="1"/>
  <c r="L185" i="32"/>
  <c r="L176" i="32" s="1"/>
  <c r="W91" i="32"/>
  <c r="L99" i="32"/>
  <c r="L108" i="32"/>
  <c r="L98" i="32" s="1"/>
  <c r="J86" i="32"/>
  <c r="L187" i="32"/>
  <c r="K188" i="32" s="1"/>
  <c r="P188" i="32" s="1"/>
  <c r="X93" i="32"/>
  <c r="J81" i="32"/>
  <c r="W81" i="32" s="1"/>
  <c r="J90" i="32"/>
  <c r="J80" i="32" s="1"/>
  <c r="W109" i="32"/>
  <c r="J110" i="32"/>
  <c r="I111" i="32" s="1"/>
  <c r="L125" i="32"/>
  <c r="L116" i="32" s="1"/>
  <c r="W186" i="32"/>
  <c r="J187" i="32"/>
  <c r="J177" i="32"/>
  <c r="W177" i="32" s="1"/>
  <c r="K128" i="32"/>
  <c r="P128" i="32" s="1"/>
  <c r="L121" i="32"/>
  <c r="L149" i="32"/>
  <c r="L138" i="32"/>
  <c r="L147" i="32"/>
  <c r="L137" i="32" s="1"/>
  <c r="J127" i="32"/>
  <c r="W126" i="32"/>
  <c r="J125" i="32"/>
  <c r="J116" i="32" s="1"/>
  <c r="J117" i="32"/>
  <c r="W117" i="32" s="1"/>
  <c r="J156" i="32"/>
  <c r="W156" i="32" s="1"/>
  <c r="J166" i="32"/>
  <c r="W165" i="32"/>
  <c r="J164" i="32"/>
  <c r="J155" i="32" s="1"/>
  <c r="W57" i="32"/>
  <c r="J56" i="32"/>
  <c r="J47" i="32" s="1"/>
  <c r="J48" i="32"/>
  <c r="W48" i="32" s="1"/>
  <c r="J58" i="32"/>
  <c r="L48" i="32"/>
  <c r="L58" i="32"/>
  <c r="L56" i="32"/>
  <c r="L47" i="32" s="1"/>
  <c r="O33" i="32"/>
  <c r="L92" i="32"/>
  <c r="L90" i="32"/>
  <c r="L80" i="32" s="1"/>
  <c r="L81" i="32"/>
  <c r="L164" i="32"/>
  <c r="L155" i="32" s="1"/>
  <c r="L156" i="32"/>
  <c r="L166" i="32"/>
  <c r="L104" i="32"/>
  <c r="K111" i="32"/>
  <c r="P111" i="32" s="1"/>
  <c r="O88" i="32" l="1"/>
  <c r="P106" i="32"/>
  <c r="L26" i="6"/>
  <c r="K203" i="32"/>
  <c r="L208" i="32" s="1"/>
  <c r="L218" i="32" s="1"/>
  <c r="L221" i="32" s="1"/>
  <c r="S21" i="34" s="1"/>
  <c r="O25" i="6"/>
  <c r="O21" i="34"/>
  <c r="I150" i="32"/>
  <c r="X150" i="32" s="1"/>
  <c r="N26" i="6"/>
  <c r="O145" i="32"/>
  <c r="K28" i="32"/>
  <c r="K35" i="32" s="1"/>
  <c r="O28" i="32"/>
  <c r="I37" i="32" s="1"/>
  <c r="I203" i="32"/>
  <c r="J208" i="32" s="1"/>
  <c r="J213" i="32" s="1"/>
  <c r="I28" i="32"/>
  <c r="I35" i="32" s="1"/>
  <c r="J104" i="32"/>
  <c r="O106" i="32" s="1"/>
  <c r="L181" i="32"/>
  <c r="K183" i="32" s="1"/>
  <c r="K190" i="32" s="1"/>
  <c r="P28" i="32"/>
  <c r="K37" i="32" s="1"/>
  <c r="I88" i="32"/>
  <c r="I95" i="32" s="1"/>
  <c r="X88" i="32"/>
  <c r="I188" i="32"/>
  <c r="J181" i="32"/>
  <c r="P123" i="32"/>
  <c r="L86" i="32"/>
  <c r="K88" i="32" s="1"/>
  <c r="K93" i="32"/>
  <c r="P93" i="32" s="1"/>
  <c r="K123" i="32"/>
  <c r="K130" i="32" s="1"/>
  <c r="L52" i="32"/>
  <c r="K54" i="32" s="1"/>
  <c r="K59" i="32"/>
  <c r="P59" i="32" s="1"/>
  <c r="J160" i="32"/>
  <c r="O162" i="32" s="1"/>
  <c r="I167" i="32"/>
  <c r="I145" i="32"/>
  <c r="K167" i="32"/>
  <c r="P167" i="32" s="1"/>
  <c r="L160" i="32"/>
  <c r="P162" i="32" s="1"/>
  <c r="J121" i="32"/>
  <c r="O123" i="32" s="1"/>
  <c r="I128" i="32"/>
  <c r="X145" i="32"/>
  <c r="I59" i="32"/>
  <c r="J52" i="32"/>
  <c r="X54" i="32" s="1"/>
  <c r="O111" i="32"/>
  <c r="X111" i="32"/>
  <c r="L143" i="32"/>
  <c r="K145" i="32" s="1"/>
  <c r="K150" i="32"/>
  <c r="P150" i="32" s="1"/>
  <c r="K106" i="32"/>
  <c r="K113" i="32" s="1"/>
  <c r="I152" i="32" l="1"/>
  <c r="O150" i="32"/>
  <c r="L213" i="32"/>
  <c r="R21" i="34" s="1"/>
  <c r="Z25" i="6"/>
  <c r="Q21" i="34"/>
  <c r="X106" i="32"/>
  <c r="AB25" i="6"/>
  <c r="K95" i="32"/>
  <c r="I106" i="32"/>
  <c r="I113" i="32" s="1"/>
  <c r="P183" i="32"/>
  <c r="P88" i="32"/>
  <c r="K162" i="32"/>
  <c r="K169" i="32" s="1"/>
  <c r="I54" i="32"/>
  <c r="I61" i="32" s="1"/>
  <c r="P54" i="32"/>
  <c r="X162" i="32"/>
  <c r="I183" i="32"/>
  <c r="I190" i="32" s="1"/>
  <c r="X183" i="32"/>
  <c r="O183" i="32"/>
  <c r="K152" i="32"/>
  <c r="I162" i="32"/>
  <c r="I169" i="32" s="1"/>
  <c r="K61" i="32"/>
  <c r="O188" i="32"/>
  <c r="X188" i="32"/>
  <c r="O167" i="32"/>
  <c r="X167" i="32"/>
  <c r="O54" i="32"/>
  <c r="I123" i="32"/>
  <c r="I130" i="32" s="1"/>
  <c r="X123" i="32"/>
  <c r="X59" i="32"/>
  <c r="O59" i="32"/>
  <c r="X128" i="32"/>
  <c r="O128" i="32"/>
  <c r="P145" i="32"/>
  <c r="AA25" i="6" l="1"/>
  <c r="K194" i="32"/>
  <c r="K198" i="32"/>
  <c r="L206" i="32" s="1"/>
  <c r="I194" i="32"/>
  <c r="I198" i="32"/>
  <c r="J206" i="32" s="1"/>
  <c r="J207" i="32" l="1"/>
  <c r="J214" i="32" s="1"/>
  <c r="F21" i="34"/>
  <c r="T21" i="34" s="1"/>
  <c r="L216" i="32"/>
  <c r="G21" i="34"/>
  <c r="F25" i="6"/>
  <c r="L207" i="32"/>
  <c r="L214" i="32" s="1"/>
  <c r="K202" i="31"/>
  <c r="I202" i="31"/>
  <c r="K201" i="31"/>
  <c r="I201" i="31"/>
  <c r="AL200" i="31"/>
  <c r="K197" i="31"/>
  <c r="I197" i="31"/>
  <c r="K196" i="31"/>
  <c r="I196" i="31"/>
  <c r="A195" i="31"/>
  <c r="AA193" i="31"/>
  <c r="Z193" i="31"/>
  <c r="Y193" i="31"/>
  <c r="V192" i="31"/>
  <c r="U192" i="31"/>
  <c r="T192" i="31"/>
  <c r="S192" i="31"/>
  <c r="R192" i="31"/>
  <c r="Q192" i="31"/>
  <c r="F192" i="31"/>
  <c r="L192" i="31" s="1"/>
  <c r="E192" i="31"/>
  <c r="C192" i="31"/>
  <c r="B192" i="31"/>
  <c r="AA191" i="31"/>
  <c r="Z191" i="31"/>
  <c r="Y191" i="31"/>
  <c r="V190" i="31"/>
  <c r="U190" i="31"/>
  <c r="T190" i="31"/>
  <c r="S190" i="31"/>
  <c r="R190" i="31"/>
  <c r="Q190" i="31"/>
  <c r="L190" i="31"/>
  <c r="P191" i="31" s="1"/>
  <c r="K190" i="31"/>
  <c r="J190" i="31"/>
  <c r="O191" i="31" s="1"/>
  <c r="I190" i="31"/>
  <c r="H190" i="31"/>
  <c r="G190" i="31"/>
  <c r="F190" i="31"/>
  <c r="E190" i="31"/>
  <c r="C190" i="31"/>
  <c r="B190" i="31"/>
  <c r="AA187" i="31"/>
  <c r="Z187" i="31"/>
  <c r="X187" i="31"/>
  <c r="K186" i="31"/>
  <c r="F186" i="31"/>
  <c r="K185" i="31"/>
  <c r="K184" i="31" s="1"/>
  <c r="I185" i="31"/>
  <c r="G185" i="31"/>
  <c r="G184" i="31" s="1"/>
  <c r="H184" i="31"/>
  <c r="AA182" i="31"/>
  <c r="Z182" i="31"/>
  <c r="X182" i="31"/>
  <c r="J181" i="31"/>
  <c r="I181" i="31"/>
  <c r="H181" i="31"/>
  <c r="F181" i="31"/>
  <c r="K180" i="31"/>
  <c r="F180" i="31"/>
  <c r="K179" i="31"/>
  <c r="F179" i="31"/>
  <c r="K178" i="31"/>
  <c r="F178" i="31"/>
  <c r="L177" i="31"/>
  <c r="K177" i="31"/>
  <c r="J177" i="31"/>
  <c r="I177" i="31"/>
  <c r="H177" i="31"/>
  <c r="G177" i="31"/>
  <c r="K176" i="31"/>
  <c r="I176" i="31"/>
  <c r="H176" i="31"/>
  <c r="G176" i="31"/>
  <c r="K175" i="31"/>
  <c r="I175" i="31"/>
  <c r="H175" i="31"/>
  <c r="G175" i="31"/>
  <c r="L174" i="31"/>
  <c r="K174" i="31"/>
  <c r="J174" i="31"/>
  <c r="I174" i="31"/>
  <c r="H174" i="31"/>
  <c r="G174" i="31"/>
  <c r="V173" i="31"/>
  <c r="U173" i="31"/>
  <c r="T173" i="31"/>
  <c r="L179" i="31" s="1"/>
  <c r="S173" i="31"/>
  <c r="J179" i="31" s="1"/>
  <c r="R173" i="31"/>
  <c r="L178" i="31" s="1"/>
  <c r="Q173" i="31"/>
  <c r="J178" i="31" s="1"/>
  <c r="F173" i="31"/>
  <c r="E173" i="31"/>
  <c r="C173" i="31"/>
  <c r="B173" i="31"/>
  <c r="AA172" i="31"/>
  <c r="Z172" i="31"/>
  <c r="Y172" i="31"/>
  <c r="V171" i="31"/>
  <c r="U171" i="31"/>
  <c r="T171" i="31"/>
  <c r="S171" i="31"/>
  <c r="R171" i="31"/>
  <c r="Q171" i="31"/>
  <c r="L171" i="31"/>
  <c r="K172" i="31" s="1"/>
  <c r="K171" i="31"/>
  <c r="J171" i="31"/>
  <c r="X172" i="31" s="1"/>
  <c r="I171" i="31"/>
  <c r="H171" i="31"/>
  <c r="G171" i="31"/>
  <c r="F171" i="31"/>
  <c r="E171" i="31"/>
  <c r="C171" i="31"/>
  <c r="B171" i="31"/>
  <c r="AA170" i="31"/>
  <c r="Z170" i="31"/>
  <c r="X170" i="31"/>
  <c r="V169" i="31"/>
  <c r="U169" i="31"/>
  <c r="T169" i="31"/>
  <c r="S169" i="31"/>
  <c r="R169" i="31"/>
  <c r="Q169" i="31"/>
  <c r="L169" i="31"/>
  <c r="K170" i="31" s="1"/>
  <c r="K169" i="31"/>
  <c r="J169" i="31"/>
  <c r="Y170" i="31" s="1"/>
  <c r="I169" i="31"/>
  <c r="H169" i="31"/>
  <c r="G169" i="31"/>
  <c r="F169" i="31"/>
  <c r="E169" i="31"/>
  <c r="C169" i="31"/>
  <c r="B169" i="31"/>
  <c r="AA166" i="31"/>
  <c r="Z166" i="31"/>
  <c r="X166" i="31"/>
  <c r="K165" i="31"/>
  <c r="F165" i="31"/>
  <c r="K164" i="31"/>
  <c r="K163" i="31" s="1"/>
  <c r="I164" i="31"/>
  <c r="I163" i="31" s="1"/>
  <c r="G164" i="31"/>
  <c r="G163" i="31" s="1"/>
  <c r="H163" i="31"/>
  <c r="AA161" i="31"/>
  <c r="Z161" i="31"/>
  <c r="X161" i="31"/>
  <c r="J160" i="31"/>
  <c r="I160" i="31"/>
  <c r="H160" i="31"/>
  <c r="F160" i="31"/>
  <c r="K159" i="31"/>
  <c r="F159" i="31"/>
  <c r="K158" i="31"/>
  <c r="F158" i="31"/>
  <c r="K157" i="31"/>
  <c r="F157" i="31"/>
  <c r="L156" i="31"/>
  <c r="K156" i="31"/>
  <c r="J156" i="31"/>
  <c r="I156" i="31"/>
  <c r="H156" i="31"/>
  <c r="G156" i="31"/>
  <c r="K155" i="31"/>
  <c r="I155" i="31"/>
  <c r="H155" i="31"/>
  <c r="G155" i="31"/>
  <c r="K154" i="31"/>
  <c r="I154" i="31"/>
  <c r="H154" i="31"/>
  <c r="G154" i="31"/>
  <c r="L153" i="31"/>
  <c r="K153" i="31"/>
  <c r="J153" i="31"/>
  <c r="W153" i="31" s="1"/>
  <c r="I153" i="31"/>
  <c r="H153" i="31"/>
  <c r="G153" i="31"/>
  <c r="V152" i="31"/>
  <c r="U152" i="31"/>
  <c r="T152" i="31"/>
  <c r="L158" i="31" s="1"/>
  <c r="S152" i="31"/>
  <c r="J158" i="31" s="1"/>
  <c r="R152" i="31"/>
  <c r="L157" i="31" s="1"/>
  <c r="Q152" i="31"/>
  <c r="J157" i="31" s="1"/>
  <c r="F152" i="31"/>
  <c r="E152" i="31"/>
  <c r="C152" i="31"/>
  <c r="B152" i="31"/>
  <c r="AA151" i="31"/>
  <c r="Z151" i="31"/>
  <c r="Y151" i="31"/>
  <c r="V150" i="31"/>
  <c r="U150" i="31"/>
  <c r="T150" i="31"/>
  <c r="S150" i="31"/>
  <c r="R150" i="31"/>
  <c r="Q150" i="31"/>
  <c r="I150" i="31"/>
  <c r="F150" i="31"/>
  <c r="L150" i="31" s="1"/>
  <c r="E150" i="31"/>
  <c r="C150" i="31"/>
  <c r="B150" i="31"/>
  <c r="AA147" i="31"/>
  <c r="Z147" i="31"/>
  <c r="X147" i="31"/>
  <c r="K146" i="31"/>
  <c r="F146" i="31"/>
  <c r="K145" i="31"/>
  <c r="K144" i="31" s="1"/>
  <c r="I145" i="31"/>
  <c r="I144" i="31" s="1"/>
  <c r="G145" i="31"/>
  <c r="G144" i="31" s="1"/>
  <c r="H144" i="31"/>
  <c r="AA142" i="31"/>
  <c r="Z142" i="31"/>
  <c r="X142" i="31"/>
  <c r="J141" i="31"/>
  <c r="I141" i="31"/>
  <c r="H141" i="31"/>
  <c r="F141" i="31"/>
  <c r="K140" i="31"/>
  <c r="F140" i="31"/>
  <c r="K139" i="31"/>
  <c r="F139" i="31"/>
  <c r="K138" i="31"/>
  <c r="F138" i="31"/>
  <c r="L137" i="31"/>
  <c r="K137" i="31"/>
  <c r="J137" i="31"/>
  <c r="I137" i="31"/>
  <c r="H137" i="31"/>
  <c r="G137" i="31"/>
  <c r="K136" i="31"/>
  <c r="I136" i="31"/>
  <c r="H136" i="31"/>
  <c r="G136" i="31"/>
  <c r="K135" i="31"/>
  <c r="I135" i="31"/>
  <c r="H135" i="31"/>
  <c r="G135" i="31"/>
  <c r="L134" i="31"/>
  <c r="K134" i="31"/>
  <c r="J134" i="31"/>
  <c r="I134" i="31"/>
  <c r="H134" i="31"/>
  <c r="G134" i="31"/>
  <c r="V133" i="31"/>
  <c r="U133" i="31"/>
  <c r="T133" i="31"/>
  <c r="L139" i="31" s="1"/>
  <c r="S133" i="31"/>
  <c r="J139" i="31" s="1"/>
  <c r="R133" i="31"/>
  <c r="L138" i="31" s="1"/>
  <c r="Q133" i="31"/>
  <c r="J138" i="31" s="1"/>
  <c r="F133" i="31"/>
  <c r="E133" i="31"/>
  <c r="C133" i="31"/>
  <c r="B133" i="31"/>
  <c r="A132" i="31"/>
  <c r="K130" i="31"/>
  <c r="I130" i="31"/>
  <c r="K129" i="31"/>
  <c r="I129" i="31"/>
  <c r="A128" i="31"/>
  <c r="AA126" i="31"/>
  <c r="Z126" i="31"/>
  <c r="Y126" i="31"/>
  <c r="J125" i="31"/>
  <c r="I125" i="31"/>
  <c r="H125" i="31"/>
  <c r="F125" i="31"/>
  <c r="K124" i="31"/>
  <c r="F124" i="31"/>
  <c r="K123" i="31"/>
  <c r="F123" i="31"/>
  <c r="AA122" i="31"/>
  <c r="Z122" i="31"/>
  <c r="Y122" i="31"/>
  <c r="V122" i="31"/>
  <c r="U122" i="31"/>
  <c r="T122" i="31"/>
  <c r="S122" i="31"/>
  <c r="R122" i="31"/>
  <c r="Q122" i="31"/>
  <c r="L122" i="31"/>
  <c r="K122" i="31"/>
  <c r="J122" i="31"/>
  <c r="X122" i="31" s="1"/>
  <c r="I122" i="31"/>
  <c r="G122" i="31"/>
  <c r="F122" i="31"/>
  <c r="E122" i="31"/>
  <c r="C122" i="31"/>
  <c r="B122" i="31"/>
  <c r="L121" i="31"/>
  <c r="K121" i="31"/>
  <c r="J121" i="31"/>
  <c r="I121" i="31"/>
  <c r="H121" i="31"/>
  <c r="G121" i="31"/>
  <c r="L120" i="31"/>
  <c r="K120" i="31"/>
  <c r="J120" i="31"/>
  <c r="I120" i="31"/>
  <c r="H120" i="31"/>
  <c r="G120" i="31"/>
  <c r="L119" i="31"/>
  <c r="K119" i="31"/>
  <c r="J119" i="31"/>
  <c r="W119" i="31" s="1"/>
  <c r="I119" i="31"/>
  <c r="H119" i="31"/>
  <c r="G119" i="31"/>
  <c r="V118" i="31"/>
  <c r="U118" i="31"/>
  <c r="T118" i="31"/>
  <c r="S118" i="31"/>
  <c r="R118" i="31"/>
  <c r="Q118" i="31"/>
  <c r="F118" i="31"/>
  <c r="E118" i="31"/>
  <c r="C118" i="31"/>
  <c r="B118" i="31"/>
  <c r="AA117" i="31"/>
  <c r="Z117" i="31"/>
  <c r="Y117" i="31"/>
  <c r="J116" i="31"/>
  <c r="I116" i="31"/>
  <c r="H116" i="31"/>
  <c r="F116" i="31"/>
  <c r="K115" i="31"/>
  <c r="F115" i="31"/>
  <c r="K114" i="31"/>
  <c r="F114" i="31"/>
  <c r="AA113" i="31"/>
  <c r="Z113" i="31"/>
  <c r="Y113" i="31"/>
  <c r="V113" i="31"/>
  <c r="U113" i="31"/>
  <c r="T113" i="31"/>
  <c r="S113" i="31"/>
  <c r="R113" i="31"/>
  <c r="Q113" i="31"/>
  <c r="L113" i="31"/>
  <c r="K113" i="31"/>
  <c r="J113" i="31"/>
  <c r="X113" i="31" s="1"/>
  <c r="I113" i="31"/>
  <c r="G113" i="31"/>
  <c r="F113" i="31"/>
  <c r="E113" i="31"/>
  <c r="C113" i="31"/>
  <c r="B113" i="31"/>
  <c r="L112" i="31"/>
  <c r="K112" i="31"/>
  <c r="J112" i="31"/>
  <c r="I112" i="31"/>
  <c r="H112" i="31"/>
  <c r="G112" i="31"/>
  <c r="L111" i="31"/>
  <c r="K111" i="31"/>
  <c r="J111" i="31"/>
  <c r="I111" i="31"/>
  <c r="H111" i="31"/>
  <c r="G111" i="31"/>
  <c r="L110" i="31"/>
  <c r="K110" i="31"/>
  <c r="J110" i="31"/>
  <c r="W110" i="31" s="1"/>
  <c r="I110" i="31"/>
  <c r="H110" i="31"/>
  <c r="G110" i="31"/>
  <c r="V109" i="31"/>
  <c r="U109" i="31"/>
  <c r="T109" i="31"/>
  <c r="S109" i="31"/>
  <c r="R109" i="31"/>
  <c r="Q109" i="31"/>
  <c r="F109" i="31"/>
  <c r="E109" i="31"/>
  <c r="C109" i="31"/>
  <c r="B109" i="31"/>
  <c r="A108" i="31"/>
  <c r="K106" i="31"/>
  <c r="I106" i="31"/>
  <c r="K105" i="31"/>
  <c r="I105" i="31"/>
  <c r="A104" i="31"/>
  <c r="AA102" i="31"/>
  <c r="Z102" i="31"/>
  <c r="Y102" i="31"/>
  <c r="V101" i="31"/>
  <c r="U101" i="31"/>
  <c r="T101" i="31"/>
  <c r="S101" i="31"/>
  <c r="R101" i="31"/>
  <c r="Q101" i="31"/>
  <c r="I101" i="31"/>
  <c r="H101" i="31"/>
  <c r="G101" i="31"/>
  <c r="F101" i="31"/>
  <c r="E101" i="31"/>
  <c r="C101" i="31"/>
  <c r="B101" i="31"/>
  <c r="AA100" i="31"/>
  <c r="Z100" i="31"/>
  <c r="Y100" i="31"/>
  <c r="V99" i="31"/>
  <c r="U99" i="31"/>
  <c r="T99" i="31"/>
  <c r="S99" i="31"/>
  <c r="R99" i="31"/>
  <c r="Q99" i="31"/>
  <c r="I99" i="31"/>
  <c r="H99" i="31"/>
  <c r="G99" i="31"/>
  <c r="F99" i="31"/>
  <c r="E99" i="31"/>
  <c r="C99" i="31"/>
  <c r="B99" i="31"/>
  <c r="AA96" i="31"/>
  <c r="Z96" i="31"/>
  <c r="Y96" i="31"/>
  <c r="K95" i="31"/>
  <c r="F95" i="31"/>
  <c r="K94" i="31"/>
  <c r="K93" i="31" s="1"/>
  <c r="I94" i="31"/>
  <c r="I93" i="31" s="1"/>
  <c r="G94" i="31"/>
  <c r="G93" i="31" s="1"/>
  <c r="H93" i="31"/>
  <c r="AA91" i="31"/>
  <c r="Z91" i="31"/>
  <c r="Y91" i="31"/>
  <c r="J90" i="31"/>
  <c r="I90" i="31"/>
  <c r="H90" i="31"/>
  <c r="F90" i="31"/>
  <c r="K89" i="31"/>
  <c r="F89" i="31"/>
  <c r="K88" i="31"/>
  <c r="F88" i="31"/>
  <c r="K87" i="31"/>
  <c r="F87" i="31"/>
  <c r="L86" i="31"/>
  <c r="K86" i="31"/>
  <c r="J86" i="31"/>
  <c r="I86" i="31"/>
  <c r="H86" i="31"/>
  <c r="G86" i="31"/>
  <c r="K85" i="31"/>
  <c r="I85" i="31"/>
  <c r="H85" i="31"/>
  <c r="G85" i="31"/>
  <c r="K84" i="31"/>
  <c r="I84" i="31"/>
  <c r="H84" i="31"/>
  <c r="G84" i="31"/>
  <c r="L83" i="31"/>
  <c r="K83" i="31"/>
  <c r="J83" i="31"/>
  <c r="W83" i="31" s="1"/>
  <c r="I83" i="31"/>
  <c r="H83" i="31"/>
  <c r="G83" i="31"/>
  <c r="V82" i="31"/>
  <c r="U82" i="31"/>
  <c r="T82" i="31"/>
  <c r="L88" i="31" s="1"/>
  <c r="S82" i="31"/>
  <c r="J88" i="31" s="1"/>
  <c r="R82" i="31"/>
  <c r="L87" i="31" s="1"/>
  <c r="Q82" i="31"/>
  <c r="J87" i="31" s="1"/>
  <c r="F82" i="31"/>
  <c r="E82" i="31"/>
  <c r="C82" i="31"/>
  <c r="B82" i="31"/>
  <c r="AA81" i="31"/>
  <c r="Z81" i="31"/>
  <c r="Y81" i="31"/>
  <c r="J80" i="31"/>
  <c r="I80" i="31"/>
  <c r="H80" i="31"/>
  <c r="F80" i="31"/>
  <c r="K79" i="31"/>
  <c r="F79" i="31"/>
  <c r="K78" i="31"/>
  <c r="F78" i="31"/>
  <c r="AA77" i="31"/>
  <c r="Z77" i="31"/>
  <c r="Y77" i="31"/>
  <c r="V77" i="31"/>
  <c r="U77" i="31"/>
  <c r="T77" i="31"/>
  <c r="S77" i="31"/>
  <c r="R77" i="31"/>
  <c r="Q77" i="31"/>
  <c r="L77" i="31"/>
  <c r="K77" i="31"/>
  <c r="J77" i="31"/>
  <c r="X77" i="31" s="1"/>
  <c r="I77" i="31"/>
  <c r="G77" i="31"/>
  <c r="F77" i="31"/>
  <c r="E77" i="31"/>
  <c r="C77" i="31"/>
  <c r="B77" i="31"/>
  <c r="L76" i="31"/>
  <c r="K76" i="31"/>
  <c r="J76" i="31"/>
  <c r="I76" i="31"/>
  <c r="H76" i="31"/>
  <c r="G76" i="31"/>
  <c r="L75" i="31"/>
  <c r="K75" i="31"/>
  <c r="J75" i="31"/>
  <c r="I75" i="31"/>
  <c r="H75" i="31"/>
  <c r="G75" i="31"/>
  <c r="L74" i="31"/>
  <c r="K74" i="31"/>
  <c r="J74" i="31"/>
  <c r="W74" i="31" s="1"/>
  <c r="I74" i="31"/>
  <c r="H74" i="31"/>
  <c r="G74" i="31"/>
  <c r="V73" i="31"/>
  <c r="U73" i="31"/>
  <c r="T73" i="31"/>
  <c r="S73" i="31"/>
  <c r="R73" i="31"/>
  <c r="Q73" i="31"/>
  <c r="F73" i="31"/>
  <c r="E73" i="31"/>
  <c r="C73" i="31"/>
  <c r="B73" i="31"/>
  <c r="AA72" i="31"/>
  <c r="Z72" i="31"/>
  <c r="Y72" i="31"/>
  <c r="J71" i="31"/>
  <c r="I71" i="31"/>
  <c r="H71" i="31"/>
  <c r="F71" i="31"/>
  <c r="K70" i="31"/>
  <c r="F70" i="31"/>
  <c r="K69" i="31"/>
  <c r="F69" i="31"/>
  <c r="AA68" i="31"/>
  <c r="Z68" i="31"/>
  <c r="Y68" i="31"/>
  <c r="V68" i="31"/>
  <c r="U68" i="31"/>
  <c r="T68" i="31"/>
  <c r="S68" i="31"/>
  <c r="R68" i="31"/>
  <c r="Q68" i="31"/>
  <c r="L68" i="31"/>
  <c r="K68" i="31"/>
  <c r="J68" i="31"/>
  <c r="X68" i="31" s="1"/>
  <c r="I68" i="31"/>
  <c r="G68" i="31"/>
  <c r="F68" i="31"/>
  <c r="E68" i="31"/>
  <c r="C68" i="31"/>
  <c r="B68" i="31"/>
  <c r="L67" i="31"/>
  <c r="K67" i="31"/>
  <c r="J67" i="31"/>
  <c r="I67" i="31"/>
  <c r="H67" i="31"/>
  <c r="G67" i="31"/>
  <c r="L66" i="31"/>
  <c r="K66" i="31"/>
  <c r="J66" i="31"/>
  <c r="I66" i="31"/>
  <c r="H66" i="31"/>
  <c r="G66" i="31"/>
  <c r="L65" i="31"/>
  <c r="K65" i="31"/>
  <c r="J65" i="31"/>
  <c r="W65" i="31" s="1"/>
  <c r="I65" i="31"/>
  <c r="H65" i="31"/>
  <c r="G65" i="31"/>
  <c r="V64" i="31"/>
  <c r="U64" i="31"/>
  <c r="T64" i="31"/>
  <c r="S64" i="31"/>
  <c r="R64" i="31"/>
  <c r="Q64" i="31"/>
  <c r="F64" i="31"/>
  <c r="E64" i="31"/>
  <c r="C64" i="31"/>
  <c r="B64" i="31"/>
  <c r="A63" i="31"/>
  <c r="K61" i="31"/>
  <c r="I61" i="31"/>
  <c r="K60" i="31"/>
  <c r="I60" i="31"/>
  <c r="A59" i="31"/>
  <c r="AA57" i="31"/>
  <c r="Z57" i="31"/>
  <c r="Y57" i="31"/>
  <c r="V56" i="31"/>
  <c r="U56" i="31"/>
  <c r="T56" i="31"/>
  <c r="S56" i="31"/>
  <c r="R56" i="31"/>
  <c r="Q56" i="31"/>
  <c r="I56" i="31"/>
  <c r="H56" i="31"/>
  <c r="G56" i="31"/>
  <c r="F56" i="31"/>
  <c r="E56" i="31"/>
  <c r="C56" i="31"/>
  <c r="B56" i="31"/>
  <c r="AA55" i="31"/>
  <c r="Z55" i="31"/>
  <c r="Y55" i="31"/>
  <c r="V54" i="31"/>
  <c r="U54" i="31"/>
  <c r="T54" i="31"/>
  <c r="S54" i="31"/>
  <c r="R54" i="31"/>
  <c r="Q54" i="31"/>
  <c r="I54" i="31"/>
  <c r="H54" i="31"/>
  <c r="G54" i="31"/>
  <c r="F54" i="31"/>
  <c r="E54" i="31"/>
  <c r="C54" i="31"/>
  <c r="B54" i="31"/>
  <c r="AA51" i="31"/>
  <c r="Z51" i="31"/>
  <c r="Y51" i="31"/>
  <c r="K50" i="31"/>
  <c r="F50" i="31"/>
  <c r="K49" i="31"/>
  <c r="K48" i="31" s="1"/>
  <c r="I49" i="31"/>
  <c r="I48" i="31" s="1"/>
  <c r="G49" i="31"/>
  <c r="G48" i="31" s="1"/>
  <c r="H48" i="31"/>
  <c r="AA46" i="31"/>
  <c r="Z46" i="31"/>
  <c r="Y46" i="31"/>
  <c r="J45" i="31"/>
  <c r="I45" i="31"/>
  <c r="H45" i="31"/>
  <c r="F45" i="31"/>
  <c r="K44" i="31"/>
  <c r="F44" i="31"/>
  <c r="K43" i="31"/>
  <c r="F43" i="31"/>
  <c r="K42" i="31"/>
  <c r="F42" i="31"/>
  <c r="L41" i="31"/>
  <c r="K41" i="31"/>
  <c r="J41" i="31"/>
  <c r="I41" i="31"/>
  <c r="H41" i="31"/>
  <c r="G41" i="31"/>
  <c r="K40" i="31"/>
  <c r="I40" i="31"/>
  <c r="H40" i="31"/>
  <c r="G40" i="31"/>
  <c r="K39" i="31"/>
  <c r="I39" i="31"/>
  <c r="H39" i="31"/>
  <c r="G39" i="31"/>
  <c r="L38" i="31"/>
  <c r="K38" i="31"/>
  <c r="J38" i="31"/>
  <c r="W38" i="31" s="1"/>
  <c r="I38" i="31"/>
  <c r="H38" i="31"/>
  <c r="G38" i="31"/>
  <c r="V37" i="31"/>
  <c r="U37" i="31"/>
  <c r="T37" i="31"/>
  <c r="L43" i="31" s="1"/>
  <c r="S37" i="31"/>
  <c r="J43" i="31" s="1"/>
  <c r="R37" i="31"/>
  <c r="L42" i="31" s="1"/>
  <c r="Q37" i="31"/>
  <c r="J42" i="31" s="1"/>
  <c r="F37" i="31"/>
  <c r="E37" i="31"/>
  <c r="C37" i="31"/>
  <c r="B37" i="31"/>
  <c r="AA36" i="31"/>
  <c r="Z36" i="31"/>
  <c r="Y36" i="31"/>
  <c r="J35" i="31"/>
  <c r="I35" i="31"/>
  <c r="H35" i="31"/>
  <c r="F35" i="31"/>
  <c r="K34" i="31"/>
  <c r="F34" i="31"/>
  <c r="K33" i="31"/>
  <c r="F33" i="31"/>
  <c r="AA32" i="31"/>
  <c r="Z32" i="31"/>
  <c r="Y32" i="31"/>
  <c r="V32" i="31"/>
  <c r="U32" i="31"/>
  <c r="T32" i="31"/>
  <c r="S32" i="31"/>
  <c r="R32" i="31"/>
  <c r="Q32" i="31"/>
  <c r="L32" i="31"/>
  <c r="K32" i="31"/>
  <c r="J32" i="31"/>
  <c r="X32" i="31" s="1"/>
  <c r="I32" i="31"/>
  <c r="G32" i="31"/>
  <c r="F32" i="31"/>
  <c r="E32" i="31"/>
  <c r="C32" i="31"/>
  <c r="B32" i="31"/>
  <c r="L31" i="31"/>
  <c r="K31" i="31"/>
  <c r="J31" i="31"/>
  <c r="I31" i="31"/>
  <c r="H31" i="31"/>
  <c r="G31" i="31"/>
  <c r="L30" i="31"/>
  <c r="K30" i="31"/>
  <c r="J30" i="31"/>
  <c r="I30" i="31"/>
  <c r="H30" i="31"/>
  <c r="G30" i="31"/>
  <c r="L29" i="31"/>
  <c r="K29" i="31"/>
  <c r="J29" i="31"/>
  <c r="W29" i="31" s="1"/>
  <c r="I29" i="31"/>
  <c r="H29" i="31"/>
  <c r="G29" i="31"/>
  <c r="V28" i="31"/>
  <c r="U28" i="31"/>
  <c r="T28" i="31"/>
  <c r="S28" i="31"/>
  <c r="R28" i="31"/>
  <c r="Q28" i="31"/>
  <c r="F28" i="31"/>
  <c r="E28" i="31"/>
  <c r="C28" i="31"/>
  <c r="B28" i="31"/>
  <c r="AA27" i="31"/>
  <c r="Z27" i="31"/>
  <c r="Y27" i="31"/>
  <c r="J26" i="31"/>
  <c r="I26" i="31"/>
  <c r="H26" i="31"/>
  <c r="F26" i="31"/>
  <c r="K25" i="31"/>
  <c r="F25" i="31"/>
  <c r="K24" i="31"/>
  <c r="F24" i="31"/>
  <c r="AA23" i="31"/>
  <c r="Z23" i="31"/>
  <c r="Y23" i="31"/>
  <c r="V23" i="31"/>
  <c r="U23" i="31"/>
  <c r="T23" i="31"/>
  <c r="S23" i="31"/>
  <c r="R23" i="31"/>
  <c r="Q23" i="31"/>
  <c r="L23" i="31"/>
  <c r="K23" i="31"/>
  <c r="J23" i="31"/>
  <c r="X23" i="31" s="1"/>
  <c r="I23" i="31"/>
  <c r="G23" i="31"/>
  <c r="F23" i="31"/>
  <c r="E23" i="31"/>
  <c r="C23" i="31"/>
  <c r="B23" i="31"/>
  <c r="L22" i="31"/>
  <c r="K22" i="31"/>
  <c r="J22" i="31"/>
  <c r="I22" i="31"/>
  <c r="H22" i="31"/>
  <c r="G22" i="31"/>
  <c r="L21" i="31"/>
  <c r="K21" i="31"/>
  <c r="J21" i="31"/>
  <c r="I21" i="31"/>
  <c r="H21" i="31"/>
  <c r="G21" i="31"/>
  <c r="L20" i="31"/>
  <c r="K20" i="31"/>
  <c r="J20" i="31"/>
  <c r="I20" i="31"/>
  <c r="H20" i="31"/>
  <c r="G20" i="31"/>
  <c r="V19" i="31"/>
  <c r="U19" i="31"/>
  <c r="T19" i="31"/>
  <c r="S19" i="31"/>
  <c r="R19" i="31"/>
  <c r="Q19" i="31"/>
  <c r="F19" i="31"/>
  <c r="E19" i="31"/>
  <c r="C19" i="31"/>
  <c r="B19" i="31"/>
  <c r="A18" i="31"/>
  <c r="H21" i="34" l="1"/>
  <c r="V21" i="34" s="1"/>
  <c r="U21" i="34"/>
  <c r="L217" i="32"/>
  <c r="L222" i="32"/>
  <c r="G25" i="6"/>
  <c r="L25" i="6"/>
  <c r="J150" i="31"/>
  <c r="G150" i="31" s="1"/>
  <c r="P151" i="31"/>
  <c r="K205" i="31"/>
  <c r="J192" i="31"/>
  <c r="O193" i="31" s="1"/>
  <c r="P193" i="31"/>
  <c r="I205" i="31"/>
  <c r="L69" i="31"/>
  <c r="L114" i="31"/>
  <c r="L33" i="31"/>
  <c r="J24" i="31"/>
  <c r="J79" i="31"/>
  <c r="L25" i="31"/>
  <c r="J34" i="31"/>
  <c r="J115" i="31"/>
  <c r="J69" i="31"/>
  <c r="L79" i="31"/>
  <c r="J124" i="31"/>
  <c r="J101" i="31"/>
  <c r="O102" i="31" s="1"/>
  <c r="J25" i="31"/>
  <c r="L164" i="31"/>
  <c r="L155" i="31" s="1"/>
  <c r="L145" i="31"/>
  <c r="L144" i="31" s="1"/>
  <c r="L135" i="31" s="1"/>
  <c r="L24" i="31"/>
  <c r="L34" i="31"/>
  <c r="J114" i="31"/>
  <c r="L124" i="31"/>
  <c r="J70" i="31"/>
  <c r="O170" i="31"/>
  <c r="O172" i="31"/>
  <c r="I191" i="31"/>
  <c r="J56" i="31"/>
  <c r="O57" i="31" s="1"/>
  <c r="L70" i="31"/>
  <c r="K72" i="31" s="1"/>
  <c r="L78" i="31"/>
  <c r="K81" i="31" s="1"/>
  <c r="L115" i="31"/>
  <c r="L123" i="31"/>
  <c r="L185" i="31"/>
  <c r="L186" i="31" s="1"/>
  <c r="I184" i="31"/>
  <c r="J99" i="31"/>
  <c r="I100" i="31" s="1"/>
  <c r="J164" i="31"/>
  <c r="W164" i="31" s="1"/>
  <c r="J54" i="31"/>
  <c r="L54" i="31" s="1"/>
  <c r="P55" i="31" s="1"/>
  <c r="J145" i="31"/>
  <c r="J146" i="31" s="1"/>
  <c r="X151" i="31"/>
  <c r="J185" i="31"/>
  <c r="J176" i="31" s="1"/>
  <c r="W176" i="31" s="1"/>
  <c r="X191" i="31"/>
  <c r="J49" i="31"/>
  <c r="J94" i="31"/>
  <c r="J33" i="31"/>
  <c r="I36" i="31" s="1"/>
  <c r="W20" i="31"/>
  <c r="L49" i="31"/>
  <c r="J78" i="31"/>
  <c r="L94" i="31"/>
  <c r="J123" i="31"/>
  <c r="K151" i="31"/>
  <c r="P170" i="31"/>
  <c r="P172" i="31"/>
  <c r="K191" i="31"/>
  <c r="K193" i="31"/>
  <c r="W134" i="31"/>
  <c r="I170" i="31"/>
  <c r="I172" i="31"/>
  <c r="W174" i="31"/>
  <c r="K117" i="31" l="1"/>
  <c r="H25" i="6"/>
  <c r="O151" i="31"/>
  <c r="M25" i="6"/>
  <c r="X81" i="31"/>
  <c r="K36" i="31"/>
  <c r="I151" i="31"/>
  <c r="O126" i="31"/>
  <c r="I193" i="31"/>
  <c r="X193" i="31"/>
  <c r="P27" i="31"/>
  <c r="G192" i="31"/>
  <c r="O117" i="31"/>
  <c r="X102" i="31"/>
  <c r="I117" i="31"/>
  <c r="P36" i="31"/>
  <c r="L56" i="31"/>
  <c r="P57" i="31" s="1"/>
  <c r="I102" i="31"/>
  <c r="X27" i="31"/>
  <c r="I72" i="31"/>
  <c r="L163" i="31"/>
  <c r="L154" i="31" s="1"/>
  <c r="L101" i="31"/>
  <c r="P102" i="31" s="1"/>
  <c r="P126" i="31"/>
  <c r="L136" i="31"/>
  <c r="O36" i="31"/>
  <c r="J186" i="31"/>
  <c r="J180" i="31" s="1"/>
  <c r="J165" i="31"/>
  <c r="J159" i="31" s="1"/>
  <c r="L146" i="31"/>
  <c r="K147" i="31" s="1"/>
  <c r="P147" i="31" s="1"/>
  <c r="L176" i="31"/>
  <c r="X100" i="31"/>
  <c r="P117" i="31"/>
  <c r="X36" i="31"/>
  <c r="L99" i="31"/>
  <c r="P100" i="31" s="1"/>
  <c r="X117" i="31"/>
  <c r="K126" i="31"/>
  <c r="X72" i="31"/>
  <c r="K27" i="31"/>
  <c r="I55" i="31"/>
  <c r="J136" i="31"/>
  <c r="W136" i="31" s="1"/>
  <c r="K55" i="31"/>
  <c r="O27" i="31"/>
  <c r="L165" i="31"/>
  <c r="L159" i="31" s="1"/>
  <c r="I57" i="31"/>
  <c r="O100" i="31"/>
  <c r="L184" i="31"/>
  <c r="L175" i="31" s="1"/>
  <c r="J155" i="31"/>
  <c r="W155" i="31" s="1"/>
  <c r="O72" i="31"/>
  <c r="O55" i="31"/>
  <c r="X57" i="31"/>
  <c r="I27" i="31"/>
  <c r="W185" i="31"/>
  <c r="J163" i="31"/>
  <c r="J154" i="31" s="1"/>
  <c r="P81" i="31"/>
  <c r="P72" i="31"/>
  <c r="J144" i="31"/>
  <c r="J135" i="31" s="1"/>
  <c r="I126" i="31"/>
  <c r="X55" i="31"/>
  <c r="W145" i="31"/>
  <c r="J184" i="31"/>
  <c r="J175" i="31" s="1"/>
  <c r="X126" i="31"/>
  <c r="L93" i="31"/>
  <c r="L84" i="31" s="1"/>
  <c r="L85" i="31"/>
  <c r="L95" i="31"/>
  <c r="J50" i="31"/>
  <c r="W49" i="31"/>
  <c r="J48" i="31"/>
  <c r="J39" i="31" s="1"/>
  <c r="J40" i="31"/>
  <c r="J95" i="31"/>
  <c r="W94" i="31"/>
  <c r="J93" i="31"/>
  <c r="J84" i="31" s="1"/>
  <c r="J85" i="31"/>
  <c r="W85" i="31" s="1"/>
  <c r="O81" i="31"/>
  <c r="I81" i="31"/>
  <c r="L48" i="31"/>
  <c r="L39" i="31" s="1"/>
  <c r="L40" i="31"/>
  <c r="L50" i="31"/>
  <c r="K187" i="31"/>
  <c r="P187" i="31" s="1"/>
  <c r="L180" i="31"/>
  <c r="J140" i="31"/>
  <c r="I147" i="31"/>
  <c r="K57" i="31" l="1"/>
  <c r="K128" i="31"/>
  <c r="I203" i="31"/>
  <c r="J210" i="31" s="1"/>
  <c r="I128" i="31"/>
  <c r="N25" i="6"/>
  <c r="K204" i="31"/>
  <c r="L209" i="31" s="1"/>
  <c r="L217" i="31" s="1"/>
  <c r="L220" i="31" s="1"/>
  <c r="K102" i="31"/>
  <c r="K203" i="31"/>
  <c r="L210" i="31" s="1"/>
  <c r="W40" i="31"/>
  <c r="I204" i="31"/>
  <c r="I187" i="31"/>
  <c r="O187" i="31" s="1"/>
  <c r="L140" i="31"/>
  <c r="P142" i="31" s="1"/>
  <c r="K100" i="31"/>
  <c r="I166" i="31"/>
  <c r="O166" i="31" s="1"/>
  <c r="I161" i="31"/>
  <c r="K166" i="31"/>
  <c r="P166" i="31" s="1"/>
  <c r="O182" i="31"/>
  <c r="O142" i="31"/>
  <c r="I182" i="31"/>
  <c r="Y182" i="31"/>
  <c r="K96" i="31"/>
  <c r="P96" i="31" s="1"/>
  <c r="L89" i="31"/>
  <c r="K91" i="31" s="1"/>
  <c r="Y147" i="31"/>
  <c r="O147" i="31"/>
  <c r="K182" i="31"/>
  <c r="K189" i="31" s="1"/>
  <c r="P182" i="31"/>
  <c r="J89" i="31"/>
  <c r="X91" i="31" s="1"/>
  <c r="I96" i="31"/>
  <c r="J44" i="31"/>
  <c r="X46" i="31" s="1"/>
  <c r="I51" i="31"/>
  <c r="Y142" i="31"/>
  <c r="I142" i="31"/>
  <c r="I149" i="31" s="1"/>
  <c r="P161" i="31"/>
  <c r="K161" i="31"/>
  <c r="Y187" i="31"/>
  <c r="Y161" i="31"/>
  <c r="O161" i="31"/>
  <c r="K51" i="31"/>
  <c r="P51" i="31" s="1"/>
  <c r="L44" i="31"/>
  <c r="K46" i="31" s="1"/>
  <c r="K142" i="31" l="1"/>
  <c r="K149" i="31" s="1"/>
  <c r="I189" i="31"/>
  <c r="S20" i="34"/>
  <c r="P20" i="34"/>
  <c r="L218" i="31"/>
  <c r="O24" i="6"/>
  <c r="O20" i="34"/>
  <c r="P24" i="6"/>
  <c r="L212" i="31"/>
  <c r="R20" i="34" s="1"/>
  <c r="J209" i="31"/>
  <c r="J212" i="31" s="1"/>
  <c r="O91" i="31"/>
  <c r="Y166" i="31"/>
  <c r="I168" i="31"/>
  <c r="K168" i="31"/>
  <c r="K195" i="31"/>
  <c r="O46" i="31"/>
  <c r="I46" i="31"/>
  <c r="I53" i="31" s="1"/>
  <c r="K53" i="31"/>
  <c r="K98" i="31"/>
  <c r="I91" i="31"/>
  <c r="I98" i="31" s="1"/>
  <c r="I195" i="31"/>
  <c r="X96" i="31"/>
  <c r="O96" i="31"/>
  <c r="I104" i="31" s="1"/>
  <c r="P91" i="31"/>
  <c r="K104" i="31" s="1"/>
  <c r="X51" i="31"/>
  <c r="O51" i="31"/>
  <c r="P46" i="31"/>
  <c r="Z24" i="6" l="1"/>
  <c r="Q20" i="34"/>
  <c r="AB24" i="6"/>
  <c r="AA24" i="6"/>
  <c r="I59" i="31"/>
  <c r="I200" i="31"/>
  <c r="J207" i="31" s="1"/>
  <c r="K59" i="31"/>
  <c r="K200" i="31"/>
  <c r="L207" i="31" s="1"/>
  <c r="J208" i="31" l="1"/>
  <c r="J213" i="31" s="1"/>
  <c r="F20" i="34"/>
  <c r="T20" i="34" s="1"/>
  <c r="G20" i="34"/>
  <c r="L215" i="31"/>
  <c r="L208" i="31"/>
  <c r="L213" i="31" s="1"/>
  <c r="F24" i="6" l="1"/>
  <c r="H20" i="34"/>
  <c r="V20" i="34" s="1"/>
  <c r="U20" i="34"/>
  <c r="L216" i="31"/>
  <c r="L221" i="31"/>
  <c r="G24" i="6"/>
  <c r="L24" i="6"/>
  <c r="H24" i="6" l="1"/>
  <c r="M24" i="6"/>
  <c r="I261" i="30"/>
  <c r="I240" i="30"/>
  <c r="I238" i="30"/>
  <c r="I122" i="30"/>
  <c r="I120" i="30"/>
  <c r="I24" i="30"/>
  <c r="I22" i="30"/>
  <c r="K274" i="30"/>
  <c r="I274" i="30"/>
  <c r="K273" i="30"/>
  <c r="I273" i="30"/>
  <c r="AL272" i="30"/>
  <c r="K270" i="30"/>
  <c r="I270" i="30"/>
  <c r="K269" i="30"/>
  <c r="I269" i="30"/>
  <c r="A268" i="30"/>
  <c r="K266" i="30"/>
  <c r="I266" i="30"/>
  <c r="K265" i="30"/>
  <c r="I265" i="30"/>
  <c r="A264" i="30"/>
  <c r="AA262" i="30"/>
  <c r="Z262" i="30"/>
  <c r="Y262" i="30"/>
  <c r="V261" i="30"/>
  <c r="U261" i="30"/>
  <c r="T261" i="30"/>
  <c r="S261" i="30"/>
  <c r="R261" i="30"/>
  <c r="Q261" i="30"/>
  <c r="F261" i="30"/>
  <c r="L261" i="30" s="1"/>
  <c r="E261" i="30"/>
  <c r="C261" i="30"/>
  <c r="B261" i="30"/>
  <c r="AA260" i="30"/>
  <c r="Z260" i="30"/>
  <c r="Y260" i="30"/>
  <c r="V259" i="30"/>
  <c r="U259" i="30"/>
  <c r="T259" i="30"/>
  <c r="S259" i="30"/>
  <c r="R259" i="30"/>
  <c r="Q259" i="30"/>
  <c r="L259" i="30"/>
  <c r="K260" i="30" s="1"/>
  <c r="K259" i="30"/>
  <c r="J259" i="30"/>
  <c r="O260" i="30" s="1"/>
  <c r="I259" i="30"/>
  <c r="H259" i="30"/>
  <c r="G259" i="30"/>
  <c r="F259" i="30"/>
  <c r="E259" i="30"/>
  <c r="C259" i="30"/>
  <c r="B259" i="30"/>
  <c r="AA256" i="30"/>
  <c r="Z256" i="30"/>
  <c r="X256" i="30"/>
  <c r="K255" i="30"/>
  <c r="F255" i="30"/>
  <c r="K254" i="30"/>
  <c r="K253" i="30" s="1"/>
  <c r="I254" i="30"/>
  <c r="I253" i="30" s="1"/>
  <c r="G254" i="30"/>
  <c r="G253" i="30" s="1"/>
  <c r="H253" i="30"/>
  <c r="AA251" i="30"/>
  <c r="Z251" i="30"/>
  <c r="X251" i="30"/>
  <c r="J250" i="30"/>
  <c r="I250" i="30"/>
  <c r="H250" i="30"/>
  <c r="F250" i="30"/>
  <c r="K249" i="30"/>
  <c r="F249" i="30"/>
  <c r="K248" i="30"/>
  <c r="F248" i="30"/>
  <c r="K247" i="30"/>
  <c r="F247" i="30"/>
  <c r="L246" i="30"/>
  <c r="K246" i="30"/>
  <c r="J246" i="30"/>
  <c r="I246" i="30"/>
  <c r="H246" i="30"/>
  <c r="G246" i="30"/>
  <c r="K245" i="30"/>
  <c r="I245" i="30"/>
  <c r="H245" i="30"/>
  <c r="G245" i="30"/>
  <c r="K244" i="30"/>
  <c r="I244" i="30"/>
  <c r="H244" i="30"/>
  <c r="G244" i="30"/>
  <c r="L243" i="30"/>
  <c r="K243" i="30"/>
  <c r="J243" i="30"/>
  <c r="I243" i="30"/>
  <c r="H243" i="30"/>
  <c r="G243" i="30"/>
  <c r="V242" i="30"/>
  <c r="U242" i="30"/>
  <c r="T242" i="30"/>
  <c r="L248" i="30" s="1"/>
  <c r="S242" i="30"/>
  <c r="J248" i="30" s="1"/>
  <c r="R242" i="30"/>
  <c r="L247" i="30" s="1"/>
  <c r="Q242" i="30"/>
  <c r="J247" i="30" s="1"/>
  <c r="F242" i="30"/>
  <c r="E242" i="30"/>
  <c r="C242" i="30"/>
  <c r="B242" i="30"/>
  <c r="AA241" i="30"/>
  <c r="Z241" i="30"/>
  <c r="Y241" i="30"/>
  <c r="V240" i="30"/>
  <c r="U240" i="30"/>
  <c r="T240" i="30"/>
  <c r="S240" i="30"/>
  <c r="R240" i="30"/>
  <c r="Q240" i="30"/>
  <c r="F240" i="30"/>
  <c r="L240" i="30" s="1"/>
  <c r="E240" i="30"/>
  <c r="C240" i="30"/>
  <c r="B240" i="30"/>
  <c r="AA239" i="30"/>
  <c r="Z239" i="30"/>
  <c r="Y239" i="30"/>
  <c r="V238" i="30"/>
  <c r="U238" i="30"/>
  <c r="T238" i="30"/>
  <c r="S238" i="30"/>
  <c r="R238" i="30"/>
  <c r="Q238" i="30"/>
  <c r="F238" i="30"/>
  <c r="L238" i="30" s="1"/>
  <c r="E238" i="30"/>
  <c r="C238" i="30"/>
  <c r="B238" i="30"/>
  <c r="AA235" i="30"/>
  <c r="Z235" i="30"/>
  <c r="X235" i="30"/>
  <c r="K234" i="30"/>
  <c r="F234" i="30"/>
  <c r="K233" i="30"/>
  <c r="K232" i="30" s="1"/>
  <c r="I233" i="30"/>
  <c r="I232" i="30" s="1"/>
  <c r="G233" i="30"/>
  <c r="G232" i="30" s="1"/>
  <c r="H232" i="30"/>
  <c r="AA230" i="30"/>
  <c r="Z230" i="30"/>
  <c r="X230" i="30"/>
  <c r="J229" i="30"/>
  <c r="I229" i="30"/>
  <c r="H229" i="30"/>
  <c r="F229" i="30"/>
  <c r="K228" i="30"/>
  <c r="F228" i="30"/>
  <c r="K227" i="30"/>
  <c r="F227" i="30"/>
  <c r="K226" i="30"/>
  <c r="F226" i="30"/>
  <c r="L225" i="30"/>
  <c r="K225" i="30"/>
  <c r="J225" i="30"/>
  <c r="I225" i="30"/>
  <c r="H225" i="30"/>
  <c r="G225" i="30"/>
  <c r="K224" i="30"/>
  <c r="I224" i="30"/>
  <c r="H224" i="30"/>
  <c r="G224" i="30"/>
  <c r="K223" i="30"/>
  <c r="I223" i="30"/>
  <c r="H223" i="30"/>
  <c r="G223" i="30"/>
  <c r="L222" i="30"/>
  <c r="K222" i="30"/>
  <c r="J222" i="30"/>
  <c r="W222" i="30" s="1"/>
  <c r="I222" i="30"/>
  <c r="H222" i="30"/>
  <c r="G222" i="30"/>
  <c r="V221" i="30"/>
  <c r="U221" i="30"/>
  <c r="T221" i="30"/>
  <c r="L227" i="30" s="1"/>
  <c r="S221" i="30"/>
  <c r="J227" i="30" s="1"/>
  <c r="R221" i="30"/>
  <c r="L226" i="30" s="1"/>
  <c r="Q221" i="30"/>
  <c r="J226" i="30" s="1"/>
  <c r="F221" i="30"/>
  <c r="E221" i="30"/>
  <c r="C221" i="30"/>
  <c r="B221" i="30"/>
  <c r="A220" i="30"/>
  <c r="K218" i="30"/>
  <c r="I218" i="30"/>
  <c r="K217" i="30"/>
  <c r="I217" i="30"/>
  <c r="K216" i="30"/>
  <c r="I216" i="30"/>
  <c r="K215" i="30"/>
  <c r="I215" i="30"/>
  <c r="A214" i="30"/>
  <c r="AA212" i="30"/>
  <c r="Z212" i="30"/>
  <c r="Y212" i="30"/>
  <c r="V211" i="30"/>
  <c r="U211" i="30"/>
  <c r="T211" i="30"/>
  <c r="S211" i="30"/>
  <c r="R211" i="30"/>
  <c r="Q211" i="30"/>
  <c r="I211" i="30"/>
  <c r="H211" i="30"/>
  <c r="G211" i="30"/>
  <c r="F211" i="30"/>
  <c r="E211" i="30"/>
  <c r="C211" i="30"/>
  <c r="B211" i="30"/>
  <c r="AA210" i="30"/>
  <c r="Z210" i="30"/>
  <c r="Y210" i="30"/>
  <c r="V209" i="30"/>
  <c r="U209" i="30"/>
  <c r="T209" i="30"/>
  <c r="S209" i="30"/>
  <c r="R209" i="30"/>
  <c r="Q209" i="30"/>
  <c r="I209" i="30"/>
  <c r="H209" i="30"/>
  <c r="G209" i="30"/>
  <c r="F209" i="30"/>
  <c r="E209" i="30"/>
  <c r="C209" i="30"/>
  <c r="B209" i="30"/>
  <c r="AA208" i="30"/>
  <c r="Z208" i="30"/>
  <c r="Y208" i="30"/>
  <c r="V207" i="30"/>
  <c r="U207" i="30"/>
  <c r="T207" i="30"/>
  <c r="S207" i="30"/>
  <c r="R207" i="30"/>
  <c r="Q207" i="30"/>
  <c r="I207" i="30"/>
  <c r="H207" i="30"/>
  <c r="G207" i="30"/>
  <c r="F207" i="30"/>
  <c r="E207" i="30"/>
  <c r="C207" i="30"/>
  <c r="B207" i="30"/>
  <c r="AA206" i="30"/>
  <c r="Z206" i="30"/>
  <c r="Y206" i="30"/>
  <c r="V205" i="30"/>
  <c r="U205" i="30"/>
  <c r="T205" i="30"/>
  <c r="S205" i="30"/>
  <c r="R205" i="30"/>
  <c r="Q205" i="30"/>
  <c r="I205" i="30"/>
  <c r="H205" i="30"/>
  <c r="G205" i="30"/>
  <c r="F205" i="30"/>
  <c r="E205" i="30"/>
  <c r="C205" i="30"/>
  <c r="B205" i="30"/>
  <c r="AA202" i="30"/>
  <c r="Z202" i="30"/>
  <c r="Y202" i="30"/>
  <c r="K201" i="30"/>
  <c r="F201" i="30"/>
  <c r="K200" i="30"/>
  <c r="K199" i="30" s="1"/>
  <c r="I200" i="30"/>
  <c r="I199" i="30" s="1"/>
  <c r="G200" i="30"/>
  <c r="G199" i="30" s="1"/>
  <c r="H199" i="30"/>
  <c r="AA197" i="30"/>
  <c r="Z197" i="30"/>
  <c r="Y197" i="30"/>
  <c r="J196" i="30"/>
  <c r="I196" i="30"/>
  <c r="H196" i="30"/>
  <c r="F196" i="30"/>
  <c r="K195" i="30"/>
  <c r="F195" i="30"/>
  <c r="K194" i="30"/>
  <c r="F194" i="30"/>
  <c r="K193" i="30"/>
  <c r="F193" i="30"/>
  <c r="AA192" i="30"/>
  <c r="Z192" i="30"/>
  <c r="Y192" i="30"/>
  <c r="X192" i="30"/>
  <c r="V192" i="30"/>
  <c r="U192" i="30"/>
  <c r="T192" i="30"/>
  <c r="S192" i="30"/>
  <c r="R192" i="30"/>
  <c r="Q192" i="30"/>
  <c r="I192" i="30"/>
  <c r="G192" i="30"/>
  <c r="F192" i="30"/>
  <c r="E192" i="30"/>
  <c r="C192" i="30"/>
  <c r="B192" i="30"/>
  <c r="L191" i="30"/>
  <c r="K191" i="30"/>
  <c r="J191" i="30"/>
  <c r="I191" i="30"/>
  <c r="H191" i="30"/>
  <c r="G191" i="30"/>
  <c r="K190" i="30"/>
  <c r="I190" i="30"/>
  <c r="H190" i="30"/>
  <c r="G190" i="30"/>
  <c r="K189" i="30"/>
  <c r="I189" i="30"/>
  <c r="H189" i="30"/>
  <c r="G189" i="30"/>
  <c r="L188" i="30"/>
  <c r="K188" i="30"/>
  <c r="J188" i="30"/>
  <c r="I188" i="30"/>
  <c r="H188" i="30"/>
  <c r="G188" i="30"/>
  <c r="V187" i="30"/>
  <c r="U187" i="30"/>
  <c r="T187" i="30"/>
  <c r="L194" i="30" s="1"/>
  <c r="S187" i="30"/>
  <c r="J194" i="30" s="1"/>
  <c r="R187" i="30"/>
  <c r="L193" i="30" s="1"/>
  <c r="Q187" i="30"/>
  <c r="J193" i="30" s="1"/>
  <c r="F187" i="30"/>
  <c r="E187" i="30"/>
  <c r="C187" i="30"/>
  <c r="B187" i="30"/>
  <c r="AA186" i="30"/>
  <c r="Z186" i="30"/>
  <c r="Y186" i="30"/>
  <c r="J185" i="30"/>
  <c r="I185" i="30"/>
  <c r="H185" i="30"/>
  <c r="F185" i="30"/>
  <c r="K184" i="30"/>
  <c r="F184" i="30"/>
  <c r="K183" i="30"/>
  <c r="F183" i="30"/>
  <c r="AA182" i="30"/>
  <c r="Z182" i="30"/>
  <c r="Y182" i="30"/>
  <c r="V182" i="30"/>
  <c r="U182" i="30"/>
  <c r="T182" i="30"/>
  <c r="S182" i="30"/>
  <c r="R182" i="30"/>
  <c r="Q182" i="30"/>
  <c r="L182" i="30"/>
  <c r="K182" i="30"/>
  <c r="J182" i="30"/>
  <c r="X182" i="30" s="1"/>
  <c r="I182" i="30"/>
  <c r="G182" i="30"/>
  <c r="F182" i="30"/>
  <c r="E182" i="30"/>
  <c r="C182" i="30"/>
  <c r="B182" i="30"/>
  <c r="L181" i="30"/>
  <c r="K181" i="30"/>
  <c r="J181" i="30"/>
  <c r="I181" i="30"/>
  <c r="H181" i="30"/>
  <c r="G181" i="30"/>
  <c r="L180" i="30"/>
  <c r="K180" i="30"/>
  <c r="J180" i="30"/>
  <c r="I180" i="30"/>
  <c r="H180" i="30"/>
  <c r="G180" i="30"/>
  <c r="L179" i="30"/>
  <c r="K179" i="30"/>
  <c r="J179" i="30"/>
  <c r="W179" i="30" s="1"/>
  <c r="I179" i="30"/>
  <c r="H179" i="30"/>
  <c r="G179" i="30"/>
  <c r="V178" i="30"/>
  <c r="U178" i="30"/>
  <c r="T178" i="30"/>
  <c r="S178" i="30"/>
  <c r="R178" i="30"/>
  <c r="Q178" i="30"/>
  <c r="F178" i="30"/>
  <c r="E178" i="30"/>
  <c r="C178" i="30"/>
  <c r="B178" i="30"/>
  <c r="AA177" i="30"/>
  <c r="Z177" i="30"/>
  <c r="Y177" i="30"/>
  <c r="J176" i="30"/>
  <c r="I176" i="30"/>
  <c r="H176" i="30"/>
  <c r="F176" i="30"/>
  <c r="K175" i="30"/>
  <c r="F175" i="30"/>
  <c r="K174" i="30"/>
  <c r="F174" i="30"/>
  <c r="AA173" i="30"/>
  <c r="Z173" i="30"/>
  <c r="Y173" i="30"/>
  <c r="V173" i="30"/>
  <c r="U173" i="30"/>
  <c r="T173" i="30"/>
  <c r="S173" i="30"/>
  <c r="R173" i="30"/>
  <c r="Q173" i="30"/>
  <c r="L173" i="30"/>
  <c r="K173" i="30"/>
  <c r="J173" i="30"/>
  <c r="X173" i="30" s="1"/>
  <c r="I173" i="30"/>
  <c r="G173" i="30"/>
  <c r="F173" i="30"/>
  <c r="E173" i="30"/>
  <c r="C173" i="30"/>
  <c r="B173" i="30"/>
  <c r="L172" i="30"/>
  <c r="K172" i="30"/>
  <c r="J172" i="30"/>
  <c r="I172" i="30"/>
  <c r="H172" i="30"/>
  <c r="G172" i="30"/>
  <c r="L171" i="30"/>
  <c r="K171" i="30"/>
  <c r="J171" i="30"/>
  <c r="I171" i="30"/>
  <c r="H171" i="30"/>
  <c r="G171" i="30"/>
  <c r="L170" i="30"/>
  <c r="K170" i="30"/>
  <c r="J170" i="30"/>
  <c r="W170" i="30" s="1"/>
  <c r="I170" i="30"/>
  <c r="H170" i="30"/>
  <c r="G170" i="30"/>
  <c r="V169" i="30"/>
  <c r="U169" i="30"/>
  <c r="T169" i="30"/>
  <c r="S169" i="30"/>
  <c r="R169" i="30"/>
  <c r="Q169" i="30"/>
  <c r="F169" i="30"/>
  <c r="E169" i="30"/>
  <c r="C169" i="30"/>
  <c r="B169" i="30"/>
  <c r="AA168" i="30"/>
  <c r="Z168" i="30"/>
  <c r="Y168" i="30"/>
  <c r="J167" i="30"/>
  <c r="I167" i="30"/>
  <c r="H167" i="30"/>
  <c r="F167" i="30"/>
  <c r="K166" i="30"/>
  <c r="F166" i="30"/>
  <c r="K165" i="30"/>
  <c r="F165" i="30"/>
  <c r="AA164" i="30"/>
  <c r="Z164" i="30"/>
  <c r="Y164" i="30"/>
  <c r="V164" i="30"/>
  <c r="U164" i="30"/>
  <c r="T164" i="30"/>
  <c r="S164" i="30"/>
  <c r="R164" i="30"/>
  <c r="Q164" i="30"/>
  <c r="L164" i="30"/>
  <c r="K164" i="30"/>
  <c r="J164" i="30"/>
  <c r="X164" i="30" s="1"/>
  <c r="I164" i="30"/>
  <c r="G164" i="30"/>
  <c r="F164" i="30"/>
  <c r="E164" i="30"/>
  <c r="C164" i="30"/>
  <c r="B164" i="30"/>
  <c r="L163" i="30"/>
  <c r="K163" i="30"/>
  <c r="J163" i="30"/>
  <c r="I163" i="30"/>
  <c r="H163" i="30"/>
  <c r="G163" i="30"/>
  <c r="L162" i="30"/>
  <c r="K162" i="30"/>
  <c r="J162" i="30"/>
  <c r="I162" i="30"/>
  <c r="H162" i="30"/>
  <c r="G162" i="30"/>
  <c r="L161" i="30"/>
  <c r="K161" i="30"/>
  <c r="J161" i="30"/>
  <c r="W161" i="30" s="1"/>
  <c r="I161" i="30"/>
  <c r="H161" i="30"/>
  <c r="G161" i="30"/>
  <c r="V160" i="30"/>
  <c r="U160" i="30"/>
  <c r="T160" i="30"/>
  <c r="S160" i="30"/>
  <c r="R160" i="30"/>
  <c r="Q160" i="30"/>
  <c r="F160" i="30"/>
  <c r="E160" i="30"/>
  <c r="C160" i="30"/>
  <c r="B160" i="30"/>
  <c r="AA159" i="30"/>
  <c r="Z159" i="30"/>
  <c r="Y159" i="30"/>
  <c r="J158" i="30"/>
  <c r="I158" i="30"/>
  <c r="H158" i="30"/>
  <c r="F158" i="30"/>
  <c r="K157" i="30"/>
  <c r="F157" i="30"/>
  <c r="K156" i="30"/>
  <c r="F156" i="30"/>
  <c r="AA155" i="30"/>
  <c r="Z155" i="30"/>
  <c r="Y155" i="30"/>
  <c r="V155" i="30"/>
  <c r="U155" i="30"/>
  <c r="T155" i="30"/>
  <c r="S155" i="30"/>
  <c r="R155" i="30"/>
  <c r="Q155" i="30"/>
  <c r="L155" i="30"/>
  <c r="K155" i="30"/>
  <c r="J155" i="30"/>
  <c r="X155" i="30" s="1"/>
  <c r="I155" i="30"/>
  <c r="G155" i="30"/>
  <c r="F155" i="30"/>
  <c r="E155" i="30"/>
  <c r="C155" i="30"/>
  <c r="B155" i="30"/>
  <c r="L154" i="30"/>
  <c r="K154" i="30"/>
  <c r="J154" i="30"/>
  <c r="I154" i="30"/>
  <c r="H154" i="30"/>
  <c r="G154" i="30"/>
  <c r="L153" i="30"/>
  <c r="K153" i="30"/>
  <c r="J153" i="30"/>
  <c r="I153" i="30"/>
  <c r="H153" i="30"/>
  <c r="G153" i="30"/>
  <c r="L152" i="30"/>
  <c r="K152" i="30"/>
  <c r="J152" i="30"/>
  <c r="I152" i="30"/>
  <c r="H152" i="30"/>
  <c r="G152" i="30"/>
  <c r="V151" i="30"/>
  <c r="U151" i="30"/>
  <c r="T151" i="30"/>
  <c r="S151" i="30"/>
  <c r="R151" i="30"/>
  <c r="Q151" i="30"/>
  <c r="F151" i="30"/>
  <c r="E151" i="30"/>
  <c r="C151" i="30"/>
  <c r="B151" i="30"/>
  <c r="AA150" i="30"/>
  <c r="Z150" i="30"/>
  <c r="Y150" i="30"/>
  <c r="J149" i="30"/>
  <c r="I149" i="30"/>
  <c r="H149" i="30"/>
  <c r="F149" i="30"/>
  <c r="K148" i="30"/>
  <c r="F148" i="30"/>
  <c r="K147" i="30"/>
  <c r="F147" i="30"/>
  <c r="AA146" i="30"/>
  <c r="Z146" i="30"/>
  <c r="Y146" i="30"/>
  <c r="V146" i="30"/>
  <c r="U146" i="30"/>
  <c r="T146" i="30"/>
  <c r="S146" i="30"/>
  <c r="R146" i="30"/>
  <c r="Q146" i="30"/>
  <c r="L146" i="30"/>
  <c r="K146" i="30"/>
  <c r="J146" i="30"/>
  <c r="X146" i="30" s="1"/>
  <c r="I146" i="30"/>
  <c r="G146" i="30"/>
  <c r="F146" i="30"/>
  <c r="E146" i="30"/>
  <c r="C146" i="30"/>
  <c r="B146" i="30"/>
  <c r="L145" i="30"/>
  <c r="K145" i="30"/>
  <c r="J145" i="30"/>
  <c r="I145" i="30"/>
  <c r="H145" i="30"/>
  <c r="G145" i="30"/>
  <c r="L144" i="30"/>
  <c r="K144" i="30"/>
  <c r="J144" i="30"/>
  <c r="I144" i="30"/>
  <c r="H144" i="30"/>
  <c r="G144" i="30"/>
  <c r="L143" i="30"/>
  <c r="K143" i="30"/>
  <c r="J143" i="30"/>
  <c r="W143" i="30" s="1"/>
  <c r="I143" i="30"/>
  <c r="H143" i="30"/>
  <c r="G143" i="30"/>
  <c r="V142" i="30"/>
  <c r="U142" i="30"/>
  <c r="T142" i="30"/>
  <c r="S142" i="30"/>
  <c r="R142" i="30"/>
  <c r="Q142" i="30"/>
  <c r="F142" i="30"/>
  <c r="E142" i="30"/>
  <c r="C142" i="30"/>
  <c r="B142" i="30"/>
  <c r="AA141" i="30"/>
  <c r="Z141" i="30"/>
  <c r="Y141" i="30"/>
  <c r="J140" i="30"/>
  <c r="I140" i="30"/>
  <c r="H140" i="30"/>
  <c r="F140" i="30"/>
  <c r="K139" i="30"/>
  <c r="F139" i="30"/>
  <c r="K138" i="30"/>
  <c r="F138" i="30"/>
  <c r="AA137" i="30"/>
  <c r="Z137" i="30"/>
  <c r="Y137" i="30"/>
  <c r="V137" i="30"/>
  <c r="U137" i="30"/>
  <c r="T137" i="30"/>
  <c r="S137" i="30"/>
  <c r="R137" i="30"/>
  <c r="Q137" i="30"/>
  <c r="L137" i="30"/>
  <c r="K137" i="30"/>
  <c r="J137" i="30"/>
  <c r="X137" i="30" s="1"/>
  <c r="I137" i="30"/>
  <c r="G137" i="30"/>
  <c r="F137" i="30"/>
  <c r="E137" i="30"/>
  <c r="C137" i="30"/>
  <c r="B137" i="30"/>
  <c r="L136" i="30"/>
  <c r="K136" i="30"/>
  <c r="J136" i="30"/>
  <c r="I136" i="30"/>
  <c r="H136" i="30"/>
  <c r="G136" i="30"/>
  <c r="L135" i="30"/>
  <c r="K135" i="30"/>
  <c r="J135" i="30"/>
  <c r="I135" i="30"/>
  <c r="H135" i="30"/>
  <c r="G135" i="30"/>
  <c r="L134" i="30"/>
  <c r="K134" i="30"/>
  <c r="J134" i="30"/>
  <c r="W134" i="30" s="1"/>
  <c r="I134" i="30"/>
  <c r="H134" i="30"/>
  <c r="G134" i="30"/>
  <c r="V133" i="30"/>
  <c r="U133" i="30"/>
  <c r="T133" i="30"/>
  <c r="S133" i="30"/>
  <c r="R133" i="30"/>
  <c r="Q133" i="30"/>
  <c r="F133" i="30"/>
  <c r="E133" i="30"/>
  <c r="C133" i="30"/>
  <c r="B133" i="30"/>
  <c r="AA132" i="30"/>
  <c r="Z132" i="30"/>
  <c r="Y132" i="30"/>
  <c r="J131" i="30"/>
  <c r="I131" i="30"/>
  <c r="H131" i="30"/>
  <c r="F131" i="30"/>
  <c r="K130" i="30"/>
  <c r="F130" i="30"/>
  <c r="K129" i="30"/>
  <c r="F129" i="30"/>
  <c r="AA128" i="30"/>
  <c r="Z128" i="30"/>
  <c r="Y128" i="30"/>
  <c r="V128" i="30"/>
  <c r="U128" i="30"/>
  <c r="T128" i="30"/>
  <c r="S128" i="30"/>
  <c r="R128" i="30"/>
  <c r="Q128" i="30"/>
  <c r="L128" i="30"/>
  <c r="K128" i="30"/>
  <c r="J128" i="30"/>
  <c r="X128" i="30" s="1"/>
  <c r="I128" i="30"/>
  <c r="G128" i="30"/>
  <c r="F128" i="30"/>
  <c r="E128" i="30"/>
  <c r="C128" i="30"/>
  <c r="B128" i="30"/>
  <c r="L127" i="30"/>
  <c r="K127" i="30"/>
  <c r="J127" i="30"/>
  <c r="I127" i="30"/>
  <c r="H127" i="30"/>
  <c r="G127" i="30"/>
  <c r="L126" i="30"/>
  <c r="K126" i="30"/>
  <c r="J126" i="30"/>
  <c r="I126" i="30"/>
  <c r="H126" i="30"/>
  <c r="G126" i="30"/>
  <c r="L125" i="30"/>
  <c r="K125" i="30"/>
  <c r="J125" i="30"/>
  <c r="W125" i="30" s="1"/>
  <c r="I125" i="30"/>
  <c r="H125" i="30"/>
  <c r="G125" i="30"/>
  <c r="V124" i="30"/>
  <c r="U124" i="30"/>
  <c r="T124" i="30"/>
  <c r="S124" i="30"/>
  <c r="R124" i="30"/>
  <c r="Q124" i="30"/>
  <c r="F124" i="30"/>
  <c r="E124" i="30"/>
  <c r="C124" i="30"/>
  <c r="B124" i="30"/>
  <c r="AA123" i="30"/>
  <c r="Z123" i="30"/>
  <c r="Y123" i="30"/>
  <c r="V122" i="30"/>
  <c r="U122" i="30"/>
  <c r="T122" i="30"/>
  <c r="S122" i="30"/>
  <c r="R122" i="30"/>
  <c r="Q122" i="30"/>
  <c r="F122" i="30"/>
  <c r="L122" i="30" s="1"/>
  <c r="J122" i="30" s="1"/>
  <c r="E122" i="30"/>
  <c r="C122" i="30"/>
  <c r="B122" i="30"/>
  <c r="AA121" i="30"/>
  <c r="Z121" i="30"/>
  <c r="Y121" i="30"/>
  <c r="V120" i="30"/>
  <c r="U120" i="30"/>
  <c r="T120" i="30"/>
  <c r="S120" i="30"/>
  <c r="R120" i="30"/>
  <c r="Q120" i="30"/>
  <c r="F120" i="30"/>
  <c r="L120" i="30" s="1"/>
  <c r="E120" i="30"/>
  <c r="C120" i="30"/>
  <c r="B120" i="30"/>
  <c r="A119" i="30"/>
  <c r="K117" i="30"/>
  <c r="I117" i="30"/>
  <c r="K116" i="30"/>
  <c r="I116" i="30"/>
  <c r="A115" i="30"/>
  <c r="AA113" i="30"/>
  <c r="Z113" i="30"/>
  <c r="Y113" i="30"/>
  <c r="V112" i="30"/>
  <c r="U112" i="30"/>
  <c r="T112" i="30"/>
  <c r="S112" i="30"/>
  <c r="R112" i="30"/>
  <c r="Q112" i="30"/>
  <c r="I112" i="30"/>
  <c r="H112" i="30"/>
  <c r="G112" i="30"/>
  <c r="F112" i="30"/>
  <c r="E112" i="30"/>
  <c r="C112" i="30"/>
  <c r="B112" i="30"/>
  <c r="AA111" i="30"/>
  <c r="Z111" i="30"/>
  <c r="Y111" i="30"/>
  <c r="V110" i="30"/>
  <c r="U110" i="30"/>
  <c r="T110" i="30"/>
  <c r="S110" i="30"/>
  <c r="R110" i="30"/>
  <c r="Q110" i="30"/>
  <c r="I110" i="30"/>
  <c r="H110" i="30"/>
  <c r="G110" i="30"/>
  <c r="F110" i="30"/>
  <c r="E110" i="30"/>
  <c r="C110" i="30"/>
  <c r="B110" i="30"/>
  <c r="AA109" i="30"/>
  <c r="Z109" i="30"/>
  <c r="Y109" i="30"/>
  <c r="V108" i="30"/>
  <c r="U108" i="30"/>
  <c r="T108" i="30"/>
  <c r="S108" i="30"/>
  <c r="R108" i="30"/>
  <c r="Q108" i="30"/>
  <c r="I108" i="30"/>
  <c r="H108" i="30"/>
  <c r="G108" i="30"/>
  <c r="F108" i="30"/>
  <c r="E108" i="30"/>
  <c r="C108" i="30"/>
  <c r="B108" i="30"/>
  <c r="AA107" i="30"/>
  <c r="Z107" i="30"/>
  <c r="Y107" i="30"/>
  <c r="V106" i="30"/>
  <c r="U106" i="30"/>
  <c r="T106" i="30"/>
  <c r="S106" i="30"/>
  <c r="R106" i="30"/>
  <c r="Q106" i="30"/>
  <c r="I106" i="30"/>
  <c r="H106" i="30"/>
  <c r="G106" i="30"/>
  <c r="E106" i="30"/>
  <c r="C106" i="30"/>
  <c r="B106" i="30"/>
  <c r="AA103" i="30"/>
  <c r="Z103" i="30"/>
  <c r="Y103" i="30"/>
  <c r="K102" i="30"/>
  <c r="F102" i="30"/>
  <c r="K101" i="30"/>
  <c r="K100" i="30" s="1"/>
  <c r="I101" i="30"/>
  <c r="I100" i="30" s="1"/>
  <c r="G101" i="30"/>
  <c r="G100" i="30" s="1"/>
  <c r="H100" i="30"/>
  <c r="AA98" i="30"/>
  <c r="Z98" i="30"/>
  <c r="Y98" i="30"/>
  <c r="J97" i="30"/>
  <c r="I97" i="30"/>
  <c r="H97" i="30"/>
  <c r="F97" i="30"/>
  <c r="K96" i="30"/>
  <c r="F96" i="30"/>
  <c r="K95" i="30"/>
  <c r="F95" i="30"/>
  <c r="K94" i="30"/>
  <c r="F94" i="30"/>
  <c r="L93" i="30"/>
  <c r="K93" i="30"/>
  <c r="J93" i="30"/>
  <c r="I93" i="30"/>
  <c r="H93" i="30"/>
  <c r="G93" i="30"/>
  <c r="K92" i="30"/>
  <c r="I92" i="30"/>
  <c r="H92" i="30"/>
  <c r="G92" i="30"/>
  <c r="K91" i="30"/>
  <c r="I91" i="30"/>
  <c r="H91" i="30"/>
  <c r="G91" i="30"/>
  <c r="L90" i="30"/>
  <c r="K90" i="30"/>
  <c r="J90" i="30"/>
  <c r="I90" i="30"/>
  <c r="H90" i="30"/>
  <c r="G90" i="30"/>
  <c r="V89" i="30"/>
  <c r="U89" i="30"/>
  <c r="T89" i="30"/>
  <c r="L95" i="30" s="1"/>
  <c r="S89" i="30"/>
  <c r="J95" i="30" s="1"/>
  <c r="R89" i="30"/>
  <c r="L94" i="30" s="1"/>
  <c r="Q89" i="30"/>
  <c r="J94" i="30" s="1"/>
  <c r="F89" i="30"/>
  <c r="E89" i="30"/>
  <c r="C89" i="30"/>
  <c r="B89" i="30"/>
  <c r="AA88" i="30"/>
  <c r="Z88" i="30"/>
  <c r="Y88" i="30"/>
  <c r="J87" i="30"/>
  <c r="I87" i="30"/>
  <c r="H87" i="30"/>
  <c r="F87" i="30"/>
  <c r="K86" i="30"/>
  <c r="F86" i="30"/>
  <c r="K85" i="30"/>
  <c r="F85" i="30"/>
  <c r="AA84" i="30"/>
  <c r="Z84" i="30"/>
  <c r="Y84" i="30"/>
  <c r="V84" i="30"/>
  <c r="U84" i="30"/>
  <c r="T84" i="30"/>
  <c r="S84" i="30"/>
  <c r="R84" i="30"/>
  <c r="Q84" i="30"/>
  <c r="L84" i="30"/>
  <c r="K84" i="30"/>
  <c r="J84" i="30"/>
  <c r="X84" i="30" s="1"/>
  <c r="I84" i="30"/>
  <c r="G84" i="30"/>
  <c r="F84" i="30"/>
  <c r="E84" i="30"/>
  <c r="C84" i="30"/>
  <c r="B84" i="30"/>
  <c r="L83" i="30"/>
  <c r="K83" i="30"/>
  <c r="J83" i="30"/>
  <c r="I83" i="30"/>
  <c r="H83" i="30"/>
  <c r="G83" i="30"/>
  <c r="L82" i="30"/>
  <c r="K82" i="30"/>
  <c r="J82" i="30"/>
  <c r="I82" i="30"/>
  <c r="H82" i="30"/>
  <c r="G82" i="30"/>
  <c r="L81" i="30"/>
  <c r="K81" i="30"/>
  <c r="J81" i="30"/>
  <c r="W81" i="30" s="1"/>
  <c r="I81" i="30"/>
  <c r="H81" i="30"/>
  <c r="G81" i="30"/>
  <c r="V80" i="30"/>
  <c r="U80" i="30"/>
  <c r="T80" i="30"/>
  <c r="S80" i="30"/>
  <c r="R80" i="30"/>
  <c r="Q80" i="30"/>
  <c r="F80" i="30"/>
  <c r="E80" i="30"/>
  <c r="C80" i="30"/>
  <c r="B80" i="30"/>
  <c r="AA79" i="30"/>
  <c r="Z79" i="30"/>
  <c r="Y79" i="30"/>
  <c r="J78" i="30"/>
  <c r="I78" i="30"/>
  <c r="H78" i="30"/>
  <c r="F78" i="30"/>
  <c r="K77" i="30"/>
  <c r="F77" i="30"/>
  <c r="K76" i="30"/>
  <c r="F76" i="30"/>
  <c r="AA75" i="30"/>
  <c r="Z75" i="30"/>
  <c r="Y75" i="30"/>
  <c r="V75" i="30"/>
  <c r="U75" i="30"/>
  <c r="T75" i="30"/>
  <c r="S75" i="30"/>
  <c r="R75" i="30"/>
  <c r="Q75" i="30"/>
  <c r="L75" i="30"/>
  <c r="K75" i="30"/>
  <c r="J75" i="30"/>
  <c r="X75" i="30" s="1"/>
  <c r="I75" i="30"/>
  <c r="G75" i="30"/>
  <c r="F75" i="30"/>
  <c r="E75" i="30"/>
  <c r="C75" i="30"/>
  <c r="B75" i="30"/>
  <c r="L74" i="30"/>
  <c r="K74" i="30"/>
  <c r="J74" i="30"/>
  <c r="I74" i="30"/>
  <c r="H74" i="30"/>
  <c r="G74" i="30"/>
  <c r="L73" i="30"/>
  <c r="K73" i="30"/>
  <c r="J73" i="30"/>
  <c r="I73" i="30"/>
  <c r="H73" i="30"/>
  <c r="G73" i="30"/>
  <c r="L72" i="30"/>
  <c r="K72" i="30"/>
  <c r="J72" i="30"/>
  <c r="W72" i="30" s="1"/>
  <c r="I72" i="30"/>
  <c r="H72" i="30"/>
  <c r="G72" i="30"/>
  <c r="V71" i="30"/>
  <c r="U71" i="30"/>
  <c r="T71" i="30"/>
  <c r="S71" i="30"/>
  <c r="R71" i="30"/>
  <c r="Q71" i="30"/>
  <c r="F71" i="30"/>
  <c r="E71" i="30"/>
  <c r="C71" i="30"/>
  <c r="B71" i="30"/>
  <c r="AA70" i="30"/>
  <c r="Z70" i="30"/>
  <c r="Y70" i="30"/>
  <c r="J69" i="30"/>
  <c r="I69" i="30"/>
  <c r="H69" i="30"/>
  <c r="F69" i="30"/>
  <c r="K68" i="30"/>
  <c r="F68" i="30"/>
  <c r="K67" i="30"/>
  <c r="F67" i="30"/>
  <c r="AA66" i="30"/>
  <c r="Z66" i="30"/>
  <c r="Y66" i="30"/>
  <c r="V66" i="30"/>
  <c r="U66" i="30"/>
  <c r="T66" i="30"/>
  <c r="S66" i="30"/>
  <c r="R66" i="30"/>
  <c r="Q66" i="30"/>
  <c r="L66" i="30"/>
  <c r="K66" i="30"/>
  <c r="J66" i="30"/>
  <c r="X66" i="30" s="1"/>
  <c r="I66" i="30"/>
  <c r="G66" i="30"/>
  <c r="F66" i="30"/>
  <c r="E66" i="30"/>
  <c r="C66" i="30"/>
  <c r="B66" i="30"/>
  <c r="L65" i="30"/>
  <c r="K65" i="30"/>
  <c r="J65" i="30"/>
  <c r="I65" i="30"/>
  <c r="H65" i="30"/>
  <c r="G65" i="30"/>
  <c r="L64" i="30"/>
  <c r="K64" i="30"/>
  <c r="J64" i="30"/>
  <c r="I64" i="30"/>
  <c r="H64" i="30"/>
  <c r="G64" i="30"/>
  <c r="L63" i="30"/>
  <c r="K63" i="30"/>
  <c r="J63" i="30"/>
  <c r="W63" i="30" s="1"/>
  <c r="I63" i="30"/>
  <c r="H63" i="30"/>
  <c r="G63" i="30"/>
  <c r="V62" i="30"/>
  <c r="U62" i="30"/>
  <c r="T62" i="30"/>
  <c r="S62" i="30"/>
  <c r="R62" i="30"/>
  <c r="Q62" i="30"/>
  <c r="F62" i="30"/>
  <c r="E62" i="30"/>
  <c r="C62" i="30"/>
  <c r="B62" i="30"/>
  <c r="AA61" i="30"/>
  <c r="Z61" i="30"/>
  <c r="Y61" i="30"/>
  <c r="J60" i="30"/>
  <c r="I60" i="30"/>
  <c r="H60" i="30"/>
  <c r="F60" i="30"/>
  <c r="K59" i="30"/>
  <c r="F59" i="30"/>
  <c r="K58" i="30"/>
  <c r="F58" i="30"/>
  <c r="AA57" i="30"/>
  <c r="Z57" i="30"/>
  <c r="Y57" i="30"/>
  <c r="V57" i="30"/>
  <c r="U57" i="30"/>
  <c r="T57" i="30"/>
  <c r="S57" i="30"/>
  <c r="R57" i="30"/>
  <c r="Q57" i="30"/>
  <c r="L57" i="30"/>
  <c r="K57" i="30"/>
  <c r="J57" i="30"/>
  <c r="X57" i="30" s="1"/>
  <c r="I57" i="30"/>
  <c r="G57" i="30"/>
  <c r="F57" i="30"/>
  <c r="E57" i="30"/>
  <c r="C57" i="30"/>
  <c r="B57" i="30"/>
  <c r="L56" i="30"/>
  <c r="K56" i="30"/>
  <c r="J56" i="30"/>
  <c r="I56" i="30"/>
  <c r="H56" i="30"/>
  <c r="G56" i="30"/>
  <c r="L55" i="30"/>
  <c r="K55" i="30"/>
  <c r="J55" i="30"/>
  <c r="I55" i="30"/>
  <c r="H55" i="30"/>
  <c r="G55" i="30"/>
  <c r="L54" i="30"/>
  <c r="K54" i="30"/>
  <c r="J54" i="30"/>
  <c r="I54" i="30"/>
  <c r="H54" i="30"/>
  <c r="G54" i="30"/>
  <c r="V53" i="30"/>
  <c r="U53" i="30"/>
  <c r="T53" i="30"/>
  <c r="S53" i="30"/>
  <c r="R53" i="30"/>
  <c r="Q53" i="30"/>
  <c r="F53" i="30"/>
  <c r="E53" i="30"/>
  <c r="C53" i="30"/>
  <c r="B53" i="30"/>
  <c r="AA52" i="30"/>
  <c r="Z52" i="30"/>
  <c r="Y52" i="30"/>
  <c r="J51" i="30"/>
  <c r="I51" i="30"/>
  <c r="H51" i="30"/>
  <c r="F51" i="30"/>
  <c r="K50" i="30"/>
  <c r="F50" i="30"/>
  <c r="K49" i="30"/>
  <c r="F49" i="30"/>
  <c r="AA48" i="30"/>
  <c r="Z48" i="30"/>
  <c r="Y48" i="30"/>
  <c r="V48" i="30"/>
  <c r="U48" i="30"/>
  <c r="T48" i="30"/>
  <c r="S48" i="30"/>
  <c r="R48" i="30"/>
  <c r="Q48" i="30"/>
  <c r="L48" i="30"/>
  <c r="K48" i="30"/>
  <c r="J48" i="30"/>
  <c r="X48" i="30" s="1"/>
  <c r="I48" i="30"/>
  <c r="G48" i="30"/>
  <c r="F48" i="30"/>
  <c r="E48" i="30"/>
  <c r="C48" i="30"/>
  <c r="B48" i="30"/>
  <c r="L47" i="30"/>
  <c r="K47" i="30"/>
  <c r="J47" i="30"/>
  <c r="I47" i="30"/>
  <c r="H47" i="30"/>
  <c r="G47" i="30"/>
  <c r="L46" i="30"/>
  <c r="K46" i="30"/>
  <c r="J46" i="30"/>
  <c r="I46" i="30"/>
  <c r="H46" i="30"/>
  <c r="G46" i="30"/>
  <c r="L45" i="30"/>
  <c r="K45" i="30"/>
  <c r="J45" i="30"/>
  <c r="W45" i="30" s="1"/>
  <c r="I45" i="30"/>
  <c r="H45" i="30"/>
  <c r="G45" i="30"/>
  <c r="V44" i="30"/>
  <c r="U44" i="30"/>
  <c r="T44" i="30"/>
  <c r="S44" i="30"/>
  <c r="R44" i="30"/>
  <c r="Q44" i="30"/>
  <c r="F44" i="30"/>
  <c r="E44" i="30"/>
  <c r="C44" i="30"/>
  <c r="B44" i="30"/>
  <c r="AA43" i="30"/>
  <c r="Z43" i="30"/>
  <c r="Y43" i="30"/>
  <c r="J42" i="30"/>
  <c r="I42" i="30"/>
  <c r="H42" i="30"/>
  <c r="F42" i="30"/>
  <c r="K41" i="30"/>
  <c r="F41" i="30"/>
  <c r="K40" i="30"/>
  <c r="F40" i="30"/>
  <c r="AA39" i="30"/>
  <c r="Z39" i="30"/>
  <c r="Y39" i="30"/>
  <c r="V39" i="30"/>
  <c r="U39" i="30"/>
  <c r="T39" i="30"/>
  <c r="S39" i="30"/>
  <c r="R39" i="30"/>
  <c r="Q39" i="30"/>
  <c r="L39" i="30"/>
  <c r="K39" i="30"/>
  <c r="J39" i="30"/>
  <c r="X39" i="30" s="1"/>
  <c r="I39" i="30"/>
  <c r="G39" i="30"/>
  <c r="F39" i="30"/>
  <c r="E39" i="30"/>
  <c r="C39" i="30"/>
  <c r="B39" i="30"/>
  <c r="L38" i="30"/>
  <c r="K38" i="30"/>
  <c r="J38" i="30"/>
  <c r="I38" i="30"/>
  <c r="H38" i="30"/>
  <c r="G38" i="30"/>
  <c r="L37" i="30"/>
  <c r="K37" i="30"/>
  <c r="J37" i="30"/>
  <c r="I37" i="30"/>
  <c r="H37" i="30"/>
  <c r="G37" i="30"/>
  <c r="L36" i="30"/>
  <c r="K36" i="30"/>
  <c r="J36" i="30"/>
  <c r="W36" i="30" s="1"/>
  <c r="I36" i="30"/>
  <c r="H36" i="30"/>
  <c r="G36" i="30"/>
  <c r="V35" i="30"/>
  <c r="U35" i="30"/>
  <c r="T35" i="30"/>
  <c r="S35" i="30"/>
  <c r="R35" i="30"/>
  <c r="Q35" i="30"/>
  <c r="F35" i="30"/>
  <c r="E35" i="30"/>
  <c r="C35" i="30"/>
  <c r="B35" i="30"/>
  <c r="AA34" i="30"/>
  <c r="Z34" i="30"/>
  <c r="Y34" i="30"/>
  <c r="J33" i="30"/>
  <c r="I33" i="30"/>
  <c r="H33" i="30"/>
  <c r="F33" i="30"/>
  <c r="K32" i="30"/>
  <c r="F32" i="30"/>
  <c r="K31" i="30"/>
  <c r="F31" i="30"/>
  <c r="AA30" i="30"/>
  <c r="Z30" i="30"/>
  <c r="Y30" i="30"/>
  <c r="V30" i="30"/>
  <c r="U30" i="30"/>
  <c r="T30" i="30"/>
  <c r="S30" i="30"/>
  <c r="R30" i="30"/>
  <c r="Q30" i="30"/>
  <c r="L30" i="30"/>
  <c r="K30" i="30"/>
  <c r="J30" i="30"/>
  <c r="X30" i="30" s="1"/>
  <c r="I30" i="30"/>
  <c r="G30" i="30"/>
  <c r="F30" i="30"/>
  <c r="E30" i="30"/>
  <c r="C30" i="30"/>
  <c r="B30" i="30"/>
  <c r="L29" i="30"/>
  <c r="K29" i="30"/>
  <c r="J29" i="30"/>
  <c r="I29" i="30"/>
  <c r="H29" i="30"/>
  <c r="G29" i="30"/>
  <c r="L28" i="30"/>
  <c r="K28" i="30"/>
  <c r="J28" i="30"/>
  <c r="I28" i="30"/>
  <c r="H28" i="30"/>
  <c r="G28" i="30"/>
  <c r="L27" i="30"/>
  <c r="K27" i="30"/>
  <c r="J27" i="30"/>
  <c r="I27" i="30"/>
  <c r="H27" i="30"/>
  <c r="G27" i="30"/>
  <c r="V26" i="30"/>
  <c r="U26" i="30"/>
  <c r="T26" i="30"/>
  <c r="S26" i="30"/>
  <c r="R26" i="30"/>
  <c r="Q26" i="30"/>
  <c r="F26" i="30"/>
  <c r="E26" i="30"/>
  <c r="C26" i="30"/>
  <c r="B26" i="30"/>
  <c r="AA25" i="30"/>
  <c r="Z25" i="30"/>
  <c r="Y25" i="30"/>
  <c r="V24" i="30"/>
  <c r="U24" i="30"/>
  <c r="T24" i="30"/>
  <c r="S24" i="30"/>
  <c r="R24" i="30"/>
  <c r="Q24" i="30"/>
  <c r="F24" i="30"/>
  <c r="L24" i="30" s="1"/>
  <c r="J24" i="30" s="1"/>
  <c r="E24" i="30"/>
  <c r="C24" i="30"/>
  <c r="B24" i="30"/>
  <c r="AA23" i="30"/>
  <c r="Z23" i="30"/>
  <c r="Y23" i="30"/>
  <c r="V22" i="30"/>
  <c r="U22" i="30"/>
  <c r="T22" i="30"/>
  <c r="S22" i="30"/>
  <c r="R22" i="30"/>
  <c r="Q22" i="30"/>
  <c r="F22" i="30"/>
  <c r="L22" i="30" s="1"/>
  <c r="E22" i="30"/>
  <c r="C22" i="30"/>
  <c r="B22" i="30"/>
  <c r="AA21" i="30"/>
  <c r="Z21" i="30"/>
  <c r="Y21" i="30"/>
  <c r="V20" i="30"/>
  <c r="U20" i="30"/>
  <c r="T20" i="30"/>
  <c r="S20" i="30"/>
  <c r="R20" i="30"/>
  <c r="Q20" i="30"/>
  <c r="I20" i="30"/>
  <c r="F20" i="30"/>
  <c r="L20" i="30" s="1"/>
  <c r="J20" i="30" s="1"/>
  <c r="E20" i="30"/>
  <c r="C20" i="30"/>
  <c r="B20" i="30"/>
  <c r="A19" i="30"/>
  <c r="A17" i="30"/>
  <c r="N24" i="6" l="1"/>
  <c r="W27" i="30"/>
  <c r="I277" i="30"/>
  <c r="L32" i="30"/>
  <c r="K277" i="30"/>
  <c r="J41" i="30"/>
  <c r="L49" i="30"/>
  <c r="J58" i="30"/>
  <c r="J261" i="30"/>
  <c r="I262" i="30" s="1"/>
  <c r="L31" i="30"/>
  <c r="J40" i="30"/>
  <c r="L67" i="30"/>
  <c r="J76" i="30"/>
  <c r="L86" i="30"/>
  <c r="L130" i="30"/>
  <c r="J139" i="30"/>
  <c r="J156" i="30"/>
  <c r="L166" i="30"/>
  <c r="L183" i="30"/>
  <c r="J238" i="30"/>
  <c r="G238" i="30" s="1"/>
  <c r="K239" i="30"/>
  <c r="G24" i="30"/>
  <c r="X25" i="30"/>
  <c r="J120" i="30"/>
  <c r="X121" i="30" s="1"/>
  <c r="K121" i="30"/>
  <c r="J240" i="30"/>
  <c r="G240" i="30" s="1"/>
  <c r="K241" i="30"/>
  <c r="X21" i="30"/>
  <c r="G20" i="30"/>
  <c r="J22" i="30"/>
  <c r="X23" i="30" s="1"/>
  <c r="K23" i="30"/>
  <c r="K21" i="30"/>
  <c r="K25" i="30"/>
  <c r="K123" i="30"/>
  <c r="J130" i="30"/>
  <c r="L138" i="30"/>
  <c r="J147" i="30"/>
  <c r="J166" i="30"/>
  <c r="L174" i="30"/>
  <c r="P262" i="30"/>
  <c r="X123" i="30"/>
  <c r="G122" i="30"/>
  <c r="J49" i="30"/>
  <c r="J68" i="30"/>
  <c r="J85" i="30"/>
  <c r="J148" i="30"/>
  <c r="L156" i="30"/>
  <c r="L68" i="30"/>
  <c r="J233" i="30"/>
  <c r="J224" i="30" s="1"/>
  <c r="W224" i="30" s="1"/>
  <c r="L41" i="30"/>
  <c r="L58" i="30"/>
  <c r="J77" i="30"/>
  <c r="L184" i="30"/>
  <c r="J205" i="30"/>
  <c r="L205" i="30" s="1"/>
  <c r="K206" i="30" s="1"/>
  <c r="J207" i="30"/>
  <c r="O208" i="30" s="1"/>
  <c r="J209" i="30"/>
  <c r="O210" i="30" s="1"/>
  <c r="J108" i="30"/>
  <c r="X109" i="30" s="1"/>
  <c r="L50" i="30"/>
  <c r="L175" i="30"/>
  <c r="J32" i="30"/>
  <c r="J59" i="30"/>
  <c r="L77" i="30"/>
  <c r="L148" i="30"/>
  <c r="J157" i="30"/>
  <c r="L165" i="30"/>
  <c r="J184" i="30"/>
  <c r="I21" i="30"/>
  <c r="I25" i="30"/>
  <c r="O123" i="30"/>
  <c r="O21" i="30"/>
  <c r="O25" i="30"/>
  <c r="P123" i="30"/>
  <c r="J211" i="30"/>
  <c r="I212" i="30" s="1"/>
  <c r="I260" i="30"/>
  <c r="P121" i="30"/>
  <c r="J31" i="30"/>
  <c r="I34" i="30" s="1"/>
  <c r="L40" i="30"/>
  <c r="J50" i="30"/>
  <c r="L59" i="30"/>
  <c r="J67" i="30"/>
  <c r="L76" i="30"/>
  <c r="J86" i="30"/>
  <c r="L129" i="30"/>
  <c r="L139" i="30"/>
  <c r="K141" i="30" s="1"/>
  <c r="L147" i="30"/>
  <c r="L157" i="30"/>
  <c r="J175" i="30"/>
  <c r="J183" i="30"/>
  <c r="P260" i="30"/>
  <c r="W54" i="30"/>
  <c r="L85" i="30"/>
  <c r="J106" i="30"/>
  <c r="O107" i="30" s="1"/>
  <c r="J110" i="30"/>
  <c r="L110" i="30" s="1"/>
  <c r="P111" i="30" s="1"/>
  <c r="J112" i="30"/>
  <c r="O113" i="30" s="1"/>
  <c r="W152" i="30"/>
  <c r="L233" i="30"/>
  <c r="L224" i="30" s="1"/>
  <c r="X260" i="30"/>
  <c r="P21" i="30"/>
  <c r="P23" i="30"/>
  <c r="P25" i="30"/>
  <c r="J138" i="30"/>
  <c r="J174" i="30"/>
  <c r="J129" i="30"/>
  <c r="J165" i="30"/>
  <c r="J200" i="30"/>
  <c r="L101" i="30"/>
  <c r="J101" i="30"/>
  <c r="L200" i="30"/>
  <c r="J232" i="30"/>
  <c r="J223" i="30" s="1"/>
  <c r="J254" i="30"/>
  <c r="L254" i="30"/>
  <c r="W90" i="30"/>
  <c r="P239" i="30"/>
  <c r="P241" i="30"/>
  <c r="K262" i="30"/>
  <c r="I123" i="30"/>
  <c r="W188" i="30"/>
  <c r="W243" i="30"/>
  <c r="O79" i="30" l="1"/>
  <c r="K52" i="30"/>
  <c r="X239" i="30"/>
  <c r="I239" i="30"/>
  <c r="X61" i="30"/>
  <c r="X212" i="30"/>
  <c r="O141" i="30"/>
  <c r="P159" i="30"/>
  <c r="X88" i="30"/>
  <c r="K34" i="30"/>
  <c r="K186" i="30"/>
  <c r="X43" i="30"/>
  <c r="O43" i="30"/>
  <c r="O212" i="30"/>
  <c r="K132" i="30"/>
  <c r="I23" i="30"/>
  <c r="O109" i="30"/>
  <c r="K168" i="30"/>
  <c r="J234" i="30"/>
  <c r="I43" i="30"/>
  <c r="I109" i="30"/>
  <c r="O168" i="30"/>
  <c r="X34" i="30"/>
  <c r="I88" i="30"/>
  <c r="P34" i="30"/>
  <c r="P206" i="30"/>
  <c r="X186" i="30"/>
  <c r="K177" i="30"/>
  <c r="K159" i="30"/>
  <c r="W233" i="30"/>
  <c r="O88" i="30"/>
  <c r="I107" i="30"/>
  <c r="O121" i="30"/>
  <c r="P88" i="30"/>
  <c r="P61" i="30"/>
  <c r="P168" i="30"/>
  <c r="O241" i="30"/>
  <c r="G120" i="30"/>
  <c r="X241" i="30"/>
  <c r="I275" i="30"/>
  <c r="J283" i="30" s="1"/>
  <c r="X208" i="30"/>
  <c r="X107" i="30"/>
  <c r="X52" i="30"/>
  <c r="X262" i="30"/>
  <c r="G261" i="30"/>
  <c r="I241" i="30"/>
  <c r="I121" i="30"/>
  <c r="P186" i="30"/>
  <c r="L106" i="30"/>
  <c r="K107" i="30" s="1"/>
  <c r="L108" i="30"/>
  <c r="K109" i="30" s="1"/>
  <c r="O239" i="30"/>
  <c r="K70" i="30"/>
  <c r="O262" i="30"/>
  <c r="I159" i="30"/>
  <c r="K150" i="30"/>
  <c r="X70" i="30"/>
  <c r="K43" i="30"/>
  <c r="I150" i="30"/>
  <c r="I210" i="30"/>
  <c r="O111" i="30"/>
  <c r="L211" i="30"/>
  <c r="X159" i="30"/>
  <c r="I168" i="30"/>
  <c r="X210" i="30"/>
  <c r="P70" i="30"/>
  <c r="I186" i="30"/>
  <c r="G22" i="30"/>
  <c r="O23" i="30"/>
  <c r="P132" i="30"/>
  <c r="L209" i="30"/>
  <c r="K210" i="30" s="1"/>
  <c r="O132" i="30"/>
  <c r="X79" i="30"/>
  <c r="I79" i="30"/>
  <c r="O70" i="30"/>
  <c r="L112" i="30"/>
  <c r="K113" i="30" s="1"/>
  <c r="O206" i="30"/>
  <c r="I111" i="30"/>
  <c r="X150" i="30"/>
  <c r="O61" i="30"/>
  <c r="O150" i="30"/>
  <c r="K79" i="30"/>
  <c r="I61" i="30"/>
  <c r="I206" i="30"/>
  <c r="P43" i="30"/>
  <c r="I132" i="30"/>
  <c r="X206" i="30"/>
  <c r="I141" i="30"/>
  <c r="L207" i="30"/>
  <c r="P208" i="30" s="1"/>
  <c r="O177" i="30"/>
  <c r="K111" i="30"/>
  <c r="O159" i="30"/>
  <c r="K61" i="30"/>
  <c r="I208" i="30"/>
  <c r="X111" i="30"/>
  <c r="P52" i="30"/>
  <c r="O186" i="30"/>
  <c r="O34" i="30"/>
  <c r="P150" i="30"/>
  <c r="I52" i="30"/>
  <c r="O52" i="30"/>
  <c r="I177" i="30"/>
  <c r="P177" i="30"/>
  <c r="P141" i="30"/>
  <c r="P79" i="30"/>
  <c r="K88" i="30"/>
  <c r="L232" i="30"/>
  <c r="L223" i="30" s="1"/>
  <c r="I70" i="30"/>
  <c r="L234" i="30"/>
  <c r="L228" i="30" s="1"/>
  <c r="I113" i="30"/>
  <c r="X113" i="30"/>
  <c r="X168" i="30"/>
  <c r="X177" i="30"/>
  <c r="J255" i="30"/>
  <c r="W254" i="30"/>
  <c r="J253" i="30"/>
  <c r="J244" i="30" s="1"/>
  <c r="J245" i="30"/>
  <c r="W245" i="30" s="1"/>
  <c r="J92" i="30"/>
  <c r="J102" i="30"/>
  <c r="W101" i="30"/>
  <c r="J100" i="30"/>
  <c r="J91" i="30" s="1"/>
  <c r="P212" i="30"/>
  <c r="P109" i="30"/>
  <c r="J228" i="30"/>
  <c r="I230" i="30" s="1"/>
  <c r="I235" i="30"/>
  <c r="L199" i="30"/>
  <c r="L189" i="30" s="1"/>
  <c r="L190" i="30"/>
  <c r="L201" i="30"/>
  <c r="X132" i="30"/>
  <c r="L100" i="30"/>
  <c r="L91" i="30" s="1"/>
  <c r="L92" i="30"/>
  <c r="L102" i="30"/>
  <c r="J201" i="30"/>
  <c r="W200" i="30"/>
  <c r="J199" i="30"/>
  <c r="J189" i="30" s="1"/>
  <c r="J190" i="30"/>
  <c r="W190" i="30" s="1"/>
  <c r="X141" i="30"/>
  <c r="L253" i="30"/>
  <c r="L244" i="30" s="1"/>
  <c r="L245" i="30"/>
  <c r="L255" i="30"/>
  <c r="P210" i="30" l="1"/>
  <c r="P107" i="30"/>
  <c r="P113" i="30"/>
  <c r="O23" i="6"/>
  <c r="O19" i="34"/>
  <c r="K276" i="30"/>
  <c r="L282" i="30" s="1"/>
  <c r="L292" i="30" s="1"/>
  <c r="L295" i="30" s="1"/>
  <c r="K275" i="30"/>
  <c r="L283" i="30" s="1"/>
  <c r="K208" i="30"/>
  <c r="W92" i="30"/>
  <c r="I276" i="30"/>
  <c r="J282" i="30" s="1"/>
  <c r="J287" i="30" s="1"/>
  <c r="K212" i="30"/>
  <c r="I237" i="30"/>
  <c r="K230" i="30"/>
  <c r="K235" i="30"/>
  <c r="P235" i="30" s="1"/>
  <c r="J195" i="30"/>
  <c r="O197" i="30" s="1"/>
  <c r="I202" i="30"/>
  <c r="O235" i="30"/>
  <c r="Y235" i="30"/>
  <c r="P230" i="30"/>
  <c r="K103" i="30"/>
  <c r="P103" i="30" s="1"/>
  <c r="L96" i="30"/>
  <c r="P98" i="30" s="1"/>
  <c r="K202" i="30"/>
  <c r="P202" i="30" s="1"/>
  <c r="L195" i="30"/>
  <c r="K197" i="30" s="1"/>
  <c r="O230" i="30"/>
  <c r="Y230" i="30"/>
  <c r="J96" i="30"/>
  <c r="X98" i="30" s="1"/>
  <c r="I103" i="30"/>
  <c r="K256" i="30"/>
  <c r="P256" i="30" s="1"/>
  <c r="L249" i="30"/>
  <c r="K251" i="30" s="1"/>
  <c r="J249" i="30"/>
  <c r="O251" i="30" s="1"/>
  <c r="I256" i="30"/>
  <c r="L293" i="30" l="1"/>
  <c r="P19" i="34"/>
  <c r="S19" i="34"/>
  <c r="Z23" i="6"/>
  <c r="Q19" i="34"/>
  <c r="P23" i="6"/>
  <c r="L287" i="30"/>
  <c r="R19" i="34" s="1"/>
  <c r="K204" i="30"/>
  <c r="X197" i="30"/>
  <c r="P197" i="30"/>
  <c r="K214" i="30" s="1"/>
  <c r="I197" i="30"/>
  <c r="I204" i="30" s="1"/>
  <c r="K98" i="30"/>
  <c r="K105" i="30" s="1"/>
  <c r="K237" i="30"/>
  <c r="K258" i="30"/>
  <c r="Y256" i="30"/>
  <c r="O256" i="30"/>
  <c r="I264" i="30" s="1"/>
  <c r="O103" i="30"/>
  <c r="X103" i="30"/>
  <c r="K115" i="30"/>
  <c r="Y251" i="30"/>
  <c r="I98" i="30"/>
  <c r="I105" i="30" s="1"/>
  <c r="I251" i="30"/>
  <c r="I258" i="30" s="1"/>
  <c r="P251" i="30"/>
  <c r="K264" i="30" s="1"/>
  <c r="O98" i="30"/>
  <c r="X202" i="30"/>
  <c r="O202" i="30"/>
  <c r="I214" i="30" s="1"/>
  <c r="AB23" i="6" l="1"/>
  <c r="AA23" i="6"/>
  <c r="K268" i="30"/>
  <c r="K272" i="30"/>
  <c r="L280" i="30" s="1"/>
  <c r="I272" i="30"/>
  <c r="J280" i="30" s="1"/>
  <c r="I268" i="30"/>
  <c r="I115" i="30"/>
  <c r="J281" i="30" l="1"/>
  <c r="J288" i="30" s="1"/>
  <c r="F19" i="34"/>
  <c r="T19" i="34" s="1"/>
  <c r="G19" i="34"/>
  <c r="L290" i="30"/>
  <c r="L281" i="30"/>
  <c r="L288" i="30" s="1"/>
  <c r="L23" i="6"/>
  <c r="K46" i="29"/>
  <c r="I46" i="29"/>
  <c r="K45" i="29"/>
  <c r="I45" i="29"/>
  <c r="K42" i="29"/>
  <c r="I42" i="29"/>
  <c r="K41" i="29"/>
  <c r="I41" i="29"/>
  <c r="A40" i="29"/>
  <c r="AA38" i="29"/>
  <c r="Z38" i="29"/>
  <c r="Y38" i="29"/>
  <c r="V37" i="29"/>
  <c r="U37" i="29"/>
  <c r="T37" i="29"/>
  <c r="S37" i="29"/>
  <c r="R37" i="29"/>
  <c r="Q37" i="29"/>
  <c r="I37" i="29"/>
  <c r="H37" i="29"/>
  <c r="F37" i="29"/>
  <c r="L37" i="29" s="1"/>
  <c r="E37" i="29"/>
  <c r="C37" i="29"/>
  <c r="B37" i="29"/>
  <c r="AA34" i="29"/>
  <c r="Z34" i="29"/>
  <c r="Y34" i="29"/>
  <c r="K33" i="29"/>
  <c r="F33" i="29"/>
  <c r="K32" i="29"/>
  <c r="K31" i="29" s="1"/>
  <c r="I32" i="29"/>
  <c r="I31" i="29" s="1"/>
  <c r="G32" i="29"/>
  <c r="H31" i="29"/>
  <c r="AA29" i="29"/>
  <c r="Z29" i="29"/>
  <c r="Y29" i="29"/>
  <c r="J28" i="29"/>
  <c r="I28" i="29"/>
  <c r="H28" i="29"/>
  <c r="F28" i="29"/>
  <c r="K27" i="29"/>
  <c r="F27" i="29"/>
  <c r="K26" i="29"/>
  <c r="F26" i="29"/>
  <c r="K25" i="29"/>
  <c r="F25" i="29"/>
  <c r="L24" i="29"/>
  <c r="K24" i="29"/>
  <c r="J24" i="29"/>
  <c r="I24" i="29"/>
  <c r="H24" i="29"/>
  <c r="G24" i="29"/>
  <c r="K23" i="29"/>
  <c r="I23" i="29"/>
  <c r="H23" i="29"/>
  <c r="G23" i="29"/>
  <c r="K22" i="29"/>
  <c r="I22" i="29"/>
  <c r="H22" i="29"/>
  <c r="G22" i="29"/>
  <c r="L21" i="29"/>
  <c r="K49" i="29" s="1"/>
  <c r="K21" i="29"/>
  <c r="J21" i="29"/>
  <c r="I49" i="29" s="1"/>
  <c r="I21" i="29"/>
  <c r="H21" i="29"/>
  <c r="G21" i="29"/>
  <c r="V20" i="29"/>
  <c r="U20" i="29"/>
  <c r="T20" i="29"/>
  <c r="L26" i="29" s="1"/>
  <c r="S20" i="29"/>
  <c r="J26" i="29" s="1"/>
  <c r="R20" i="29"/>
  <c r="L25" i="29" s="1"/>
  <c r="Q20" i="29"/>
  <c r="J25" i="29" s="1"/>
  <c r="F20" i="29"/>
  <c r="E20" i="29"/>
  <c r="C20" i="29"/>
  <c r="B20" i="29"/>
  <c r="A19" i="29"/>
  <c r="K18" i="29"/>
  <c r="I18" i="29"/>
  <c r="K17" i="29"/>
  <c r="I17" i="29"/>
  <c r="F23" i="6" l="1"/>
  <c r="L291" i="30"/>
  <c r="L296" i="30"/>
  <c r="H19" i="34"/>
  <c r="V19" i="34" s="1"/>
  <c r="U19" i="34"/>
  <c r="G23" i="6"/>
  <c r="K38" i="29"/>
  <c r="J37" i="29"/>
  <c r="O38" i="29" s="1"/>
  <c r="K47" i="29"/>
  <c r="L54" i="29" s="1"/>
  <c r="L32" i="29"/>
  <c r="P38" i="29"/>
  <c r="W21" i="29"/>
  <c r="G31" i="29"/>
  <c r="J32" i="29"/>
  <c r="H23" i="6" l="1"/>
  <c r="L64" i="29"/>
  <c r="P18" i="34"/>
  <c r="P22" i="6"/>
  <c r="M23" i="6"/>
  <c r="I38" i="29"/>
  <c r="L23" i="29"/>
  <c r="K48" i="29" s="1"/>
  <c r="L53" i="29" s="1"/>
  <c r="L63" i="29" s="1"/>
  <c r="L66" i="29" s="1"/>
  <c r="I47" i="29"/>
  <c r="J54" i="29" s="1"/>
  <c r="X38" i="29"/>
  <c r="G37" i="29"/>
  <c r="L33" i="29"/>
  <c r="K34" i="29" s="1"/>
  <c r="P34" i="29" s="1"/>
  <c r="L31" i="29"/>
  <c r="L22" i="29" s="1"/>
  <c r="J23" i="29"/>
  <c r="W23" i="29" s="1"/>
  <c r="J33" i="29"/>
  <c r="W32" i="29"/>
  <c r="J31" i="29"/>
  <c r="J22" i="29" s="1"/>
  <c r="O22" i="6" l="1"/>
  <c r="O18" i="34"/>
  <c r="S18" i="34"/>
  <c r="N23" i="6"/>
  <c r="L58" i="29"/>
  <c r="R18" i="34" s="1"/>
  <c r="L27" i="29"/>
  <c r="P29" i="29" s="1"/>
  <c r="K44" i="29" s="1"/>
  <c r="L51" i="29" s="1"/>
  <c r="I48" i="29"/>
  <c r="J53" i="29" s="1"/>
  <c r="J58" i="29" s="1"/>
  <c r="J27" i="29"/>
  <c r="O29" i="29" s="1"/>
  <c r="I34" i="29"/>
  <c r="L61" i="29" l="1"/>
  <c r="G18" i="34"/>
  <c r="Z22" i="6"/>
  <c r="Q18" i="34"/>
  <c r="AB22" i="6"/>
  <c r="AA22" i="6"/>
  <c r="L52" i="29"/>
  <c r="L59" i="29" s="1"/>
  <c r="K29" i="29"/>
  <c r="K36" i="29" s="1"/>
  <c r="X29" i="29"/>
  <c r="K40" i="29"/>
  <c r="I29" i="29"/>
  <c r="I36" i="29" s="1"/>
  <c r="O34" i="29"/>
  <c r="I44" i="29" s="1"/>
  <c r="J51" i="29" s="1"/>
  <c r="X34" i="29"/>
  <c r="H18" i="34" l="1"/>
  <c r="V18" i="34" s="1"/>
  <c r="U18" i="34"/>
  <c r="J52" i="29"/>
  <c r="J59" i="29" s="1"/>
  <c r="F18" i="34"/>
  <c r="T18" i="34" s="1"/>
  <c r="L62" i="29"/>
  <c r="L67" i="29"/>
  <c r="G22" i="6"/>
  <c r="I40" i="29"/>
  <c r="F22" i="6" l="1"/>
  <c r="H22" i="6"/>
  <c r="L22" i="6"/>
  <c r="M22" i="6"/>
  <c r="R21" i="6"/>
  <c r="N22" i="6" l="1"/>
  <c r="Q19" i="6"/>
  <c r="Q33" i="6" s="1"/>
  <c r="S19" i="6" l="1"/>
  <c r="S33" i="6" s="1"/>
  <c r="R19" i="6"/>
  <c r="R33" i="6" s="1"/>
  <c r="AE20" i="6" l="1"/>
  <c r="K189" i="25" l="1"/>
  <c r="I189" i="25"/>
  <c r="K188" i="25"/>
  <c r="I188" i="25"/>
  <c r="K185" i="25"/>
  <c r="I185" i="25"/>
  <c r="K184" i="25"/>
  <c r="I184" i="25"/>
  <c r="A183" i="25"/>
  <c r="K181" i="25"/>
  <c r="I181" i="25"/>
  <c r="K180" i="25"/>
  <c r="I180" i="25"/>
  <c r="A179" i="25"/>
  <c r="AD175" i="25"/>
  <c r="AC175" i="25"/>
  <c r="AB175" i="25"/>
  <c r="K174" i="25"/>
  <c r="F174" i="25"/>
  <c r="K173" i="25"/>
  <c r="K172" i="25" s="1"/>
  <c r="I173" i="25"/>
  <c r="I172" i="25" s="1"/>
  <c r="G173" i="25"/>
  <c r="G172" i="25" s="1"/>
  <c r="H172" i="25"/>
  <c r="AD170" i="25"/>
  <c r="AC170" i="25"/>
  <c r="AB170" i="25"/>
  <c r="J169" i="25"/>
  <c r="I169" i="25"/>
  <c r="H169" i="25"/>
  <c r="F169" i="25"/>
  <c r="K168" i="25"/>
  <c r="F168" i="25"/>
  <c r="K167" i="25"/>
  <c r="F167" i="25"/>
  <c r="K166" i="25"/>
  <c r="F166" i="25"/>
  <c r="AD165" i="25"/>
  <c r="AC165" i="25"/>
  <c r="AB165" i="25"/>
  <c r="Y165" i="25"/>
  <c r="X165" i="25"/>
  <c r="W165" i="25"/>
  <c r="V165" i="25"/>
  <c r="U165" i="25"/>
  <c r="T165" i="25"/>
  <c r="L165" i="25"/>
  <c r="K165" i="25"/>
  <c r="J165" i="25"/>
  <c r="I165" i="25"/>
  <c r="G165" i="25"/>
  <c r="F165" i="25"/>
  <c r="E165" i="25"/>
  <c r="C165" i="25"/>
  <c r="B165" i="25"/>
  <c r="L164" i="25"/>
  <c r="K164" i="25"/>
  <c r="J164" i="25"/>
  <c r="I164" i="25"/>
  <c r="H164" i="25"/>
  <c r="G164" i="25"/>
  <c r="K163" i="25"/>
  <c r="I163" i="25"/>
  <c r="H163" i="25"/>
  <c r="G163" i="25"/>
  <c r="K162" i="25"/>
  <c r="I162" i="25"/>
  <c r="H162" i="25"/>
  <c r="G162" i="25"/>
  <c r="L161" i="25"/>
  <c r="K161" i="25"/>
  <c r="J161" i="25"/>
  <c r="I161" i="25"/>
  <c r="H161" i="25"/>
  <c r="G161" i="25"/>
  <c r="Y160" i="25"/>
  <c r="X160" i="25"/>
  <c r="W160" i="25"/>
  <c r="V160" i="25"/>
  <c r="U160" i="25"/>
  <c r="T160" i="25"/>
  <c r="F160" i="25"/>
  <c r="E160" i="25"/>
  <c r="C160" i="25"/>
  <c r="B160" i="25"/>
  <c r="AD157" i="25"/>
  <c r="AC157" i="25"/>
  <c r="AB157" i="25"/>
  <c r="K156" i="25"/>
  <c r="F156" i="25"/>
  <c r="K155" i="25"/>
  <c r="K154" i="25" s="1"/>
  <c r="I155" i="25"/>
  <c r="I154" i="25" s="1"/>
  <c r="G155" i="25"/>
  <c r="G154" i="25" s="1"/>
  <c r="H154" i="25"/>
  <c r="AD152" i="25"/>
  <c r="AC152" i="25"/>
  <c r="AB152" i="25"/>
  <c r="J151" i="25"/>
  <c r="I151" i="25"/>
  <c r="H151" i="25"/>
  <c r="F151" i="25"/>
  <c r="K150" i="25"/>
  <c r="F150" i="25"/>
  <c r="K149" i="25"/>
  <c r="F149" i="25"/>
  <c r="K148" i="25"/>
  <c r="F148" i="25"/>
  <c r="AD147" i="25"/>
  <c r="AC147" i="25"/>
  <c r="AB147" i="25"/>
  <c r="Y147" i="25"/>
  <c r="X147" i="25"/>
  <c r="W147" i="25"/>
  <c r="V147" i="25"/>
  <c r="U147" i="25"/>
  <c r="T147" i="25"/>
  <c r="L147" i="25"/>
  <c r="K147" i="25"/>
  <c r="J147" i="25"/>
  <c r="AA147" i="25" s="1"/>
  <c r="I147" i="25"/>
  <c r="G147" i="25"/>
  <c r="F147" i="25"/>
  <c r="E147" i="25"/>
  <c r="C147" i="25"/>
  <c r="B147" i="25"/>
  <c r="L146" i="25"/>
  <c r="K146" i="25"/>
  <c r="J146" i="25"/>
  <c r="I146" i="25"/>
  <c r="H146" i="25"/>
  <c r="G146" i="25"/>
  <c r="K145" i="25"/>
  <c r="I145" i="25"/>
  <c r="H145" i="25"/>
  <c r="G145" i="25"/>
  <c r="K144" i="25"/>
  <c r="I144" i="25"/>
  <c r="H144" i="25"/>
  <c r="G144" i="25"/>
  <c r="L143" i="25"/>
  <c r="K143" i="25"/>
  <c r="J143" i="25"/>
  <c r="Z143" i="25" s="1"/>
  <c r="I143" i="25"/>
  <c r="H143" i="25"/>
  <c r="G143" i="25"/>
  <c r="Y142" i="25"/>
  <c r="X142" i="25"/>
  <c r="W142" i="25"/>
  <c r="V142" i="25"/>
  <c r="U142" i="25"/>
  <c r="T142" i="25"/>
  <c r="F142" i="25"/>
  <c r="E142" i="25"/>
  <c r="C142" i="25"/>
  <c r="B142" i="25"/>
  <c r="AD139" i="25"/>
  <c r="AC139" i="25"/>
  <c r="AB139" i="25"/>
  <c r="K138" i="25"/>
  <c r="F138" i="25"/>
  <c r="K137" i="25"/>
  <c r="K136" i="25" s="1"/>
  <c r="I137" i="25"/>
  <c r="I136" i="25" s="1"/>
  <c r="G137" i="25"/>
  <c r="G136" i="25" s="1"/>
  <c r="H136" i="25"/>
  <c r="AD134" i="25"/>
  <c r="AC134" i="25"/>
  <c r="AB134" i="25"/>
  <c r="J133" i="25"/>
  <c r="I133" i="25"/>
  <c r="H133" i="25"/>
  <c r="F133" i="25"/>
  <c r="K132" i="25"/>
  <c r="F132" i="25"/>
  <c r="K131" i="25"/>
  <c r="F131" i="25"/>
  <c r="K130" i="25"/>
  <c r="F130" i="25"/>
  <c r="AD129" i="25"/>
  <c r="AC129" i="25"/>
  <c r="AB129" i="25"/>
  <c r="Y129" i="25"/>
  <c r="X129" i="25"/>
  <c r="W129" i="25"/>
  <c r="V129" i="25"/>
  <c r="U129" i="25"/>
  <c r="T129" i="25"/>
  <c r="L129" i="25"/>
  <c r="K129" i="25"/>
  <c r="J129" i="25"/>
  <c r="AA129" i="25" s="1"/>
  <c r="I129" i="25"/>
  <c r="G129" i="25"/>
  <c r="F129" i="25"/>
  <c r="E129" i="25"/>
  <c r="C129" i="25"/>
  <c r="B129" i="25"/>
  <c r="L128" i="25"/>
  <c r="K128" i="25"/>
  <c r="J128" i="25"/>
  <c r="I128" i="25"/>
  <c r="H128" i="25"/>
  <c r="G128" i="25"/>
  <c r="K127" i="25"/>
  <c r="I127" i="25"/>
  <c r="H127" i="25"/>
  <c r="G127" i="25"/>
  <c r="K126" i="25"/>
  <c r="I126" i="25"/>
  <c r="H126" i="25"/>
  <c r="G126" i="25"/>
  <c r="L125" i="25"/>
  <c r="K125" i="25"/>
  <c r="J125" i="25"/>
  <c r="I125" i="25"/>
  <c r="H125" i="25"/>
  <c r="G125" i="25"/>
  <c r="Y124" i="25"/>
  <c r="X124" i="25"/>
  <c r="W124" i="25"/>
  <c r="V124" i="25"/>
  <c r="U124" i="25"/>
  <c r="T124" i="25"/>
  <c r="F124" i="25"/>
  <c r="E124" i="25"/>
  <c r="C124" i="25"/>
  <c r="B124" i="25"/>
  <c r="AD121" i="25"/>
  <c r="AC121" i="25"/>
  <c r="AB121" i="25"/>
  <c r="K120" i="25"/>
  <c r="F120" i="25"/>
  <c r="K119" i="25"/>
  <c r="K118" i="25" s="1"/>
  <c r="I119" i="25"/>
  <c r="I118" i="25" s="1"/>
  <c r="G119" i="25"/>
  <c r="G118" i="25" s="1"/>
  <c r="H118" i="25"/>
  <c r="AD116" i="25"/>
  <c r="AC116" i="25"/>
  <c r="AB116" i="25"/>
  <c r="J115" i="25"/>
  <c r="I115" i="25"/>
  <c r="H115" i="25"/>
  <c r="F115" i="25"/>
  <c r="K114" i="25"/>
  <c r="F114" i="25"/>
  <c r="K113" i="25"/>
  <c r="F113" i="25"/>
  <c r="K112" i="25"/>
  <c r="F112" i="25"/>
  <c r="AD111" i="25"/>
  <c r="AC111" i="25"/>
  <c r="AB111" i="25"/>
  <c r="Y111" i="25"/>
  <c r="X111" i="25"/>
  <c r="W111" i="25"/>
  <c r="V111" i="25"/>
  <c r="U111" i="25"/>
  <c r="T111" i="25"/>
  <c r="L111" i="25"/>
  <c r="K111" i="25"/>
  <c r="J111" i="25"/>
  <c r="AA111" i="25" s="1"/>
  <c r="I111" i="25"/>
  <c r="G111" i="25"/>
  <c r="F111" i="25"/>
  <c r="E111" i="25"/>
  <c r="C111" i="25"/>
  <c r="B111" i="25"/>
  <c r="L110" i="25"/>
  <c r="K110" i="25"/>
  <c r="J110" i="25"/>
  <c r="I110" i="25"/>
  <c r="H110" i="25"/>
  <c r="G110" i="25"/>
  <c r="K109" i="25"/>
  <c r="I109" i="25"/>
  <c r="H109" i="25"/>
  <c r="G109" i="25"/>
  <c r="K108" i="25"/>
  <c r="I108" i="25"/>
  <c r="H108" i="25"/>
  <c r="G108" i="25"/>
  <c r="L107" i="25"/>
  <c r="K107" i="25"/>
  <c r="J107" i="25"/>
  <c r="Z107" i="25" s="1"/>
  <c r="I107" i="25"/>
  <c r="H107" i="25"/>
  <c r="G107" i="25"/>
  <c r="Y106" i="25"/>
  <c r="X106" i="25"/>
  <c r="W106" i="25"/>
  <c r="V106" i="25"/>
  <c r="U106" i="25"/>
  <c r="T106" i="25"/>
  <c r="F106" i="25"/>
  <c r="E106" i="25"/>
  <c r="C106" i="25"/>
  <c r="B106" i="25"/>
  <c r="AD105" i="25"/>
  <c r="AC105" i="25"/>
  <c r="AB105" i="25"/>
  <c r="Y104" i="25"/>
  <c r="X104" i="25"/>
  <c r="W104" i="25"/>
  <c r="V104" i="25"/>
  <c r="U104" i="25"/>
  <c r="T104" i="25"/>
  <c r="K104" i="25"/>
  <c r="I104" i="25"/>
  <c r="H104" i="25"/>
  <c r="G104" i="25"/>
  <c r="J104" i="25" s="1"/>
  <c r="E104" i="25"/>
  <c r="C104" i="25"/>
  <c r="B104" i="25"/>
  <c r="AD103" i="25"/>
  <c r="AC103" i="25"/>
  <c r="AB103" i="25"/>
  <c r="Y102" i="25"/>
  <c r="X102" i="25"/>
  <c r="W102" i="25"/>
  <c r="V102" i="25"/>
  <c r="U102" i="25"/>
  <c r="T102" i="25"/>
  <c r="L102" i="25"/>
  <c r="S103" i="25" s="1"/>
  <c r="K102" i="25"/>
  <c r="J102" i="25"/>
  <c r="R103" i="25" s="1"/>
  <c r="I102" i="25"/>
  <c r="H102" i="25"/>
  <c r="G102" i="25"/>
  <c r="F102" i="25"/>
  <c r="E102" i="25"/>
  <c r="C102" i="25"/>
  <c r="B102" i="25"/>
  <c r="AD99" i="25"/>
  <c r="AC99" i="25"/>
  <c r="AB99" i="25"/>
  <c r="K98" i="25"/>
  <c r="F98" i="25"/>
  <c r="K97" i="25"/>
  <c r="K96" i="25" s="1"/>
  <c r="I97" i="25"/>
  <c r="I96" i="25" s="1"/>
  <c r="G97" i="25"/>
  <c r="G96" i="25" s="1"/>
  <c r="H96" i="25"/>
  <c r="AD94" i="25"/>
  <c r="AC94" i="25"/>
  <c r="AB94" i="25"/>
  <c r="J93" i="25"/>
  <c r="I93" i="25"/>
  <c r="H93" i="25"/>
  <c r="F93" i="25"/>
  <c r="K92" i="25"/>
  <c r="F92" i="25"/>
  <c r="K91" i="25"/>
  <c r="F91" i="25"/>
  <c r="K90" i="25"/>
  <c r="F90" i="25"/>
  <c r="L89" i="25"/>
  <c r="K89" i="25"/>
  <c r="J89" i="25"/>
  <c r="I89" i="25"/>
  <c r="H89" i="25"/>
  <c r="G89" i="25"/>
  <c r="K88" i="25"/>
  <c r="I88" i="25"/>
  <c r="H88" i="25"/>
  <c r="G88" i="25"/>
  <c r="K87" i="25"/>
  <c r="I87" i="25"/>
  <c r="H87" i="25"/>
  <c r="G87" i="25"/>
  <c r="L86" i="25"/>
  <c r="K86" i="25"/>
  <c r="J86" i="25"/>
  <c r="I86" i="25"/>
  <c r="H86" i="25"/>
  <c r="G86" i="25"/>
  <c r="Y85" i="25"/>
  <c r="X85" i="25"/>
  <c r="W85" i="25"/>
  <c r="L91" i="25" s="1"/>
  <c r="V85" i="25"/>
  <c r="J91" i="25" s="1"/>
  <c r="U85" i="25"/>
  <c r="L90" i="25" s="1"/>
  <c r="T85" i="25"/>
  <c r="J90" i="25" s="1"/>
  <c r="F85" i="25"/>
  <c r="E85" i="25"/>
  <c r="C85" i="25"/>
  <c r="B85" i="25"/>
  <c r="AD82" i="25"/>
  <c r="AC82" i="25"/>
  <c r="AB82" i="25"/>
  <c r="K81" i="25"/>
  <c r="F81" i="25"/>
  <c r="K80" i="25"/>
  <c r="K79" i="25" s="1"/>
  <c r="I80" i="25"/>
  <c r="I79" i="25" s="1"/>
  <c r="G80" i="25"/>
  <c r="G79" i="25" s="1"/>
  <c r="H79" i="25"/>
  <c r="AD77" i="25"/>
  <c r="AC77" i="25"/>
  <c r="AB77" i="25"/>
  <c r="J76" i="25"/>
  <c r="I76" i="25"/>
  <c r="H76" i="25"/>
  <c r="F76" i="25"/>
  <c r="K75" i="25"/>
  <c r="F75" i="25"/>
  <c r="K74" i="25"/>
  <c r="F74" i="25"/>
  <c r="K73" i="25"/>
  <c r="F73" i="25"/>
  <c r="AD72" i="25"/>
  <c r="AC72" i="25"/>
  <c r="AB72" i="25"/>
  <c r="Y72" i="25"/>
  <c r="X72" i="25"/>
  <c r="W72" i="25"/>
  <c r="V72" i="25"/>
  <c r="U72" i="25"/>
  <c r="T72" i="25"/>
  <c r="L72" i="25"/>
  <c r="K72" i="25"/>
  <c r="J72" i="25"/>
  <c r="AA72" i="25" s="1"/>
  <c r="I72" i="25"/>
  <c r="G72" i="25"/>
  <c r="F72" i="25"/>
  <c r="E72" i="25"/>
  <c r="C72" i="25"/>
  <c r="B72" i="25"/>
  <c r="L71" i="25"/>
  <c r="K71" i="25"/>
  <c r="J71" i="25"/>
  <c r="I71" i="25"/>
  <c r="H71" i="25"/>
  <c r="G71" i="25"/>
  <c r="K70" i="25"/>
  <c r="I70" i="25"/>
  <c r="H70" i="25"/>
  <c r="G70" i="25"/>
  <c r="K69" i="25"/>
  <c r="I69" i="25"/>
  <c r="H69" i="25"/>
  <c r="G69" i="25"/>
  <c r="L68" i="25"/>
  <c r="K68" i="25"/>
  <c r="J68" i="25"/>
  <c r="I68" i="25"/>
  <c r="H68" i="25"/>
  <c r="G68" i="25"/>
  <c r="Y67" i="25"/>
  <c r="X67" i="25"/>
  <c r="W67" i="25"/>
  <c r="V67" i="25"/>
  <c r="U67" i="25"/>
  <c r="T67" i="25"/>
  <c r="F67" i="25"/>
  <c r="E67" i="25"/>
  <c r="C67" i="25"/>
  <c r="B67" i="25"/>
  <c r="AD64" i="25"/>
  <c r="AC64" i="25"/>
  <c r="AB64" i="25"/>
  <c r="K63" i="25"/>
  <c r="F63" i="25"/>
  <c r="K62" i="25"/>
  <c r="K61" i="25" s="1"/>
  <c r="I62" i="25"/>
  <c r="I61" i="25" s="1"/>
  <c r="G62" i="25"/>
  <c r="G61" i="25" s="1"/>
  <c r="H61" i="25"/>
  <c r="AD59" i="25"/>
  <c r="AC59" i="25"/>
  <c r="AB59" i="25"/>
  <c r="J58" i="25"/>
  <c r="I58" i="25"/>
  <c r="H58" i="25"/>
  <c r="F58" i="25"/>
  <c r="K57" i="25"/>
  <c r="F57" i="25"/>
  <c r="K56" i="25"/>
  <c r="F56" i="25"/>
  <c r="K55" i="25"/>
  <c r="F55" i="25"/>
  <c r="AD54" i="25"/>
  <c r="AC54" i="25"/>
  <c r="AB54" i="25"/>
  <c r="Y54" i="25"/>
  <c r="X54" i="25"/>
  <c r="W54" i="25"/>
  <c r="V54" i="25"/>
  <c r="U54" i="25"/>
  <c r="T54" i="25"/>
  <c r="L54" i="25"/>
  <c r="K54" i="25"/>
  <c r="J54" i="25"/>
  <c r="AA54" i="25" s="1"/>
  <c r="I54" i="25"/>
  <c r="G54" i="25"/>
  <c r="F54" i="25"/>
  <c r="E54" i="25"/>
  <c r="C54" i="25"/>
  <c r="B54" i="25"/>
  <c r="L53" i="25"/>
  <c r="K53" i="25"/>
  <c r="J53" i="25"/>
  <c r="I53" i="25"/>
  <c r="H53" i="25"/>
  <c r="G53" i="25"/>
  <c r="K52" i="25"/>
  <c r="I52" i="25"/>
  <c r="H52" i="25"/>
  <c r="G52" i="25"/>
  <c r="K51" i="25"/>
  <c r="I51" i="25"/>
  <c r="H51" i="25"/>
  <c r="G51" i="25"/>
  <c r="L50" i="25"/>
  <c r="K50" i="25"/>
  <c r="J50" i="25"/>
  <c r="I50" i="25"/>
  <c r="H50" i="25"/>
  <c r="G50" i="25"/>
  <c r="Y49" i="25"/>
  <c r="X49" i="25"/>
  <c r="W49" i="25"/>
  <c r="V49" i="25"/>
  <c r="U49" i="25"/>
  <c r="T49" i="25"/>
  <c r="F49" i="25"/>
  <c r="E49" i="25"/>
  <c r="C49" i="25"/>
  <c r="B49" i="25"/>
  <c r="A48" i="25"/>
  <c r="K46" i="25"/>
  <c r="I46" i="25"/>
  <c r="K45" i="25"/>
  <c r="I45" i="25"/>
  <c r="L55" i="25" l="1"/>
  <c r="J130" i="25"/>
  <c r="J73" i="25"/>
  <c r="J119" i="25"/>
  <c r="J120" i="25" s="1"/>
  <c r="L113" i="25"/>
  <c r="L148" i="25"/>
  <c r="J62" i="25"/>
  <c r="J63" i="25" s="1"/>
  <c r="L130" i="25"/>
  <c r="J74" i="25"/>
  <c r="J131" i="25"/>
  <c r="L149" i="25"/>
  <c r="L166" i="25"/>
  <c r="L56" i="25"/>
  <c r="L73" i="25"/>
  <c r="J149" i="25"/>
  <c r="J166" i="25"/>
  <c r="I192" i="25"/>
  <c r="J97" i="25"/>
  <c r="J96" i="25" s="1"/>
  <c r="J87" i="25" s="1"/>
  <c r="I190" i="25"/>
  <c r="J197" i="25" s="1"/>
  <c r="L80" i="25"/>
  <c r="L81" i="25" s="1"/>
  <c r="L74" i="25"/>
  <c r="K192" i="25"/>
  <c r="J113" i="25"/>
  <c r="J148" i="25"/>
  <c r="J167" i="25"/>
  <c r="J55" i="25"/>
  <c r="Z68" i="25"/>
  <c r="J112" i="25"/>
  <c r="L112" i="25"/>
  <c r="J137" i="25"/>
  <c r="J136" i="25" s="1"/>
  <c r="J126" i="25" s="1"/>
  <c r="L131" i="25"/>
  <c r="L155" i="25"/>
  <c r="L154" i="25" s="1"/>
  <c r="L144" i="25" s="1"/>
  <c r="L173" i="25"/>
  <c r="L172" i="25" s="1"/>
  <c r="L162" i="25" s="1"/>
  <c r="L167" i="25"/>
  <c r="J56" i="25"/>
  <c r="AA165" i="25"/>
  <c r="AA105" i="25"/>
  <c r="I105" i="25"/>
  <c r="R105" i="25"/>
  <c r="L104" i="25"/>
  <c r="K190" i="25" s="1"/>
  <c r="L197" i="25" s="1"/>
  <c r="Z50" i="25"/>
  <c r="J61" i="25"/>
  <c r="J51" i="25" s="1"/>
  <c r="L62" i="25"/>
  <c r="J80" i="25"/>
  <c r="L97" i="25"/>
  <c r="I103" i="25"/>
  <c r="AA103" i="25"/>
  <c r="L119" i="25"/>
  <c r="Z125" i="25"/>
  <c r="J155" i="25"/>
  <c r="K103" i="25"/>
  <c r="Z86" i="25"/>
  <c r="Z161" i="25"/>
  <c r="L137" i="25"/>
  <c r="J173" i="25"/>
  <c r="Z62" i="25" l="1"/>
  <c r="J52" i="25"/>
  <c r="J109" i="25"/>
  <c r="Z109" i="25" s="1"/>
  <c r="J118" i="25"/>
  <c r="J108" i="25" s="1"/>
  <c r="Z119" i="25"/>
  <c r="J98" i="25"/>
  <c r="I99" i="25" s="1"/>
  <c r="L163" i="25"/>
  <c r="P14" i="34"/>
  <c r="L205" i="25"/>
  <c r="O18" i="6"/>
  <c r="O14" i="34"/>
  <c r="L156" i="25"/>
  <c r="L150" i="25" s="1"/>
  <c r="L145" i="25"/>
  <c r="L79" i="25"/>
  <c r="L69" i="25" s="1"/>
  <c r="P18" i="6"/>
  <c r="L174" i="25"/>
  <c r="L168" i="25" s="1"/>
  <c r="Z97" i="25"/>
  <c r="L70" i="25"/>
  <c r="J138" i="25"/>
  <c r="J132" i="25" s="1"/>
  <c r="AA134" i="25" s="1"/>
  <c r="J88" i="25"/>
  <c r="Z88" i="25" s="1"/>
  <c r="Z137" i="25"/>
  <c r="J127" i="25"/>
  <c r="Z127" i="25" s="1"/>
  <c r="Z52" i="25"/>
  <c r="L118" i="25"/>
  <c r="L108" i="25" s="1"/>
  <c r="L109" i="25"/>
  <c r="L120" i="25"/>
  <c r="L75" i="25"/>
  <c r="K82" i="25"/>
  <c r="S82" i="25" s="1"/>
  <c r="L138" i="25"/>
  <c r="L136" i="25"/>
  <c r="L126" i="25" s="1"/>
  <c r="L127" i="25"/>
  <c r="S105" i="25"/>
  <c r="K105" i="25"/>
  <c r="Z80" i="25"/>
  <c r="J79" i="25"/>
  <c r="J69" i="25" s="1"/>
  <c r="J70" i="25"/>
  <c r="Z70" i="25" s="1"/>
  <c r="J81" i="25"/>
  <c r="L63" i="25"/>
  <c r="L61" i="25"/>
  <c r="L51" i="25" s="1"/>
  <c r="L52" i="25"/>
  <c r="J174" i="25"/>
  <c r="Z173" i="25"/>
  <c r="J172" i="25"/>
  <c r="J162" i="25" s="1"/>
  <c r="J163" i="25"/>
  <c r="Z163" i="25" s="1"/>
  <c r="L96" i="25"/>
  <c r="L87" i="25" s="1"/>
  <c r="L98" i="25"/>
  <c r="L88" i="25"/>
  <c r="J114" i="25"/>
  <c r="I121" i="25"/>
  <c r="J92" i="25"/>
  <c r="I94" i="25" s="1"/>
  <c r="Z155" i="25"/>
  <c r="J154" i="25"/>
  <c r="J144" i="25" s="1"/>
  <c r="J145" i="25"/>
  <c r="Z145" i="25" s="1"/>
  <c r="J156" i="25"/>
  <c r="I64" i="25"/>
  <c r="J57" i="25"/>
  <c r="AA59" i="25" s="1"/>
  <c r="K175" i="25" l="1"/>
  <c r="S175" i="25" s="1"/>
  <c r="K152" i="25"/>
  <c r="S152" i="25"/>
  <c r="K157" i="25"/>
  <c r="S157" i="25" s="1"/>
  <c r="I139" i="25"/>
  <c r="AA139" i="25" s="1"/>
  <c r="S77" i="25"/>
  <c r="K77" i="25"/>
  <c r="K84" i="25" s="1"/>
  <c r="K191" i="25"/>
  <c r="L196" i="25" s="1"/>
  <c r="L204" i="25" s="1"/>
  <c r="L207" i="25" s="1"/>
  <c r="I101" i="25"/>
  <c r="AA94" i="25"/>
  <c r="R94" i="25"/>
  <c r="I191" i="25"/>
  <c r="J196" i="25" s="1"/>
  <c r="J199" i="25" s="1"/>
  <c r="I59" i="25"/>
  <c r="I66" i="25" s="1"/>
  <c r="K121" i="25"/>
  <c r="S121" i="25" s="1"/>
  <c r="L114" i="25"/>
  <c r="K116" i="25" s="1"/>
  <c r="R59" i="25"/>
  <c r="AA121" i="25"/>
  <c r="R121" i="25"/>
  <c r="I175" i="25"/>
  <c r="J168" i="25"/>
  <c r="AA170" i="25" s="1"/>
  <c r="I134" i="25"/>
  <c r="R134" i="25"/>
  <c r="S116" i="25"/>
  <c r="AA64" i="25"/>
  <c r="R64" i="25"/>
  <c r="I116" i="25"/>
  <c r="I123" i="25" s="1"/>
  <c r="R116" i="25"/>
  <c r="AA116" i="25"/>
  <c r="L132" i="25"/>
  <c r="S134" i="25" s="1"/>
  <c r="K139" i="25"/>
  <c r="S139" i="25" s="1"/>
  <c r="J150" i="25"/>
  <c r="AA152" i="25" s="1"/>
  <c r="I157" i="25"/>
  <c r="AA99" i="25"/>
  <c r="R99" i="25"/>
  <c r="K170" i="25"/>
  <c r="K177" i="25" s="1"/>
  <c r="S170" i="25"/>
  <c r="L57" i="25"/>
  <c r="S59" i="25" s="1"/>
  <c r="K64" i="25"/>
  <c r="S64" i="25" s="1"/>
  <c r="K99" i="25"/>
  <c r="S99" i="25" s="1"/>
  <c r="L92" i="25"/>
  <c r="S94" i="25" s="1"/>
  <c r="I82" i="25"/>
  <c r="J75" i="25"/>
  <c r="I77" i="25" s="1"/>
  <c r="R139" i="25" l="1"/>
  <c r="K159" i="25"/>
  <c r="I141" i="25"/>
  <c r="K123" i="25"/>
  <c r="S14" i="34"/>
  <c r="Z18" i="6"/>
  <c r="Q14" i="34"/>
  <c r="L199" i="25"/>
  <c r="I84" i="25"/>
  <c r="I170" i="25"/>
  <c r="I177" i="25" s="1"/>
  <c r="R170" i="25"/>
  <c r="K187" i="25"/>
  <c r="K179" i="25"/>
  <c r="K183" i="25"/>
  <c r="L194" i="25" s="1"/>
  <c r="R77" i="25"/>
  <c r="I152" i="25"/>
  <c r="I159" i="25" s="1"/>
  <c r="R82" i="25"/>
  <c r="AA82" i="25"/>
  <c r="R157" i="25"/>
  <c r="AA157" i="25"/>
  <c r="AA77" i="25"/>
  <c r="R175" i="25"/>
  <c r="AA175" i="25"/>
  <c r="R152" i="25"/>
  <c r="K59" i="25"/>
  <c r="K66" i="25" s="1"/>
  <c r="K134" i="25"/>
  <c r="K141" i="25" s="1"/>
  <c r="K94" i="25"/>
  <c r="K101" i="25" s="1"/>
  <c r="G14" i="34" l="1"/>
  <c r="U14" i="34" s="1"/>
  <c r="L202" i="25"/>
  <c r="L195" i="25"/>
  <c r="AB18" i="6"/>
  <c r="AA18" i="6"/>
  <c r="I183" i="25"/>
  <c r="J194" i="25" s="1"/>
  <c r="I187" i="25"/>
  <c r="I179" i="25"/>
  <c r="L200" i="25" l="1"/>
  <c r="M200" i="25" s="1"/>
  <c r="L203" i="25"/>
  <c r="H18" i="6" s="1"/>
  <c r="L208" i="25"/>
  <c r="J195" i="25"/>
  <c r="J200" i="25" s="1"/>
  <c r="F14" i="34"/>
  <c r="T14" i="34" s="1"/>
  <c r="H14" i="34"/>
  <c r="V14" i="34" s="1"/>
  <c r="G18" i="6"/>
  <c r="K105" i="24"/>
  <c r="J105" i="24"/>
  <c r="K104" i="24"/>
  <c r="J104" i="24"/>
  <c r="K102" i="24"/>
  <c r="J102" i="24"/>
  <c r="K101" i="24"/>
  <c r="J101" i="24"/>
  <c r="K99" i="24"/>
  <c r="J99" i="24"/>
  <c r="K98" i="24"/>
  <c r="J98" i="24"/>
  <c r="AL97" i="24"/>
  <c r="A97" i="24"/>
  <c r="AA95" i="24"/>
  <c r="Z95" i="24"/>
  <c r="Y95" i="24"/>
  <c r="V94" i="24"/>
  <c r="U94" i="24"/>
  <c r="T94" i="24"/>
  <c r="S94" i="24"/>
  <c r="R94" i="24"/>
  <c r="Q94" i="24"/>
  <c r="K94" i="24"/>
  <c r="I94" i="24"/>
  <c r="H94" i="24"/>
  <c r="F94" i="24"/>
  <c r="L94" i="24" s="1"/>
  <c r="E94" i="24"/>
  <c r="C94" i="24"/>
  <c r="AA93" i="24"/>
  <c r="Z93" i="24"/>
  <c r="Y93" i="24"/>
  <c r="V92" i="24"/>
  <c r="U92" i="24"/>
  <c r="T92" i="24"/>
  <c r="S92" i="24"/>
  <c r="R92" i="24"/>
  <c r="Q92" i="24"/>
  <c r="L92" i="24"/>
  <c r="K93" i="24" s="1"/>
  <c r="K92" i="24"/>
  <c r="J92" i="24"/>
  <c r="X93" i="24" s="1"/>
  <c r="I92" i="24"/>
  <c r="H92" i="24"/>
  <c r="G92" i="24"/>
  <c r="F92" i="24"/>
  <c r="E92" i="24"/>
  <c r="C92" i="24"/>
  <c r="B92" i="24"/>
  <c r="AA91" i="24"/>
  <c r="Z91" i="24"/>
  <c r="Y91" i="24"/>
  <c r="V90" i="24"/>
  <c r="U90" i="24"/>
  <c r="T90" i="24"/>
  <c r="S90" i="24"/>
  <c r="R90" i="24"/>
  <c r="Q90" i="24"/>
  <c r="L90" i="24"/>
  <c r="K91" i="24" s="1"/>
  <c r="K90" i="24"/>
  <c r="J90" i="24"/>
  <c r="X91" i="24" s="1"/>
  <c r="I90" i="24"/>
  <c r="H90" i="24"/>
  <c r="G90" i="24"/>
  <c r="F90" i="24"/>
  <c r="E90" i="24"/>
  <c r="C90" i="24"/>
  <c r="B90" i="24"/>
  <c r="AA89" i="24"/>
  <c r="Z89" i="24"/>
  <c r="Y89" i="24"/>
  <c r="V88" i="24"/>
  <c r="U88" i="24"/>
  <c r="T88" i="24"/>
  <c r="S88" i="24"/>
  <c r="R88" i="24"/>
  <c r="Q88" i="24"/>
  <c r="K88" i="24"/>
  <c r="I88" i="24"/>
  <c r="H88" i="24"/>
  <c r="F88" i="24"/>
  <c r="L88" i="24" s="1"/>
  <c r="E88" i="24"/>
  <c r="C88" i="24"/>
  <c r="B88" i="24"/>
  <c r="AA85" i="24"/>
  <c r="Z85" i="24"/>
  <c r="Y85" i="24"/>
  <c r="K84" i="24"/>
  <c r="F84" i="24"/>
  <c r="K83" i="24"/>
  <c r="K82" i="24" s="1"/>
  <c r="I83" i="24"/>
  <c r="I82" i="24" s="1"/>
  <c r="G83" i="24"/>
  <c r="G82" i="24" s="1"/>
  <c r="H82" i="24"/>
  <c r="AA80" i="24"/>
  <c r="Z80" i="24"/>
  <c r="Y80" i="24"/>
  <c r="J79" i="24"/>
  <c r="I79" i="24"/>
  <c r="H79" i="24"/>
  <c r="F79" i="24"/>
  <c r="K78" i="24"/>
  <c r="F78" i="24"/>
  <c r="K77" i="24"/>
  <c r="F77" i="24"/>
  <c r="K76" i="24"/>
  <c r="F76" i="24"/>
  <c r="L75" i="24"/>
  <c r="K75" i="24"/>
  <c r="J75" i="24"/>
  <c r="I75" i="24"/>
  <c r="H75" i="24"/>
  <c r="G75" i="24"/>
  <c r="K74" i="24"/>
  <c r="I74" i="24"/>
  <c r="H74" i="24"/>
  <c r="G74" i="24"/>
  <c r="K73" i="24"/>
  <c r="I73" i="24"/>
  <c r="H73" i="24"/>
  <c r="G73" i="24"/>
  <c r="L72" i="24"/>
  <c r="K72" i="24"/>
  <c r="J72" i="24"/>
  <c r="W72" i="24" s="1"/>
  <c r="I72" i="24"/>
  <c r="H72" i="24"/>
  <c r="G72" i="24"/>
  <c r="V71" i="24"/>
  <c r="U71" i="24"/>
  <c r="T71" i="24"/>
  <c r="L77" i="24" s="1"/>
  <c r="S71" i="24"/>
  <c r="J77" i="24" s="1"/>
  <c r="R71" i="24"/>
  <c r="L76" i="24" s="1"/>
  <c r="Q71" i="24"/>
  <c r="J76" i="24" s="1"/>
  <c r="F71" i="24"/>
  <c r="E71" i="24"/>
  <c r="B71" i="24"/>
  <c r="AA70" i="24"/>
  <c r="Z70" i="24"/>
  <c r="Y70" i="24"/>
  <c r="V69" i="24"/>
  <c r="U69" i="24"/>
  <c r="T69" i="24"/>
  <c r="S69" i="24"/>
  <c r="R69" i="24"/>
  <c r="Q69" i="24"/>
  <c r="L69" i="24"/>
  <c r="K70" i="24" s="1"/>
  <c r="K69" i="24"/>
  <c r="J69" i="24"/>
  <c r="O70" i="24" s="1"/>
  <c r="I69" i="24"/>
  <c r="H69" i="24"/>
  <c r="G69" i="24"/>
  <c r="F69" i="24"/>
  <c r="E69" i="24"/>
  <c r="C69" i="24"/>
  <c r="B69" i="24"/>
  <c r="AA68" i="24"/>
  <c r="Z68" i="24"/>
  <c r="Y68" i="24"/>
  <c r="V67" i="24"/>
  <c r="U67" i="24"/>
  <c r="T67" i="24"/>
  <c r="S67" i="24"/>
  <c r="R67" i="24"/>
  <c r="Q67" i="24"/>
  <c r="L67" i="24"/>
  <c r="K68" i="24" s="1"/>
  <c r="K67" i="24"/>
  <c r="J67" i="24"/>
  <c r="O68" i="24" s="1"/>
  <c r="I67" i="24"/>
  <c r="H67" i="24"/>
  <c r="G67" i="24"/>
  <c r="F67" i="24"/>
  <c r="E67" i="24"/>
  <c r="C67" i="24"/>
  <c r="B67" i="24"/>
  <c r="AA66" i="24"/>
  <c r="Z66" i="24"/>
  <c r="Y66" i="24"/>
  <c r="V65" i="24"/>
  <c r="U65" i="24"/>
  <c r="T65" i="24"/>
  <c r="S65" i="24"/>
  <c r="R65" i="24"/>
  <c r="Q65" i="24"/>
  <c r="K65" i="24"/>
  <c r="I65" i="24"/>
  <c r="H65" i="24"/>
  <c r="F65" i="24"/>
  <c r="L65" i="24" s="1"/>
  <c r="E65" i="24"/>
  <c r="C65" i="24"/>
  <c r="B65" i="24"/>
  <c r="AA62" i="24"/>
  <c r="Z62" i="24"/>
  <c r="Y62" i="24"/>
  <c r="K61" i="24"/>
  <c r="F61" i="24"/>
  <c r="K60" i="24"/>
  <c r="K59" i="24" s="1"/>
  <c r="I60" i="24"/>
  <c r="I59" i="24" s="1"/>
  <c r="G60" i="24"/>
  <c r="G59" i="24" s="1"/>
  <c r="H59" i="24"/>
  <c r="AA57" i="24"/>
  <c r="Z57" i="24"/>
  <c r="Y57" i="24"/>
  <c r="J56" i="24"/>
  <c r="I56" i="24"/>
  <c r="H56" i="24"/>
  <c r="F56" i="24"/>
  <c r="K55" i="24"/>
  <c r="F55" i="24"/>
  <c r="K54" i="24"/>
  <c r="F54" i="24"/>
  <c r="K53" i="24"/>
  <c r="F53" i="24"/>
  <c r="L52" i="24"/>
  <c r="K52" i="24"/>
  <c r="J52" i="24"/>
  <c r="I52" i="24"/>
  <c r="H52" i="24"/>
  <c r="G52" i="24"/>
  <c r="K51" i="24"/>
  <c r="I51" i="24"/>
  <c r="H51" i="24"/>
  <c r="G51" i="24"/>
  <c r="K50" i="24"/>
  <c r="I50" i="24"/>
  <c r="H50" i="24"/>
  <c r="G50" i="24"/>
  <c r="L49" i="24"/>
  <c r="K49" i="24"/>
  <c r="J49" i="24"/>
  <c r="I49" i="24"/>
  <c r="H49" i="24"/>
  <c r="G49" i="24"/>
  <c r="V48" i="24"/>
  <c r="U48" i="24"/>
  <c r="T48" i="24"/>
  <c r="L54" i="24" s="1"/>
  <c r="S48" i="24"/>
  <c r="J54" i="24" s="1"/>
  <c r="R48" i="24"/>
  <c r="L53" i="24" s="1"/>
  <c r="Q48" i="24"/>
  <c r="J53" i="24" s="1"/>
  <c r="F48" i="24"/>
  <c r="E48" i="24"/>
  <c r="B48" i="24"/>
  <c r="AA47" i="24"/>
  <c r="Z47" i="24"/>
  <c r="Y47" i="24"/>
  <c r="V46" i="24"/>
  <c r="U46" i="24"/>
  <c r="T46" i="24"/>
  <c r="S46" i="24"/>
  <c r="R46" i="24"/>
  <c r="Q46" i="24"/>
  <c r="L46" i="24"/>
  <c r="P47" i="24" s="1"/>
  <c r="K46" i="24"/>
  <c r="J46" i="24"/>
  <c r="O47" i="24" s="1"/>
  <c r="I46" i="24"/>
  <c r="H46" i="24"/>
  <c r="G46" i="24"/>
  <c r="F46" i="24"/>
  <c r="E46" i="24"/>
  <c r="C46" i="24"/>
  <c r="B46" i="24"/>
  <c r="AA45" i="24"/>
  <c r="Z45" i="24"/>
  <c r="Y45" i="24"/>
  <c r="V44" i="24"/>
  <c r="U44" i="24"/>
  <c r="T44" i="24"/>
  <c r="S44" i="24"/>
  <c r="R44" i="24"/>
  <c r="Q44" i="24"/>
  <c r="L44" i="24"/>
  <c r="P45" i="24" s="1"/>
  <c r="K44" i="24"/>
  <c r="J44" i="24"/>
  <c r="O45" i="24" s="1"/>
  <c r="I44" i="24"/>
  <c r="H44" i="24"/>
  <c r="G44" i="24"/>
  <c r="F44" i="24"/>
  <c r="E44" i="24"/>
  <c r="C44" i="24"/>
  <c r="B44" i="24"/>
  <c r="AK43" i="24"/>
  <c r="A43" i="24"/>
  <c r="F18" i="6" l="1"/>
  <c r="L18" i="6"/>
  <c r="M18" i="6"/>
  <c r="J111" i="24"/>
  <c r="X45" i="24"/>
  <c r="I47" i="24"/>
  <c r="O91" i="24"/>
  <c r="X47" i="24"/>
  <c r="L83" i="24"/>
  <c r="L84" i="24" s="1"/>
  <c r="J83" i="24"/>
  <c r="W83" i="24" s="1"/>
  <c r="P91" i="24"/>
  <c r="O93" i="24"/>
  <c r="J110" i="24"/>
  <c r="P93" i="24"/>
  <c r="I45" i="24"/>
  <c r="J60" i="24"/>
  <c r="J59" i="24" s="1"/>
  <c r="J50" i="24" s="1"/>
  <c r="P68" i="24"/>
  <c r="P70" i="24"/>
  <c r="L111" i="24"/>
  <c r="J94" i="24"/>
  <c r="K95" i="24"/>
  <c r="P95" i="24"/>
  <c r="K107" i="24"/>
  <c r="J65" i="24"/>
  <c r="K66" i="24"/>
  <c r="P66" i="24"/>
  <c r="L110" i="24"/>
  <c r="K89" i="24"/>
  <c r="P89" i="24"/>
  <c r="J88" i="24"/>
  <c r="K45" i="24"/>
  <c r="K47" i="24"/>
  <c r="L60" i="24"/>
  <c r="I68" i="24"/>
  <c r="X68" i="24"/>
  <c r="I70" i="24"/>
  <c r="X70" i="24"/>
  <c r="L109" i="24"/>
  <c r="I91" i="24"/>
  <c r="I93" i="24"/>
  <c r="J109" i="24"/>
  <c r="W49" i="24"/>
  <c r="N18" i="6" l="1"/>
  <c r="L116" i="24"/>
  <c r="J61" i="24"/>
  <c r="J55" i="24" s="1"/>
  <c r="X57" i="24" s="1"/>
  <c r="J51" i="24"/>
  <c r="W51" i="24" s="1"/>
  <c r="J84" i="24"/>
  <c r="J78" i="24" s="1"/>
  <c r="L82" i="24"/>
  <c r="L73" i="24" s="1"/>
  <c r="L74" i="24"/>
  <c r="J82" i="24"/>
  <c r="J73" i="24" s="1"/>
  <c r="W60" i="24"/>
  <c r="J74" i="24"/>
  <c r="W74" i="24" s="1"/>
  <c r="L51" i="24"/>
  <c r="L61" i="24"/>
  <c r="L59" i="24"/>
  <c r="L50" i="24" s="1"/>
  <c r="X89" i="24"/>
  <c r="I89" i="24"/>
  <c r="G88" i="24"/>
  <c r="O89" i="24"/>
  <c r="O95" i="24"/>
  <c r="I107" i="24"/>
  <c r="J116" i="24" s="1"/>
  <c r="X95" i="24"/>
  <c r="I95" i="24"/>
  <c r="G94" i="24"/>
  <c r="O66" i="24"/>
  <c r="X66" i="24"/>
  <c r="I66" i="24"/>
  <c r="G65" i="24"/>
  <c r="L78" i="24"/>
  <c r="K85" i="24"/>
  <c r="P85" i="24" s="1"/>
  <c r="I85" i="24"/>
  <c r="I62" i="24" l="1"/>
  <c r="X62" i="24" s="1"/>
  <c r="P13" i="34"/>
  <c r="L124" i="24"/>
  <c r="L108" i="24"/>
  <c r="L115" i="24" s="1"/>
  <c r="L123" i="24" s="1"/>
  <c r="L126" i="24" s="1"/>
  <c r="P16" i="6"/>
  <c r="P33" i="6" s="1"/>
  <c r="P80" i="24"/>
  <c r="J108" i="24"/>
  <c r="J115" i="24" s="1"/>
  <c r="J118" i="24" s="1"/>
  <c r="O80" i="24"/>
  <c r="I80" i="24"/>
  <c r="I87" i="24" s="1"/>
  <c r="X80" i="24"/>
  <c r="K62" i="24"/>
  <c r="P62" i="24" s="1"/>
  <c r="L55" i="24"/>
  <c r="K57" i="24" s="1"/>
  <c r="X85" i="24"/>
  <c r="O85" i="24"/>
  <c r="I57" i="24"/>
  <c r="O57" i="24"/>
  <c r="K80" i="24"/>
  <c r="K87" i="24" s="1"/>
  <c r="I64" i="24" l="1"/>
  <c r="O62" i="24"/>
  <c r="I97" i="24" s="1"/>
  <c r="P24" i="34"/>
  <c r="P29" i="34" s="1"/>
  <c r="P26" i="34" s="1"/>
  <c r="S13" i="34"/>
  <c r="Z16" i="6"/>
  <c r="Z33" i="6" s="1"/>
  <c r="Q13" i="34"/>
  <c r="O16" i="6"/>
  <c r="O33" i="6" s="1"/>
  <c r="O13" i="34"/>
  <c r="L118" i="24"/>
  <c r="K64" i="24"/>
  <c r="P57" i="24"/>
  <c r="K103" i="24" s="1"/>
  <c r="L113" i="24" s="1"/>
  <c r="I103" i="24" l="1"/>
  <c r="J113" i="24" s="1"/>
  <c r="J114" i="24" s="1"/>
  <c r="J119" i="24" s="1"/>
  <c r="S24" i="34"/>
  <c r="K180" i="36" s="1"/>
  <c r="O24" i="34"/>
  <c r="O29" i="34" s="1"/>
  <c r="O26" i="34" s="1"/>
  <c r="Q24" i="34"/>
  <c r="I180" i="36" s="1"/>
  <c r="G13" i="34"/>
  <c r="G24" i="34" s="1"/>
  <c r="L121" i="24"/>
  <c r="L127" i="24" s="1"/>
  <c r="R13" i="34"/>
  <c r="R24" i="34" s="1"/>
  <c r="AB16" i="6"/>
  <c r="AB33" i="6" s="1"/>
  <c r="AA16" i="6"/>
  <c r="AA33" i="6" s="1"/>
  <c r="L114" i="24"/>
  <c r="L119" i="24" s="1"/>
  <c r="K97" i="24"/>
  <c r="F16" i="6" l="1"/>
  <c r="F33" i="6" s="1"/>
  <c r="F13" i="34"/>
  <c r="T13" i="34" s="1"/>
  <c r="S29" i="34"/>
  <c r="S28" i="34" s="1"/>
  <c r="V28" i="34" s="1"/>
  <c r="R29" i="34"/>
  <c r="R28" i="34" s="1"/>
  <c r="U28" i="34" s="1"/>
  <c r="Q29" i="34"/>
  <c r="Q28" i="34" s="1"/>
  <c r="T28" i="34" s="1"/>
  <c r="L122" i="24"/>
  <c r="G29" i="34"/>
  <c r="G25" i="34" s="1"/>
  <c r="U25" i="34" s="1"/>
  <c r="H13" i="34"/>
  <c r="U13" i="34"/>
  <c r="L16" i="6"/>
  <c r="L33" i="6" s="1"/>
  <c r="G16" i="6"/>
  <c r="G33" i="6" s="1"/>
  <c r="F24" i="34" l="1"/>
  <c r="F29" i="34" s="1"/>
  <c r="H50" i="35"/>
  <c r="H24" i="34"/>
  <c r="H29" i="34" s="1"/>
  <c r="V13" i="34"/>
  <c r="V24" i="34" s="1"/>
  <c r="K178" i="36" s="1"/>
  <c r="K179" i="36" s="1"/>
  <c r="G50" i="35"/>
  <c r="E50" i="35" s="1"/>
  <c r="U24" i="34"/>
  <c r="U29" i="34" s="1"/>
  <c r="T24" i="34"/>
  <c r="I178" i="36" s="1"/>
  <c r="I179" i="36" s="1"/>
  <c r="F25" i="34"/>
  <c r="T25" i="34" s="1"/>
  <c r="G46" i="35"/>
  <c r="M16" i="6"/>
  <c r="M33" i="6" s="1"/>
  <c r="H16" i="6"/>
  <c r="H33" i="6" s="1"/>
  <c r="F50" i="35" l="1"/>
  <c r="D50" i="35"/>
  <c r="H51" i="35"/>
  <c r="C50" i="35"/>
  <c r="T29" i="34"/>
  <c r="AD13" i="34"/>
  <c r="V29" i="34"/>
  <c r="H25" i="34"/>
  <c r="V25" i="34" s="1"/>
  <c r="H46" i="35"/>
  <c r="N16" i="6"/>
  <c r="N33" i="6" s="1"/>
  <c r="AE26" i="6"/>
  <c r="AD26" i="6"/>
  <c r="AC26" i="6"/>
  <c r="AE25" i="6"/>
  <c r="AD25" i="6"/>
  <c r="AC25" i="6"/>
  <c r="AE24" i="6"/>
  <c r="AD24" i="6"/>
  <c r="AC24" i="6"/>
  <c r="AE23" i="6"/>
  <c r="AD23" i="6"/>
  <c r="AC23" i="6"/>
  <c r="AE22" i="6"/>
  <c r="AD22" i="6"/>
  <c r="AC22" i="6"/>
  <c r="AE21" i="6"/>
  <c r="AD21" i="6"/>
  <c r="AC21" i="6"/>
  <c r="AD20" i="6"/>
  <c r="AE19" i="6"/>
  <c r="AD19" i="6"/>
  <c r="AC19" i="6"/>
  <c r="AE18" i="6"/>
  <c r="AD18" i="6"/>
  <c r="AC18" i="6"/>
  <c r="AD16" i="6"/>
  <c r="AC16" i="6"/>
  <c r="H52" i="35" l="1"/>
  <c r="F52" i="35" s="1"/>
  <c r="F51" i="35"/>
  <c r="D51" i="35"/>
  <c r="C51" i="35" s="1"/>
  <c r="H47" i="35"/>
  <c r="H56" i="35"/>
  <c r="D46" i="35"/>
  <c r="C46" i="35" s="1"/>
  <c r="F46" i="35"/>
  <c r="F56" i="35" s="1"/>
  <c r="F62" i="35" s="1"/>
  <c r="AE16" i="6"/>
  <c r="H56" i="23"/>
  <c r="F56" i="23" s="1"/>
  <c r="G56" i="23"/>
  <c r="E56" i="23" s="1"/>
  <c r="F55" i="23"/>
  <c r="D55" i="23"/>
  <c r="F54" i="23"/>
  <c r="D54" i="23"/>
  <c r="F53" i="23"/>
  <c r="E53" i="23"/>
  <c r="D53" i="23"/>
  <c r="C53" i="23"/>
  <c r="H51" i="23"/>
  <c r="D51" i="23" s="1"/>
  <c r="F50" i="23"/>
  <c r="E50" i="23"/>
  <c r="D50" i="23"/>
  <c r="C50" i="23"/>
  <c r="F49" i="23"/>
  <c r="D49" i="23"/>
  <c r="F48" i="23"/>
  <c r="D48" i="23"/>
  <c r="F47" i="23"/>
  <c r="E47" i="23"/>
  <c r="D47" i="23"/>
  <c r="C47" i="23"/>
  <c r="H45" i="23"/>
  <c r="H46" i="23" s="1"/>
  <c r="F46" i="23" s="1"/>
  <c r="F44" i="23"/>
  <c r="E44" i="23"/>
  <c r="D44" i="23"/>
  <c r="C44" i="23"/>
  <c r="F43" i="23"/>
  <c r="E43" i="23"/>
  <c r="D43" i="23"/>
  <c r="C43" i="23"/>
  <c r="F42" i="23"/>
  <c r="D42" i="23"/>
  <c r="F41" i="23"/>
  <c r="D41" i="23"/>
  <c r="F40" i="23"/>
  <c r="E40" i="23"/>
  <c r="D40" i="23"/>
  <c r="C40" i="23"/>
  <c r="F39" i="23"/>
  <c r="E39" i="23"/>
  <c r="D39" i="23"/>
  <c r="C39" i="23"/>
  <c r="H37" i="23"/>
  <c r="F36" i="23"/>
  <c r="E36" i="23"/>
  <c r="D36" i="23"/>
  <c r="C36" i="23"/>
  <c r="F35" i="23"/>
  <c r="D35" i="23"/>
  <c r="F34" i="23"/>
  <c r="D34" i="23"/>
  <c r="F33" i="23"/>
  <c r="E33" i="23"/>
  <c r="D33" i="23"/>
  <c r="C33" i="23"/>
  <c r="F32" i="23"/>
  <c r="H31" i="23"/>
  <c r="F31" i="23" s="1"/>
  <c r="G31" i="23"/>
  <c r="C31" i="23" s="1"/>
  <c r="G20" i="23"/>
  <c r="D52" i="35" l="1"/>
  <c r="C52" i="35" s="1"/>
  <c r="H48" i="35"/>
  <c r="F47" i="35"/>
  <c r="F57" i="35" s="1"/>
  <c r="D47" i="35"/>
  <c r="C47" i="35" s="1"/>
  <c r="M47" i="35"/>
  <c r="F63" i="35"/>
  <c r="F66" i="35" s="1"/>
  <c r="F65" i="35"/>
  <c r="F68" i="35" s="1"/>
  <c r="D56" i="35"/>
  <c r="H62" i="35"/>
  <c r="H58" i="35"/>
  <c r="H57" i="35"/>
  <c r="D57" i="35" s="1"/>
  <c r="C57" i="35" s="1"/>
  <c r="F51" i="23"/>
  <c r="H57" i="23"/>
  <c r="D57" i="23" s="1"/>
  <c r="D45" i="23"/>
  <c r="F45" i="23"/>
  <c r="H38" i="23"/>
  <c r="D38" i="23" s="1"/>
  <c r="H52" i="23"/>
  <c r="E31" i="23"/>
  <c r="D31" i="23"/>
  <c r="F37" i="23"/>
  <c r="C56" i="23"/>
  <c r="D56" i="23"/>
  <c r="H60" i="23"/>
  <c r="D37" i="23"/>
  <c r="H59" i="23"/>
  <c r="D46" i="23"/>
  <c r="D62" i="35" l="1"/>
  <c r="D65" i="35" s="1"/>
  <c r="D68" i="35" s="1"/>
  <c r="C56" i="35"/>
  <c r="D48" i="35"/>
  <c r="C48" i="35" s="1"/>
  <c r="F48" i="35"/>
  <c r="F58" i="35" s="1"/>
  <c r="F38" i="23"/>
  <c r="F64" i="35"/>
  <c r="F67" i="35" s="1"/>
  <c r="H65" i="35"/>
  <c r="H68" i="35" s="1"/>
  <c r="H63" i="35"/>
  <c r="H66" i="35" s="1"/>
  <c r="H69" i="35" s="1"/>
  <c r="D58" i="35"/>
  <c r="C58" i="35" s="1"/>
  <c r="F69" i="35"/>
  <c r="F57" i="23"/>
  <c r="H58" i="23"/>
  <c r="F52" i="23"/>
  <c r="D52" i="23"/>
  <c r="D59" i="23"/>
  <c r="F59" i="23"/>
  <c r="F60" i="23"/>
  <c r="D60" i="23"/>
  <c r="F70" i="35" l="1"/>
  <c r="D63" i="35"/>
  <c r="D66" i="35" s="1"/>
  <c r="D69" i="35" s="1"/>
  <c r="H64" i="35"/>
  <c r="H67" i="35" s="1"/>
  <c r="H70" i="35" s="1"/>
  <c r="H61" i="23"/>
  <c r="D58" i="23"/>
  <c r="F58" i="23"/>
  <c r="L90" i="16"/>
  <c r="J90" i="16" s="1"/>
  <c r="L87" i="16"/>
  <c r="J87" i="16" s="1"/>
  <c r="I89" i="16" s="1"/>
  <c r="L84" i="16"/>
  <c r="K86" i="16" s="1"/>
  <c r="F189" i="15"/>
  <c r="J189" i="15" s="1"/>
  <c r="I191" i="15" s="1"/>
  <c r="J186" i="15"/>
  <c r="I188" i="15" s="1"/>
  <c r="J183" i="15"/>
  <c r="I185" i="15" s="1"/>
  <c r="F180" i="15"/>
  <c r="J180" i="15" s="1"/>
  <c r="J177" i="15"/>
  <c r="I179" i="15" s="1"/>
  <c r="F174" i="15"/>
  <c r="J174" i="15" s="1"/>
  <c r="I176" i="15" s="1"/>
  <c r="L41" i="14"/>
  <c r="J41" i="14" s="1"/>
  <c r="J181" i="19"/>
  <c r="L181" i="19" s="1"/>
  <c r="K183" i="19" s="1"/>
  <c r="J178" i="19"/>
  <c r="I180" i="19" s="1"/>
  <c r="J175" i="19"/>
  <c r="I177" i="19" s="1"/>
  <c r="J81" i="17"/>
  <c r="I86" i="17" s="1"/>
  <c r="L48" i="8"/>
  <c r="K52" i="8" s="1"/>
  <c r="L117" i="7"/>
  <c r="K119" i="7" s="1"/>
  <c r="L114" i="7"/>
  <c r="K116" i="7" s="1"/>
  <c r="J111" i="7"/>
  <c r="I113" i="7" s="1"/>
  <c r="J108" i="7"/>
  <c r="I110" i="7" s="1"/>
  <c r="D64" i="35" l="1"/>
  <c r="D67" i="35" s="1"/>
  <c r="D70" i="35" s="1"/>
  <c r="K89" i="16"/>
  <c r="J48" i="8"/>
  <c r="I52" i="8" s="1"/>
  <c r="L183" i="15"/>
  <c r="K185" i="15" s="1"/>
  <c r="L186" i="15"/>
  <c r="K188" i="15" s="1"/>
  <c r="I182" i="15"/>
  <c r="L180" i="15"/>
  <c r="K182" i="15" s="1"/>
  <c r="I183" i="19"/>
  <c r="L111" i="7"/>
  <c r="K113" i="7" s="1"/>
  <c r="L81" i="17"/>
  <c r="K86" i="17" s="1"/>
  <c r="L175" i="19"/>
  <c r="K177" i="19" s="1"/>
  <c r="L178" i="19"/>
  <c r="K180" i="19" s="1"/>
  <c r="L177" i="15"/>
  <c r="K179" i="15" s="1"/>
  <c r="L189" i="15"/>
  <c r="K191" i="15" s="1"/>
  <c r="J84" i="16"/>
  <c r="L108" i="7"/>
  <c r="K110" i="7" s="1"/>
  <c r="J114" i="7"/>
  <c r="L174" i="15"/>
  <c r="K176" i="15" s="1"/>
  <c r="K92" i="16"/>
  <c r="F61" i="23"/>
  <c r="D61" i="23"/>
  <c r="G90" i="16"/>
  <c r="I92" i="16"/>
  <c r="G87" i="16"/>
  <c r="I43" i="14"/>
  <c r="G41" i="14"/>
  <c r="K43" i="14"/>
  <c r="G84" i="16" l="1"/>
  <c r="I86" i="16"/>
  <c r="I116" i="7"/>
  <c r="G114" i="7"/>
  <c r="M49" i="7"/>
  <c r="J117" i="7"/>
  <c r="I119" i="7" s="1"/>
  <c r="G117" i="7" l="1"/>
  <c r="I39" i="6" l="1"/>
  <c r="I34" i="6" s="1"/>
  <c r="J39" i="6"/>
  <c r="J34" i="6" s="1"/>
  <c r="K39" i="6"/>
  <c r="K34" i="6" s="1"/>
  <c r="Q36" i="6"/>
  <c r="AC36" i="6" s="1"/>
  <c r="R36" i="6"/>
  <c r="AD36" i="6" s="1"/>
  <c r="S36" i="6"/>
  <c r="AE36" i="6" s="1"/>
  <c r="T39" i="6"/>
  <c r="T37" i="6" s="1"/>
  <c r="AC37" i="6" s="1"/>
  <c r="U39" i="6"/>
  <c r="U37" i="6" s="1"/>
  <c r="AD37" i="6" s="1"/>
  <c r="V39" i="6"/>
  <c r="V37" i="6" s="1"/>
  <c r="AE37" i="6" s="1"/>
  <c r="W39" i="6"/>
  <c r="W38" i="6" s="1"/>
  <c r="X39" i="6"/>
  <c r="X38" i="6" s="1"/>
  <c r="Y39" i="6"/>
  <c r="Y38" i="6" s="1"/>
  <c r="AF39" i="6"/>
  <c r="S39" i="6" l="1"/>
  <c r="Q39" i="6"/>
  <c r="R39" i="6"/>
  <c r="AD33" i="6" l="1"/>
  <c r="AC33" i="6"/>
  <c r="N130" i="15"/>
  <c r="N113" i="15"/>
  <c r="L182" i="19" l="1"/>
  <c r="L179" i="19"/>
  <c r="L176" i="19"/>
  <c r="AF193" i="19"/>
  <c r="K191" i="19"/>
  <c r="J191" i="19"/>
  <c r="K190" i="19"/>
  <c r="J190" i="19"/>
  <c r="A189" i="19"/>
  <c r="K187" i="19"/>
  <c r="J187" i="19"/>
  <c r="K186" i="19"/>
  <c r="J186" i="19"/>
  <c r="A185" i="19"/>
  <c r="V179" i="19"/>
  <c r="U179" i="19"/>
  <c r="T179" i="19"/>
  <c r="S179" i="19"/>
  <c r="R179" i="19"/>
  <c r="Q179" i="19"/>
  <c r="P178" i="19"/>
  <c r="O178" i="19"/>
  <c r="V177" i="19"/>
  <c r="U177" i="19"/>
  <c r="T177" i="19"/>
  <c r="S177" i="19"/>
  <c r="R177" i="19"/>
  <c r="Q177" i="19"/>
  <c r="P176" i="19"/>
  <c r="O176" i="19"/>
  <c r="V175" i="19"/>
  <c r="U175" i="19"/>
  <c r="T175" i="19"/>
  <c r="S175" i="19"/>
  <c r="R175" i="19"/>
  <c r="Q175" i="19"/>
  <c r="A174" i="19"/>
  <c r="A172" i="19"/>
  <c r="K171" i="19"/>
  <c r="J171" i="19"/>
  <c r="K170" i="19"/>
  <c r="J170" i="19"/>
  <c r="K168" i="19"/>
  <c r="J168" i="19"/>
  <c r="K167" i="19"/>
  <c r="J167" i="19"/>
  <c r="A166" i="19"/>
  <c r="K161" i="19"/>
  <c r="F161" i="19"/>
  <c r="K160" i="19"/>
  <c r="K159" i="19" s="1"/>
  <c r="I160" i="19"/>
  <c r="I159" i="19" s="1"/>
  <c r="G160" i="19"/>
  <c r="G159" i="19" s="1"/>
  <c r="H159" i="19"/>
  <c r="J156" i="19"/>
  <c r="I156" i="19"/>
  <c r="H156" i="19"/>
  <c r="F156" i="19"/>
  <c r="K155" i="19"/>
  <c r="F155" i="19"/>
  <c r="K154" i="19"/>
  <c r="F154" i="19"/>
  <c r="K153" i="19"/>
  <c r="F153" i="19"/>
  <c r="L152" i="19"/>
  <c r="K152" i="19"/>
  <c r="J152" i="19"/>
  <c r="I152" i="19"/>
  <c r="H152" i="19"/>
  <c r="G152" i="19"/>
  <c r="K151" i="19"/>
  <c r="I151" i="19"/>
  <c r="H151" i="19"/>
  <c r="G151" i="19"/>
  <c r="K150" i="19"/>
  <c r="I150" i="19"/>
  <c r="H150" i="19"/>
  <c r="G150" i="19"/>
  <c r="L149" i="19"/>
  <c r="K149" i="19"/>
  <c r="J149" i="19"/>
  <c r="I149" i="19"/>
  <c r="H149" i="19"/>
  <c r="G149" i="19"/>
  <c r="V148" i="19"/>
  <c r="U148" i="19"/>
  <c r="T148" i="19"/>
  <c r="L154" i="19" s="1"/>
  <c r="S148" i="19"/>
  <c r="J154" i="19" s="1"/>
  <c r="R148" i="19"/>
  <c r="L153" i="19" s="1"/>
  <c r="Q148" i="19"/>
  <c r="J153" i="19" s="1"/>
  <c r="F148" i="19"/>
  <c r="E148" i="19"/>
  <c r="B148" i="19"/>
  <c r="K146" i="19"/>
  <c r="J146" i="19"/>
  <c r="K145" i="19"/>
  <c r="J145" i="19"/>
  <c r="A144" i="19"/>
  <c r="K139" i="19"/>
  <c r="F139" i="19"/>
  <c r="K138" i="19"/>
  <c r="K137" i="19" s="1"/>
  <c r="I138" i="19"/>
  <c r="I137" i="19" s="1"/>
  <c r="G138" i="19"/>
  <c r="G137" i="19" s="1"/>
  <c r="H137" i="19"/>
  <c r="J134" i="19"/>
  <c r="I134" i="19"/>
  <c r="H134" i="19"/>
  <c r="F134" i="19"/>
  <c r="K133" i="19"/>
  <c r="F133" i="19"/>
  <c r="K132" i="19"/>
  <c r="F132" i="19"/>
  <c r="K131" i="19"/>
  <c r="F131" i="19"/>
  <c r="L130" i="19"/>
  <c r="K130" i="19"/>
  <c r="J130" i="19"/>
  <c r="I130" i="19"/>
  <c r="H130" i="19"/>
  <c r="G130" i="19"/>
  <c r="K129" i="19"/>
  <c r="I129" i="19"/>
  <c r="H129" i="19"/>
  <c r="G129" i="19"/>
  <c r="K128" i="19"/>
  <c r="I128" i="19"/>
  <c r="H128" i="19"/>
  <c r="G128" i="19"/>
  <c r="L127" i="19"/>
  <c r="K127" i="19"/>
  <c r="J127" i="19"/>
  <c r="I127" i="19"/>
  <c r="H127" i="19"/>
  <c r="G127" i="19"/>
  <c r="V126" i="19"/>
  <c r="U126" i="19"/>
  <c r="T126" i="19"/>
  <c r="L132" i="19" s="1"/>
  <c r="S126" i="19"/>
  <c r="J132" i="19" s="1"/>
  <c r="R126" i="19"/>
  <c r="L131" i="19" s="1"/>
  <c r="Q126" i="19"/>
  <c r="J131" i="19" s="1"/>
  <c r="F126" i="19"/>
  <c r="E126" i="19"/>
  <c r="B126" i="19"/>
  <c r="K122" i="19"/>
  <c r="F122" i="19"/>
  <c r="K121" i="19"/>
  <c r="K120" i="19" s="1"/>
  <c r="I121" i="19"/>
  <c r="I120" i="19" s="1"/>
  <c r="G121" i="19"/>
  <c r="G120" i="19" s="1"/>
  <c r="H120" i="19"/>
  <c r="J117" i="19"/>
  <c r="I117" i="19"/>
  <c r="H117" i="19"/>
  <c r="F117" i="19"/>
  <c r="K116" i="19"/>
  <c r="F116" i="19"/>
  <c r="K115" i="19"/>
  <c r="F115" i="19"/>
  <c r="K114" i="19"/>
  <c r="F114" i="19"/>
  <c r="L113" i="19"/>
  <c r="K113" i="19"/>
  <c r="J113" i="19"/>
  <c r="I113" i="19"/>
  <c r="H113" i="19"/>
  <c r="G113" i="19"/>
  <c r="K112" i="19"/>
  <c r="I112" i="19"/>
  <c r="H112" i="19"/>
  <c r="G112" i="19"/>
  <c r="K111" i="19"/>
  <c r="I111" i="19"/>
  <c r="H111" i="19"/>
  <c r="G111" i="19"/>
  <c r="L110" i="19"/>
  <c r="K110" i="19"/>
  <c r="J110" i="19"/>
  <c r="I110" i="19"/>
  <c r="H110" i="19"/>
  <c r="G110" i="19"/>
  <c r="V109" i="19"/>
  <c r="U109" i="19"/>
  <c r="T109" i="19"/>
  <c r="L115" i="19" s="1"/>
  <c r="S109" i="19"/>
  <c r="J115" i="19" s="1"/>
  <c r="R109" i="19"/>
  <c r="L114" i="19" s="1"/>
  <c r="Q109" i="19"/>
  <c r="J114" i="19" s="1"/>
  <c r="F109" i="19"/>
  <c r="E109" i="19"/>
  <c r="B109" i="19"/>
  <c r="K105" i="19"/>
  <c r="F105" i="19"/>
  <c r="K104" i="19"/>
  <c r="K103" i="19" s="1"/>
  <c r="I104" i="19"/>
  <c r="I103" i="19" s="1"/>
  <c r="G104" i="19"/>
  <c r="G103" i="19" s="1"/>
  <c r="H103" i="19"/>
  <c r="J100" i="19"/>
  <c r="I100" i="19"/>
  <c r="H100" i="19"/>
  <c r="F100" i="19"/>
  <c r="K99" i="19"/>
  <c r="F99" i="19"/>
  <c r="K98" i="19"/>
  <c r="F98" i="19"/>
  <c r="K97" i="19"/>
  <c r="F97" i="19"/>
  <c r="L96" i="19"/>
  <c r="K96" i="19"/>
  <c r="J96" i="19"/>
  <c r="I96" i="19"/>
  <c r="H96" i="19"/>
  <c r="G96" i="19"/>
  <c r="K95" i="19"/>
  <c r="I95" i="19"/>
  <c r="H95" i="19"/>
  <c r="G95" i="19"/>
  <c r="K94" i="19"/>
  <c r="I94" i="19"/>
  <c r="H94" i="19"/>
  <c r="G94" i="19"/>
  <c r="L93" i="19"/>
  <c r="K93" i="19"/>
  <c r="J93" i="19"/>
  <c r="I93" i="19"/>
  <c r="H93" i="19"/>
  <c r="G93" i="19"/>
  <c r="V92" i="19"/>
  <c r="U92" i="19"/>
  <c r="T92" i="19"/>
  <c r="L98" i="19" s="1"/>
  <c r="S92" i="19"/>
  <c r="J98" i="19" s="1"/>
  <c r="R92" i="19"/>
  <c r="L97" i="19" s="1"/>
  <c r="Q92" i="19"/>
  <c r="J97" i="19" s="1"/>
  <c r="F92" i="19"/>
  <c r="E92" i="19"/>
  <c r="B92" i="19"/>
  <c r="K88" i="19"/>
  <c r="F88" i="19"/>
  <c r="K87" i="19"/>
  <c r="K86" i="19" s="1"/>
  <c r="I87" i="19"/>
  <c r="I86" i="19" s="1"/>
  <c r="G87" i="19"/>
  <c r="G86" i="19" s="1"/>
  <c r="H86" i="19"/>
  <c r="J83" i="19"/>
  <c r="I83" i="19"/>
  <c r="H83" i="19"/>
  <c r="F83" i="19"/>
  <c r="K82" i="19"/>
  <c r="F82" i="19"/>
  <c r="K81" i="19"/>
  <c r="F81" i="19"/>
  <c r="K80" i="19"/>
  <c r="F80" i="19"/>
  <c r="L79" i="19"/>
  <c r="K79" i="19"/>
  <c r="J79" i="19"/>
  <c r="I79" i="19"/>
  <c r="H79" i="19"/>
  <c r="G79" i="19"/>
  <c r="K78" i="19"/>
  <c r="I78" i="19"/>
  <c r="H78" i="19"/>
  <c r="G78" i="19"/>
  <c r="K77" i="19"/>
  <c r="I77" i="19"/>
  <c r="H77" i="19"/>
  <c r="G77" i="19"/>
  <c r="L76" i="19"/>
  <c r="K76" i="19"/>
  <c r="J76" i="19"/>
  <c r="I76" i="19"/>
  <c r="H76" i="19"/>
  <c r="G76" i="19"/>
  <c r="V75" i="19"/>
  <c r="U75" i="19"/>
  <c r="T75" i="19"/>
  <c r="L81" i="19" s="1"/>
  <c r="S75" i="19"/>
  <c r="J81" i="19" s="1"/>
  <c r="R75" i="19"/>
  <c r="L80" i="19" s="1"/>
  <c r="Q75" i="19"/>
  <c r="J80" i="19" s="1"/>
  <c r="F75" i="19"/>
  <c r="E75" i="19"/>
  <c r="B75" i="19"/>
  <c r="A74" i="19"/>
  <c r="K72" i="19"/>
  <c r="J72" i="19"/>
  <c r="K71" i="19"/>
  <c r="J71" i="19"/>
  <c r="A70" i="19"/>
  <c r="K65" i="19"/>
  <c r="F65" i="19"/>
  <c r="K64" i="19"/>
  <c r="K63" i="19" s="1"/>
  <c r="I64" i="19"/>
  <c r="I63" i="19" s="1"/>
  <c r="G64" i="19"/>
  <c r="G63" i="19" s="1"/>
  <c r="H63" i="19"/>
  <c r="J60" i="19"/>
  <c r="I60" i="19"/>
  <c r="H60" i="19"/>
  <c r="F60" i="19"/>
  <c r="K59" i="19"/>
  <c r="F59" i="19"/>
  <c r="K58" i="19"/>
  <c r="F58" i="19"/>
  <c r="K57" i="19"/>
  <c r="F57" i="19"/>
  <c r="V56" i="19"/>
  <c r="U56" i="19"/>
  <c r="T56" i="19"/>
  <c r="S56" i="19"/>
  <c r="R56" i="19"/>
  <c r="Q56" i="19"/>
  <c r="L56" i="19"/>
  <c r="K56" i="19"/>
  <c r="J56" i="19"/>
  <c r="I56" i="19"/>
  <c r="G56" i="19"/>
  <c r="F56" i="19"/>
  <c r="E56" i="19"/>
  <c r="C56" i="19"/>
  <c r="B56" i="19"/>
  <c r="L55" i="19"/>
  <c r="K55" i="19"/>
  <c r="J55" i="19"/>
  <c r="I55" i="19"/>
  <c r="H55" i="19"/>
  <c r="G55" i="19"/>
  <c r="K54" i="19"/>
  <c r="I54" i="19"/>
  <c r="H54" i="19"/>
  <c r="G54" i="19"/>
  <c r="K53" i="19"/>
  <c r="I53" i="19"/>
  <c r="H53" i="19"/>
  <c r="G53" i="19"/>
  <c r="L52" i="19"/>
  <c r="K52" i="19"/>
  <c r="J52" i="19"/>
  <c r="I52" i="19"/>
  <c r="H52" i="19"/>
  <c r="G52" i="19"/>
  <c r="V51" i="19"/>
  <c r="U51" i="19"/>
  <c r="T51" i="19"/>
  <c r="S51" i="19"/>
  <c r="R51" i="19"/>
  <c r="Q51" i="19"/>
  <c r="F51" i="19"/>
  <c r="E51" i="19"/>
  <c r="B51" i="19"/>
  <c r="A50" i="19"/>
  <c r="A48" i="19"/>
  <c r="AE46" i="19"/>
  <c r="A46" i="19"/>
  <c r="J28" i="19"/>
  <c r="J160" i="19" l="1"/>
  <c r="J159" i="19" s="1"/>
  <c r="J150" i="19" s="1"/>
  <c r="AE33" i="6"/>
  <c r="J58" i="19"/>
  <c r="K198" i="19"/>
  <c r="K196" i="19"/>
  <c r="L104" i="19"/>
  <c r="L95" i="19" s="1"/>
  <c r="K197" i="19"/>
  <c r="I196" i="19"/>
  <c r="I197" i="19"/>
  <c r="J179" i="19"/>
  <c r="G179" i="19" s="1"/>
  <c r="I198" i="19"/>
  <c r="J182" i="19"/>
  <c r="G182" i="19" s="1"/>
  <c r="K185" i="19"/>
  <c r="J176" i="19"/>
  <c r="G176" i="19" s="1"/>
  <c r="L64" i="19"/>
  <c r="L65" i="19" s="1"/>
  <c r="L58" i="19"/>
  <c r="J57" i="19"/>
  <c r="L121" i="19"/>
  <c r="L120" i="19" s="1"/>
  <c r="L111" i="19" s="1"/>
  <c r="L138" i="19"/>
  <c r="L57" i="19"/>
  <c r="L160" i="19"/>
  <c r="L151" i="19" s="1"/>
  <c r="J64" i="19"/>
  <c r="L87" i="19"/>
  <c r="J138" i="19"/>
  <c r="J87" i="19"/>
  <c r="J104" i="19"/>
  <c r="J121" i="19"/>
  <c r="J151" i="19" l="1"/>
  <c r="L105" i="19"/>
  <c r="L99" i="19" s="1"/>
  <c r="J161" i="19"/>
  <c r="I162" i="19" s="1"/>
  <c r="O162" i="19" s="1"/>
  <c r="L103" i="19"/>
  <c r="L94" i="19" s="1"/>
  <c r="L59" i="19"/>
  <c r="K66" i="19"/>
  <c r="P66" i="19" s="1"/>
  <c r="L63" i="19"/>
  <c r="L53" i="19" s="1"/>
  <c r="L54" i="19"/>
  <c r="L122" i="19"/>
  <c r="K123" i="19" s="1"/>
  <c r="P123" i="19" s="1"/>
  <c r="I185" i="19"/>
  <c r="I189" i="19" s="1"/>
  <c r="K189" i="19"/>
  <c r="K194" i="19"/>
  <c r="L203" i="19" s="1"/>
  <c r="L159" i="19"/>
  <c r="L150" i="19" s="1"/>
  <c r="K106" i="19"/>
  <c r="P106" i="19" s="1"/>
  <c r="L112" i="19"/>
  <c r="L161" i="19"/>
  <c r="K162" i="19" s="1"/>
  <c r="P162" i="19" s="1"/>
  <c r="L139" i="19"/>
  <c r="L137" i="19"/>
  <c r="L128" i="19" s="1"/>
  <c r="L129" i="19"/>
  <c r="J120" i="19"/>
  <c r="J111" i="19" s="1"/>
  <c r="J122" i="19"/>
  <c r="J112" i="19"/>
  <c r="J105" i="19"/>
  <c r="J103" i="19"/>
  <c r="J94" i="19" s="1"/>
  <c r="J95" i="19"/>
  <c r="L88" i="19"/>
  <c r="L78" i="19"/>
  <c r="L86" i="19"/>
  <c r="L77" i="19" s="1"/>
  <c r="J88" i="19"/>
  <c r="J86" i="19"/>
  <c r="J77" i="19" s="1"/>
  <c r="J78" i="19"/>
  <c r="J139" i="19"/>
  <c r="J137" i="19"/>
  <c r="J128" i="19" s="1"/>
  <c r="J129" i="19"/>
  <c r="J65" i="19"/>
  <c r="J54" i="19"/>
  <c r="J63" i="19"/>
  <c r="J53" i="19" s="1"/>
  <c r="P101" i="19" l="1"/>
  <c r="K101" i="19"/>
  <c r="K108" i="19" s="1"/>
  <c r="J155" i="19"/>
  <c r="O157" i="19" s="1"/>
  <c r="L116" i="19"/>
  <c r="P118" i="19" s="1"/>
  <c r="K195" i="19"/>
  <c r="L202" i="19" s="1"/>
  <c r="K212" i="19" s="1"/>
  <c r="L222" i="19" s="1"/>
  <c r="K213" i="19"/>
  <c r="L223" i="19" s="1"/>
  <c r="L155" i="19"/>
  <c r="P157" i="19" s="1"/>
  <c r="P61" i="19"/>
  <c r="K70" i="19" s="1"/>
  <c r="I194" i="19"/>
  <c r="J203" i="19" s="1"/>
  <c r="K61" i="19"/>
  <c r="K68" i="19" s="1"/>
  <c r="I195" i="19"/>
  <c r="J202" i="19" s="1"/>
  <c r="J207" i="19" s="1"/>
  <c r="K140" i="19"/>
  <c r="P140" i="19" s="1"/>
  <c r="L133" i="19"/>
  <c r="K135" i="19" s="1"/>
  <c r="I140" i="19"/>
  <c r="O140" i="19" s="1"/>
  <c r="J133" i="19"/>
  <c r="I135" i="19" s="1"/>
  <c r="K89" i="19"/>
  <c r="P89" i="19" s="1"/>
  <c r="L82" i="19"/>
  <c r="K84" i="19" s="1"/>
  <c r="I106" i="19"/>
  <c r="O106" i="19" s="1"/>
  <c r="J99" i="19"/>
  <c r="I101" i="19" s="1"/>
  <c r="J59" i="19"/>
  <c r="O61" i="19" s="1"/>
  <c r="I66" i="19"/>
  <c r="O66" i="19" s="1"/>
  <c r="J116" i="19"/>
  <c r="I118" i="19" s="1"/>
  <c r="I123" i="19"/>
  <c r="O123" i="19" s="1"/>
  <c r="J82" i="19"/>
  <c r="O84" i="19" s="1"/>
  <c r="I89" i="19"/>
  <c r="O89" i="19" s="1"/>
  <c r="I157" i="19" l="1"/>
  <c r="I164" i="19" s="1"/>
  <c r="K118" i="19"/>
  <c r="K125" i="19" s="1"/>
  <c r="L207" i="19"/>
  <c r="K217" i="19" s="1"/>
  <c r="O135" i="19"/>
  <c r="K157" i="19"/>
  <c r="K164" i="19" s="1"/>
  <c r="I108" i="19"/>
  <c r="K142" i="19"/>
  <c r="O101" i="19"/>
  <c r="K91" i="19"/>
  <c r="I125" i="19"/>
  <c r="P84" i="19"/>
  <c r="I84" i="19"/>
  <c r="I91" i="19" s="1"/>
  <c r="P135" i="19"/>
  <c r="O118" i="19"/>
  <c r="I142" i="19"/>
  <c r="I70" i="19"/>
  <c r="I61" i="19"/>
  <c r="I68" i="19" s="1"/>
  <c r="I144" i="19" l="1"/>
  <c r="L227" i="19"/>
  <c r="K166" i="19"/>
  <c r="L193" i="19" s="1"/>
  <c r="L200" i="19" s="1"/>
  <c r="K210" i="19" s="1"/>
  <c r="L220" i="19" s="1"/>
  <c r="I166" i="19"/>
  <c r="J193" i="19" s="1"/>
  <c r="J200" i="19" s="1"/>
  <c r="J201" i="19" s="1"/>
  <c r="K144" i="19"/>
  <c r="J205" i="19" l="1"/>
  <c r="L201" i="19"/>
  <c r="L85" i="17"/>
  <c r="J85" i="17" s="1"/>
  <c r="G85" i="17" s="1"/>
  <c r="E85" i="17"/>
  <c r="L84" i="17"/>
  <c r="J84" i="17" s="1"/>
  <c r="G84" i="17" s="1"/>
  <c r="E84" i="17"/>
  <c r="L83" i="17"/>
  <c r="J83" i="17" s="1"/>
  <c r="G83" i="17" s="1"/>
  <c r="E83" i="17"/>
  <c r="L82" i="17"/>
  <c r="J82" i="17" s="1"/>
  <c r="E82" i="17"/>
  <c r="B81" i="17"/>
  <c r="K94" i="17"/>
  <c r="J94" i="17"/>
  <c r="K93" i="17"/>
  <c r="J93" i="17"/>
  <c r="A92" i="17"/>
  <c r="K90" i="17"/>
  <c r="J90" i="17"/>
  <c r="K89" i="17"/>
  <c r="J89" i="17"/>
  <c r="A88" i="17"/>
  <c r="P86" i="17"/>
  <c r="O86" i="17"/>
  <c r="V81" i="17"/>
  <c r="U81" i="17"/>
  <c r="T81" i="17"/>
  <c r="S81" i="17"/>
  <c r="R81" i="17"/>
  <c r="Q81" i="17"/>
  <c r="A80" i="17"/>
  <c r="A78" i="17"/>
  <c r="K76" i="17"/>
  <c r="J76" i="17"/>
  <c r="K75" i="17"/>
  <c r="J75" i="17"/>
  <c r="A74" i="17"/>
  <c r="K73" i="17"/>
  <c r="J73" i="17"/>
  <c r="K72" i="17"/>
  <c r="J72" i="17"/>
  <c r="K70" i="17"/>
  <c r="J70" i="17"/>
  <c r="K69" i="17"/>
  <c r="J69" i="17"/>
  <c r="A68" i="17"/>
  <c r="K63" i="17"/>
  <c r="F63" i="17"/>
  <c r="K62" i="17"/>
  <c r="K61" i="17" s="1"/>
  <c r="I62" i="17"/>
  <c r="I61" i="17" s="1"/>
  <c r="G62" i="17"/>
  <c r="G61" i="17" s="1"/>
  <c r="H61" i="17"/>
  <c r="J58" i="17"/>
  <c r="I58" i="17"/>
  <c r="H58" i="17"/>
  <c r="F58" i="17"/>
  <c r="K57" i="17"/>
  <c r="F57" i="17"/>
  <c r="K56" i="17"/>
  <c r="F56" i="17"/>
  <c r="K55" i="17"/>
  <c r="F55" i="17"/>
  <c r="L54" i="17"/>
  <c r="K54" i="17"/>
  <c r="J54" i="17"/>
  <c r="I54" i="17"/>
  <c r="H54" i="17"/>
  <c r="G54" i="17"/>
  <c r="K53" i="17"/>
  <c r="I53" i="17"/>
  <c r="H53" i="17"/>
  <c r="G53" i="17"/>
  <c r="K52" i="17"/>
  <c r="I52" i="17"/>
  <c r="H52" i="17"/>
  <c r="G52" i="17"/>
  <c r="L51" i="17"/>
  <c r="K99" i="17" s="1"/>
  <c r="K51" i="17"/>
  <c r="J51" i="17"/>
  <c r="I99" i="17" s="1"/>
  <c r="I51" i="17"/>
  <c r="H51" i="17"/>
  <c r="G51" i="17"/>
  <c r="V50" i="17"/>
  <c r="U50" i="17"/>
  <c r="T50" i="17"/>
  <c r="L56" i="17" s="1"/>
  <c r="K101" i="17" s="1"/>
  <c r="S50" i="17"/>
  <c r="J56" i="17" s="1"/>
  <c r="I101" i="17" s="1"/>
  <c r="R50" i="17"/>
  <c r="L55" i="17" s="1"/>
  <c r="K100" i="17" s="1"/>
  <c r="Q50" i="17"/>
  <c r="J55" i="17" s="1"/>
  <c r="I100" i="17" s="1"/>
  <c r="F50" i="17"/>
  <c r="E50" i="17"/>
  <c r="B50" i="17"/>
  <c r="A49" i="17"/>
  <c r="A47" i="17"/>
  <c r="J28" i="17"/>
  <c r="K211" i="19" l="1"/>
  <c r="J206" i="19"/>
  <c r="J208" i="19" s="1"/>
  <c r="L205" i="19"/>
  <c r="I88" i="17"/>
  <c r="I92" i="17" s="1"/>
  <c r="L62" i="17"/>
  <c r="L63" i="17" s="1"/>
  <c r="J62" i="17"/>
  <c r="J61" i="17" s="1"/>
  <c r="J52" i="17" s="1"/>
  <c r="G82" i="17"/>
  <c r="L206" i="19" l="1"/>
  <c r="L208" i="19" s="1"/>
  <c r="L221" i="19"/>
  <c r="K215" i="19"/>
  <c r="K216" i="19" s="1"/>
  <c r="L218" i="19" s="1"/>
  <c r="L53" i="17"/>
  <c r="K98" i="17" s="1"/>
  <c r="L106" i="17" s="1"/>
  <c r="K116" i="17" s="1"/>
  <c r="L126" i="17" s="1"/>
  <c r="I97" i="17"/>
  <c r="J107" i="17" s="1"/>
  <c r="L61" i="17"/>
  <c r="L52" i="17" s="1"/>
  <c r="J63" i="17"/>
  <c r="J57" i="17" s="1"/>
  <c r="K97" i="17"/>
  <c r="L107" i="17" s="1"/>
  <c r="K88" i="17"/>
  <c r="J53" i="17"/>
  <c r="L57" i="17"/>
  <c r="K64" i="17"/>
  <c r="P64" i="17" s="1"/>
  <c r="P59" i="17" l="1"/>
  <c r="K68" i="17" s="1"/>
  <c r="L225" i="19"/>
  <c r="K117" i="17"/>
  <c r="L127" i="17" s="1"/>
  <c r="I64" i="17"/>
  <c r="O64" i="17" s="1"/>
  <c r="L111" i="17"/>
  <c r="K92" i="17"/>
  <c r="I98" i="17"/>
  <c r="J106" i="17" s="1"/>
  <c r="J111" i="17" s="1"/>
  <c r="O59" i="17"/>
  <c r="I59" i="17"/>
  <c r="K59" i="17"/>
  <c r="K66" i="17" s="1"/>
  <c r="K74" i="17" l="1"/>
  <c r="L96" i="17" s="1"/>
  <c r="L104" i="17" s="1"/>
  <c r="K114" i="17" s="1"/>
  <c r="L124" i="17" s="1"/>
  <c r="I66" i="17"/>
  <c r="L226" i="19"/>
  <c r="L228" i="19" s="1"/>
  <c r="K121" i="17"/>
  <c r="L131" i="17" s="1"/>
  <c r="I68" i="17"/>
  <c r="I74" i="17"/>
  <c r="J96" i="17" s="1"/>
  <c r="J104" i="17" s="1"/>
  <c r="J105" i="17" s="1"/>
  <c r="J109" i="17" l="1"/>
  <c r="L105" i="17"/>
  <c r="F181" i="15"/>
  <c r="N45" i="15"/>
  <c r="N62" i="15"/>
  <c r="N79" i="15"/>
  <c r="N96" i="15"/>
  <c r="F190" i="15"/>
  <c r="F175" i="15"/>
  <c r="N22" i="15"/>
  <c r="K115" i="17" l="1"/>
  <c r="J110" i="17"/>
  <c r="J112" i="17" s="1"/>
  <c r="L109" i="17"/>
  <c r="AM181" i="15"/>
  <c r="AO181" i="15"/>
  <c r="M42" i="14"/>
  <c r="N42" i="14" s="1"/>
  <c r="M21" i="14"/>
  <c r="L64" i="11"/>
  <c r="K66" i="11" s="1"/>
  <c r="L61" i="11"/>
  <c r="J61" i="11" s="1"/>
  <c r="G61" i="11" s="1"/>
  <c r="M62" i="11"/>
  <c r="N62" i="11" s="1"/>
  <c r="L125" i="17" l="1"/>
  <c r="K119" i="17"/>
  <c r="K120" i="17" s="1"/>
  <c r="L122" i="17" s="1"/>
  <c r="L110" i="17"/>
  <c r="L112" i="17" s="1"/>
  <c r="J64" i="11"/>
  <c r="G64" i="11" s="1"/>
  <c r="K63" i="11"/>
  <c r="I63" i="11"/>
  <c r="I66" i="11" l="1"/>
  <c r="L129" i="17"/>
  <c r="J24" i="7"/>
  <c r="L130" i="17" l="1"/>
  <c r="L132" i="17" s="1"/>
  <c r="L103" i="16"/>
  <c r="K104" i="16" s="1"/>
  <c r="L100" i="16"/>
  <c r="K101" i="16" s="1"/>
  <c r="AF118" i="16"/>
  <c r="AF108" i="16"/>
  <c r="A106" i="16"/>
  <c r="P104" i="16"/>
  <c r="O104" i="16"/>
  <c r="V102" i="16"/>
  <c r="U102" i="16"/>
  <c r="T102" i="16"/>
  <c r="S102" i="16"/>
  <c r="R102" i="16"/>
  <c r="Q102" i="16"/>
  <c r="C102" i="16"/>
  <c r="B102" i="16"/>
  <c r="P101" i="16"/>
  <c r="O101" i="16"/>
  <c r="V99" i="16"/>
  <c r="U99" i="16"/>
  <c r="T99" i="16"/>
  <c r="S99" i="16"/>
  <c r="R99" i="16"/>
  <c r="Q99" i="16"/>
  <c r="C99" i="16"/>
  <c r="B99" i="16"/>
  <c r="P98" i="16"/>
  <c r="O98" i="16"/>
  <c r="L97" i="16"/>
  <c r="K98" i="16" s="1"/>
  <c r="V96" i="16"/>
  <c r="U96" i="16"/>
  <c r="T96" i="16"/>
  <c r="S96" i="16"/>
  <c r="R96" i="16"/>
  <c r="Q96" i="16"/>
  <c r="C96" i="16"/>
  <c r="B96" i="16"/>
  <c r="P95" i="16"/>
  <c r="O95" i="16"/>
  <c r="F94" i="16"/>
  <c r="L94" i="16" s="1"/>
  <c r="K95" i="16" s="1"/>
  <c r="E94" i="16"/>
  <c r="V93" i="16"/>
  <c r="U93" i="16"/>
  <c r="T93" i="16"/>
  <c r="S93" i="16"/>
  <c r="R93" i="16"/>
  <c r="Q93" i="16"/>
  <c r="C93" i="16"/>
  <c r="B93" i="16"/>
  <c r="P92" i="16"/>
  <c r="O92" i="16"/>
  <c r="F91" i="16"/>
  <c r="L91" i="16" s="1"/>
  <c r="E91" i="16"/>
  <c r="V90" i="16"/>
  <c r="U90" i="16"/>
  <c r="T90" i="16"/>
  <c r="S90" i="16"/>
  <c r="R90" i="16"/>
  <c r="Q90" i="16"/>
  <c r="C90" i="16"/>
  <c r="B90" i="16"/>
  <c r="P89" i="16"/>
  <c r="O89" i="16"/>
  <c r="F88" i="16"/>
  <c r="L88" i="16" s="1"/>
  <c r="E88" i="16"/>
  <c r="V87" i="16"/>
  <c r="U87" i="16"/>
  <c r="T87" i="16"/>
  <c r="S87" i="16"/>
  <c r="R87" i="16"/>
  <c r="Q87" i="16"/>
  <c r="C87" i="16"/>
  <c r="B87" i="16"/>
  <c r="P86" i="16"/>
  <c r="O86" i="16"/>
  <c r="F85" i="16"/>
  <c r="L85" i="16" s="1"/>
  <c r="E85" i="16"/>
  <c r="V84" i="16"/>
  <c r="U84" i="16"/>
  <c r="T84" i="16"/>
  <c r="S84" i="16"/>
  <c r="R84" i="16"/>
  <c r="Q84" i="16"/>
  <c r="C84" i="16"/>
  <c r="B84" i="16"/>
  <c r="A83" i="16"/>
  <c r="K81" i="16"/>
  <c r="J81" i="16"/>
  <c r="K80" i="16"/>
  <c r="J80" i="16"/>
  <c r="A79" i="16"/>
  <c r="K74" i="16"/>
  <c r="F74" i="16"/>
  <c r="K73" i="16"/>
  <c r="K72" i="16" s="1"/>
  <c r="I73" i="16"/>
  <c r="I72" i="16" s="1"/>
  <c r="G73" i="16"/>
  <c r="G72" i="16" s="1"/>
  <c r="H72" i="16"/>
  <c r="J69" i="16"/>
  <c r="I69" i="16"/>
  <c r="H69" i="16"/>
  <c r="F69" i="16"/>
  <c r="K68" i="16"/>
  <c r="F68" i="16"/>
  <c r="K67" i="16"/>
  <c r="F67" i="16"/>
  <c r="K66" i="16"/>
  <c r="F66" i="16"/>
  <c r="L65" i="16"/>
  <c r="K65" i="16"/>
  <c r="J65" i="16"/>
  <c r="I65" i="16"/>
  <c r="H65" i="16"/>
  <c r="G65" i="16"/>
  <c r="K64" i="16"/>
  <c r="I64" i="16"/>
  <c r="H64" i="16"/>
  <c r="G64" i="16"/>
  <c r="K63" i="16"/>
  <c r="I63" i="16"/>
  <c r="H63" i="16"/>
  <c r="G63" i="16"/>
  <c r="L62" i="16"/>
  <c r="K62" i="16"/>
  <c r="J62" i="16"/>
  <c r="I62" i="16"/>
  <c r="H62" i="16"/>
  <c r="G62" i="16"/>
  <c r="V61" i="16"/>
  <c r="U61" i="16"/>
  <c r="T61" i="16"/>
  <c r="L67" i="16" s="1"/>
  <c r="S61" i="16"/>
  <c r="J67" i="16" s="1"/>
  <c r="R61" i="16"/>
  <c r="L66" i="16" s="1"/>
  <c r="Q61" i="16"/>
  <c r="J66" i="16" s="1"/>
  <c r="F61" i="16"/>
  <c r="E61" i="16"/>
  <c r="B61" i="16"/>
  <c r="K57" i="16"/>
  <c r="F57" i="16"/>
  <c r="K56" i="16"/>
  <c r="K55" i="16" s="1"/>
  <c r="I56" i="16"/>
  <c r="I55" i="16" s="1"/>
  <c r="G56" i="16"/>
  <c r="H55" i="16"/>
  <c r="J52" i="16"/>
  <c r="I52" i="16"/>
  <c r="H52" i="16"/>
  <c r="F52" i="16"/>
  <c r="K51" i="16"/>
  <c r="F51" i="16"/>
  <c r="K50" i="16"/>
  <c r="F50" i="16"/>
  <c r="K49" i="16"/>
  <c r="F49" i="16"/>
  <c r="L48" i="16"/>
  <c r="K48" i="16"/>
  <c r="J48" i="16"/>
  <c r="I48" i="16"/>
  <c r="H48" i="16"/>
  <c r="G48" i="16"/>
  <c r="K47" i="16"/>
  <c r="I47" i="16"/>
  <c r="H47" i="16"/>
  <c r="G47" i="16"/>
  <c r="K46" i="16"/>
  <c r="I46" i="16"/>
  <c r="H46" i="16"/>
  <c r="G46" i="16"/>
  <c r="L45" i="16"/>
  <c r="K45" i="16"/>
  <c r="J45" i="16"/>
  <c r="I45" i="16"/>
  <c r="H45" i="16"/>
  <c r="G45" i="16"/>
  <c r="V44" i="16"/>
  <c r="U44" i="16"/>
  <c r="T44" i="16"/>
  <c r="L50" i="16" s="1"/>
  <c r="S44" i="16"/>
  <c r="J50" i="16" s="1"/>
  <c r="R44" i="16"/>
  <c r="L49" i="16" s="1"/>
  <c r="Q44" i="16"/>
  <c r="J49" i="16" s="1"/>
  <c r="F44" i="16"/>
  <c r="E44" i="16"/>
  <c r="B44" i="16"/>
  <c r="J42" i="16"/>
  <c r="I42" i="16"/>
  <c r="H42" i="16"/>
  <c r="F42" i="16"/>
  <c r="K41" i="16"/>
  <c r="F41" i="16"/>
  <c r="K40" i="16"/>
  <c r="F40" i="16"/>
  <c r="L39" i="16"/>
  <c r="K39" i="16"/>
  <c r="J39" i="16"/>
  <c r="I39" i="16"/>
  <c r="H39" i="16"/>
  <c r="G39" i="16"/>
  <c r="L38" i="16"/>
  <c r="K38" i="16"/>
  <c r="J38" i="16"/>
  <c r="I38" i="16"/>
  <c r="H38" i="16"/>
  <c r="G38" i="16"/>
  <c r="V37" i="16"/>
  <c r="U37" i="16"/>
  <c r="T37" i="16"/>
  <c r="L41" i="16" s="1"/>
  <c r="S37" i="16"/>
  <c r="J41" i="16" s="1"/>
  <c r="R37" i="16"/>
  <c r="L40" i="16" s="1"/>
  <c r="Q37" i="16"/>
  <c r="J40" i="16" s="1"/>
  <c r="F37" i="16"/>
  <c r="E37" i="16"/>
  <c r="B37" i="16"/>
  <c r="K33" i="16"/>
  <c r="F33" i="16"/>
  <c r="K32" i="16"/>
  <c r="K31" i="16" s="1"/>
  <c r="I32" i="16"/>
  <c r="I31" i="16" s="1"/>
  <c r="G32" i="16"/>
  <c r="G31" i="16" s="1"/>
  <c r="H31" i="16"/>
  <c r="J28" i="16"/>
  <c r="I28" i="16"/>
  <c r="H28" i="16"/>
  <c r="F28" i="16"/>
  <c r="K27" i="16"/>
  <c r="F27" i="16"/>
  <c r="K26" i="16"/>
  <c r="F26" i="16"/>
  <c r="K25" i="16"/>
  <c r="F25" i="16"/>
  <c r="L24" i="16"/>
  <c r="K24" i="16"/>
  <c r="J24" i="16"/>
  <c r="I24" i="16"/>
  <c r="H24" i="16"/>
  <c r="G24" i="16"/>
  <c r="K23" i="16"/>
  <c r="I23" i="16"/>
  <c r="H23" i="16"/>
  <c r="G23" i="16"/>
  <c r="K22" i="16"/>
  <c r="I22" i="16"/>
  <c r="H22" i="16"/>
  <c r="G22" i="16"/>
  <c r="L21" i="16"/>
  <c r="K21" i="16"/>
  <c r="J21" i="16"/>
  <c r="I21" i="16"/>
  <c r="H21" i="16"/>
  <c r="G21" i="16"/>
  <c r="V20" i="16"/>
  <c r="U20" i="16"/>
  <c r="T20" i="16"/>
  <c r="L26" i="16" s="1"/>
  <c r="S20" i="16"/>
  <c r="J26" i="16" s="1"/>
  <c r="R20" i="16"/>
  <c r="L25" i="16" s="1"/>
  <c r="Q20" i="16"/>
  <c r="J25" i="16" s="1"/>
  <c r="F20" i="16"/>
  <c r="E20" i="16"/>
  <c r="B20" i="16"/>
  <c r="A19" i="16"/>
  <c r="AE17" i="16"/>
  <c r="A17" i="16"/>
  <c r="J97" i="16" l="1"/>
  <c r="J100" i="16"/>
  <c r="G100" i="16" s="1"/>
  <c r="K112" i="16"/>
  <c r="I113" i="16"/>
  <c r="K111" i="16"/>
  <c r="J85" i="16"/>
  <c r="G85" i="16" s="1"/>
  <c r="I112" i="16"/>
  <c r="K113" i="16"/>
  <c r="J88" i="16"/>
  <c r="O43" i="16"/>
  <c r="I111" i="16"/>
  <c r="K109" i="16"/>
  <c r="L118" i="16" s="1"/>
  <c r="L73" i="16"/>
  <c r="L74" i="16" s="1"/>
  <c r="J32" i="16"/>
  <c r="J33" i="16" s="1"/>
  <c r="I109" i="16"/>
  <c r="J118" i="16" s="1"/>
  <c r="J103" i="16"/>
  <c r="J94" i="16"/>
  <c r="P43" i="16"/>
  <c r="I43" i="16"/>
  <c r="J56" i="16"/>
  <c r="G55" i="16"/>
  <c r="L32" i="16"/>
  <c r="K43" i="16"/>
  <c r="J91" i="16"/>
  <c r="K106" i="16"/>
  <c r="L56" i="16"/>
  <c r="J73" i="16"/>
  <c r="G97" i="16"/>
  <c r="I98" i="16"/>
  <c r="I101" i="16" l="1"/>
  <c r="K128" i="16"/>
  <c r="L138" i="16" s="1"/>
  <c r="L72" i="16"/>
  <c r="L63" i="16" s="1"/>
  <c r="J31" i="16"/>
  <c r="J22" i="16" s="1"/>
  <c r="L64" i="16"/>
  <c r="J23" i="16"/>
  <c r="G88" i="16"/>
  <c r="G103" i="16"/>
  <c r="I104" i="16"/>
  <c r="G94" i="16"/>
  <c r="I95" i="16"/>
  <c r="L31" i="16"/>
  <c r="L22" i="16" s="1"/>
  <c r="L23" i="16"/>
  <c r="L33" i="16"/>
  <c r="G91" i="16"/>
  <c r="J57" i="16"/>
  <c r="J55" i="16"/>
  <c r="J46" i="16" s="1"/>
  <c r="J47" i="16"/>
  <c r="J72" i="16"/>
  <c r="J63" i="16" s="1"/>
  <c r="J64" i="16"/>
  <c r="J74" i="16"/>
  <c r="L55" i="16"/>
  <c r="L46" i="16" s="1"/>
  <c r="L47" i="16"/>
  <c r="L57" i="16"/>
  <c r="L68" i="16"/>
  <c r="K75" i="16"/>
  <c r="P75" i="16" s="1"/>
  <c r="I34" i="16"/>
  <c r="O34" i="16" s="1"/>
  <c r="J27" i="16"/>
  <c r="I29" i="16" s="1"/>
  <c r="I36" i="16" l="1"/>
  <c r="K110" i="16"/>
  <c r="L117" i="16" s="1"/>
  <c r="K127" i="16" s="1"/>
  <c r="L137" i="16" s="1"/>
  <c r="I106" i="16"/>
  <c r="I110" i="16"/>
  <c r="J117" i="16" s="1"/>
  <c r="J122" i="16" s="1"/>
  <c r="K58" i="16"/>
  <c r="P58" i="16" s="1"/>
  <c r="L51" i="16"/>
  <c r="P53" i="16" s="1"/>
  <c r="O29" i="16"/>
  <c r="I75" i="16"/>
  <c r="O75" i="16" s="1"/>
  <c r="J68" i="16"/>
  <c r="I70" i="16" s="1"/>
  <c r="K34" i="16"/>
  <c r="P34" i="16" s="1"/>
  <c r="L27" i="16"/>
  <c r="K29" i="16" s="1"/>
  <c r="J51" i="16"/>
  <c r="I53" i="16" s="1"/>
  <c r="I58" i="16"/>
  <c r="O58" i="16" s="1"/>
  <c r="P70" i="16"/>
  <c r="K70" i="16"/>
  <c r="K77" i="16" s="1"/>
  <c r="L122" i="16" l="1"/>
  <c r="I60" i="16"/>
  <c r="I77" i="16"/>
  <c r="K53" i="16"/>
  <c r="K60" i="16" s="1"/>
  <c r="O70" i="16"/>
  <c r="K36" i="16"/>
  <c r="P29" i="16"/>
  <c r="K79" i="16" s="1"/>
  <c r="O53" i="16"/>
  <c r="K132" i="16" l="1"/>
  <c r="L142" i="16" s="1"/>
  <c r="I79" i="16"/>
  <c r="J108" i="16" s="1"/>
  <c r="J115" i="16" s="1"/>
  <c r="J116" i="16" s="1"/>
  <c r="L108" i="16"/>
  <c r="L115" i="16" s="1"/>
  <c r="K125" i="16" s="1"/>
  <c r="L135" i="16" s="1"/>
  <c r="J120" i="16" l="1"/>
  <c r="L116" i="16"/>
  <c r="L190" i="15"/>
  <c r="L187" i="15"/>
  <c r="L184" i="15"/>
  <c r="L181" i="15"/>
  <c r="J181" i="15" s="1"/>
  <c r="G181" i="15" s="1"/>
  <c r="L178" i="15"/>
  <c r="L175" i="15"/>
  <c r="J175" i="15" s="1"/>
  <c r="K126" i="16" l="1"/>
  <c r="J121" i="16"/>
  <c r="J123" i="16" s="1"/>
  <c r="L120" i="16"/>
  <c r="K193" i="15"/>
  <c r="J190" i="15"/>
  <c r="J178" i="15"/>
  <c r="J187" i="15"/>
  <c r="J184" i="15"/>
  <c r="G175" i="15"/>
  <c r="AF206" i="15"/>
  <c r="AF197" i="15"/>
  <c r="A195" i="15"/>
  <c r="A193" i="15"/>
  <c r="O191" i="15"/>
  <c r="V189" i="15"/>
  <c r="U189" i="15"/>
  <c r="T189" i="15"/>
  <c r="S189" i="15"/>
  <c r="R189" i="15"/>
  <c r="Q189" i="15"/>
  <c r="P191" i="15"/>
  <c r="C189" i="15"/>
  <c r="B189" i="15"/>
  <c r="O188" i="15"/>
  <c r="V186" i="15"/>
  <c r="U186" i="15"/>
  <c r="T186" i="15"/>
  <c r="S186" i="15"/>
  <c r="R186" i="15"/>
  <c r="Q186" i="15"/>
  <c r="P188" i="15"/>
  <c r="C186" i="15"/>
  <c r="B186" i="15"/>
  <c r="O185" i="15"/>
  <c r="V183" i="15"/>
  <c r="U183" i="15"/>
  <c r="T183" i="15"/>
  <c r="S183" i="15"/>
  <c r="R183" i="15"/>
  <c r="Q183" i="15"/>
  <c r="P185" i="15"/>
  <c r="C183" i="15"/>
  <c r="B183" i="15"/>
  <c r="O182" i="15"/>
  <c r="V180" i="15"/>
  <c r="U180" i="15"/>
  <c r="T180" i="15"/>
  <c r="S180" i="15"/>
  <c r="R180" i="15"/>
  <c r="Q180" i="15"/>
  <c r="P182" i="15"/>
  <c r="C180" i="15"/>
  <c r="B180" i="15"/>
  <c r="O179" i="15"/>
  <c r="V177" i="15"/>
  <c r="U177" i="15"/>
  <c r="T177" i="15"/>
  <c r="S177" i="15"/>
  <c r="R177" i="15"/>
  <c r="Q177" i="15"/>
  <c r="P179" i="15"/>
  <c r="C177" i="15"/>
  <c r="B177" i="15"/>
  <c r="O176" i="15"/>
  <c r="V174" i="15"/>
  <c r="U174" i="15"/>
  <c r="T174" i="15"/>
  <c r="S174" i="15"/>
  <c r="R174" i="15"/>
  <c r="Q174" i="15"/>
  <c r="P176" i="15"/>
  <c r="C174" i="15"/>
  <c r="B174" i="15"/>
  <c r="A173" i="15"/>
  <c r="A171" i="15"/>
  <c r="K169" i="15"/>
  <c r="J169" i="15"/>
  <c r="K168" i="15"/>
  <c r="J168" i="15"/>
  <c r="A167" i="15"/>
  <c r="P165" i="15"/>
  <c r="O165" i="15"/>
  <c r="L164" i="15"/>
  <c r="K165" i="15" s="1"/>
  <c r="E164" i="15"/>
  <c r="V163" i="15"/>
  <c r="U163" i="15"/>
  <c r="T163" i="15"/>
  <c r="S163" i="15"/>
  <c r="R163" i="15"/>
  <c r="Q163" i="15"/>
  <c r="E163" i="15"/>
  <c r="C163" i="15"/>
  <c r="B163" i="15"/>
  <c r="P162" i="15"/>
  <c r="O162" i="15"/>
  <c r="L161" i="15"/>
  <c r="J161" i="15" s="1"/>
  <c r="G161" i="15" s="1"/>
  <c r="E161" i="15"/>
  <c r="L160" i="15"/>
  <c r="J160" i="15" s="1"/>
  <c r="G160" i="15" s="1"/>
  <c r="E160" i="15"/>
  <c r="L159" i="15"/>
  <c r="J159" i="15" s="1"/>
  <c r="G159" i="15" s="1"/>
  <c r="E159" i="15"/>
  <c r="L158" i="15"/>
  <c r="E158" i="15"/>
  <c r="V157" i="15"/>
  <c r="U157" i="15"/>
  <c r="T157" i="15"/>
  <c r="S157" i="15"/>
  <c r="R157" i="15"/>
  <c r="Q157" i="15"/>
  <c r="H157" i="15"/>
  <c r="F157" i="15"/>
  <c r="E157" i="15"/>
  <c r="C157" i="15"/>
  <c r="B157" i="15"/>
  <c r="A156" i="15"/>
  <c r="K154" i="15"/>
  <c r="J154" i="15"/>
  <c r="K153" i="15"/>
  <c r="J153" i="15"/>
  <c r="A152" i="15"/>
  <c r="K150" i="15"/>
  <c r="J150" i="15"/>
  <c r="K149" i="15"/>
  <c r="J149" i="15"/>
  <c r="A148" i="15"/>
  <c r="K143" i="15"/>
  <c r="F143" i="15"/>
  <c r="K142" i="15"/>
  <c r="K141" i="15" s="1"/>
  <c r="I142" i="15"/>
  <c r="I141" i="15" s="1"/>
  <c r="G142" i="15"/>
  <c r="G141" i="15" s="1"/>
  <c r="H141" i="15"/>
  <c r="J138" i="15"/>
  <c r="I138" i="15"/>
  <c r="H138" i="15"/>
  <c r="F138" i="15"/>
  <c r="K137" i="15"/>
  <c r="F137" i="15"/>
  <c r="K136" i="15"/>
  <c r="F136" i="15"/>
  <c r="K135" i="15"/>
  <c r="F135" i="15"/>
  <c r="L134" i="15"/>
  <c r="K134" i="15"/>
  <c r="J134" i="15"/>
  <c r="I134" i="15"/>
  <c r="H134" i="15"/>
  <c r="G134" i="15"/>
  <c r="K133" i="15"/>
  <c r="I133" i="15"/>
  <c r="H133" i="15"/>
  <c r="G133" i="15"/>
  <c r="K132" i="15"/>
  <c r="I132" i="15"/>
  <c r="H132" i="15"/>
  <c r="G132" i="15"/>
  <c r="L131" i="15"/>
  <c r="K131" i="15"/>
  <c r="J131" i="15"/>
  <c r="I131" i="15"/>
  <c r="H131" i="15"/>
  <c r="G131" i="15"/>
  <c r="V130" i="15"/>
  <c r="U130" i="15"/>
  <c r="T130" i="15"/>
  <c r="L136" i="15" s="1"/>
  <c r="S130" i="15"/>
  <c r="J136" i="15" s="1"/>
  <c r="R130" i="15"/>
  <c r="L135" i="15" s="1"/>
  <c r="Q130" i="15"/>
  <c r="J135" i="15" s="1"/>
  <c r="F130" i="15"/>
  <c r="E130" i="15"/>
  <c r="B130" i="15"/>
  <c r="K126" i="15"/>
  <c r="F126" i="15"/>
  <c r="K125" i="15"/>
  <c r="K124" i="15" s="1"/>
  <c r="I125" i="15"/>
  <c r="I124" i="15" s="1"/>
  <c r="G125" i="15"/>
  <c r="G124" i="15" s="1"/>
  <c r="H124" i="15"/>
  <c r="J121" i="15"/>
  <c r="I121" i="15"/>
  <c r="H121" i="15"/>
  <c r="F121" i="15"/>
  <c r="K120" i="15"/>
  <c r="F120" i="15"/>
  <c r="K119" i="15"/>
  <c r="F119" i="15"/>
  <c r="K118" i="15"/>
  <c r="F118" i="15"/>
  <c r="L117" i="15"/>
  <c r="K117" i="15"/>
  <c r="J117" i="15"/>
  <c r="I117" i="15"/>
  <c r="H117" i="15"/>
  <c r="G117" i="15"/>
  <c r="K116" i="15"/>
  <c r="I116" i="15"/>
  <c r="H116" i="15"/>
  <c r="G116" i="15"/>
  <c r="K115" i="15"/>
  <c r="I115" i="15"/>
  <c r="H115" i="15"/>
  <c r="G115" i="15"/>
  <c r="L114" i="15"/>
  <c r="K114" i="15"/>
  <c r="J114" i="15"/>
  <c r="I114" i="15"/>
  <c r="H114" i="15"/>
  <c r="G114" i="15"/>
  <c r="V113" i="15"/>
  <c r="U113" i="15"/>
  <c r="T113" i="15"/>
  <c r="L119" i="15" s="1"/>
  <c r="S113" i="15"/>
  <c r="J119" i="15" s="1"/>
  <c r="R113" i="15"/>
  <c r="L118" i="15" s="1"/>
  <c r="Q113" i="15"/>
  <c r="J118" i="15" s="1"/>
  <c r="F113" i="15"/>
  <c r="E113" i="15"/>
  <c r="B113" i="15"/>
  <c r="K109" i="15"/>
  <c r="F109" i="15"/>
  <c r="K108" i="15"/>
  <c r="K107" i="15" s="1"/>
  <c r="I108" i="15"/>
  <c r="I107" i="15" s="1"/>
  <c r="G108" i="15"/>
  <c r="G107" i="15" s="1"/>
  <c r="H107" i="15"/>
  <c r="J104" i="15"/>
  <c r="I104" i="15"/>
  <c r="H104" i="15"/>
  <c r="F104" i="15"/>
  <c r="K103" i="15"/>
  <c r="F103" i="15"/>
  <c r="K102" i="15"/>
  <c r="F102" i="15"/>
  <c r="K101" i="15"/>
  <c r="F101" i="15"/>
  <c r="L100" i="15"/>
  <c r="K100" i="15"/>
  <c r="J100" i="15"/>
  <c r="I100" i="15"/>
  <c r="H100" i="15"/>
  <c r="G100" i="15"/>
  <c r="K99" i="15"/>
  <c r="I99" i="15"/>
  <c r="H99" i="15"/>
  <c r="G99" i="15"/>
  <c r="K98" i="15"/>
  <c r="I98" i="15"/>
  <c r="H98" i="15"/>
  <c r="G98" i="15"/>
  <c r="L97" i="15"/>
  <c r="K97" i="15"/>
  <c r="J97" i="15"/>
  <c r="I97" i="15"/>
  <c r="H97" i="15"/>
  <c r="G97" i="15"/>
  <c r="V96" i="15"/>
  <c r="U96" i="15"/>
  <c r="T96" i="15"/>
  <c r="L102" i="15" s="1"/>
  <c r="S96" i="15"/>
  <c r="J102" i="15" s="1"/>
  <c r="R96" i="15"/>
  <c r="L101" i="15" s="1"/>
  <c r="Q96" i="15"/>
  <c r="J101" i="15" s="1"/>
  <c r="F96" i="15"/>
  <c r="E96" i="15"/>
  <c r="B96" i="15"/>
  <c r="K92" i="15"/>
  <c r="F92" i="15"/>
  <c r="K91" i="15"/>
  <c r="K90" i="15" s="1"/>
  <c r="I91" i="15"/>
  <c r="I90" i="15" s="1"/>
  <c r="G91" i="15"/>
  <c r="G90" i="15" s="1"/>
  <c r="H90" i="15"/>
  <c r="J87" i="15"/>
  <c r="I87" i="15"/>
  <c r="H87" i="15"/>
  <c r="F87" i="15"/>
  <c r="K86" i="15"/>
  <c r="F86" i="15"/>
  <c r="K85" i="15"/>
  <c r="F85" i="15"/>
  <c r="K84" i="15"/>
  <c r="F84" i="15"/>
  <c r="L83" i="15"/>
  <c r="K83" i="15"/>
  <c r="J83" i="15"/>
  <c r="I83" i="15"/>
  <c r="H83" i="15"/>
  <c r="G83" i="15"/>
  <c r="K82" i="15"/>
  <c r="I82" i="15"/>
  <c r="H82" i="15"/>
  <c r="G82" i="15"/>
  <c r="K81" i="15"/>
  <c r="I81" i="15"/>
  <c r="H81" i="15"/>
  <c r="G81" i="15"/>
  <c r="L80" i="15"/>
  <c r="K80" i="15"/>
  <c r="J80" i="15"/>
  <c r="I80" i="15"/>
  <c r="H80" i="15"/>
  <c r="G80" i="15"/>
  <c r="V79" i="15"/>
  <c r="U79" i="15"/>
  <c r="T79" i="15"/>
  <c r="L85" i="15" s="1"/>
  <c r="S79" i="15"/>
  <c r="J85" i="15" s="1"/>
  <c r="R79" i="15"/>
  <c r="L84" i="15" s="1"/>
  <c r="Q79" i="15"/>
  <c r="J84" i="15" s="1"/>
  <c r="F79" i="15"/>
  <c r="E79" i="15"/>
  <c r="B79" i="15"/>
  <c r="K75" i="15"/>
  <c r="F75" i="15"/>
  <c r="K74" i="15"/>
  <c r="K73" i="15" s="1"/>
  <c r="I74" i="15"/>
  <c r="I73" i="15" s="1"/>
  <c r="G74" i="15"/>
  <c r="G73" i="15" s="1"/>
  <c r="H73" i="15"/>
  <c r="J70" i="15"/>
  <c r="I70" i="15"/>
  <c r="H70" i="15"/>
  <c r="F70" i="15"/>
  <c r="K69" i="15"/>
  <c r="F69" i="15"/>
  <c r="K68" i="15"/>
  <c r="F68" i="15"/>
  <c r="K67" i="15"/>
  <c r="F67" i="15"/>
  <c r="L66" i="15"/>
  <c r="K66" i="15"/>
  <c r="J66" i="15"/>
  <c r="I66" i="15"/>
  <c r="H66" i="15"/>
  <c r="G66" i="15"/>
  <c r="K65" i="15"/>
  <c r="I65" i="15"/>
  <c r="H65" i="15"/>
  <c r="G65" i="15"/>
  <c r="K64" i="15"/>
  <c r="I64" i="15"/>
  <c r="H64" i="15"/>
  <c r="G64" i="15"/>
  <c r="L63" i="15"/>
  <c r="K63" i="15"/>
  <c r="J63" i="15"/>
  <c r="I63" i="15"/>
  <c r="H63" i="15"/>
  <c r="G63" i="15"/>
  <c r="V62" i="15"/>
  <c r="U62" i="15"/>
  <c r="T62" i="15"/>
  <c r="L68" i="15" s="1"/>
  <c r="S62" i="15"/>
  <c r="J68" i="15" s="1"/>
  <c r="R62" i="15"/>
  <c r="L67" i="15" s="1"/>
  <c r="Q62" i="15"/>
  <c r="J67" i="15" s="1"/>
  <c r="F62" i="15"/>
  <c r="E62" i="15"/>
  <c r="B62" i="15"/>
  <c r="K58" i="15"/>
  <c r="F58" i="15"/>
  <c r="K57" i="15"/>
  <c r="K56" i="15" s="1"/>
  <c r="I57" i="15"/>
  <c r="I56" i="15" s="1"/>
  <c r="G57" i="15"/>
  <c r="G56" i="15" s="1"/>
  <c r="H56" i="15"/>
  <c r="J53" i="15"/>
  <c r="I53" i="15"/>
  <c r="H53" i="15"/>
  <c r="F53" i="15"/>
  <c r="K52" i="15"/>
  <c r="F52" i="15"/>
  <c r="K51" i="15"/>
  <c r="F51" i="15"/>
  <c r="K50" i="15"/>
  <c r="F50" i="15"/>
  <c r="L49" i="15"/>
  <c r="K49" i="15"/>
  <c r="J49" i="15"/>
  <c r="I49" i="15"/>
  <c r="H49" i="15"/>
  <c r="G49" i="15"/>
  <c r="K48" i="15"/>
  <c r="I48" i="15"/>
  <c r="H48" i="15"/>
  <c r="G48" i="15"/>
  <c r="K47" i="15"/>
  <c r="I47" i="15"/>
  <c r="H47" i="15"/>
  <c r="G47" i="15"/>
  <c r="L46" i="15"/>
  <c r="K46" i="15"/>
  <c r="J46" i="15"/>
  <c r="I46" i="15"/>
  <c r="H46" i="15"/>
  <c r="G46" i="15"/>
  <c r="V45" i="15"/>
  <c r="U45" i="15"/>
  <c r="T45" i="15"/>
  <c r="L51" i="15" s="1"/>
  <c r="S45" i="15"/>
  <c r="J51" i="15" s="1"/>
  <c r="R45" i="15"/>
  <c r="L50" i="15" s="1"/>
  <c r="Q45" i="15"/>
  <c r="J50" i="15" s="1"/>
  <c r="F45" i="15"/>
  <c r="E45" i="15"/>
  <c r="B45" i="15"/>
  <c r="A44" i="15"/>
  <c r="K42" i="15"/>
  <c r="J42" i="15"/>
  <c r="K41" i="15"/>
  <c r="J41" i="15"/>
  <c r="A40" i="15"/>
  <c r="K35" i="15"/>
  <c r="F35" i="15"/>
  <c r="K34" i="15"/>
  <c r="K33" i="15" s="1"/>
  <c r="I34" i="15"/>
  <c r="I33" i="15" s="1"/>
  <c r="G34" i="15"/>
  <c r="G33" i="15" s="1"/>
  <c r="H33" i="15"/>
  <c r="J30" i="15"/>
  <c r="I30" i="15"/>
  <c r="H30" i="15"/>
  <c r="F30" i="15"/>
  <c r="K29" i="15"/>
  <c r="F29" i="15"/>
  <c r="K28" i="15"/>
  <c r="F28" i="15"/>
  <c r="K27" i="15"/>
  <c r="F27" i="15"/>
  <c r="L26" i="15"/>
  <c r="K26" i="15"/>
  <c r="J26" i="15"/>
  <c r="I26" i="15"/>
  <c r="H26" i="15"/>
  <c r="G26" i="15"/>
  <c r="K25" i="15"/>
  <c r="I25" i="15"/>
  <c r="H25" i="15"/>
  <c r="G25" i="15"/>
  <c r="K24" i="15"/>
  <c r="I24" i="15"/>
  <c r="H24" i="15"/>
  <c r="G24" i="15"/>
  <c r="L23" i="15"/>
  <c r="K23" i="15"/>
  <c r="J23" i="15"/>
  <c r="I23" i="15"/>
  <c r="H23" i="15"/>
  <c r="G23" i="15"/>
  <c r="V22" i="15"/>
  <c r="U22" i="15"/>
  <c r="T22" i="15"/>
  <c r="L28" i="15" s="1"/>
  <c r="S22" i="15"/>
  <c r="J28" i="15" s="1"/>
  <c r="R22" i="15"/>
  <c r="L27" i="15" s="1"/>
  <c r="Q22" i="15"/>
  <c r="J27" i="15" s="1"/>
  <c r="F22" i="15"/>
  <c r="E22" i="15"/>
  <c r="B22" i="15"/>
  <c r="A21" i="15"/>
  <c r="A19" i="15"/>
  <c r="AE17" i="15"/>
  <c r="A17" i="15"/>
  <c r="L121" i="16" l="1"/>
  <c r="L123" i="16" s="1"/>
  <c r="L136" i="16"/>
  <c r="K130" i="16"/>
  <c r="K131" i="16" s="1"/>
  <c r="L133" i="16" s="1"/>
  <c r="G190" i="15"/>
  <c r="I193" i="15"/>
  <c r="AO180" i="15"/>
  <c r="I201" i="15"/>
  <c r="J34" i="15"/>
  <c r="J25" i="15" s="1"/>
  <c r="G187" i="15"/>
  <c r="K201" i="15"/>
  <c r="I200" i="15"/>
  <c r="G178" i="15"/>
  <c r="I202" i="15"/>
  <c r="K200" i="15"/>
  <c r="J158" i="15"/>
  <c r="I162" i="15" s="1"/>
  <c r="K162" i="15"/>
  <c r="L125" i="15"/>
  <c r="L126" i="15" s="1"/>
  <c r="K202" i="15"/>
  <c r="L57" i="15"/>
  <c r="L56" i="15" s="1"/>
  <c r="L47" i="15" s="1"/>
  <c r="L91" i="15"/>
  <c r="L90" i="15" s="1"/>
  <c r="L81" i="15" s="1"/>
  <c r="K198" i="15"/>
  <c r="L207" i="15" s="1"/>
  <c r="K195" i="15"/>
  <c r="J164" i="15"/>
  <c r="G184" i="15"/>
  <c r="J142" i="15"/>
  <c r="L74" i="15"/>
  <c r="L108" i="15"/>
  <c r="L142" i="15"/>
  <c r="L34" i="15"/>
  <c r="J57" i="15"/>
  <c r="J74" i="15"/>
  <c r="J91" i="15"/>
  <c r="J108" i="15"/>
  <c r="J125" i="15"/>
  <c r="L47" i="14"/>
  <c r="J47" i="14" s="1"/>
  <c r="G47" i="14" s="1"/>
  <c r="L46" i="14"/>
  <c r="J46" i="14" s="1"/>
  <c r="G46" i="14" s="1"/>
  <c r="L45" i="14"/>
  <c r="J45" i="14" s="1"/>
  <c r="G45" i="14" s="1"/>
  <c r="L42" i="14"/>
  <c r="L58" i="15" l="1"/>
  <c r="K59" i="15" s="1"/>
  <c r="P59" i="15" s="1"/>
  <c r="J35" i="15"/>
  <c r="J29" i="15" s="1"/>
  <c r="L48" i="15"/>
  <c r="L140" i="16"/>
  <c r="K217" i="15"/>
  <c r="L227" i="15" s="1"/>
  <c r="J33" i="15"/>
  <c r="J24" i="15" s="1"/>
  <c r="G164" i="15"/>
  <c r="I165" i="15"/>
  <c r="I167" i="15" s="1"/>
  <c r="L82" i="15"/>
  <c r="L116" i="15"/>
  <c r="L92" i="15"/>
  <c r="K93" i="15" s="1"/>
  <c r="P93" i="15" s="1"/>
  <c r="G158" i="15"/>
  <c r="L120" i="15"/>
  <c r="K127" i="15"/>
  <c r="P127" i="15" s="1"/>
  <c r="L124" i="15"/>
  <c r="L115" i="15" s="1"/>
  <c r="I195" i="15"/>
  <c r="I198" i="15"/>
  <c r="J207" i="15" s="1"/>
  <c r="K167" i="15"/>
  <c r="J126" i="15"/>
  <c r="J124" i="15"/>
  <c r="J115" i="15" s="1"/>
  <c r="J116" i="15"/>
  <c r="J92" i="15"/>
  <c r="J90" i="15"/>
  <c r="J81" i="15" s="1"/>
  <c r="J82" i="15"/>
  <c r="J58" i="15"/>
  <c r="J56" i="15"/>
  <c r="J47" i="15" s="1"/>
  <c r="J48" i="15"/>
  <c r="J109" i="15"/>
  <c r="J107" i="15"/>
  <c r="J98" i="15" s="1"/>
  <c r="J99" i="15"/>
  <c r="J75" i="15"/>
  <c r="J73" i="15"/>
  <c r="J64" i="15" s="1"/>
  <c r="J65" i="15"/>
  <c r="L35" i="15"/>
  <c r="L25" i="15"/>
  <c r="L33" i="15"/>
  <c r="L24" i="15" s="1"/>
  <c r="L143" i="15"/>
  <c r="L141" i="15"/>
  <c r="L132" i="15" s="1"/>
  <c r="L133" i="15"/>
  <c r="L75" i="15"/>
  <c r="L65" i="15"/>
  <c r="L73" i="15"/>
  <c r="L64" i="15" s="1"/>
  <c r="J133" i="15"/>
  <c r="J141" i="15"/>
  <c r="J132" i="15" s="1"/>
  <c r="J143" i="15"/>
  <c r="L109" i="15"/>
  <c r="L99" i="15"/>
  <c r="L107" i="15"/>
  <c r="L98" i="15" s="1"/>
  <c r="I36" i="15" l="1"/>
  <c r="O36" i="15" s="1"/>
  <c r="L52" i="15"/>
  <c r="K54" i="15" s="1"/>
  <c r="K61" i="15" s="1"/>
  <c r="O31" i="15"/>
  <c r="L141" i="16"/>
  <c r="L143" i="16" s="1"/>
  <c r="I31" i="15"/>
  <c r="I38" i="15" s="1"/>
  <c r="L86" i="15"/>
  <c r="K88" i="15" s="1"/>
  <c r="K95" i="15" s="1"/>
  <c r="P122" i="15"/>
  <c r="I199" i="15"/>
  <c r="J206" i="15" s="1"/>
  <c r="J211" i="15" s="1"/>
  <c r="K199" i="15"/>
  <c r="L206" i="15" s="1"/>
  <c r="K216" i="15" s="1"/>
  <c r="L226" i="15" s="1"/>
  <c r="K122" i="15"/>
  <c r="K129" i="15" s="1"/>
  <c r="J69" i="15"/>
  <c r="O71" i="15" s="1"/>
  <c r="I76" i="15"/>
  <c r="O76" i="15" s="1"/>
  <c r="J120" i="15"/>
  <c r="O122" i="15" s="1"/>
  <c r="I127" i="15"/>
  <c r="O127" i="15" s="1"/>
  <c r="K110" i="15"/>
  <c r="P110" i="15" s="1"/>
  <c r="L103" i="15"/>
  <c r="K105" i="15" s="1"/>
  <c r="J137" i="15"/>
  <c r="I139" i="15" s="1"/>
  <c r="I144" i="15"/>
  <c r="O144" i="15" s="1"/>
  <c r="K36" i="15"/>
  <c r="P36" i="15" s="1"/>
  <c r="L29" i="15"/>
  <c r="K31" i="15" s="1"/>
  <c r="J86" i="15"/>
  <c r="O88" i="15" s="1"/>
  <c r="I93" i="15"/>
  <c r="O93" i="15" s="1"/>
  <c r="K144" i="15"/>
  <c r="P144" i="15" s="1"/>
  <c r="L137" i="15"/>
  <c r="P139" i="15" s="1"/>
  <c r="J52" i="15"/>
  <c r="O54" i="15" s="1"/>
  <c r="I59" i="15"/>
  <c r="O59" i="15" s="1"/>
  <c r="K76" i="15"/>
  <c r="P76" i="15" s="1"/>
  <c r="L69" i="15"/>
  <c r="K71" i="15" s="1"/>
  <c r="J103" i="15"/>
  <c r="O105" i="15" s="1"/>
  <c r="I110" i="15"/>
  <c r="O110" i="15" s="1"/>
  <c r="J42" i="14"/>
  <c r="AF54" i="14"/>
  <c r="K52" i="14"/>
  <c r="J52" i="14"/>
  <c r="K51" i="14"/>
  <c r="J51" i="14"/>
  <c r="A50" i="14"/>
  <c r="V44" i="14"/>
  <c r="U44" i="14"/>
  <c r="T44" i="14"/>
  <c r="S44" i="14"/>
  <c r="R44" i="14"/>
  <c r="Q44" i="14"/>
  <c r="F44" i="14"/>
  <c r="L44" i="14" s="1"/>
  <c r="E44" i="14"/>
  <c r="B44" i="14"/>
  <c r="V41" i="14"/>
  <c r="U41" i="14"/>
  <c r="T41" i="14"/>
  <c r="S41" i="14"/>
  <c r="R41" i="14"/>
  <c r="Q41" i="14"/>
  <c r="P43" i="14"/>
  <c r="B41" i="14"/>
  <c r="A40" i="14"/>
  <c r="A39" i="14"/>
  <c r="K34" i="14"/>
  <c r="F34" i="14"/>
  <c r="K33" i="14"/>
  <c r="K32" i="14" s="1"/>
  <c r="I33" i="14"/>
  <c r="I32" i="14" s="1"/>
  <c r="G33" i="14"/>
  <c r="G32" i="14" s="1"/>
  <c r="H32" i="14"/>
  <c r="J29" i="14"/>
  <c r="I29" i="14"/>
  <c r="H29" i="14"/>
  <c r="F29" i="14"/>
  <c r="K28" i="14"/>
  <c r="F28" i="14"/>
  <c r="K27" i="14"/>
  <c r="F27" i="14"/>
  <c r="K26" i="14"/>
  <c r="F26" i="14"/>
  <c r="L25" i="14"/>
  <c r="K25" i="14"/>
  <c r="J25" i="14"/>
  <c r="I25" i="14"/>
  <c r="H25" i="14"/>
  <c r="G25" i="14"/>
  <c r="K24" i="14"/>
  <c r="I24" i="14"/>
  <c r="H24" i="14"/>
  <c r="G24" i="14"/>
  <c r="K23" i="14"/>
  <c r="I23" i="14"/>
  <c r="H23" i="14"/>
  <c r="G23" i="14"/>
  <c r="L22" i="14"/>
  <c r="K22" i="14"/>
  <c r="J22" i="14"/>
  <c r="I57" i="14" s="1"/>
  <c r="I22" i="14"/>
  <c r="H22" i="14"/>
  <c r="G22" i="14"/>
  <c r="V21" i="14"/>
  <c r="U21" i="14"/>
  <c r="T21" i="14"/>
  <c r="L27" i="14" s="1"/>
  <c r="K59" i="14" s="1"/>
  <c r="S21" i="14"/>
  <c r="J27" i="14" s="1"/>
  <c r="I59" i="14" s="1"/>
  <c r="R21" i="14"/>
  <c r="L26" i="14" s="1"/>
  <c r="K58" i="14" s="1"/>
  <c r="Q21" i="14"/>
  <c r="J26" i="14" s="1"/>
  <c r="I58" i="14" s="1"/>
  <c r="F21" i="14"/>
  <c r="E21" i="14"/>
  <c r="B21" i="14"/>
  <c r="A20" i="14"/>
  <c r="A18" i="14"/>
  <c r="AE16" i="14"/>
  <c r="A16" i="14"/>
  <c r="P54" i="15" l="1"/>
  <c r="I40" i="15"/>
  <c r="K48" i="14"/>
  <c r="K50" i="14" s="1"/>
  <c r="K55" i="14" s="1"/>
  <c r="L64" i="14" s="1"/>
  <c r="K74" i="14" s="1"/>
  <c r="L84" i="14" s="1"/>
  <c r="J44" i="14"/>
  <c r="O48" i="14" s="1"/>
  <c r="I71" i="15"/>
  <c r="I78" i="15" s="1"/>
  <c r="P88" i="15"/>
  <c r="L211" i="15"/>
  <c r="K78" i="15"/>
  <c r="G42" i="14"/>
  <c r="P105" i="15"/>
  <c r="K38" i="15"/>
  <c r="P31" i="15"/>
  <c r="K40" i="15" s="1"/>
  <c r="K139" i="15"/>
  <c r="K146" i="15" s="1"/>
  <c r="O139" i="15"/>
  <c r="I148" i="15" s="1"/>
  <c r="P71" i="15"/>
  <c r="I122" i="15"/>
  <c r="I129" i="15" s="1"/>
  <c r="I88" i="15"/>
  <c r="I95" i="15" s="1"/>
  <c r="I105" i="15"/>
  <c r="I112" i="15" s="1"/>
  <c r="I54" i="15"/>
  <c r="I61" i="15" s="1"/>
  <c r="K112" i="15"/>
  <c r="I146" i="15"/>
  <c r="K57" i="14"/>
  <c r="P48" i="14"/>
  <c r="L33" i="14"/>
  <c r="L34" i="14" s="1"/>
  <c r="J33" i="14"/>
  <c r="O43" i="14"/>
  <c r="I48" i="14" l="1"/>
  <c r="I50" i="14" s="1"/>
  <c r="I55" i="14" s="1"/>
  <c r="J64" i="14" s="1"/>
  <c r="G44" i="14"/>
  <c r="K221" i="15"/>
  <c r="L231" i="15" s="1"/>
  <c r="K148" i="15"/>
  <c r="K152" i="15"/>
  <c r="L197" i="15" s="1"/>
  <c r="L204" i="15" s="1"/>
  <c r="K214" i="15" s="1"/>
  <c r="L224" i="15" s="1"/>
  <c r="I152" i="15"/>
  <c r="J197" i="15" s="1"/>
  <c r="J204" i="15" s="1"/>
  <c r="J205" i="15" s="1"/>
  <c r="L24" i="14"/>
  <c r="K56" i="14" s="1"/>
  <c r="L63" i="14" s="1"/>
  <c r="K73" i="14" s="1"/>
  <c r="L83" i="14" s="1"/>
  <c r="L32" i="14"/>
  <c r="L23" i="14" s="1"/>
  <c r="J34" i="14"/>
  <c r="J32" i="14"/>
  <c r="J23" i="14" s="1"/>
  <c r="J24" i="14"/>
  <c r="K35" i="14"/>
  <c r="P35" i="14" s="1"/>
  <c r="L28" i="14"/>
  <c r="J209" i="15" l="1"/>
  <c r="L68" i="14"/>
  <c r="L205" i="15"/>
  <c r="I56" i="14"/>
  <c r="J63" i="14" s="1"/>
  <c r="J68" i="14" s="1"/>
  <c r="K30" i="14"/>
  <c r="K37" i="14" s="1"/>
  <c r="J28" i="14"/>
  <c r="O30" i="14" s="1"/>
  <c r="I35" i="14"/>
  <c r="O35" i="14" s="1"/>
  <c r="P30" i="14"/>
  <c r="J210" i="15" l="1"/>
  <c r="J212" i="15" s="1"/>
  <c r="K215" i="15"/>
  <c r="K78" i="14"/>
  <c r="L88" i="14" s="1"/>
  <c r="L209" i="15"/>
  <c r="I30" i="14"/>
  <c r="I37" i="14" s="1"/>
  <c r="K39" i="14"/>
  <c r="L54" i="14" s="1"/>
  <c r="L61" i="14" s="1"/>
  <c r="K71" i="14" s="1"/>
  <c r="L81" i="14" s="1"/>
  <c r="I39" i="14"/>
  <c r="J54" i="14" s="1"/>
  <c r="J61" i="14" s="1"/>
  <c r="J62" i="14" s="1"/>
  <c r="L210" i="15" l="1"/>
  <c r="L212" i="15" s="1"/>
  <c r="L225" i="15"/>
  <c r="K219" i="15"/>
  <c r="K220" i="15" s="1"/>
  <c r="L222" i="15" s="1"/>
  <c r="J66" i="14"/>
  <c r="L62" i="14"/>
  <c r="G65" i="11"/>
  <c r="G62" i="11"/>
  <c r="L229" i="15" l="1"/>
  <c r="K72" i="14"/>
  <c r="J67" i="14"/>
  <c r="J69" i="14" s="1"/>
  <c r="L66" i="14"/>
  <c r="K74" i="11"/>
  <c r="J74" i="11"/>
  <c r="K73" i="11"/>
  <c r="J73" i="11"/>
  <c r="A72" i="11"/>
  <c r="K70" i="11"/>
  <c r="J70" i="11"/>
  <c r="K69" i="11"/>
  <c r="J69" i="11"/>
  <c r="A68" i="11"/>
  <c r="V64" i="11"/>
  <c r="U64" i="11"/>
  <c r="T64" i="11"/>
  <c r="S64" i="11"/>
  <c r="R64" i="11"/>
  <c r="Q64" i="11"/>
  <c r="B64" i="11"/>
  <c r="V61" i="11"/>
  <c r="U61" i="11"/>
  <c r="T61" i="11"/>
  <c r="S61" i="11"/>
  <c r="R61" i="11"/>
  <c r="Q61" i="11"/>
  <c r="B61" i="11"/>
  <c r="A60" i="11"/>
  <c r="A58" i="11"/>
  <c r="K56" i="11"/>
  <c r="J56" i="11"/>
  <c r="K55" i="11"/>
  <c r="J55" i="11"/>
  <c r="A54" i="11"/>
  <c r="K49" i="11"/>
  <c r="F49" i="11"/>
  <c r="K48" i="11"/>
  <c r="K47" i="11" s="1"/>
  <c r="I48" i="11"/>
  <c r="I47" i="11" s="1"/>
  <c r="G48" i="11"/>
  <c r="G47" i="11" s="1"/>
  <c r="H47" i="11"/>
  <c r="J44" i="11"/>
  <c r="I44" i="11"/>
  <c r="H44" i="11"/>
  <c r="F44" i="11"/>
  <c r="K43" i="11"/>
  <c r="F43" i="11"/>
  <c r="K42" i="11"/>
  <c r="F42" i="11"/>
  <c r="K41" i="11"/>
  <c r="F41" i="11"/>
  <c r="L40" i="11"/>
  <c r="K40" i="11"/>
  <c r="J40" i="11"/>
  <c r="I40" i="11"/>
  <c r="H40" i="11"/>
  <c r="G40" i="11"/>
  <c r="K39" i="11"/>
  <c r="I39" i="11"/>
  <c r="H39" i="11"/>
  <c r="G39" i="11"/>
  <c r="K38" i="11"/>
  <c r="I38" i="11"/>
  <c r="H38" i="11"/>
  <c r="G38" i="11"/>
  <c r="L37" i="11"/>
  <c r="K37" i="11"/>
  <c r="J37" i="11"/>
  <c r="I37" i="11"/>
  <c r="H37" i="11"/>
  <c r="G37" i="11"/>
  <c r="V36" i="11"/>
  <c r="U36" i="11"/>
  <c r="T36" i="11"/>
  <c r="L42" i="11" s="1"/>
  <c r="S36" i="11"/>
  <c r="J42" i="11" s="1"/>
  <c r="R36" i="11"/>
  <c r="L41" i="11" s="1"/>
  <c r="Q36" i="11"/>
  <c r="J41" i="11" s="1"/>
  <c r="F36" i="11"/>
  <c r="E36" i="11"/>
  <c r="B36" i="11"/>
  <c r="K32" i="11"/>
  <c r="F32" i="11"/>
  <c r="K31" i="11"/>
  <c r="K30" i="11" s="1"/>
  <c r="I31" i="11"/>
  <c r="I30" i="11" s="1"/>
  <c r="G31" i="11"/>
  <c r="G30" i="11" s="1"/>
  <c r="H30" i="11"/>
  <c r="J27" i="11"/>
  <c r="I27" i="11"/>
  <c r="H27" i="11"/>
  <c r="F27" i="11"/>
  <c r="K26" i="11"/>
  <c r="F26" i="11"/>
  <c r="K25" i="11"/>
  <c r="F25" i="11"/>
  <c r="K24" i="11"/>
  <c r="F24" i="11"/>
  <c r="L23" i="11"/>
  <c r="K23" i="11"/>
  <c r="J23" i="11"/>
  <c r="I23" i="11"/>
  <c r="H23" i="11"/>
  <c r="G23" i="11"/>
  <c r="K22" i="11"/>
  <c r="I22" i="11"/>
  <c r="H22" i="11"/>
  <c r="G22" i="11"/>
  <c r="K21" i="11"/>
  <c r="I21" i="11"/>
  <c r="H21" i="11"/>
  <c r="G21" i="11"/>
  <c r="L20" i="11"/>
  <c r="K20" i="11"/>
  <c r="J20" i="11"/>
  <c r="I20" i="11"/>
  <c r="H20" i="11"/>
  <c r="G20" i="11"/>
  <c r="V19" i="11"/>
  <c r="U19" i="11"/>
  <c r="T19" i="11"/>
  <c r="L25" i="11" s="1"/>
  <c r="S19" i="11"/>
  <c r="J25" i="11" s="1"/>
  <c r="R19" i="11"/>
  <c r="L24" i="11" s="1"/>
  <c r="Q19" i="11"/>
  <c r="J24" i="11" s="1"/>
  <c r="F19" i="11"/>
  <c r="E19" i="11"/>
  <c r="B19" i="11"/>
  <c r="A17" i="11"/>
  <c r="K81" i="11" l="1"/>
  <c r="L230" i="15"/>
  <c r="L232" i="15" s="1"/>
  <c r="L67" i="14"/>
  <c r="L69" i="14" s="1"/>
  <c r="L82" i="14"/>
  <c r="K76" i="14"/>
  <c r="K77" i="14" s="1"/>
  <c r="L79" i="14" s="1"/>
  <c r="K79" i="11"/>
  <c r="I77" i="11"/>
  <c r="J87" i="11" s="1"/>
  <c r="K80" i="11"/>
  <c r="I79" i="11"/>
  <c r="K77" i="11"/>
  <c r="L87" i="11" s="1"/>
  <c r="K97" i="11" s="1"/>
  <c r="L107" i="11" s="1"/>
  <c r="I80" i="11"/>
  <c r="I81" i="11"/>
  <c r="L31" i="11"/>
  <c r="L32" i="11" s="1"/>
  <c r="J48" i="11"/>
  <c r="J39" i="11" s="1"/>
  <c r="K68" i="11"/>
  <c r="K72" i="11" s="1"/>
  <c r="P63" i="11"/>
  <c r="P66" i="11"/>
  <c r="J31" i="11"/>
  <c r="L48" i="11"/>
  <c r="A41" i="10"/>
  <c r="A39" i="10"/>
  <c r="K34" i="10"/>
  <c r="F34" i="10"/>
  <c r="K33" i="10"/>
  <c r="K32" i="10" s="1"/>
  <c r="I33" i="10"/>
  <c r="G33" i="10"/>
  <c r="G32" i="10" s="1"/>
  <c r="H32" i="10"/>
  <c r="J29" i="10"/>
  <c r="I29" i="10"/>
  <c r="H29" i="10"/>
  <c r="F29" i="10"/>
  <c r="K28" i="10"/>
  <c r="F28" i="10"/>
  <c r="K27" i="10"/>
  <c r="F27" i="10"/>
  <c r="K26" i="10"/>
  <c r="F26" i="10"/>
  <c r="L25" i="10"/>
  <c r="K25" i="10"/>
  <c r="J25" i="10"/>
  <c r="I25" i="10"/>
  <c r="H25" i="10"/>
  <c r="G25" i="10"/>
  <c r="K24" i="10"/>
  <c r="I24" i="10"/>
  <c r="H24" i="10"/>
  <c r="G24" i="10"/>
  <c r="K23" i="10"/>
  <c r="I23" i="10"/>
  <c r="H23" i="10"/>
  <c r="G23" i="10"/>
  <c r="L22" i="10"/>
  <c r="K46" i="10" s="1"/>
  <c r="K22" i="10"/>
  <c r="J22" i="10"/>
  <c r="I46" i="10" s="1"/>
  <c r="I22" i="10"/>
  <c r="H22" i="10"/>
  <c r="G22" i="10"/>
  <c r="V21" i="10"/>
  <c r="U21" i="10"/>
  <c r="T21" i="10"/>
  <c r="L27" i="10" s="1"/>
  <c r="K48" i="10" s="1"/>
  <c r="S21" i="10"/>
  <c r="J27" i="10" s="1"/>
  <c r="I48" i="10" s="1"/>
  <c r="R21" i="10"/>
  <c r="L26" i="10" s="1"/>
  <c r="K47" i="10" s="1"/>
  <c r="Q21" i="10"/>
  <c r="J26" i="10" s="1"/>
  <c r="I47" i="10" s="1"/>
  <c r="F21" i="10"/>
  <c r="E21" i="10"/>
  <c r="B21" i="10"/>
  <c r="A20" i="10"/>
  <c r="A18" i="10"/>
  <c r="AE16" i="10"/>
  <c r="A16" i="10"/>
  <c r="L86" i="14" l="1"/>
  <c r="L22" i="11"/>
  <c r="L30" i="11"/>
  <c r="L21" i="11" s="1"/>
  <c r="I44" i="10"/>
  <c r="J54" i="10" s="1"/>
  <c r="L33" i="10"/>
  <c r="L24" i="10" s="1"/>
  <c r="K45" i="10" s="1"/>
  <c r="L53" i="10" s="1"/>
  <c r="K63" i="10" s="1"/>
  <c r="L73" i="10" s="1"/>
  <c r="J33" i="10"/>
  <c r="J34" i="10" s="1"/>
  <c r="K44" i="10"/>
  <c r="L54" i="10" s="1"/>
  <c r="K64" i="10" s="1"/>
  <c r="L74" i="10" s="1"/>
  <c r="J47" i="11"/>
  <c r="J38" i="11" s="1"/>
  <c r="J49" i="11"/>
  <c r="J43" i="11" s="1"/>
  <c r="K33" i="11"/>
  <c r="P33" i="11" s="1"/>
  <c r="L26" i="11"/>
  <c r="O66" i="11"/>
  <c r="J32" i="11"/>
  <c r="J30" i="11"/>
  <c r="J21" i="11" s="1"/>
  <c r="J22" i="11"/>
  <c r="I78" i="11" s="1"/>
  <c r="J86" i="11" s="1"/>
  <c r="J91" i="11" s="1"/>
  <c r="L49" i="11"/>
  <c r="L47" i="11"/>
  <c r="L38" i="11" s="1"/>
  <c r="L39" i="11"/>
  <c r="O63" i="11"/>
  <c r="I68" i="11"/>
  <c r="I72" i="11" s="1"/>
  <c r="I32" i="10"/>
  <c r="L87" i="14" l="1"/>
  <c r="L89" i="14" s="1"/>
  <c r="P28" i="11"/>
  <c r="L32" i="10"/>
  <c r="L23" i="10" s="1"/>
  <c r="L58" i="10"/>
  <c r="K68" i="10" s="1"/>
  <c r="L78" i="10" s="1"/>
  <c r="L34" i="10"/>
  <c r="L28" i="10" s="1"/>
  <c r="J24" i="10"/>
  <c r="I45" i="10" s="1"/>
  <c r="J53" i="10" s="1"/>
  <c r="J58" i="10" s="1"/>
  <c r="O45" i="11"/>
  <c r="J32" i="10"/>
  <c r="J23" i="10" s="1"/>
  <c r="I45" i="11"/>
  <c r="I50" i="11"/>
  <c r="O50" i="11" s="1"/>
  <c r="K78" i="11"/>
  <c r="L86" i="11" s="1"/>
  <c r="K96" i="11" s="1"/>
  <c r="L106" i="11" s="1"/>
  <c r="K50" i="11"/>
  <c r="P50" i="11" s="1"/>
  <c r="L43" i="11"/>
  <c r="K45" i="11" s="1"/>
  <c r="J26" i="11"/>
  <c r="I28" i="11" s="1"/>
  <c r="I33" i="11"/>
  <c r="O33" i="11" s="1"/>
  <c r="K28" i="11"/>
  <c r="K35" i="11" s="1"/>
  <c r="J28" i="10"/>
  <c r="I35" i="10"/>
  <c r="O35" i="10" s="1"/>
  <c r="K30" i="10" l="1"/>
  <c r="K35" i="10"/>
  <c r="P35" i="10" s="1"/>
  <c r="L91" i="11"/>
  <c r="K101" i="11" s="1"/>
  <c r="L111" i="11" s="1"/>
  <c r="P45" i="11"/>
  <c r="K54" i="11" s="1"/>
  <c r="L76" i="11" s="1"/>
  <c r="L84" i="11" s="1"/>
  <c r="K94" i="11" s="1"/>
  <c r="L104" i="11" s="1"/>
  <c r="O28" i="11"/>
  <c r="I54" i="11" s="1"/>
  <c r="J76" i="11" s="1"/>
  <c r="J84" i="11" s="1"/>
  <c r="J85" i="11" s="1"/>
  <c r="P30" i="10"/>
  <c r="K52" i="11"/>
  <c r="I52" i="11"/>
  <c r="I35" i="11"/>
  <c r="O30" i="10"/>
  <c r="I30" i="10"/>
  <c r="I37" i="10" s="1"/>
  <c r="K37" i="10" l="1"/>
  <c r="K41" i="10"/>
  <c r="L43" i="10" s="1"/>
  <c r="L51" i="10" s="1"/>
  <c r="J89" i="11"/>
  <c r="J90" i="11" s="1"/>
  <c r="J92" i="11" s="1"/>
  <c r="L85" i="11"/>
  <c r="K95" i="11" s="1"/>
  <c r="K39" i="10"/>
  <c r="I41" i="10"/>
  <c r="J43" i="10" s="1"/>
  <c r="J51" i="10" s="1"/>
  <c r="J52" i="10" s="1"/>
  <c r="J56" i="10" s="1"/>
  <c r="J57" i="10" s="1"/>
  <c r="J59" i="10" s="1"/>
  <c r="I39" i="10"/>
  <c r="L105" i="11" l="1"/>
  <c r="L109" i="11" s="1"/>
  <c r="L110" i="11" s="1"/>
  <c r="L112" i="11" s="1"/>
  <c r="K99" i="11"/>
  <c r="K100" i="11" s="1"/>
  <c r="L102" i="11" s="1"/>
  <c r="L52" i="10"/>
  <c r="K62" i="10" s="1"/>
  <c r="K61" i="10"/>
  <c r="L71" i="10" s="1"/>
  <c r="L89" i="11"/>
  <c r="L90" i="11" s="1"/>
  <c r="L92" i="11" s="1"/>
  <c r="A46" i="9"/>
  <c r="K44" i="9"/>
  <c r="J44" i="9"/>
  <c r="K43" i="9"/>
  <c r="J43" i="9"/>
  <c r="A42" i="9"/>
  <c r="K37" i="9"/>
  <c r="F37" i="9"/>
  <c r="K36" i="9"/>
  <c r="K35" i="9" s="1"/>
  <c r="I36" i="9"/>
  <c r="I35" i="9" s="1"/>
  <c r="G36" i="9"/>
  <c r="H35" i="9"/>
  <c r="J32" i="9"/>
  <c r="I32" i="9"/>
  <c r="H32" i="9"/>
  <c r="F32" i="9"/>
  <c r="K31" i="9"/>
  <c r="F31" i="9"/>
  <c r="K30" i="9"/>
  <c r="F30" i="9"/>
  <c r="K29" i="9"/>
  <c r="F29" i="9"/>
  <c r="L28" i="9"/>
  <c r="K49" i="9" s="1"/>
  <c r="L59" i="9" s="1"/>
  <c r="K69" i="9" s="1"/>
  <c r="L79" i="9" s="1"/>
  <c r="K28" i="9"/>
  <c r="J28" i="9"/>
  <c r="I49" i="9" s="1"/>
  <c r="J59" i="9" s="1"/>
  <c r="I28" i="9"/>
  <c r="H28" i="9"/>
  <c r="G28" i="9"/>
  <c r="K27" i="9"/>
  <c r="I27" i="9"/>
  <c r="H27" i="9"/>
  <c r="G27" i="9"/>
  <c r="K26" i="9"/>
  <c r="I26" i="9"/>
  <c r="H26" i="9"/>
  <c r="G26" i="9"/>
  <c r="L25" i="9"/>
  <c r="K51" i="9" s="1"/>
  <c r="K25" i="9"/>
  <c r="J25" i="9"/>
  <c r="I25" i="9"/>
  <c r="H25" i="9"/>
  <c r="G25" i="9"/>
  <c r="V24" i="9"/>
  <c r="U24" i="9"/>
  <c r="T24" i="9"/>
  <c r="L30" i="9" s="1"/>
  <c r="K53" i="9" s="1"/>
  <c r="S24" i="9"/>
  <c r="J30" i="9" s="1"/>
  <c r="I53" i="9" s="1"/>
  <c r="R24" i="9"/>
  <c r="L29" i="9" s="1"/>
  <c r="K52" i="9" s="1"/>
  <c r="Q24" i="9"/>
  <c r="J29" i="9" s="1"/>
  <c r="I52" i="9" s="1"/>
  <c r="F24" i="9"/>
  <c r="E24" i="9"/>
  <c r="B24" i="9"/>
  <c r="A23" i="9"/>
  <c r="K22" i="9"/>
  <c r="J22" i="9"/>
  <c r="K21" i="9"/>
  <c r="J21" i="9"/>
  <c r="A19" i="9"/>
  <c r="AE17" i="9"/>
  <c r="A17" i="9"/>
  <c r="L72" i="10" l="1"/>
  <c r="K66" i="10"/>
  <c r="K67" i="10" s="1"/>
  <c r="L69" i="10" s="1"/>
  <c r="L56" i="10"/>
  <c r="L57" i="10" s="1"/>
  <c r="L59" i="10" s="1"/>
  <c r="J36" i="9"/>
  <c r="J37" i="9" s="1"/>
  <c r="L36" i="9"/>
  <c r="I51" i="9"/>
  <c r="G35" i="9"/>
  <c r="A54" i="8"/>
  <c r="P52" i="8"/>
  <c r="O52" i="8"/>
  <c r="L51" i="8"/>
  <c r="J51" i="8" s="1"/>
  <c r="G51" i="8" s="1"/>
  <c r="L50" i="8"/>
  <c r="J50" i="8" s="1"/>
  <c r="G50" i="8" s="1"/>
  <c r="L49" i="8"/>
  <c r="J49" i="8" s="1"/>
  <c r="V48" i="8"/>
  <c r="U48" i="8"/>
  <c r="T48" i="8"/>
  <c r="S48" i="8"/>
  <c r="R48" i="8"/>
  <c r="Q48" i="8"/>
  <c r="F48" i="8"/>
  <c r="G48" i="8" s="1"/>
  <c r="E48" i="8"/>
  <c r="C48" i="8"/>
  <c r="B48" i="8"/>
  <c r="A47" i="8"/>
  <c r="A45" i="8"/>
  <c r="K36" i="8"/>
  <c r="F36" i="8"/>
  <c r="K35" i="8"/>
  <c r="K34" i="8" s="1"/>
  <c r="I35" i="8"/>
  <c r="I34" i="8" s="1"/>
  <c r="G35" i="8"/>
  <c r="G34" i="8" s="1"/>
  <c r="H34" i="8"/>
  <c r="J31" i="8"/>
  <c r="I31" i="8"/>
  <c r="H31" i="8"/>
  <c r="F31" i="8"/>
  <c r="K30" i="8"/>
  <c r="F30" i="8"/>
  <c r="K29" i="8"/>
  <c r="F29" i="8"/>
  <c r="K28" i="8"/>
  <c r="F28" i="8"/>
  <c r="L27" i="8"/>
  <c r="K27" i="8"/>
  <c r="J27" i="8"/>
  <c r="I27" i="8"/>
  <c r="H27" i="8"/>
  <c r="G27" i="8"/>
  <c r="K26" i="8"/>
  <c r="I26" i="8"/>
  <c r="H26" i="8"/>
  <c r="G26" i="8"/>
  <c r="K25" i="8"/>
  <c r="I25" i="8"/>
  <c r="H25" i="8"/>
  <c r="G25" i="8"/>
  <c r="L24" i="8"/>
  <c r="K61" i="8" s="1"/>
  <c r="K24" i="8"/>
  <c r="J24" i="8"/>
  <c r="I61" i="8" s="1"/>
  <c r="I24" i="8"/>
  <c r="H24" i="8"/>
  <c r="G24" i="8"/>
  <c r="V23" i="8"/>
  <c r="U23" i="8"/>
  <c r="T23" i="8"/>
  <c r="L29" i="8" s="1"/>
  <c r="K63" i="8" s="1"/>
  <c r="S23" i="8"/>
  <c r="J29" i="8" s="1"/>
  <c r="I63" i="8" s="1"/>
  <c r="R23" i="8"/>
  <c r="L28" i="8" s="1"/>
  <c r="K62" i="8" s="1"/>
  <c r="Q23" i="8"/>
  <c r="J28" i="8" s="1"/>
  <c r="I62" i="8" s="1"/>
  <c r="F23" i="8"/>
  <c r="E23" i="8"/>
  <c r="B23" i="8"/>
  <c r="A19" i="8"/>
  <c r="AE17" i="8"/>
  <c r="A17" i="8"/>
  <c r="L76" i="10" l="1"/>
  <c r="L77" i="10" s="1"/>
  <c r="L79" i="10" s="1"/>
  <c r="J27" i="9"/>
  <c r="J35" i="9"/>
  <c r="J26" i="9" s="1"/>
  <c r="J31" i="9"/>
  <c r="I38" i="9"/>
  <c r="O38" i="9" s="1"/>
  <c r="L35" i="9"/>
  <c r="L26" i="9" s="1"/>
  <c r="L27" i="9"/>
  <c r="L37" i="9"/>
  <c r="L35" i="8"/>
  <c r="L26" i="8" s="1"/>
  <c r="G49" i="8"/>
  <c r="J35" i="8"/>
  <c r="K54" i="8"/>
  <c r="L34" i="8" l="1"/>
  <c r="L25" i="8" s="1"/>
  <c r="L59" i="8"/>
  <c r="L36" i="8"/>
  <c r="K37" i="8" s="1"/>
  <c r="P37" i="8" s="1"/>
  <c r="O33" i="9"/>
  <c r="I42" i="9" s="1"/>
  <c r="I50" i="9"/>
  <c r="J58" i="9" s="1"/>
  <c r="J63" i="9" s="1"/>
  <c r="I33" i="9"/>
  <c r="I40" i="9" s="1"/>
  <c r="K38" i="9"/>
  <c r="P38" i="9" s="1"/>
  <c r="L31" i="9"/>
  <c r="P33" i="9" s="1"/>
  <c r="K50" i="9"/>
  <c r="L58" i="9" s="1"/>
  <c r="K68" i="9" s="1"/>
  <c r="L78" i="9" s="1"/>
  <c r="I54" i="8"/>
  <c r="I56" i="8" s="1"/>
  <c r="J59" i="8"/>
  <c r="K56" i="8"/>
  <c r="J36" i="8"/>
  <c r="J34" i="8"/>
  <c r="J25" i="8" s="1"/>
  <c r="J26" i="8"/>
  <c r="K60" i="8"/>
  <c r="L68" i="8" s="1"/>
  <c r="K78" i="8" s="1"/>
  <c r="L88" i="8" s="1"/>
  <c r="L69" i="8" l="1"/>
  <c r="K79" i="8" s="1"/>
  <c r="L89" i="8" s="1"/>
  <c r="J69" i="8"/>
  <c r="I46" i="9"/>
  <c r="J48" i="9" s="1"/>
  <c r="J56" i="9" s="1"/>
  <c r="J57" i="9" s="1"/>
  <c r="J61" i="9" s="1"/>
  <c r="J62" i="9" s="1"/>
  <c r="J64" i="9" s="1"/>
  <c r="L73" i="8"/>
  <c r="L63" i="9"/>
  <c r="K73" i="9" s="1"/>
  <c r="L83" i="9" s="1"/>
  <c r="L30" i="8"/>
  <c r="P32" i="8" s="1"/>
  <c r="K41" i="8" s="1"/>
  <c r="K43" i="8" s="1"/>
  <c r="L58" i="8" s="1"/>
  <c r="K33" i="9"/>
  <c r="K40" i="9" s="1"/>
  <c r="K42" i="9"/>
  <c r="K46" i="9"/>
  <c r="L48" i="9" s="1"/>
  <c r="J30" i="8"/>
  <c r="O32" i="8" s="1"/>
  <c r="I37" i="8"/>
  <c r="O37" i="8" s="1"/>
  <c r="I60" i="8"/>
  <c r="J68" i="8" s="1"/>
  <c r="J73" i="8" s="1"/>
  <c r="K83" i="8" l="1"/>
  <c r="L93" i="8" s="1"/>
  <c r="L66" i="8"/>
  <c r="K76" i="8" s="1"/>
  <c r="L86" i="8" s="1"/>
  <c r="L56" i="9"/>
  <c r="K66" i="9" s="1"/>
  <c r="L76" i="9" s="1"/>
  <c r="K32" i="8"/>
  <c r="K39" i="8" s="1"/>
  <c r="I32" i="8"/>
  <c r="I39" i="8" s="1"/>
  <c r="I41" i="8"/>
  <c r="I43" i="8" s="1"/>
  <c r="J58" i="8" s="1"/>
  <c r="L57" i="9" l="1"/>
  <c r="K67" i="9" s="1"/>
  <c r="L77" i="9" s="1"/>
  <c r="L67" i="8"/>
  <c r="K77" i="8" s="1"/>
  <c r="K81" i="8" s="1"/>
  <c r="K82" i="8" s="1"/>
  <c r="L84" i="8" s="1"/>
  <c r="J66" i="8"/>
  <c r="J67" i="8" s="1"/>
  <c r="J71" i="8" s="1"/>
  <c r="L118" i="7"/>
  <c r="J118" i="7" s="1"/>
  <c r="P116" i="7"/>
  <c r="O116" i="7"/>
  <c r="L115" i="7"/>
  <c r="V114" i="7"/>
  <c r="U114" i="7"/>
  <c r="T114" i="7"/>
  <c r="S114" i="7"/>
  <c r="R114" i="7"/>
  <c r="Q114" i="7"/>
  <c r="C114" i="7"/>
  <c r="B114" i="7"/>
  <c r="P113" i="7"/>
  <c r="O113" i="7"/>
  <c r="L112" i="7"/>
  <c r="V111" i="7"/>
  <c r="U111" i="7"/>
  <c r="T111" i="7"/>
  <c r="S111" i="7"/>
  <c r="R111" i="7"/>
  <c r="Q111" i="7"/>
  <c r="C111" i="7"/>
  <c r="B111" i="7"/>
  <c r="P110" i="7"/>
  <c r="O110" i="7"/>
  <c r="L109" i="7"/>
  <c r="V108" i="7"/>
  <c r="U108" i="7"/>
  <c r="T108" i="7"/>
  <c r="S108" i="7"/>
  <c r="R108" i="7"/>
  <c r="Q108" i="7"/>
  <c r="C108" i="7"/>
  <c r="B108" i="7"/>
  <c r="A107" i="7"/>
  <c r="A105" i="7"/>
  <c r="K96" i="7"/>
  <c r="F96" i="7"/>
  <c r="K95" i="7"/>
  <c r="K94" i="7" s="1"/>
  <c r="I95" i="7"/>
  <c r="I94" i="7" s="1"/>
  <c r="G95" i="7"/>
  <c r="G94" i="7" s="1"/>
  <c r="H94" i="7"/>
  <c r="J91" i="7"/>
  <c r="I91" i="7"/>
  <c r="H91" i="7"/>
  <c r="F91" i="7"/>
  <c r="K90" i="7"/>
  <c r="F90" i="7"/>
  <c r="K89" i="7"/>
  <c r="F89" i="7"/>
  <c r="K88" i="7"/>
  <c r="F88" i="7"/>
  <c r="L87" i="7"/>
  <c r="K87" i="7"/>
  <c r="J87" i="7"/>
  <c r="I87" i="7"/>
  <c r="H87" i="7"/>
  <c r="G87" i="7"/>
  <c r="K86" i="7"/>
  <c r="I86" i="7"/>
  <c r="H86" i="7"/>
  <c r="G86" i="7"/>
  <c r="K85" i="7"/>
  <c r="I85" i="7"/>
  <c r="H85" i="7"/>
  <c r="G85" i="7"/>
  <c r="L84" i="7"/>
  <c r="K84" i="7"/>
  <c r="J84" i="7"/>
  <c r="I84" i="7"/>
  <c r="H84" i="7"/>
  <c r="G84" i="7"/>
  <c r="V83" i="7"/>
  <c r="U83" i="7"/>
  <c r="T83" i="7"/>
  <c r="L89" i="7" s="1"/>
  <c r="S83" i="7"/>
  <c r="J89" i="7" s="1"/>
  <c r="R83" i="7"/>
  <c r="L88" i="7" s="1"/>
  <c r="Q83" i="7"/>
  <c r="J88" i="7" s="1"/>
  <c r="F83" i="7"/>
  <c r="E83" i="7"/>
  <c r="B83" i="7"/>
  <c r="K79" i="7"/>
  <c r="F79" i="7"/>
  <c r="K78" i="7"/>
  <c r="K77" i="7" s="1"/>
  <c r="I78" i="7"/>
  <c r="I77" i="7" s="1"/>
  <c r="G78" i="7"/>
  <c r="G77" i="7" s="1"/>
  <c r="H77" i="7"/>
  <c r="J74" i="7"/>
  <c r="I74" i="7"/>
  <c r="H74" i="7"/>
  <c r="F74" i="7"/>
  <c r="K73" i="7"/>
  <c r="F73" i="7"/>
  <c r="K72" i="7"/>
  <c r="F72" i="7"/>
  <c r="K71" i="7"/>
  <c r="F71" i="7"/>
  <c r="L70" i="7"/>
  <c r="K70" i="7"/>
  <c r="J70" i="7"/>
  <c r="I70" i="7"/>
  <c r="H70" i="7"/>
  <c r="G70" i="7"/>
  <c r="K69" i="7"/>
  <c r="I69" i="7"/>
  <c r="H69" i="7"/>
  <c r="G69" i="7"/>
  <c r="K68" i="7"/>
  <c r="I68" i="7"/>
  <c r="H68" i="7"/>
  <c r="G68" i="7"/>
  <c r="L67" i="7"/>
  <c r="K67" i="7"/>
  <c r="J67" i="7"/>
  <c r="I67" i="7"/>
  <c r="H67" i="7"/>
  <c r="G67" i="7"/>
  <c r="V66" i="7"/>
  <c r="U66" i="7"/>
  <c r="T66" i="7"/>
  <c r="L72" i="7" s="1"/>
  <c r="S66" i="7"/>
  <c r="J72" i="7" s="1"/>
  <c r="R66" i="7"/>
  <c r="L71" i="7" s="1"/>
  <c r="Q66" i="7"/>
  <c r="J71" i="7" s="1"/>
  <c r="F66" i="7"/>
  <c r="E66" i="7"/>
  <c r="B66" i="7"/>
  <c r="K62" i="7"/>
  <c r="F62" i="7"/>
  <c r="K61" i="7"/>
  <c r="K60" i="7" s="1"/>
  <c r="I61" i="7"/>
  <c r="I60" i="7" s="1"/>
  <c r="G61" i="7"/>
  <c r="G60" i="7" s="1"/>
  <c r="H60" i="7"/>
  <c r="J57" i="7"/>
  <c r="I57" i="7"/>
  <c r="H57" i="7"/>
  <c r="F57" i="7"/>
  <c r="K56" i="7"/>
  <c r="F56" i="7"/>
  <c r="K55" i="7"/>
  <c r="F55" i="7"/>
  <c r="K54" i="7"/>
  <c r="F54" i="7"/>
  <c r="L53" i="7"/>
  <c r="K53" i="7"/>
  <c r="J53" i="7"/>
  <c r="I53" i="7"/>
  <c r="H53" i="7"/>
  <c r="G53" i="7"/>
  <c r="K52" i="7"/>
  <c r="I52" i="7"/>
  <c r="H52" i="7"/>
  <c r="G52" i="7"/>
  <c r="K51" i="7"/>
  <c r="I51" i="7"/>
  <c r="H51" i="7"/>
  <c r="G51" i="7"/>
  <c r="L50" i="7"/>
  <c r="K50" i="7"/>
  <c r="J50" i="7"/>
  <c r="I50" i="7"/>
  <c r="H50" i="7"/>
  <c r="G50" i="7"/>
  <c r="V49" i="7"/>
  <c r="U49" i="7"/>
  <c r="T49" i="7"/>
  <c r="L55" i="7" s="1"/>
  <c r="S49" i="7"/>
  <c r="J55" i="7" s="1"/>
  <c r="R49" i="7"/>
  <c r="L54" i="7" s="1"/>
  <c r="Q49" i="7"/>
  <c r="J54" i="7" s="1"/>
  <c r="F49" i="7"/>
  <c r="E49" i="7"/>
  <c r="B49" i="7"/>
  <c r="A44" i="7"/>
  <c r="K71" i="9" l="1"/>
  <c r="K72" i="9" s="1"/>
  <c r="L74" i="9" s="1"/>
  <c r="L61" i="9"/>
  <c r="L62" i="9" s="1"/>
  <c r="L64" i="9" s="1"/>
  <c r="L87" i="8"/>
  <c r="L91" i="8" s="1"/>
  <c r="L71" i="8"/>
  <c r="L72" i="8" s="1"/>
  <c r="L74" i="8" s="1"/>
  <c r="J72" i="8"/>
  <c r="J74" i="8" s="1"/>
  <c r="L81" i="9"/>
  <c r="L82" i="9" s="1"/>
  <c r="L84" i="9" s="1"/>
  <c r="G118" i="7"/>
  <c r="J109" i="7"/>
  <c r="J112" i="7"/>
  <c r="K129" i="7"/>
  <c r="J130" i="7"/>
  <c r="J129" i="7"/>
  <c r="J78" i="7"/>
  <c r="K128" i="7"/>
  <c r="G112" i="7"/>
  <c r="J115" i="7"/>
  <c r="J126" i="7" s="1"/>
  <c r="L126" i="7"/>
  <c r="J128" i="7"/>
  <c r="K130" i="7"/>
  <c r="J61" i="7"/>
  <c r="J95" i="7"/>
  <c r="L61" i="7"/>
  <c r="L78" i="7"/>
  <c r="L95" i="7"/>
  <c r="L92" i="8" l="1"/>
  <c r="L94" i="8" s="1"/>
  <c r="P39" i="6"/>
  <c r="P35" i="6" s="1"/>
  <c r="L135" i="7"/>
  <c r="K145" i="7" s="1"/>
  <c r="L155" i="7" s="1"/>
  <c r="J135" i="7"/>
  <c r="G109" i="7"/>
  <c r="K121" i="7"/>
  <c r="L123" i="7" s="1"/>
  <c r="L132" i="7" s="1"/>
  <c r="K142" i="7" s="1"/>
  <c r="L152" i="7" s="1"/>
  <c r="J79" i="7"/>
  <c r="J77" i="7"/>
  <c r="J68" i="7" s="1"/>
  <c r="J69" i="7"/>
  <c r="J94" i="7"/>
  <c r="J85" i="7" s="1"/>
  <c r="J96" i="7"/>
  <c r="J86" i="7"/>
  <c r="G115" i="7"/>
  <c r="I121" i="7"/>
  <c r="J123" i="7" s="1"/>
  <c r="L96" i="7"/>
  <c r="L94" i="7"/>
  <c r="L85" i="7" s="1"/>
  <c r="L86" i="7"/>
  <c r="L77" i="7"/>
  <c r="L68" i="7" s="1"/>
  <c r="L69" i="7"/>
  <c r="L79" i="7"/>
  <c r="L62" i="7"/>
  <c r="L60" i="7"/>
  <c r="L51" i="7" s="1"/>
  <c r="L52" i="7"/>
  <c r="J60" i="7"/>
  <c r="J51" i="7" s="1"/>
  <c r="J62" i="7"/>
  <c r="J52" i="7"/>
  <c r="O39" i="6" l="1"/>
  <c r="O35" i="6" s="1"/>
  <c r="L133" i="7"/>
  <c r="K143" i="7" s="1"/>
  <c r="K80" i="7"/>
  <c r="P80" i="7" s="1"/>
  <c r="L73" i="7"/>
  <c r="P75" i="7" s="1"/>
  <c r="K127" i="7"/>
  <c r="L134" i="7" s="1"/>
  <c r="K144" i="7" s="1"/>
  <c r="L154" i="7" s="1"/>
  <c r="L90" i="7"/>
  <c r="P92" i="7" s="1"/>
  <c r="K97" i="7"/>
  <c r="P97" i="7" s="1"/>
  <c r="J127" i="7"/>
  <c r="J134" i="7" s="1"/>
  <c r="J139" i="7" s="1"/>
  <c r="J90" i="7"/>
  <c r="O92" i="7" s="1"/>
  <c r="I97" i="7"/>
  <c r="O97" i="7" s="1"/>
  <c r="I80" i="7"/>
  <c r="O80" i="7" s="1"/>
  <c r="J73" i="7"/>
  <c r="O75" i="7" s="1"/>
  <c r="J56" i="7"/>
  <c r="O58" i="7" s="1"/>
  <c r="I63" i="7"/>
  <c r="O63" i="7" s="1"/>
  <c r="L56" i="7"/>
  <c r="P58" i="7" s="1"/>
  <c r="K63" i="7"/>
  <c r="P63" i="7" s="1"/>
  <c r="I92" i="7" l="1"/>
  <c r="I99" i="7" s="1"/>
  <c r="Z39" i="6"/>
  <c r="Z38" i="6" s="1"/>
  <c r="AC38" i="6" s="1"/>
  <c r="L153" i="7"/>
  <c r="K147" i="7"/>
  <c r="K148" i="7" s="1"/>
  <c r="L137" i="7"/>
  <c r="L139" i="7"/>
  <c r="K58" i="7"/>
  <c r="K65" i="7" s="1"/>
  <c r="I75" i="7"/>
  <c r="I82" i="7" s="1"/>
  <c r="K92" i="7"/>
  <c r="K99" i="7" s="1"/>
  <c r="I101" i="7"/>
  <c r="I103" i="7"/>
  <c r="K101" i="7"/>
  <c r="K103" i="7"/>
  <c r="L125" i="7" s="1"/>
  <c r="G39" i="6" s="1"/>
  <c r="G34" i="6" s="1"/>
  <c r="K75" i="7"/>
  <c r="K82" i="7" s="1"/>
  <c r="I58" i="7"/>
  <c r="I65" i="7" s="1"/>
  <c r="J125" i="7" l="1"/>
  <c r="L157" i="7"/>
  <c r="H39" i="6"/>
  <c r="H34" i="6" s="1"/>
  <c r="K149" i="7"/>
  <c r="L159" i="7" s="1"/>
  <c r="AB39" i="6" s="1"/>
  <c r="AB38" i="6" s="1"/>
  <c r="AE38" i="6" s="1"/>
  <c r="AA39" i="6"/>
  <c r="AA38" i="6" s="1"/>
  <c r="AD38" i="6" s="1"/>
  <c r="L138" i="7"/>
  <c r="L140" i="7" s="1"/>
  <c r="F39" i="6" l="1"/>
  <c r="F34" i="6" s="1"/>
  <c r="J132" i="7"/>
  <c r="J133" i="7" s="1"/>
  <c r="J137" i="7" s="1"/>
  <c r="L158" i="7"/>
  <c r="L160" i="7" s="1"/>
  <c r="L150" i="7"/>
  <c r="M39" i="6"/>
  <c r="M34" i="6" s="1"/>
  <c r="AD34" i="6" s="1"/>
  <c r="AD39" i="6"/>
  <c r="AC39" i="6" l="1"/>
  <c r="J138" i="7"/>
  <c r="J140" i="7" s="1"/>
  <c r="N39" i="6"/>
  <c r="N34" i="6" s="1"/>
  <c r="AE34" i="6" s="1"/>
  <c r="AE39" i="6"/>
  <c r="L39" i="6" l="1"/>
  <c r="L34" i="6" s="1"/>
  <c r="AC34" i="6" s="1"/>
  <c r="AE42" i="6"/>
</calcChain>
</file>

<file path=xl/sharedStrings.xml><?xml version="1.0" encoding="utf-8"?>
<sst xmlns="http://schemas.openxmlformats.org/spreadsheetml/2006/main" count="4621" uniqueCount="771">
  <si>
    <t>№ п/п</t>
  </si>
  <si>
    <t xml:space="preserve">№ раздела </t>
  </si>
  <si>
    <t>Наименование объектов строительства и работ</t>
  </si>
  <si>
    <t>СМР</t>
  </si>
  <si>
    <t>Обслуживающие процессы</t>
  </si>
  <si>
    <t xml:space="preserve">ВЗиС </t>
  </si>
  <si>
    <t>Материалы</t>
  </si>
  <si>
    <t>Всего</t>
  </si>
  <si>
    <t>Производитель работ</t>
  </si>
  <si>
    <t>Стоимость                                                    в базовых                                                                   ценах</t>
  </si>
  <si>
    <t>Стоимость в текущих ценах К=1,0</t>
  </si>
  <si>
    <t>Стоимость                                                    в базовых ценах</t>
  </si>
  <si>
    <t>Стоимость                                                   в текущих ценах К=1,0</t>
  </si>
  <si>
    <t xml:space="preserve">Стоимость в текущих ценах                                                                                                                                                                                          К1=0,975
</t>
  </si>
  <si>
    <t>Стоимость                                                                                          в базовых                                        ценах</t>
  </si>
  <si>
    <t>Стоимость                                                           в текущих ценах К=1,0</t>
  </si>
  <si>
    <t>Стоимость                                                    в базовых                                                                        ценах</t>
  </si>
  <si>
    <t>1</t>
  </si>
  <si>
    <t>2</t>
  </si>
  <si>
    <t>4</t>
  </si>
  <si>
    <t>5</t>
  </si>
  <si>
    <t>6</t>
  </si>
  <si>
    <t>ПНР</t>
  </si>
  <si>
    <t xml:space="preserve">Прочие затраты </t>
  </si>
  <si>
    <t>Станционный комплекс "Аминьевское шоссе". Вестибюль №2, камера съездов, ТПП. Внутренние инженерные системы (не включая ТПП). Электрооборудование. Разеточные сети.</t>
  </si>
  <si>
    <t>3</t>
  </si>
  <si>
    <t>Перегоны от ст. "Аминьевское шоссе" до токораздела со ст. "Мичуринский проспект". Инженерные системы. Магистральные сети путейских ящиков.</t>
  </si>
  <si>
    <t>Станциооный комплекс "Аминьевское шоссе". Вестибюль №2, камера съездов, ТПП. Внутренние инженерные системы (не включая ТПП). Электрооборудование. Электрообогрев.</t>
  </si>
  <si>
    <t>7</t>
  </si>
  <si>
    <t>Перегоны от ст. "Аминьевское шоссе" до токораздела со ст. "Мичуринский проспект". Инженерные системы. Тоннельное освещение.</t>
  </si>
  <si>
    <t>Станционный комплекс "Аминьевское шоссе". Вестибюль №2, камера съездов, ТПП. Внутренние инженерные системы (не включаяя ТПП). Электроосвещение. Служебные помещения вестибюля №2. Уровни машинного зала, пассажирской платформы и подплатформы.</t>
  </si>
  <si>
    <t>Станционный комплекс "Аминьевское шоссе". Платформенная часть. Внутренние инженерные системы. Электроосвещение. Этап 6.</t>
  </si>
  <si>
    <t>Перегоны от ст. "Мичуринский проспект" (включая монтажный и демонтажный котлован, пл.4) до токораздела со ст. "Проспект Вернадского". Инженерные системы. Тоннельное освещение.</t>
  </si>
  <si>
    <t>Перегоны от ст. "Мичуринский проспект" (влючая монтажный и демонтажный котлован, пл.4) до токораздела со ст. "Проспект Вернадского". Инженерные системы. Магистральные сети путейских ящиков.</t>
  </si>
  <si>
    <t>Станционный комплекс "Аминьевское шоссе". Вестибюль №2, камера съездов, ТПП. Внутренние инженерные системы (не включая ТПП). Электрооборудование. Силовое электрооборудование.</t>
  </si>
  <si>
    <t>Станционный комплект "Амильевское шоссе". Инженерные системы ТПП. Электрооборудование. Электрооборудование 20кВ.</t>
  </si>
  <si>
    <t>Унифицированная форма № КС-2</t>
  </si>
  <si>
    <t>Утверждена постановлением Госкомстата России</t>
  </si>
  <si>
    <t>от 11.11.99. № 100</t>
  </si>
  <si>
    <t>Код</t>
  </si>
  <si>
    <t>Форма по ОКУД</t>
  </si>
  <si>
    <t>0322005</t>
  </si>
  <si>
    <t/>
  </si>
  <si>
    <t>по ОКПО</t>
  </si>
  <si>
    <t>организация, адрес, телефон, факс</t>
  </si>
  <si>
    <t>Подрядчик</t>
  </si>
  <si>
    <t>Стройка</t>
  </si>
  <si>
    <t>наименование, адрес</t>
  </si>
  <si>
    <t>Объект</t>
  </si>
  <si>
    <t>наименование</t>
  </si>
  <si>
    <t xml:space="preserve">Вид деятельности по ОКДП  </t>
  </si>
  <si>
    <t xml:space="preserve">Договор подряда  </t>
  </si>
  <si>
    <t>номер</t>
  </si>
  <si>
    <t>дата</t>
  </si>
  <si>
    <t xml:space="preserve">Вид операции  </t>
  </si>
  <si>
    <t>Номер документа</t>
  </si>
  <si>
    <t>Дата составления</t>
  </si>
  <si>
    <t>Отчетный период</t>
  </si>
  <si>
    <t>с</t>
  </si>
  <si>
    <t>по</t>
  </si>
  <si>
    <t>AKT</t>
  </si>
  <si>
    <t>О ПРИЕМКЕ ВЫПОЛНЕННЫХ РАБОТ</t>
  </si>
  <si>
    <t>работы за июль 2020 года</t>
  </si>
  <si>
    <t>48957-ТПК_5-0782-Р-ССР2-изм1.1</t>
  </si>
  <si>
    <t>№12-4017-Л-Р-8.3.2-ЭО2-СМ1К</t>
  </si>
  <si>
    <t>взамен локальных смет №12-4017-Л-Р-8.3.2-ЭО2-СМ1, №12-4017-Л-Р-8.3.2-ЭО2-СМ1_доп.</t>
  </si>
  <si>
    <t>Составлен(а) в уровне текущих (прогнозных) цен ТСН-2001 МГЭ строительство №164 май 2020 года</t>
  </si>
  <si>
    <t>Номер</t>
  </si>
  <si>
    <t>Шифр расценки и коды ресурсов</t>
  </si>
  <si>
    <t>Наименование работ и затрат</t>
  </si>
  <si>
    <t>Единица измерения</t>
  </si>
  <si>
    <t>Кол-во единиц</t>
  </si>
  <si>
    <t>Цена на ед. изм. руб.</t>
  </si>
  <si>
    <t>Попра-вочные коэфф.</t>
  </si>
  <si>
    <t>Коэфф. зимних удоро-жаний</t>
  </si>
  <si>
    <t>Всего в ценах на январь 2000 года, руб.</t>
  </si>
  <si>
    <t>Коэфф. пересчета и нормы НР и СП</t>
  </si>
  <si>
    <t>Всего в текущем уровне цен, руб.</t>
  </si>
  <si>
    <t>п/п</t>
  </si>
  <si>
    <t>поз. по сме-те</t>
  </si>
  <si>
    <t>Раздел: Монтажные работы</t>
  </si>
  <si>
    <t>Подраздел: Кабели и кабельные изделия</t>
  </si>
  <si>
    <r>
      <t>4.8-79-3</t>
    </r>
    <r>
      <rPr>
        <i/>
        <sz val="10"/>
        <rFont val="Arial"/>
        <family val="2"/>
        <charset val="204"/>
      </rPr>
      <t xml:space="preserve">
Поправка: ТСН-2001.4. О.П. тб2. п.1</t>
    </r>
  </si>
  <si>
    <t>Кабели до 35 кВ, прокладываемые по установленным конструкциям и лоткам, кабель с креплением на поворотах и в конце трассы, масса 1 м, до 3 кг (Объем: 1735/100*0,98=17,003)</t>
  </si>
  <si>
    <t>ЗП</t>
  </si>
  <si>
    <t>ЭМ</t>
  </si>
  <si>
    <t>в т.ч. ЗПМ</t>
  </si>
  <si>
    <t>МР</t>
  </si>
  <si>
    <t>НР от ЗП</t>
  </si>
  <si>
    <t>%</t>
  </si>
  <si>
    <t>СП от ЗП</t>
  </si>
  <si>
    <t>НР и СП от ЗПМ</t>
  </si>
  <si>
    <t>ЗТР</t>
  </si>
  <si>
    <t>чел-ч</t>
  </si>
  <si>
    <t>Доплата к эксплуатации строительных машин (от ЗПМ)</t>
  </si>
  <si>
    <t>)*(1.67-1)</t>
  </si>
  <si>
    <t>Всего с доплатой</t>
  </si>
  <si>
    <r>
      <t>4.8-79-4</t>
    </r>
    <r>
      <rPr>
        <i/>
        <sz val="10"/>
        <rFont val="Arial"/>
        <family val="2"/>
        <charset val="204"/>
      </rPr>
      <t xml:space="preserve">
Поправка: ТСН-2001.4. О.П. тб2. п.1</t>
    </r>
  </si>
  <si>
    <t>Кабели до 35 кВ, прокладываемые по установленным конструкциям и лоткам, кабель с креплением на поворотах и в конце трассы, масса 1 м, до 6 кг (Объем: (1960+557)/100*098=24,6666)</t>
  </si>
  <si>
    <r>
      <t>4.8-79-5</t>
    </r>
    <r>
      <rPr>
        <i/>
        <sz val="10"/>
        <rFont val="Arial"/>
        <family val="2"/>
        <charset val="204"/>
      </rPr>
      <t xml:space="preserve">
Поправка: ТСН-2001.4. О.П. тб2. п.1</t>
    </r>
  </si>
  <si>
    <t>Кабели до 35 кВ, прокладываемые по установленным конструкциям и лоткам, кабель с креплением на поворотах и в конце трассы, масса 1 м, до 9 кг (Объем: 940/100*0,98=9,212)</t>
  </si>
  <si>
    <t>Итого по подразделу: Кабели и кабельные изделия</t>
  </si>
  <si>
    <t>Итого по разделу: Монтажные работы</t>
  </si>
  <si>
    <t>Кабель силовой с медными жилами, марка ПвБПнг(А)-HF, напряжение 1000 В, число жил и сечение 4х95 мм2</t>
  </si>
  <si>
    <t>Кабель ПвБПнг(А)-HF 4х95-1 (6399164) (1339938,36/5,48)</t>
  </si>
  <si>
    <t>км</t>
  </si>
  <si>
    <t>Кабель силовой с медными жилами, марка ПвБПнг(А)-FRHF, напряжение 1000 В, число жил и сечение 5х95 мм2</t>
  </si>
  <si>
    <t>Кабель ПвБПнг(А)-FRHF 5х95-1 (6399166) (2004115,19/5,48)</t>
  </si>
  <si>
    <t>Кабель MIнг(А)-HF 4х1х35-1 (6399176) (1803510,95/5,48)</t>
  </si>
  <si>
    <t>МКЭ-33-902/7-1 от 16.05.2017</t>
  </si>
  <si>
    <t>Кабель MIнг(А)-FRHF 5х1х35-1 (6399178) (2570340,12/5,48)</t>
  </si>
  <si>
    <t>Итого по подразделу: Кабели и кабельная продукция</t>
  </si>
  <si>
    <t>Итого по разделу: Материалы, не учтеные в цене монтажа</t>
  </si>
  <si>
    <t xml:space="preserve">Итого </t>
  </si>
  <si>
    <t>Стоимость материалов (всего)</t>
  </si>
  <si>
    <t>ЗП машинистов</t>
  </si>
  <si>
    <t>Основная ЗП рабочих</t>
  </si>
  <si>
    <t>Накладные расходы</t>
  </si>
  <si>
    <t>Сметная прибыль</t>
  </si>
  <si>
    <t>262-0619-ОК-1/Н</t>
  </si>
  <si>
    <t>48964-ТПК_5-0789-Р-ССР2-изм1.1</t>
  </si>
  <si>
    <t>№12-4017-Л-Р-8.3.3-ЭМ2-СМ1К</t>
  </si>
  <si>
    <t>взамен: 12-4017-Л-Р-8.3.3-ЭМ2-СМ1</t>
  </si>
  <si>
    <t>Подраздел: Кабели и провода, кабельная продукция</t>
  </si>
  <si>
    <r>
      <t>4.8-79-16</t>
    </r>
    <r>
      <rPr>
        <i/>
        <sz val="10"/>
        <rFont val="Arial"/>
        <family val="2"/>
        <charset val="204"/>
      </rPr>
      <t xml:space="preserve">
Поправка: ТСН-2001.4. О.П. тб2. п.1</t>
    </r>
  </si>
  <si>
    <t>Кабели до 35 кВ, прокладываемые по установленным конструкциям и лоткам, кабель с креплением по всей длине, масса 1 м, до 18 кг</t>
  </si>
  <si>
    <t>Итого по подразделу: Кабели и провода, кабельная продукция</t>
  </si>
  <si>
    <t>Кабель ПвБПнг(А)-HF 5х240 напряжение 1 кВ (расчетная масса 14089 кг/км)  (4 905 891,74 / 5,24 * 1,02 = 954 963,66)</t>
  </si>
  <si>
    <t>Итого по разделу: Материалы, не учтенные в цене монтажа</t>
  </si>
  <si>
    <t>6419894 Кабель ПвБПнг(А)-HF 5х240-1 (4256057,11/5,48)</t>
  </si>
  <si>
    <t xml:space="preserve">МИП №2744 от 14.05.2020  </t>
  </si>
  <si>
    <t xml:space="preserve">МИП №3442 15.07.2020 </t>
  </si>
  <si>
    <t>МИП №2778 15.06.2020</t>
  </si>
  <si>
    <t>МИП №3246 от 18.06.2020</t>
  </si>
  <si>
    <t>МИП №2778 от 15.06.2020</t>
  </si>
  <si>
    <t>МИП №3249 от 23.06.2020</t>
  </si>
  <si>
    <t>МИП №2947 от 13.05.2020</t>
  </si>
  <si>
    <t>50214-ТПК_5-1435-Р-ССР2</t>
  </si>
  <si>
    <t>№12-4017-Л-Р-11.4.3.4-ЭО1-СМ1</t>
  </si>
  <si>
    <t xml:space="preserve">   Итого по ТСН-2001.16</t>
  </si>
  <si>
    <t xml:space="preserve">   Итого возвратных сумм</t>
  </si>
  <si>
    <r>
      <t>4.8-187-6</t>
    </r>
    <r>
      <rPr>
        <i/>
        <sz val="10"/>
        <rFont val="Arial"/>
        <family val="2"/>
        <charset val="204"/>
      </rPr>
      <t xml:space="preserve">
Поправка: ТСН-2001.4. О.П. тб2. п.1</t>
    </r>
  </si>
  <si>
    <t>Проводник заземляющий открыто по строительным основаниям из полосовой стали, сечением 100 мм2</t>
  </si>
  <si>
    <t>49814-ТПК_5-1235-Р-ССР2</t>
  </si>
  <si>
    <t>№12-4017-Л-Р-11.3.3.4-ЭО1-СМ1</t>
  </si>
  <si>
    <t>работы за август 2020 года</t>
  </si>
  <si>
    <t>50191-ТПК_5-1421-Р-ССР2-изм1.1</t>
  </si>
  <si>
    <t>12-4017-Л-Р-3.3.2-ЭО-СМ1К1</t>
  </si>
  <si>
    <t>взамен: 12-4017-Л-Р-3.3.2-ЭО-СМ1К</t>
  </si>
  <si>
    <t>Составлен(а) в уровне текущих (прогнозных) цен ТСН-2001 МГЭ строительство №166 июль 2020 года</t>
  </si>
  <si>
    <r>
      <t>4.8-79-3</t>
    </r>
    <r>
      <rPr>
        <i/>
        <sz val="10"/>
        <rFont val="Arial"/>
        <family val="2"/>
        <charset val="204"/>
      </rPr>
      <t xml:space="preserve">
Поправка: ТСН-2001.3-29. О.П. п.4.1</t>
    </r>
  </si>
  <si>
    <t>Кабели до 35 кВ, прокладываемые по установленным конструкциям и лоткам, кабель с креплением на поворотах и в конце трассы, масса 1 м, до 3 кг</t>
  </si>
  <si>
    <r>
      <t>4.8-79-4</t>
    </r>
    <r>
      <rPr>
        <i/>
        <sz val="10"/>
        <rFont val="Arial"/>
        <family val="2"/>
        <charset val="204"/>
      </rPr>
      <t xml:space="preserve">
Поправка: ТСН-2001.3-29. О.П. п.4.1</t>
    </r>
  </si>
  <si>
    <t>Кабели до 35 кВ, прокладываемые по установленным конструкциям и лоткам, кабель с креплением на поворотах и в конце трассы, масса 1 м, до 6 кг</t>
  </si>
  <si>
    <t>Кабель MIнг(А)-HF 4х1х35-1 (6398212) (2570340,12/5,58)</t>
  </si>
  <si>
    <t xml:space="preserve">МИП №3610 от 24.08.20 </t>
  </si>
  <si>
    <t>МИП №2888/1 от 21.08.2020</t>
  </si>
  <si>
    <t>49289-ТПК_5-0935-Р-ССР2-изм1.1</t>
  </si>
  <si>
    <t>12-4017-Л-Р-3.3.3-ЭМ1-СМ1К</t>
  </si>
  <si>
    <t>взамен: 12-4017-Л-Р-3.3.3-ЭМ1-СМ1</t>
  </si>
  <si>
    <r>
      <t>4.8-79-7</t>
    </r>
    <r>
      <rPr>
        <i/>
        <sz val="10"/>
        <rFont val="Arial"/>
        <family val="2"/>
        <charset val="204"/>
      </rPr>
      <t xml:space="preserve">
Поправка: ТСН-2001.3-29. О.П. п.4.1</t>
    </r>
  </si>
  <si>
    <t>Кабели до 35 кВ, прокладываемые по установленным конструкциям и лоткам, кабель с креплением на поворотах и в конце трассы, масса 1 м, до 18 кг</t>
  </si>
  <si>
    <t>Кабель силовой с медными жилами, марка ПвБПнг(А)-HF, напряжение 1000 В, число жил и сечение 5х240 мм2</t>
  </si>
  <si>
    <t xml:space="preserve">МИП №3073 от 15.06.2020 </t>
  </si>
  <si>
    <t xml:space="preserve">МИП №3338 22.07.20 </t>
  </si>
  <si>
    <t>МИП №3248 от 18.06.2020</t>
  </si>
  <si>
    <t>МИП №3337 от 23.07.20</t>
  </si>
  <si>
    <t>Кабель MIнг(А)-HF 4х1х35-1 (6398210) (2044045,29/5,58)</t>
  </si>
  <si>
    <t>6398138 Кабель ПвБПнг(А)-HF 5х240-1 (4256057,1/5,58)</t>
  </si>
  <si>
    <t>6398138 Кабель ПвБПнг(А)-HF 5х240-1 (4256057,12/5,58)</t>
  </si>
  <si>
    <t>6398138 Кабель ПвБПнг(А)-HF 5х240-1 (4256057,11/5,58)</t>
  </si>
  <si>
    <t>49683-ТПК_5-1137-Р-ССР2</t>
  </si>
  <si>
    <t>12-4017-Л-Р-11.4.3.3-ЭМ1-СМ1</t>
  </si>
  <si>
    <r>
      <t>4.8-280-2</t>
    </r>
    <r>
      <rPr>
        <i/>
        <sz val="10"/>
        <rFont val="Arial"/>
        <family val="2"/>
        <charset val="204"/>
      </rPr>
      <t xml:space="preserve">
Поправка: ТСН-2001.4. О.П. тб2. п.1</t>
    </r>
  </si>
  <si>
    <t>Прокладка пластикового кабель-канала по бетонному основанию</t>
  </si>
  <si>
    <t>Кабель-каналы, размер 105х50 мм, короба с направляющими</t>
  </si>
  <si>
    <r>
      <t>4.8-79-1</t>
    </r>
    <r>
      <rPr>
        <i/>
        <sz val="10"/>
        <rFont val="Arial"/>
        <family val="2"/>
        <charset val="204"/>
      </rPr>
      <t xml:space="preserve">
Поправка: ТСН-2001.4. О.П. тб2. п.1</t>
    </r>
  </si>
  <si>
    <t>Кабели до 35 кВ, прокладываемые по установленным конструкциям и лоткам, кабель с креплением на поворотах и в конце трассы, масса 1 м, до 1 кг</t>
  </si>
  <si>
    <r>
      <t>4.8-79-10</t>
    </r>
    <r>
      <rPr>
        <i/>
        <sz val="10"/>
        <rFont val="Arial"/>
        <family val="2"/>
        <charset val="204"/>
      </rPr>
      <t xml:space="preserve">
Поправка: ТСН-2001.4. О.П. тб2. п.1</t>
    </r>
  </si>
  <si>
    <t>Кабели до 35 кВ, прокладываемые по установленным конструкциям и лоткам, кабель с креплением по всей длине, масса 1 м, до 1 кг</t>
  </si>
  <si>
    <r>
      <t>4.8-175-3</t>
    </r>
    <r>
      <rPr>
        <i/>
        <sz val="10"/>
        <rFont val="Arial"/>
        <family val="2"/>
        <charset val="204"/>
      </rPr>
      <t xml:space="preserve">
Поправка: ТСН-2001.3-29. О.П. п.4.1</t>
    </r>
  </si>
  <si>
    <t>Затягивание проводов и кабелей в проложенные трубы и металлические рукава, провод первый одножильный или многожильный в общей оплетке, суммарное сечение до 16 мм2</t>
  </si>
  <si>
    <r>
      <t>4.8-175-4</t>
    </r>
    <r>
      <rPr>
        <i/>
        <sz val="10"/>
        <rFont val="Arial"/>
        <family val="2"/>
        <charset val="204"/>
      </rPr>
      <t xml:space="preserve">
Поправка: ТСН-2001.3-29. О.П. п.4.1</t>
    </r>
  </si>
  <si>
    <t>Затягивание проводов и кабелей в проложенные трубы и металлические рукава, провод первый одножильный или многожильный в общей оплетке, суммарное сечение до 35 мм2</t>
  </si>
  <si>
    <t>Кабель силовой с медными жилами, марка ПвБПнг(А)-HF, напряжение 1000 В, число жил и сечение 3х4 мм2</t>
  </si>
  <si>
    <t>МИП №3525 от 20.08.2020</t>
  </si>
  <si>
    <t>Кабель силовой с медными жилами, марка ПвПГнг(А)-HF, напряжение 1000 В, число жил и сечение 3х4 мм2</t>
  </si>
  <si>
    <t>Кабель силовой с медными жилами, марка ПвПГнг(А)-HF, напряжение 1000 В, число жил и сечение 3х6 мм2</t>
  </si>
  <si>
    <t>Кабель ПвБПнг(А)-HF 3х4-1 (6398123) (83599,33/5,58)</t>
  </si>
  <si>
    <t>Кабель ПвПГнг(А)-HF 3х6-1 (6398129) (93959,41/5,58)</t>
  </si>
  <si>
    <t>Кабель ПвПГнг(А)-HF 3х4-1 (6398128) (71475,5/5,58)</t>
  </si>
  <si>
    <t>49684-ТПК_5-1138-Р-ССР2</t>
  </si>
  <si>
    <t>12-4017-Л-Р-11.4.3.3-ЭМ2-СМ1</t>
  </si>
  <si>
    <r>
      <t>4.8-239-3</t>
    </r>
    <r>
      <rPr>
        <i/>
        <sz val="10"/>
        <rFont val="Arial"/>
        <family val="2"/>
        <charset val="204"/>
      </rPr>
      <t xml:space="preserve">
Поправка: ТСН-2001.4. О.П. тб2. п.1</t>
    </r>
  </si>
  <si>
    <t>Блоки управления и распределительные пункты (шкафы) высотой до 1700 мм, блок управления шкафного исполнения или распределительный пункт (шкаф), устанавливаемый на стене, высота и ширина 600х600 мм</t>
  </si>
  <si>
    <t>Пункт распределительный 380/220В, 50Гц, навесного исполнения, с вольтметром, на номинальный ток 250А, с шинами N и PE, с вводом сверxу, выводом снизу, с вводным автоматическим выключателем 3Р Iн.р.=200А, с выключателями распределения, 3Р 100А -1шт, 3Р 80А -2шт, 3Р 63А -1шт, 3Р 50А -1шт, 3Р 40А -1шт, 3Р 32А -3шт. Сальники СКПО-12-4шт, СКПО-22-2шт, СКПО-32-3шт. Степень защиты IP54. Кабель питания 5x120. Автономная установка пожаротушения «Парабола 200».,   12-4005-Л-Р-08-ЭМ2  (2С-8)</t>
  </si>
  <si>
    <t>Пункт распределительный 380/220В, 50Гц, навесного исполнения, с вольтметром, на номинальный ток 250А, с шинами N и PE, с вводом сверxу, выводом снизу, с вводным автоматическим выключателем 3Р Iн.р.=100А, с выключателями распределения, 3Р 50А - 1шт, 3Р 32А - 3шт, 3Р 25А - 1шт, 3Р 20А - 4шт, 3Р 16А - 2шт, 1Р 16А - 6шт. Сальники СКПО-12-16шт, СКПО-22-1шт. Степень защиты IP54. Кабель питания 5x50. Автономная установка пожаротушения «Парабола 100».  12-4005-Л-Р-08-ЭМ2  (2С-33)</t>
  </si>
  <si>
    <t>шт.</t>
  </si>
  <si>
    <t>МИП №3638 от 19.08.2020</t>
  </si>
  <si>
    <t>МКЭ-33-2396/7-4 от 13.04.2018г.</t>
  </si>
  <si>
    <t>49688-ТПК_5-1142-Р-ССР2-изм1.1</t>
  </si>
  <si>
    <t>12-4017-Л-Р-11.4.3.3-ЭМ3-СМ1К</t>
  </si>
  <si>
    <t>взамен: 12-4017-Л-Р-11.4.3.3-ЭМ3-СМ1</t>
  </si>
  <si>
    <r>
      <t>4.8-239-4</t>
    </r>
    <r>
      <rPr>
        <i/>
        <sz val="10"/>
        <rFont val="Arial"/>
        <family val="2"/>
        <charset val="204"/>
      </rPr>
      <t xml:space="preserve">
Поправка: ТСН-2001.4. О.П. тб2. п.1</t>
    </r>
  </si>
  <si>
    <t>Блоки управления и распределительные пункты (шкафы) высотой до 1700 мм, блок управления шкафного исполнения или распределительный пункт (шкаф), устанавливаемый на стене, высота и ширина 1200х1000 мм</t>
  </si>
  <si>
    <r>
      <t>4.8-79-11</t>
    </r>
    <r>
      <rPr>
        <i/>
        <sz val="10"/>
        <rFont val="Arial"/>
        <family val="2"/>
        <charset val="204"/>
      </rPr>
      <t xml:space="preserve">
Поправка: ТСН-2001.4. О.П. тб2. п.1</t>
    </r>
  </si>
  <si>
    <t>Кабели до 35 кВ, прокладываемые по установленным конструкциям и лоткам, кабель с креплением по всей длине, масса 1 м, до 2 кг</t>
  </si>
  <si>
    <r>
      <t>4.8-79-12</t>
    </r>
    <r>
      <rPr>
        <i/>
        <sz val="10"/>
        <rFont val="Arial"/>
        <family val="2"/>
        <charset val="204"/>
      </rPr>
      <t xml:space="preserve">
Поправка: ТСН-2001.4. О.П. тб2. п.1</t>
    </r>
  </si>
  <si>
    <t>Кабели до 35 кВ, прокладываемые по установленным конструкциям и лоткам, кабель с креплением по всей длине, масса 1 м, до 3 кг</t>
  </si>
  <si>
    <t>Пункт распределительный 380/220В, 50Гц, навесного исполнения, с вольметром, на номинальный ток 250А, с шинами N и РЕ, с вводом сверху, выводом снизу, с вводным автоматическим выключателем 3Р iн.р.=63А, с выключателями распределения, 3Р 40А-1шт, 3Р 32А-2шт, 3Р 20А-1шт, 1Р 20А-1шт, 1Р 16А-10шт. Сальники СКПО-12-14шт, СКПО-22-1шт. Степень защиты IP54. Кабель питания 5х25. Автономная установка пожаротушения "Прабола100", 12-4005-Л-Р-08-ЭМ2 (2С-31) (32 099.29/4,56)</t>
  </si>
  <si>
    <t>Пункт распределительный 380/220В, 50Гц, навесного исполнения, с вольметром, на номинальный ток 250А, с шинами N и РЕ, с вводом сверху, выводом снизу, с вводным автоматическим выключателем 3Р iн.р.=100А, с выключателями распределения, 3Р 50А-1шт, 3Р 32А-3шт, 3Р 25А-1шт, 3Р 20А-4шт, 3Р 16А-2шт, 1Р-16А-6шт. Сальники СКПО-12-16шт, СКПО-22-1шт. Степень защиты IP54. Кабель питания 5х50. Автономная установка пожаротушения "Прабола100", 12-4005-Л-Р-08-ЭМ2 (2С-33) (35 821,61/4,56)</t>
  </si>
  <si>
    <t>Кабели силовые с медными жилами огнестойкие, не распространяющие горение, с изоляцией из сшитого полиэтилена и оболочкой из композиций, не содержащих галогенов, бронированные, напряжение 1000 В, марка ПвБПнг(А)-FRHF, число жил и сечение 3х4 мм2</t>
  </si>
  <si>
    <t>Кабель силовой с медными жилами, марка ПвПГнг(А)-HF, напряжение 1000 В, число жил и сечение 5х16 мм2</t>
  </si>
  <si>
    <t>Кабель силовой с медными жилами, марка ПвПГнг(А)-HF, напряжение 1000 В, число жил и сечение 5х10 мм2</t>
  </si>
  <si>
    <t>Кабель силовой с медными жилами, марка ПвПГнг(А)-HF, напряжение 1000 В, число жил и сечение 5х2,5 мм2</t>
  </si>
  <si>
    <t>Кабель силовой с медными жилами, марка ПвПГнг(А)-HF, напряжение 1000 В, число жил и сечение 3х2,5 мм2</t>
  </si>
  <si>
    <t>МИП 3638 от 19.08.2020</t>
  </si>
  <si>
    <t>Пункт распределительный, 2С-13,1 (6403067) (40087,71/4,56)</t>
  </si>
  <si>
    <t>Пункт распределительный, 2С-51 (6435837) (23874,12/4,56)</t>
  </si>
  <si>
    <t>Пункт распределительный, 2С-52 (6435838) (26242,92/4,56)</t>
  </si>
  <si>
    <t>Пункт распределительный, 2С-54 (6435840) (30650,58/4,56)</t>
  </si>
  <si>
    <t>Пункт распределительный, 2С-55 (6435841) (24724,35/4,56)</t>
  </si>
  <si>
    <t>Пункт распределительный, 2С-13,2 (6403068) (42249,24/4,56)</t>
  </si>
  <si>
    <t>Пункт распределительный, 2С-13,3 (6403069) (34347,6/4,56)</t>
  </si>
  <si>
    <t>Пункт распределительный, 2С-23,1 (6403071) (54582,40/4,56)</t>
  </si>
  <si>
    <t>Пункт распределительный, 2С-21,2 (6403081) (51656,76/4,56)</t>
  </si>
  <si>
    <t>МИП 2843 от 15.06.2020</t>
  </si>
  <si>
    <t>Кабель ПвБПнг(А)-FRHF 3х4-1 (6403124) (120683,21/5,58)</t>
  </si>
  <si>
    <t>Кабель ПвПГнг(А)-HF 5х16-1 (6403127) (329556,83/5,58)</t>
  </si>
  <si>
    <t>Кабель ПвПГнг(А)-HF5х10-1 (6403128) (107188,96/5,58)</t>
  </si>
  <si>
    <t xml:space="preserve">Кабель ПвПГнг(А)-HF 5х2,5-1 (6403131) (72774,98/5,58) </t>
  </si>
  <si>
    <t>Кабель ПвПГнг(А)-HF 3х4-1 (6403134) (71475,5/5,58)</t>
  </si>
  <si>
    <t>Кабель ПвПГнг(А)-HF 3х2,5-1 (6403135) (48153,27/5,58)</t>
  </si>
  <si>
    <t>48878-ТПК_5-0710-Р-ССР2-изм1.1</t>
  </si>
  <si>
    <t>12-4017-Л-Р-11.5.5-ЭП1-СМ1К</t>
  </si>
  <si>
    <t>взамен: 12-4017-Л-Р-11.5.5-ЭП1-СМ1</t>
  </si>
  <si>
    <r>
      <t>4.8-42-4</t>
    </r>
    <r>
      <rPr>
        <i/>
        <sz val="10"/>
        <rFont val="Arial"/>
        <family val="2"/>
        <charset val="204"/>
      </rPr>
      <t xml:space="preserve">
Поправка: ТСН-2001.4. О.П. тб2. п.1</t>
    </r>
  </si>
  <si>
    <t>Трансформаторы, автотрансформаторы и реакторы, трансформатор силовой, автотрансформатор или масляный реактор, масса до 10 т (ТРС3П-2500/20 УХЛ3, ТС3-2500/20)</t>
  </si>
  <si>
    <r>
      <t>4.8-69-4</t>
    </r>
    <r>
      <rPr>
        <i/>
        <sz val="10"/>
        <rFont val="Arial"/>
        <family val="2"/>
        <charset val="204"/>
      </rPr>
      <t xml:space="preserve">
Поправка: ТСН-2001.4. О.П. тб2. п.1</t>
    </r>
  </si>
  <si>
    <t>Автоматические выпрямительные устройства, устройство, масса до 1,5 т (В-МПП-Д-2,0К-825)</t>
  </si>
  <si>
    <r>
      <t>4.8-42-2</t>
    </r>
    <r>
      <rPr>
        <i/>
        <sz val="10"/>
        <rFont val="Arial"/>
        <family val="2"/>
        <charset val="204"/>
      </rPr>
      <t xml:space="preserve">
Поправка: ТСН-2001.4. О.П. тб2. п.1</t>
    </r>
  </si>
  <si>
    <t>Трансформаторы, автотрансформаторы и реакторы, трансформатор силовой, автотрансформатор или масляный реактор, масса до 3 т (ТС3 400/20, ТС3 250/20, ТС3-160/20)</t>
  </si>
  <si>
    <r>
      <t>4.8-42-1</t>
    </r>
    <r>
      <rPr>
        <i/>
        <sz val="10"/>
        <rFont val="Arial"/>
        <family val="2"/>
        <charset val="204"/>
      </rPr>
      <t xml:space="preserve">
Поправка: ТСН-2001.4. О.П. тб2. п.1</t>
    </r>
  </si>
  <si>
    <t>Трансформаторы, автотрансформаторы и реакторы, трансформатор силовой, автотрансформатор или масляный реактор, масса до 1 т (ТС3 63/20)</t>
  </si>
  <si>
    <t>Выпрямитель для системы тягового электроснабжения В-МПП-Д-2,5к-825В. Схема выпрямления мостовая двенадцатипульсная, Iном=2,5кА, Uном вх=658В, Uном вых=825В, 6 фаз входного напряжения, принудительное охлаждение, степень защиты IP30, контроль пробоя диодов (система диагностики); габаритные размеры не более 1460х1010х2400 мм; масса, не более 540 кг. (2783361,15/4,56)</t>
  </si>
  <si>
    <t>Трансформатор ТСЗ-2500/20, номинальная можность 2500 кВА, cухой, трехфазный, медные обмоткаи, напряжение 21000±2х2,5%/400В, перегрузочная способность 5% -  длительная работа в кожухе, 20% - длительная работа без кожуха, схема и группа соединения обмоток D/Yн-11 с глухозаземленной нейтралью, исполнение IP31, УХЛ3, класс  нагревостойкости Н (180 С), расстояние между гладкими переставными катками 1070х1070 мм., габаритные размеры 3300х1695х2860 мм. с учетом кожуха, кабельных коробов и съемных ручек, вес 9000 кг (3912668,08/4,56)</t>
  </si>
  <si>
    <t>Трансформатор трехфазный сухой ТСЗ-400/20/0,4-0,23 кВ УХЛЗ с медными обмотками. Номинальная мощность 400 кВА, класс напряжения 20 кВ, для преобразования электрической энергии в электросетях трехфазного переменного тока частотой 50Гц</t>
  </si>
  <si>
    <t>Трансформатор ТСЗ-250/20, номинальная мощность 250 кВА, сухой, трехфазный, трехобмоточный, с расщепленными медными обмотками, напряжение 21000±2&gt;2,5%/400 В,  схема и группа соединения обмоток D/Y-11. степень защиты не ниже IP21, класс нагревостойкости Н (180С). УХЛ3, тип блока контроля температуры MSF220V, габаритные размеры не более 2400x1210x2000 мм. вес не более 2000 кг (1047947,09/4,56)</t>
  </si>
  <si>
    <t>Трансформатор трехфазный сухой ТСЗ-160/20/0,4 кВ УХЛЗ с медными обмотками, класс нагревостойкости изоляции Н. Номинальная мощность 160 кВА, класс напряжения 20 кВ</t>
  </si>
  <si>
    <t>Трансформатор трехфазный сухой ТСЗ-63/20/0,23 кВ УХЛЗ с медными обмотками. Номинальная мощность 63 кВА, класс напряжения 20 кВ, для преобразования электрической энергии в электросетях трехфазного переменного тока частотой 50Гц</t>
  </si>
  <si>
    <t>МИП №3532 от 08.07.2020</t>
  </si>
  <si>
    <t>МИП №3534 от 17.07.2020</t>
  </si>
  <si>
    <t>МИП №3533 от 10.07.2020</t>
  </si>
  <si>
    <t>Трансформатор преобразовательный ТРСЗП 2500/20/0,657 (6293135)  (4810931,67/4,56)</t>
  </si>
  <si>
    <t>Выпрямительный агрегат с 12-ти пультовой системой выпрямления, напр 825В, из 10 панелей и 2-х шкафов (6293136) (2040438/4,56)</t>
  </si>
  <si>
    <t>Трансформатор силовой ТЗС 2500/20/0,4 (6293147) (4273290/4,56)</t>
  </si>
  <si>
    <t>Трансформатор силовой ТЗС 400/20/0,4 (6293148) (1581545,15/4,56)</t>
  </si>
  <si>
    <t>Трансформатор силовой ТЗС 250/20/0,4 (6293149) (1030750/4,56)</t>
  </si>
  <si>
    <t>Трансформатор силовой ТЗС 160/20/0,4 (6293150) (1200636,64/4,56)</t>
  </si>
  <si>
    <t>Трансформатор силовой ТЗС 63/20/0,23 (6293151) (505400/4,56)</t>
  </si>
  <si>
    <t>04741510</t>
  </si>
  <si>
    <t>Инвестор-Застройщик:</t>
  </si>
  <si>
    <t>ГУП "Московский метрополитен" 129110, г.Москва, проспект Мира, д. 41 стр.2</t>
  </si>
  <si>
    <t>03997784</t>
  </si>
  <si>
    <t>Заказчик-Генподрядчик:</t>
  </si>
  <si>
    <t>АО "Мосинжпроект" 101000, г.Москва, Сверчков пер., д.4/1</t>
  </si>
  <si>
    <t>ООО "МИП-Строй №1", 101000, г. Москва, Девяткин пер., д.5, стр.3., комн.204</t>
  </si>
  <si>
    <t>Юго-Западный участок ТПК, ст."Проспект Вернадского" - ст."Можайская". 6 этап: "Участок линии от ст."Проспект Вернадского" до ст."Аминьевское шоссе"</t>
  </si>
  <si>
    <t>Итого по разделу</t>
  </si>
  <si>
    <t>в т.ч. ЗП и ЗПМ</t>
  </si>
  <si>
    <t>в т. ч. Материалы</t>
  </si>
  <si>
    <t>Прочие</t>
  </si>
  <si>
    <t>ВЗиС 5,61%</t>
  </si>
  <si>
    <t xml:space="preserve">СМР с ВЗиС 5,61%% </t>
  </si>
  <si>
    <t>К=0,15 от ОЗП+ЗПМ</t>
  </si>
  <si>
    <t>Итого с ВЗиС 5,61%, К=0,15 и прочие и оборудование</t>
  </si>
  <si>
    <t>Итого по разделу с к1=0,975</t>
  </si>
  <si>
    <t>СМР с к1=0,975</t>
  </si>
  <si>
    <t>в т.ч. ЗП и ЗПМ с к1=0,975</t>
  </si>
  <si>
    <t>в т.ч. Материалы к1=0,975</t>
  </si>
  <si>
    <t>Прочие с к1=0,975</t>
  </si>
  <si>
    <t>ВЗиС 5,61% с к1=0,975</t>
  </si>
  <si>
    <t>СМР с ВЗиС 5,61% с к1=0,975</t>
  </si>
  <si>
    <t>К=0,15 от ОЗП+ЗПМ с К1=0,975</t>
  </si>
  <si>
    <t>Итого по разделу с к2=0,9989999999996736</t>
  </si>
  <si>
    <t>СМР с к2=0,9989999999996736</t>
  </si>
  <si>
    <t>в т.ч. ЗП и ЗПМ с к2=0,9989999999996736</t>
  </si>
  <si>
    <t>в т.ч. Материалы к2=0,9989999999996736</t>
  </si>
  <si>
    <t>Прочие с к2=0,9989999999996736</t>
  </si>
  <si>
    <t>ВЗиС 5,61% с к2=0,9989999999996736</t>
  </si>
  <si>
    <t>СМР с ВЗиС 5,61% с к2=0,9989999999996736</t>
  </si>
  <si>
    <t>К=0,15 от ОЗП+ЗПМ с К2=0,9989999999996736</t>
  </si>
  <si>
    <t>Раздел 15.1</t>
  </si>
  <si>
    <t>Раздел 15.2</t>
  </si>
  <si>
    <t>Раздел 15.3</t>
  </si>
  <si>
    <t>Раздел 15.4</t>
  </si>
  <si>
    <t>Раздел 15.5</t>
  </si>
  <si>
    <t>Раздел 15.6</t>
  </si>
  <si>
    <t>Раздел 15.7</t>
  </si>
  <si>
    <t>Раздел 15.8</t>
  </si>
  <si>
    <t>Раздел 15.9</t>
  </si>
  <si>
    <t>Раздел 15.10</t>
  </si>
  <si>
    <t>Кабель MIнг(А)-HF 4х1х35 напряжение 1 кВ (расчетная масса 1437,4 кг/км) (2 240 108/5,58)</t>
  </si>
  <si>
    <t>Кабель MIнг(А)-FRHF 5х1х35 напряжение 1 кВ (расчетная масса 1924,9 кг/км) (3 192 572,5/5,58)</t>
  </si>
  <si>
    <t>Smeta.RU  (495) 974-1589</t>
  </si>
  <si>
    <t>Инвестор</t>
  </si>
  <si>
    <t>ГУП "Московский метрополитен", 129110, г. Москва, пр-т Мира, д.41, стр.2 (495)-622-75-83</t>
  </si>
  <si>
    <t>Заказчик</t>
  </si>
  <si>
    <t>АО "Мосинжпроект", 101990, г. Москва, Сверчков пер., д.4/1.(495)-225-19-40)</t>
  </si>
  <si>
    <t xml:space="preserve">ООО "МИП-Строй №1", 101000, г. Москва, Девяткин пер. д.5, стр. 3, ком. 204 </t>
  </si>
  <si>
    <t>Субподрядчик</t>
  </si>
  <si>
    <t xml:space="preserve">ООО "СТРОЙ-МОНТАЖ 2002", 125362, г. Москва, улица Свободы, дом 17,Э Подвал П I ком. 1, оф. 2 </t>
  </si>
  <si>
    <t>"Юго-Западный участок ТПК, ст. "Проспект Вернадского"-ст. Можайская". 6 этап: "Участок линии от ст. "Проспект Вернадского" до ст. "Аминьевское шоссе"</t>
  </si>
  <si>
    <t>262-0619-OK-1/H</t>
  </si>
  <si>
    <t>1.23-8-1312</t>
  </si>
  <si>
    <t>1.23-8-1281</t>
  </si>
  <si>
    <t>1.23-8-852</t>
  </si>
  <si>
    <t>1.23-8-853</t>
  </si>
  <si>
    <r>
      <t xml:space="preserve">Заказчик - Генподрядчик: </t>
    </r>
    <r>
      <rPr>
        <sz val="12"/>
        <rFont val="Arial"/>
        <family val="2"/>
        <charset val="204"/>
      </rPr>
      <t>АО "Мосинжпроект", 101000, г. Москва, Сверчков пер., д.4/1</t>
    </r>
  </si>
  <si>
    <r>
      <rPr>
        <b/>
        <sz val="12"/>
        <rFont val="Arial"/>
        <family val="2"/>
        <charset val="204"/>
      </rPr>
      <t>Подрядчик:</t>
    </r>
    <r>
      <rPr>
        <sz val="12"/>
        <rFont val="Arial"/>
        <family val="2"/>
        <charset val="204"/>
      </rPr>
      <t xml:space="preserve"> ООО "МИП-Строй №1"</t>
    </r>
  </si>
  <si>
    <t>Юго-Западный участок ТПК, ст."Проспект Вернадского" - ст."Можайская". 6 этап: "Участок линии от ст."Проспект Вернадского" до ст.Аминьевское шоссе"</t>
  </si>
  <si>
    <t>Контракт: №262-0619-ОК-1/Н от 05.09.2019г.</t>
  </si>
  <si>
    <t>РЕЕСТР (основное строительство)</t>
  </si>
  <si>
    <t>Оборудование</t>
  </si>
  <si>
    <t>№ чертежа</t>
  </si>
  <si>
    <t>Рег. № сметы</t>
  </si>
  <si>
    <r>
      <t xml:space="preserve">Прочие (К=1,15 к ЗП и ЗПМ - </t>
    </r>
    <r>
      <rPr>
        <b/>
        <i/>
        <sz val="12"/>
        <rFont val="Arial"/>
        <family val="2"/>
        <charset val="204"/>
      </rPr>
      <t>Распоряжение №761-РП от 23.12.15</t>
    </r>
    <r>
      <rPr>
        <b/>
        <sz val="12"/>
        <rFont val="Arial"/>
        <family val="2"/>
        <charset val="204"/>
      </rPr>
      <t>)</t>
    </r>
  </si>
  <si>
    <t>Стоимость давальческих материалов и оборудования</t>
  </si>
  <si>
    <t>Стоимость                                                                                                           в базовых ценах</t>
  </si>
  <si>
    <t>Стоимость в базовых ценах</t>
  </si>
  <si>
    <t>Стоимость в текущих ценах К1=1</t>
  </si>
  <si>
    <t>Этап 6</t>
  </si>
  <si>
    <t>Станционный комплекс "Проспект Вернадского"</t>
  </si>
  <si>
    <t>Подрядчик:</t>
  </si>
  <si>
    <t>Генеральный директор ООО "МИП-Строй №1"</t>
  </si>
  <si>
    <t>Воробьев С.А.</t>
  </si>
  <si>
    <t>С.А.Воробьев</t>
  </si>
  <si>
    <t>К.В.Маслаков</t>
  </si>
  <si>
    <t>Работы выполнены в августе 2020г.</t>
  </si>
  <si>
    <t>ВСЕГО в базисном уровне цен, руб.</t>
  </si>
  <si>
    <t>8</t>
  </si>
  <si>
    <t>9</t>
  </si>
  <si>
    <t>10</t>
  </si>
  <si>
    <t>11</t>
  </si>
  <si>
    <t>ООО "Строй-Монтаж2002"</t>
  </si>
  <si>
    <t>12</t>
  </si>
  <si>
    <t>13</t>
  </si>
  <si>
    <t>14</t>
  </si>
  <si>
    <t>15</t>
  </si>
  <si>
    <t>Кабель MIнг(А)-FRHF 5х1х35 напряжением 1кВ (расчетная масса 1924,9 кг/км) Базисная стоимость:       3 192 572,50/5,48*1,02</t>
  </si>
  <si>
    <t>Кабель MIнг(А)-HF 4х1х35 напряжением 1кВ (расчетная масса 1437,4 кг/км) Базисная стоимость:                               2 240 108,00/5,48*1,02</t>
  </si>
  <si>
    <t>Трансформатор преобразовательный ТРСЗП-2500/20, сухой, трехфазный, трехобмоточный с расщепленными медными обмотками, в защитном кожухе, мощностью 2500 кВА, напряжением 20000±2х2,5%/657В, напряжение короткого замыкания 6%, степень защиты не ниже IP31, класс нагревостойкости изоляции обмоток не ниже Н(180°), схема и группа соединения обмоток D/Y/D-11-0, УХЛ3, расстояние между переставными катками 820х820 мм, блок контроля температуры в наличии, установка - на кожухе, цвет окраски (RAL) - 5015, габаритные размеры не более 3372х1610х3150 мм, масса 8700 кг (5064033,34/4,56)*1,03*1,012</t>
  </si>
  <si>
    <t xml:space="preserve">          Унифицированная форма № КС-3</t>
  </si>
  <si>
    <t xml:space="preserve">          Утверждена постановлением Госкомстата России от 11.11.99г. №100</t>
  </si>
  <si>
    <t>КОД</t>
  </si>
  <si>
    <t>0322001</t>
  </si>
  <si>
    <r>
      <rPr>
        <sz val="11"/>
        <color indexed="8"/>
        <rFont val="Arial"/>
        <family val="2"/>
        <charset val="204"/>
      </rPr>
      <t xml:space="preserve">Инвестор-
Застройщик:  </t>
    </r>
    <r>
      <rPr>
        <b/>
        <sz val="11"/>
        <color indexed="8"/>
        <rFont val="Arial"/>
        <family val="2"/>
        <charset val="204"/>
      </rPr>
      <t xml:space="preserve">ГУП "Московский Метрополитен" </t>
    </r>
    <r>
      <rPr>
        <sz val="11"/>
        <color indexed="8"/>
        <rFont val="Arial"/>
        <family val="2"/>
        <charset val="204"/>
      </rPr>
      <t>129110 г.Москва, Проспект Мира, д.41, стр. 2</t>
    </r>
  </si>
  <si>
    <t>03324364</t>
  </si>
  <si>
    <t>(организация, адрес, телефон, факс)</t>
  </si>
  <si>
    <r>
      <rPr>
        <sz val="11"/>
        <color indexed="8"/>
        <rFont val="Arial"/>
        <family val="2"/>
        <charset val="204"/>
      </rPr>
      <t xml:space="preserve">Заказчик -
Генподрядчик:  </t>
    </r>
    <r>
      <rPr>
        <b/>
        <sz val="11"/>
        <color indexed="8"/>
        <rFont val="Arial"/>
        <family val="2"/>
        <charset val="204"/>
      </rPr>
      <t xml:space="preserve">АО "Мосинжпроект" </t>
    </r>
    <r>
      <rPr>
        <sz val="11"/>
        <color indexed="8"/>
        <rFont val="Arial"/>
        <family val="2"/>
        <charset val="204"/>
      </rPr>
      <t>101990 Москва, Сверчков пер., д.4/1</t>
    </r>
  </si>
  <si>
    <r>
      <rPr>
        <sz val="11"/>
        <color indexed="8"/>
        <rFont val="Arial"/>
        <family val="2"/>
        <charset val="204"/>
      </rPr>
      <t xml:space="preserve">Подрядчик:  </t>
    </r>
    <r>
      <rPr>
        <b/>
        <sz val="11"/>
        <color indexed="8"/>
        <rFont val="Arial"/>
        <family val="2"/>
        <charset val="204"/>
      </rPr>
      <t xml:space="preserve"> ООО "МИП-Строй №1"</t>
    </r>
    <r>
      <rPr>
        <sz val="11"/>
        <color indexed="8"/>
        <rFont val="Arial"/>
        <family val="2"/>
        <charset val="204"/>
      </rPr>
      <t xml:space="preserve"> 101100  Москва, Девяткин пер, д.5, стр.3, комн. 204</t>
    </r>
  </si>
  <si>
    <r>
      <rPr>
        <sz val="11"/>
        <color indexed="8"/>
        <rFont val="Arial"/>
        <family val="2"/>
        <charset val="204"/>
      </rPr>
      <t xml:space="preserve">Стройка: </t>
    </r>
    <r>
      <rPr>
        <b/>
        <sz val="11"/>
        <color indexed="8"/>
        <rFont val="Arial"/>
        <family val="2"/>
        <charset val="204"/>
      </rPr>
      <t>Юго-Западный участок ТПК, ст."Проспект Вернадского" - ст."Можайская". 6 этап: "Участок линии от ст."Проспект Вернадского" до ст.Аминьевское шоссе"</t>
    </r>
  </si>
  <si>
    <r>
      <rPr>
        <sz val="11"/>
        <color indexed="8"/>
        <rFont val="Arial"/>
        <family val="2"/>
        <charset val="204"/>
      </rPr>
      <t xml:space="preserve">Объект: </t>
    </r>
    <r>
      <rPr>
        <b/>
        <sz val="11"/>
        <color indexed="8"/>
        <rFont val="Arial"/>
        <family val="2"/>
        <charset val="204"/>
      </rPr>
      <t>Юго-Западный участок ТПК, ст."Проспект Вернадского" - ст."Можайская". 6 этап: "Участок линии от ст."Проспект Вернадского" до ст.Аминьевское шоссе"</t>
    </r>
  </si>
  <si>
    <t>Вид деятельности по ОКДП</t>
  </si>
  <si>
    <t>Договор подряда (контракт)</t>
  </si>
  <si>
    <t xml:space="preserve">262-0619-ОК-1/Н </t>
  </si>
  <si>
    <t>05.09.2019г.</t>
  </si>
  <si>
    <t>Вид операции</t>
  </si>
  <si>
    <t>Номер   док-та</t>
  </si>
  <si>
    <t>Дата составл.</t>
  </si>
  <si>
    <t>СПРАВКА
О  СТОИМОСТИ ВЫПОЛНЕННЫХ РАБОТ И ЗАТРАТ</t>
  </si>
  <si>
    <t>о стоимости выполненных работ и затрат в базовых и текущих ценах</t>
  </si>
  <si>
    <t xml:space="preserve"> №№
п/п</t>
  </si>
  <si>
    <t>Наименование пусковых комплексов, объектов, видов работ, оборудования, затрат</t>
  </si>
  <si>
    <t xml:space="preserve">    СТОИМОСТЬ  ВЫПОЛНЕННЫХ  РАБОТ  И  ЗАТРАТ</t>
  </si>
  <si>
    <t>С начала проведения работ</t>
  </si>
  <si>
    <t>С начала года</t>
  </si>
  <si>
    <t>В том числе: отчетный месяц</t>
  </si>
  <si>
    <t>В базовых ценах</t>
  </si>
  <si>
    <t>В текущ. ценах</t>
  </si>
  <si>
    <t xml:space="preserve">В текущ. ценах </t>
  </si>
  <si>
    <t>Всего работ и затрат , включаемых в стоимость работ</t>
  </si>
  <si>
    <t xml:space="preserve"> в том числе:</t>
  </si>
  <si>
    <t>НДС - 18%</t>
  </si>
  <si>
    <t>Итого СМР с НДС 18%</t>
  </si>
  <si>
    <t>НДС - 20%</t>
  </si>
  <si>
    <t>Итого СМР с НДС 20%</t>
  </si>
  <si>
    <t>Итого прочие с НДС 18%</t>
  </si>
  <si>
    <t>Итого прочие с НДС 20%</t>
  </si>
  <si>
    <t>16</t>
  </si>
  <si>
    <t>17</t>
  </si>
  <si>
    <t>18</t>
  </si>
  <si>
    <t>Итого оборудование с НДС 18%</t>
  </si>
  <si>
    <t>19</t>
  </si>
  <si>
    <t>20</t>
  </si>
  <si>
    <t>21</t>
  </si>
  <si>
    <t>Итого оборудование с НДС 20%</t>
  </si>
  <si>
    <t>22</t>
  </si>
  <si>
    <r>
      <t>Итого работ и затрат облагаемых налогом 18</t>
    </r>
    <r>
      <rPr>
        <i/>
        <strike/>
        <sz val="10"/>
        <rFont val="Arial"/>
        <family val="2"/>
        <charset val="204"/>
      </rPr>
      <t>%</t>
    </r>
  </si>
  <si>
    <t>23</t>
  </si>
  <si>
    <t>Итого НДС 18%</t>
  </si>
  <si>
    <t>24</t>
  </si>
  <si>
    <t>ВСЕГО с НДС 18%</t>
  </si>
  <si>
    <t>25</t>
  </si>
  <si>
    <r>
      <t>Итого работ и затрат облагаемых налогом 20</t>
    </r>
    <r>
      <rPr>
        <i/>
        <strike/>
        <sz val="10"/>
        <rFont val="Arial"/>
        <family val="2"/>
        <charset val="204"/>
      </rPr>
      <t>%</t>
    </r>
  </si>
  <si>
    <t>26</t>
  </si>
  <si>
    <t>Итого НДС 20%</t>
  </si>
  <si>
    <t>27</t>
  </si>
  <si>
    <t>ВСЕГО с НДС 20%</t>
  </si>
  <si>
    <t>28</t>
  </si>
  <si>
    <t>Всего работ и затрат облагаемых налогом  (стр.22+25)</t>
  </si>
  <si>
    <t>29</t>
  </si>
  <si>
    <t>Итого НДС ( стр. 23+26)</t>
  </si>
  <si>
    <t>30</t>
  </si>
  <si>
    <t>ВСЕГО с НДС  (стр. 24+27)</t>
  </si>
  <si>
    <t xml:space="preserve"> </t>
  </si>
  <si>
    <t xml:space="preserve">Заказчик-Генподрядчик:  </t>
  </si>
  <si>
    <t>Директор дирекции Метро-3</t>
  </si>
  <si>
    <t>А.В. Исаев</t>
  </si>
  <si>
    <t>АО "Мосинжпроект"</t>
  </si>
  <si>
    <t>(доверенность №1-9.0-3705 от 18.11.2019г.)</t>
  </si>
  <si>
    <t>м.п.</t>
  </si>
  <si>
    <t>Генеральный директор</t>
  </si>
  <si>
    <t xml:space="preserve"> ООО "МИП-Строй №1"</t>
  </si>
  <si>
    <t>Акт № 16</t>
  </si>
  <si>
    <t>Всего по Акт № 16 за месяц</t>
  </si>
  <si>
    <t>ИТОГО за Декабрь 2020г</t>
  </si>
  <si>
    <t>16.1</t>
  </si>
  <si>
    <t>16.2</t>
  </si>
  <si>
    <t>16.3</t>
  </si>
  <si>
    <t>16.4</t>
  </si>
  <si>
    <t>16.5</t>
  </si>
  <si>
    <t>16.6</t>
  </si>
  <si>
    <t>16.7</t>
  </si>
  <si>
    <t>16.8</t>
  </si>
  <si>
    <t>16.9</t>
  </si>
  <si>
    <t>16.10</t>
  </si>
  <si>
    <t>16.11</t>
  </si>
  <si>
    <t>16.12</t>
  </si>
  <si>
    <t>ООО "ТрансЭнергоСнаб"</t>
  </si>
  <si>
    <t>Стоимость в текущих ценах                                                                                                                                                                                          К1=0,975 и К2=0,9989999999996736</t>
  </si>
  <si>
    <t>16.13</t>
  </si>
  <si>
    <t>12-4017-Л-Р-8.3.1-ВК-СМ1 Инженерные системы. Тонельный водопровод и водоотвод</t>
  </si>
  <si>
    <t>48824-ТПК_5-0687-Р-ССР2</t>
  </si>
  <si>
    <t>12-4017-Л-Р-12.3.1-ВК-СМ1</t>
  </si>
  <si>
    <t>Перегон от ст. "Аминьевское шоссе" до переходной камеры. Инженерные системы. Тоннельный водопровод. Тонельный водопровод и водоотвод.</t>
  </si>
  <si>
    <t>Составлен(а) в уровне текущих (прогнозных) цен ТСН-2001 МГЭ строительство №166 июль 2020 года и Коэффициенты пересчета к ТСН-2001.13-2 июнь 2020 года</t>
  </si>
  <si>
    <t>Трубы бесшовные холоднодеформированные из коррозионностойкой стали, ГОСТ 9941-81, наружный диаметр 57 мм, толщина стенки 3,5 мм (прим.)</t>
  </si>
  <si>
    <t>Фитинги (сгоны) из стальных водогазопроводных неоцинкованных труб для соединения стальных трубопроводов с муфтой и контргайкой, диаметр условного прохода до 50 мм</t>
  </si>
  <si>
    <t>Установка фасонных частей чугунных напорных диаметром 65 мм</t>
  </si>
  <si>
    <t>Трубы бесшовные холоднодеформированные из коррозионностойкой стали, ГОСТ 9941-81, наружный диаметр 25 мм, толщина стенки 2,8 мм</t>
  </si>
  <si>
    <t>Фитинги (сгоны) из стальных водогазопроводных неоцинкованных труб для соединения стальных трубопроводов с муфтой и контргайкой, диаметр условного прохода до 20 мм</t>
  </si>
  <si>
    <t>Работы выполнены в октябре 2020г.</t>
  </si>
  <si>
    <t>48837-ТПК_5-0699-Р-ССР2-изм. 1.1</t>
  </si>
  <si>
    <t>12-4017-Л-Р-11.4.3.1-ОВ1.1-СМ1К</t>
  </si>
  <si>
    <t xml:space="preserve">Станционный комплекс Аминьевское шоссе. Вестибюль №2, камера сьездов, ТПП. Внутренние инженерные системы. Отопление, вентиляция, кондиционирование, дымоудаление. Вентиляция. </t>
  </si>
  <si>
    <t>Составлен(а) в уровне текущих (прогнозных) цен ТСН МГЭ строительство №166 июль 2020 года</t>
  </si>
  <si>
    <t>Кол-во
единиц</t>
  </si>
  <si>
    <t>Цена на
ед. изм.,
руб.</t>
  </si>
  <si>
    <t>Попра-
вочные
коэфф.</t>
  </si>
  <si>
    <t>Коэфф.
зимних
удоро-
жаний</t>
  </si>
  <si>
    <t>ВСЕГО в
базисном
уровне цен,
руб.</t>
  </si>
  <si>
    <t>Коэфф.
пере-
счета и
нормы
НР и СП</t>
  </si>
  <si>
    <t>Всего в
текущем
уровне цен,
руб.</t>
  </si>
  <si>
    <t>Прокладка воздуховодов из черной, оцинкованной стали и алюминия толщиной 0,6 мм диаметром до 250 мм</t>
  </si>
  <si>
    <t>Воздуховоды круглого сечения из оцинкованной стали, толщина стенки до 1,2 мм, диаметр 250-450 мм</t>
  </si>
  <si>
    <t>Прокладка воздуховодов из черной, оцинкованной стали и алюминия толщиной 0,5 мм периметром до 600 мм</t>
  </si>
  <si>
    <t>Воздуховоды прямоугольного сечения из оцинкованной стали, толщина стенки до 1,2 мм, периметр до 1000 мм</t>
  </si>
  <si>
    <t>Прокладка воздуховодов из черной, оцинкованной стали и алюминия толщиной 0,7 мм периметром от 1100 до 1600 мм</t>
  </si>
  <si>
    <t>Воздуховоды прямоугольного сечения из оцинкованной стали, толщина стенки до 1,2 мм, периметр до 4000 мм</t>
  </si>
  <si>
    <t>Прокладка воздуховодов из черной, оцинкованной стали и алюминия толщиной 0,7 мм периметром до 2400 мм</t>
  </si>
  <si>
    <t>Прокладка воздуховодов из черной, оцинкованной стали и алюминия толщиной 0,7 мм периметром до 3200 мм</t>
  </si>
  <si>
    <t>Прокладка воздуховодов из черной, оцинкованной стали и алюминия толщиной 0,7 мм диаметром от 500 до 560 мм</t>
  </si>
  <si>
    <t>Воздуховоды круглого сечения из оцинкованной стали, толщина стенки до 1,2 мм, диаметр 500-800 мм</t>
  </si>
  <si>
    <t xml:space="preserve">Итого по акту: </t>
  </si>
  <si>
    <t>Установка глушителей шума вентиляционных установок трубчатых типа ГТП 1-3 сечением 400 х 200 мм</t>
  </si>
  <si>
    <t>Глушители шума вентиляционных установок, трубчатые из листовой оцинкованной стали, прямоугольного сечения на реечном соединении марка ГТП1-3, сечение обечайки 400х200 мм, масса наполнителя 3 кг</t>
  </si>
  <si>
    <t>Установка глушителей шума вентиляционных установок трубчатых типа ГТП 1-2 сечением 300 х 200 мм</t>
  </si>
  <si>
    <t>Глушители шума вентиляционных установок, трубчатые из листовой оцинкованной стали, прямоугольного сечения на реечном соединении марка ГТП1-2, сечение обечайки 300х200 мм, масса наполнителя 2,74 кг</t>
  </si>
  <si>
    <t>Установка глушителей шума вентиляционных установок трубчатых круглого сечения типа ГТК 1-3 диаметром обечайки 250 мм</t>
  </si>
  <si>
    <t>Глушители шума вентиляционных установок, трубчатые из листовой оцинкованной стали, круглого сечения на ниппельном соединении, Евростандарт, марка ШН-01.000-07, диаметр 250 мм, длина 600 мм</t>
  </si>
  <si>
    <t>Установка глушителей шума вентиляционных установок трубчатых круглого сечения типа ГТК 1-4 диаметром обечайки 315 мм</t>
  </si>
  <si>
    <t>Глушители шума вентиляционных установок, трубчатые из листовой оцинкованной стали, круглого сечения на ниппельном соединении, Евростандарт, марка ШН-01.000-08, диаметр 315 мм, длина 600 мм</t>
  </si>
  <si>
    <t>Установка глушителей шума вентиляционных установок трубчатых круглого сечения типа ГТК 1-2 диаметром обечайки 200 мм</t>
  </si>
  <si>
    <t>Глушители шума вентиляционных установок, трубчатые из листовой оцинкованной стали, круглого сечения на ниппельном соединении, Евростандарт, марка ШН-01.000-06, диаметр 200 мм, длина 600 мм</t>
  </si>
  <si>
    <t>Глушители шума вентиляционных установок, трубчатые из листовой оцинкованной стали, круглого сечения на ниппельном соединении, Евростандарт, марка ШН-01.000-05, диаметр 160 мм, длина 600 мм</t>
  </si>
  <si>
    <t>Клапаны огнезадерживающие КПУ диаметром 200 мм</t>
  </si>
  <si>
    <t>Клапан противопожарный универсальный, нормально-открытый, исполнение общепромышленное, ниппельный, с электроприводом на 220 В, привод снаружи, без терморазмыкающего устройства, без клеммной коробки/колодки, без решеток, без монтажного лючка, без переходника на круглое сечение, без рукоятки для ручного взвода; без монтажной рамы, размер 160 мм 
Базисная стоимость: 1 689,77 = [9 244,07 /  5,58] +  2% Заг.скл</t>
  </si>
  <si>
    <t>Клапаны огнезадерживающие КПУ диаметром 315 мм</t>
  </si>
  <si>
    <t>Клапан противопожарный универсальный, нормально-открытый, исполнение общепромышленное, ниппельный, с электроприводом, на 220В, привод снаружи, без терморазмыкающего устройства, с клеммной коробкой, без решеток, без монтажного лючка, без рукоятки для ручного взвода, без монтажной рамы, размер 250 мм 
Базисная стоимость: 2 454,42 = [13 427,08 /  5,58] +  2% Заг.скл</t>
  </si>
  <si>
    <t>Установка клапанов огнезадерживающих периметром до 1600 мм</t>
  </si>
  <si>
    <t>)*(1.67-1)*1.05</t>
  </si>
  <si>
    <t>Клапан противопожарный универсальный КПУ-1Н-О-Н-200х200-2*ф-МВ220-Т-сн-0-0-0-0-0-мрп, нормально открытый, предел огнестойкости EI90, общепромышленное исполнение, рабочее сечение (ШхВ) 200х200 мм, канальный, два фланца, электропривод «Belimo» на 220В, терморазмыкающее устройство, привод снаружи, без клеммной колодки/коробки, без решеток, без монтажного лючка, без переходника на круглое сечение, без рукоятки для ручного взвода, с монтажной рамой для присоединения к стене 
Базисная стоимость: 2 625,25 = [14 361,64 /  5,58] +  2% Заг.скл</t>
  </si>
  <si>
    <t>Клапан противопожарный универсальный тип КПУ-1Н, нормально открытый с пределом огнестойкости EI90, прямоугольного сечения, канальный, с электроприводом 0,006 кВт, 220В, установленным снаружи, размер 200*250 мм 
Базисная стоимость: 2 489,28 = [13 617,8 /  5,58] +  2% Заг.скл</t>
  </si>
  <si>
    <t>Клапан противопожарный универсальный, нормально-открытый, исполнение общепромышленное, канальный, с электроприводом, на 220В, привод снаружи, без терморазмыкающего устройства, с клеммной коробкой, без решеток, без монтажного лючка, без рукоятки для ручного взвода, без монтажной рамы, размер 250х250 мм 
Базисная стоимость: 2 696,12 = [14 749,33 /  5,58] +  2% Заг.скл</t>
  </si>
  <si>
    <t>Клапан противопожарный универсальный, нормально-открытый, исполнение общепромышленное, канальный, с электроприводом, на 220В, привод снаружи, без терморазмыкающего устройства, с клеммной коробкой, без решеток, без монтажного лючка, без рукоятки для ручного взвода, без монтажной рамы, размер 200х300 мм 
Базисная стоимость: 2 696,12 = [14 749,33 /  5,58] +  2% Заг.скл</t>
  </si>
  <si>
    <t>Клапан противопожарный универсальный, нормально-открытый, исполнение общепромышленное, канальный, с электроприводом, на 220В, привод снаружи, без терморазмыкающего устройства, с клеммной коробкой, без решеток, без монтажного лючка, без рукоятки для ручного взвода, без монтажной рамы, размер 200х400 мм 
Базисная стоимость: 2 749,89 = [15 043,53 /  5,58] +  2% Заг.скл</t>
  </si>
  <si>
    <t>Клапан противопожарный универсальный, нормально-открытый; исполнение общепромышленное, канальный, с электроприводом на 220В, привод снаружи, без терморазмыкающего устройства, без клеммной колодки/коробки, без решеток, без монтажного лючка, без рукоятки для ручного взвода, без монтажной рамы, размер 400х300 мм 
Базисная стоимость: 2 670,96 = [14 611,73 /  5,58] +  2% Заг.скл</t>
  </si>
  <si>
    <t>Установка клапанов огнезадерживающих периметром до 3200 мм</t>
  </si>
  <si>
    <t>Клапан противопожарный универсальный КПУ-1Н-О-Н-600х250-2*ф-МВ220-Т-сн-0-0-0-0-0-мрп, нормально открытый, предел огнестойкости EI90, общепромышленное исполнение, рабочее сечение (ШхВ) 600х250 мм, канальный, два фланца, электропривод «Belimo» на 220В, терморазмыкающее устройство, привод снаружи, без клеммной колодки/коробки, без решеток, без монтажного лючка, без переходника на круглое сечение, без рукоятки для ручного взвода, с монтажной рамой для присоединения к стене 
Базисная стоимость: 2 799,40 = [15 314,39 /  5,58] +  2% Заг.скл</t>
  </si>
  <si>
    <t>Клапан противопожарный универсальный КПУ-1Н-О-Н-1000х500-2*ф-МВ220-Т-сн-0-0-0-0-0-0, нормально открытый, предел огнестойкости EI90, общепромышленное исполнение, рабочее сечение (ШхВ) 1000х500 мм, канальный, два фланца, электропривод «Belimo» на 220В, терморазмыкающее устройство, привод снаружи, без клеммной колодки/коробки, без решеток, без монтажного лючка, без переходника на круглое сечение, без рукоятки для ручного взвода, без монтажной рамы 
Базисная стоимость: 3 014,71 = [16 492,25 /  5,58] +  2% Заг.скл</t>
  </si>
  <si>
    <t>Клапан противопожарный универсальный КПУ-3; исполнение общепромышленное, канальный, с электроприводом Belimo на 220 В, привод снаружи, без терморазмыкающего устройства, без клеммной колодки/коробки, без решеток, без монтажного лючка, без переходника на круглое сечение, без рукоятки для ручного взвода, без монтажной рамы: КПУ-3-П-Н-300х200-2*ф-МВ220-сн-0-0-0-0-0-0, вес 10 кг
Базисная стоимость: 5 674,12 = (31040,75 / 5,58) + 2% Заг.скл.</t>
  </si>
  <si>
    <t>Клапан противопожарный универсальный тип КПУ-3; исполнение общепромышленное, канальный, с электроприводом на 220 В, привод снаружи, без клеммной колодки/коробки, без решеток, без монтажного лючка, без переходника на круглое сечение, без рукоятки для ручного взвода, без монтажной рамы: 600*350 мм, вес 32 кг Базисная стоимость: 5 806,84 = [31 766,82 /  5,58] +  2% Заг.скл</t>
  </si>
  <si>
    <t>Дроссель-клапаны для регулирования расхода воздуха, в обечайке, с сектором управления, из оцинкованной стали, круглые, диаметр 250 мм</t>
  </si>
  <si>
    <t>Дроссель-клапаны для регулирования расхода воздуха, в обечайке, с сектором управления, из оцинкованной стали, прямоугольные, периметр 700 мм</t>
  </si>
  <si>
    <t>Дроссель-клапаны для регулирования расхода воздуха, в обечайке, с сектором управления, из оцинкованной стали, прямоугольные, периметр 1000 мм</t>
  </si>
  <si>
    <t>Дроссель-клапаны для регулирования расхода воздуха, в обечайке, с сектором управления, из оцинкованной стали, прямоугольные, периметр 1300 мм</t>
  </si>
  <si>
    <t>Дроссель-клапаны для регулирования расхода воздуха, в обечайке, с сектором управления, из оцинкованной стали, прямоугольные, периметр 2000 мм</t>
  </si>
  <si>
    <t>Прокладка воздуховодов из черной, оцинкованной стали и алюминия толщиной 0,5 мм диаметром до 200 мм</t>
  </si>
  <si>
    <t>Воздуховоды круглого сечения из оцинкованной стали, толщина стенки до 1,2 мм, диаметр до 200 мм</t>
  </si>
  <si>
    <t>Прокладка воздуховодов из черной, оцинкованной стали и алюминия толщиной 0,5 мм периметром 800 мм, 1000 мм</t>
  </si>
  <si>
    <t>Прокладка воздуховодов из черной, оцинкованной стали и алюминия толщиной 0,6 мм диаметром до 355 мм</t>
  </si>
  <si>
    <t>Оклеивание поверхностей изоляции рулонными материалами</t>
  </si>
  <si>
    <t>Покрытие комбинированное огнезащитное Изовент-комбинированное огнезащитное покрытие на основе базальтового рулонного материала кашированного алюминиевой фольгой и клеевого состава ПКВ-2002 расход ПКВ-2002 0,6 кг.м2 
Базисная стоимость: 33,81 = [184,98 /  5,58] +  2% Заг.скл</t>
  </si>
  <si>
    <t>Покрытие воздуховодов огнезащитное Изовент-комбинированное огнезащитное покрытие на основе базальтового рулонного материала, кашированного алюминиевой фольгой,  и клеевого состава ПВК-2002 (толщина слоя 0,45 мм), с пределом огнестойкости EI90, толщина покрытия-13 мм 
Базисная стоимость: 38,20 = [208,98 /  5,58] +  2% Заг.скл</t>
  </si>
  <si>
    <t xml:space="preserve">48961-ТПК_5-0786-Р-ССР2 изм. 1.1 </t>
  </si>
  <si>
    <t xml:space="preserve">12-4017-Л-Р-11.5.3-ОВ-СМ1К </t>
  </si>
  <si>
    <t>Станционный комплекс Аминьевское шоссе. Инженерные системы ТПП. Отопление, вентиляция, кондиционирование, дымоудаление</t>
  </si>
  <si>
    <t>48875-ТПК-5-0707-Р-ССР2-изм.1.1-доп.1</t>
  </si>
  <si>
    <t>12-4017-Л-Р-11.4.3.1-ОВ1.2-СМ1К</t>
  </si>
  <si>
    <t>Станционный комплекс Аминьевское шоссе. Вестибюль № 2, камера съездов, ТПП. Внутренние инженерные системы. Отопление, вентиляция, кондиционирование, дымоудаление. Отопление, кондиционирование</t>
  </si>
  <si>
    <t xml:space="preserve">50802-ТПК_5-1697-Р-ССР2 </t>
  </si>
  <si>
    <t xml:space="preserve">12-4017-Л-Р-11.8.9-СВН.СМ.К </t>
  </si>
  <si>
    <t>Станционный комплекс "Аминьевское шоссе". Сети связи. Система видеонаблюдения.</t>
  </si>
  <si>
    <t>Перегон от ст. "Аминьевское шоссе"</t>
  </si>
  <si>
    <t>Станционный комплекс "Аминьевское шоссе"</t>
  </si>
  <si>
    <t>Составлен(а) в уровне текущих (прогнозных) цен ТСН МГЭ строительство №166 июль 2020 года и Коэффициенты пересчета к ТСН-2001 13-2 июнь 2020 года</t>
  </si>
  <si>
    <t>Установка заслонок воздушных и клапанов воздушных КВР с ручным приводом периметром до 1000 мм</t>
  </si>
  <si>
    <t>Заслонки регулирующие для ручного регулирования воздушных потоков из оцинкованной стали, РР, АЗД 192, сечение 250х250 мм</t>
  </si>
  <si>
    <t>Заслонки регулирующие для ручного регулирования воздушных потоков из оцинкованной стали, РР, АЗД 192, сечение 200х250 мм</t>
  </si>
  <si>
    <t>Заслонки регулирующие для ручного регулирования воздушных потоков из оцинкованной стали, РР, АЗД 192, сечение 200х200 мм</t>
  </si>
  <si>
    <t>Установка заслонок воздушных и клапанов воздушных КВР с ручным приводом периметром до 1600 мм</t>
  </si>
  <si>
    <t>Заслонки регулирующие для ручного регулирования воздушных потоков из оцинкованной стали, РР, АЗД 192, сечение 400х300 мм</t>
  </si>
  <si>
    <t>Установка клапанов огнезадерживающих периметром до 4500 мм</t>
  </si>
  <si>
    <t>Прокладка воздуховодов из черной, оцинкованной стали и алюминия толщиной 0,7 мм периметром 900 мм</t>
  </si>
  <si>
    <t>Прокладка воздуховодов из черной, оцинкованной стали и алюминия толщиной 0,9 мм периметром 3700 мм, от 4100 до 4500 мм</t>
  </si>
  <si>
    <t>Воздуховоды прямоугольного сечения из оцинкованной стали, толщина стенки до 1,2 мм, периметр до 8000 мм</t>
  </si>
  <si>
    <t>Составлен(а) в уровне текущих (прогнозных) цен ТСН МГЭ строительство №165 июнь 2020 года и Коэффициенты пересчета к ТСН-2001 13-2 июнь 2020 года</t>
  </si>
  <si>
    <t xml:space="preserve">Клапан противопожарный универсальный КПУ-1Н-О-Н-450х200-2*ф-МВ220-Т-сн-0-0-0-0-0-мрп, нормально открытый, предел огнестойкости EI90, общепромышленное исполнение, рабочее сечение (ШхВ) 450х200 мм, канальный, два фланца, электропривод «Belimo» на 220В, терморазмыкающее устройство, привод снаружи, без клеммной колодки/коробки, без решеток, без монтажного лючка, без переходника на круглое сечение, без рукоятки для ручного взвода, с монтажной рамой для присоединения к стене                         Базисная стоимость: 2 713,20 = [14 842,81/  5,58] +  2% Заг.скл </t>
  </si>
  <si>
    <t>Прокладка трубных проводок из цветных металлов диаметром 6,4 мм</t>
  </si>
  <si>
    <t>Трубы медные для систем кондиционирования, наружный диаметр (толщина стенки), мм, 6,35 (0,76)</t>
  </si>
  <si>
    <t>Прокладка трубных проводок из цветных металлов диаметром 9,5 мм</t>
  </si>
  <si>
    <t>Трубы медные для систем кондиционирования, наружный диаметр (толщина стенки), мм, 9,52 (0,81)</t>
  </si>
  <si>
    <t>Прокладка трубных проводок из цветных металлов диаметром 12,7 мм</t>
  </si>
  <si>
    <t>Трубы медные для систем кондиционирования, наружный диаметр (толщина стенки), мм, 12,7 (0,81)</t>
  </si>
  <si>
    <t>Прокладка трубных проводок из цветных металлов диаметром 15,9 мм</t>
  </si>
  <si>
    <t>Трубы медные для систем кондиционирования, наружный диаметр (толщина стенки), мм, 15,9 (0,89)</t>
  </si>
  <si>
    <t>Прокладка трубных проводок из цветных металлов диаметром 19,1 мм</t>
  </si>
  <si>
    <t>Трубы медные для систем кондиционирования, наружный диаметр (толщина стенки), мм, 19,1 (0,89)</t>
  </si>
  <si>
    <t>Прокладка трубных проводок из цветных металлов диаметром 22,2 мм</t>
  </si>
  <si>
    <t>Трубы медные для систем кондиционирования, наружный диаметр (толщина стенки), мм, 22,2 (1,14)</t>
  </si>
  <si>
    <t>Прокладка трубных проводок из цветных металлов диаметром 28,6 мм</t>
  </si>
  <si>
    <t>Трубы медные для систем кондиционирования, наружный диаметр (толщина стенки), мм, 28,6 (1,27)</t>
  </si>
  <si>
    <t>Изоляция трубопроводов изделиями из вспененного каучука, вспененного полиэтилена, трубками</t>
  </si>
  <si>
    <t>Трубки теплоизоляционные из вспененного синтетического каучука, для систем трубопроводов, диапазон температур применения от -50 до +110°С, теплопроводность при температуре 0°С не более 0,036 Вт/(м х К), внутренний диаметр 15 мм, толщина 9 мм</t>
  </si>
  <si>
    <t>Трубки теплоизоляционные из вспененного синтетического каучука, для систем трубопроводов, диапазон температур применения от -50 до +110°С, теплопроводность при температуре 0°С не более 0,036 Вт/(м х К), внутренний диаметр 22 мм, толщина 13 мм</t>
  </si>
  <si>
    <t>Трубки теплоизоляционные из вспененного синтетического каучука, для систем трубопроводов, диапазон температур применения от -50 до +110°С, теплопроводность при температуре 0°С не более 0,036 Вт/(м х К), внутренний диаметр 28 мм, толщина 13 мм</t>
  </si>
  <si>
    <t>Трубки теплоизоляционные из вспененного синтетического каучука, для систем трубопроводов, диапазон температур применения от -50 до +110°С, теплопроводность при температуре 0°С не более 0,036 Вт/(м х К), внутренний диаметр 15 мм, толщина 13 мм</t>
  </si>
  <si>
    <t>Трубки теплоизоляционные из вспененного синтетического каучука, для систем трубопроводов, диапазон температур применения от -50 до +110°С, теплопроводность при температуре 0°С не более 0,036 Вт/(м х К), внутренний диаметр 18 мм, толщина 13 мм</t>
  </si>
  <si>
    <t>Лотки металлические штампованные по установленным конструкциям, ширина лотков до 200 мм</t>
  </si>
  <si>
    <t>Конструкции металлические кабельные, стойка сборных кабельных конструкций (без полок), масса до 1,6 кг</t>
  </si>
  <si>
    <t>Анкер распорный, латунный, для установки в бетон, MMD M6 8х22</t>
  </si>
  <si>
    <t>Работы выполнены в сентябрь 2020г.</t>
  </si>
  <si>
    <t xml:space="preserve">12-4017-Л-Р-11.4.3.1-ОВ1.2-СМ1К </t>
  </si>
  <si>
    <t xml:space="preserve"> Станционный комплекс "Аминьевское шоссе". Вестибюль №2, камера съездов, ТПП. Внутренние инженерные системы. Отопление, вентиляция, кондиционирование, дымоудаление. Отопление, кондиционирование,</t>
  </si>
  <si>
    <t xml:space="preserve">  </t>
  </si>
  <si>
    <t>Конструкции металлические кабельные, полка кабельная, устанавливаемая на стойках, масса до 0,4 кг</t>
  </si>
  <si>
    <t>Кронштейны к стене для лотков марки PNK-100</t>
  </si>
  <si>
    <t>Шпильки резьбовые из нержавеющей стали, размер 8х1000 мм</t>
  </si>
  <si>
    <t>Работы выполнены в октябрь 2020г.</t>
  </si>
  <si>
    <t>Установка глушителей шума вентиляционных установок трубчатых типа ГТП 1-1 сечением 200 х 100 мм</t>
  </si>
  <si>
    <t>Глушители шума вентиляционных установок, трубчатые из листовой оцинкованной стали, прямоугольного сечения на реечном соединении марка ГТП1-1, сечение обечайки 200х100 мм, масса наполнителя 1,96 кг</t>
  </si>
  <si>
    <t>Клапан противопожарный универсальный, нормально-открытый; исполнение общепромышленное, канальный, с электроприводом на 220В, привод снаружи, без терморазмыкающего устройства, без клеммной колодки/коробки, без решеток, без монтажного лючка, без рукоятки для ручного взвода, без монтажной рамы, размер 400х300 мм</t>
  </si>
  <si>
    <t>Покрытие комбинированное огнезащитное Изовент-комбинированное огнезащитное покрытие на основе базальтового рулонного материала кашированного алюминиевой фольгой и клеевого состава ПКВ-2002 расход ПКВ-2002 0,6 кг.м2</t>
  </si>
  <si>
    <t>остановилась</t>
  </si>
  <si>
    <t>Трубки теплоизоляционные из вспененного синтетического каучука, для систем трубопроводов, диапазон температур применения от -50 до +150°С, теплопроводность при температуре 0°С не более 0,042 Вт/(м х К ), внутренний диаметр 15 мм, толщина 13 мм</t>
  </si>
  <si>
    <t>16.14</t>
  </si>
  <si>
    <t>16.15</t>
  </si>
  <si>
    <t>нет М-15! Вопрос решается. Будем проводить?</t>
  </si>
  <si>
    <t>МКЭ-33-1005/8-1 от 26.07.2018г.</t>
  </si>
  <si>
    <t>МКЭ-33-1714/7-1 от 14.09.2017г.</t>
  </si>
  <si>
    <t>МКЭ-33-355/9-1 от 21.03.2019г.</t>
  </si>
  <si>
    <t>МКЭ-28-2296/6-10 от 14.06.18</t>
  </si>
  <si>
    <t>Обслуживающие процессы 12 %</t>
  </si>
  <si>
    <t>ЗП+ЗПМ с К=0,15 (Увеличение на оплату труда с учетом Распоряжения №761-РП от 23.12.2015)</t>
  </si>
  <si>
    <t>Составлен(а) в уровне текущих (прогнозных) цен ТСН МГЭ строительство №166 июль 2020</t>
  </si>
  <si>
    <t>Инженерные системы ТПП. Отопление, вентиляция, кондиционирование, дымоудаление</t>
  </si>
  <si>
    <t>Составлен(а) в уровне текущих (прогнозных) цен ТСН МГЭ строительство №165 июнь 2020 года</t>
  </si>
  <si>
    <t xml:space="preserve">48837-ТПК_5-0699-Р-ССР2-изм. 1.1 </t>
  </si>
  <si>
    <t xml:space="preserve"> 12-4017-Л-Р-11.4.3.1-ОВ1.1-СМ1К</t>
  </si>
  <si>
    <t>12-4017-Л-Р-11.5.3-ОВ-СМ1К</t>
  </si>
  <si>
    <t xml:space="preserve">48961-ТПК_5-0786-Р-ССР2 изм. 1.1  </t>
  </si>
  <si>
    <t xml:space="preserve"> актов выполненных работ за Декабрь 2020г.  (с 01.12.2020г. по 23.12.2020г.)  к КС-3 №16</t>
  </si>
  <si>
    <t>29478604</t>
  </si>
  <si>
    <t>01140469</t>
  </si>
  <si>
    <t>779-1119-ЗП-МИП1/Н</t>
  </si>
  <si>
    <t>Итого по акту с К=0,925</t>
  </si>
  <si>
    <t>в т.ч. Материалы</t>
  </si>
  <si>
    <t>ЗП+ЗПМ с К=1,15</t>
  </si>
  <si>
    <t>Итого по акту с К=0,925 с К-1,15 к ЗП и ЗПМ</t>
  </si>
  <si>
    <t>Итого по Акту с К=0,925+К=1,15 без стоимости материалов Подрядчика</t>
  </si>
  <si>
    <t>в том числе:    СМР</t>
  </si>
  <si>
    <t xml:space="preserve">                         прочие затраты</t>
  </si>
  <si>
    <t xml:space="preserve">                         ПНР</t>
  </si>
  <si>
    <t xml:space="preserve">                         оборудование </t>
  </si>
  <si>
    <t>В том числе                   СМР</t>
  </si>
  <si>
    <t xml:space="preserve">                                           прочие</t>
  </si>
  <si>
    <t xml:space="preserve">                                           ПНР</t>
  </si>
  <si>
    <t xml:space="preserve">                           оборудование</t>
  </si>
  <si>
    <t>Принял: Генеральный директор  ООО "МИП-Строй №1"</t>
  </si>
  <si>
    <t>К.В. Маслаков</t>
  </si>
  <si>
    <t>Сдал: Генеральный директор ООО "СТРОЙ-МОНТАЖ 2002"</t>
  </si>
  <si>
    <t>Д.В.Алексеев</t>
  </si>
  <si>
    <r>
      <rPr>
        <b/>
        <sz val="16"/>
        <rFont val="Times New Roman"/>
        <family val="1"/>
        <charset val="204"/>
      </rPr>
      <t>Подрядчик:</t>
    </r>
    <r>
      <rPr>
        <sz val="16"/>
        <rFont val="Times New Roman"/>
        <family val="1"/>
        <charset val="204"/>
      </rPr>
      <t xml:space="preserve"> ООО "МИП-Строй №1"</t>
    </r>
  </si>
  <si>
    <r>
      <t xml:space="preserve">Контракт: </t>
    </r>
    <r>
      <rPr>
        <sz val="16"/>
        <rFont val="Times New Roman"/>
        <family val="1"/>
        <charset val="204"/>
      </rPr>
      <t>№779-1119-ЗП-МИП1/Н 12.12.2019</t>
    </r>
  </si>
  <si>
    <r>
      <t xml:space="preserve">Прочие (К=1,15 к ЗП и ЗПМ - </t>
    </r>
    <r>
      <rPr>
        <b/>
        <i/>
        <sz val="14"/>
        <rFont val="Times New Roman"/>
        <family val="1"/>
        <charset val="204"/>
      </rPr>
      <t>Распоряжение №761-РП от 23.12.15</t>
    </r>
    <r>
      <rPr>
        <b/>
        <sz val="14"/>
        <rFont val="Times New Roman"/>
        <family val="1"/>
        <charset val="204"/>
      </rPr>
      <t>)</t>
    </r>
  </si>
  <si>
    <t>Давальческий материал</t>
  </si>
  <si>
    <t xml:space="preserve">Давальческое оборудование </t>
  </si>
  <si>
    <t xml:space="preserve">Стоимость в текущих ценах                                                                                                                                                                                          К1=0,925
</t>
  </si>
  <si>
    <t>ООО "Строй-Монтаж 2002"</t>
  </si>
  <si>
    <t xml:space="preserve">ИТОГО </t>
  </si>
  <si>
    <t xml:space="preserve">Субподрядчик: </t>
  </si>
  <si>
    <t xml:space="preserve">  Генеральный директор ООО "Строй-Монтаж 2002"     </t>
  </si>
  <si>
    <t>/Д.В. Алексеев/</t>
  </si>
  <si>
    <t xml:space="preserve">Подрядчик: </t>
  </si>
  <si>
    <t xml:space="preserve"> Генеральный директор ООО "МИП-Строй №1"</t>
  </si>
  <si>
    <t>/К.В. Маслаков/</t>
  </si>
  <si>
    <t>РЕЕСТР №6</t>
  </si>
  <si>
    <t xml:space="preserve"> актов выполненных работ за Декабрь 2020г.  </t>
  </si>
  <si>
    <t>Унифицированная форма № КС-3</t>
  </si>
  <si>
    <t>Утверждена Постановлением Госкомстата РФ</t>
  </si>
  <si>
    <t>от 11.11.99 №100</t>
  </si>
  <si>
    <t>Инвестор-Застройщик: ГУП "Московский метрополитен" 129110, г.Москва, проспект Мира, д. 41 стр.2</t>
  </si>
  <si>
    <t xml:space="preserve"> 03997784</t>
  </si>
  <si>
    <t>Заказчик-Генподрядчик: АО "Мосинжпроект" 101000, г.Москва, Сверчков пер., д.4/1</t>
  </si>
  <si>
    <t>Подрядчик: ООО "МИП-Строй №1", 101000, г. Москва, Девяткин пер., д.5, стр.3., комн.204</t>
  </si>
  <si>
    <t xml:space="preserve">Субподрядчик: ООО "СТРОЙ-МОНТАЖ 2002", 125362, г. Москва, улица Свободы, дом 17,Э Подвал П I ком. 1, оф. 2 </t>
  </si>
  <si>
    <t>Стройка: Юго-Западный участок ТПК, ст."Проспект Вернадского" - ст."Можайская". 6 этап: "Участок линии от ст."Проспект Вернадского" до ст.Аминьевское шоссе"</t>
  </si>
  <si>
    <t>Главстройгрупп (к0,7)</t>
  </si>
  <si>
    <t>Объект: Юго-Западный участок ТПК, ст."Проспект Вернадского" - ст."Можайская". 6 этап: "Участок линии от ст."Проспект Вернадского" до ст.Аминьевское шоссе"</t>
  </si>
  <si>
    <t>Материал Подрядчика</t>
  </si>
  <si>
    <t>Оборудование Подрядчика</t>
  </si>
  <si>
    <t>Удержания:</t>
  </si>
  <si>
    <t>Гарантийное удержание 2%</t>
  </si>
  <si>
    <t>Итого гарангтийное удержание 2% с НДС 20%</t>
  </si>
  <si>
    <t xml:space="preserve">Всего удержания </t>
  </si>
  <si>
    <t>-</t>
  </si>
  <si>
    <t>Итого НДС</t>
  </si>
  <si>
    <t>ВСЕГО удержаний с НДС 20%</t>
  </si>
  <si>
    <t xml:space="preserve">Всего к оплате </t>
  </si>
  <si>
    <t xml:space="preserve">Итого НДС </t>
  </si>
  <si>
    <t xml:space="preserve">ВСЕГО К ОПЛАТЕ с НДС </t>
  </si>
  <si>
    <t xml:space="preserve">Генеральный директор                                          ООО "МИП-Строй №1"      </t>
  </si>
  <si>
    <t>________________________________________________________________________</t>
  </si>
  <si>
    <t>М.П.</t>
  </si>
  <si>
    <t>Генеральный директор ООО "Строй-Монтаж 2002"</t>
  </si>
  <si>
    <t>Д.В. Алексеев</t>
  </si>
  <si>
    <t>о стоимости выполненных работ и затрат в базовых и текущих ценах за Декабрь 2020 г.</t>
  </si>
  <si>
    <t>октябрь 2020</t>
  </si>
  <si>
    <t>12-4017-Л-Р-11.4.3.2-ВК-СМ1К</t>
  </si>
  <si>
    <t xml:space="preserve">48809-ТПК_5-0673-Р-ССР2-изм 1.1 </t>
  </si>
  <si>
    <t>Станционный комплекс "Аминьевское шоссе". Вестибюль №2. Внутренние инженерные системы. Водоснабжение и водоотведение</t>
  </si>
  <si>
    <t>Сметная (договорная) стоимость в соответствии с договором подряда (субподряда)</t>
  </si>
  <si>
    <t xml:space="preserve"> тыс.руб</t>
  </si>
  <si>
    <t>Составлен(а) по ТСН-2001 с учетом Дополнения №: 58</t>
  </si>
  <si>
    <t>№ и период сборника коэффициентов (индексов) пересчета: Коэффициенты к ТСН-2001 МГЭ №166 июль 2020 года и Коэффициенты пересчета к ТСН-2001.13-2 июнь 2020 года</t>
  </si>
  <si>
    <t>Ед. изм.</t>
  </si>
  <si>
    <t>Попра-
вочные
коэффи-
циенты</t>
  </si>
  <si>
    <t>Коэффи-
циенты
зимних
удорожа-
ний</t>
  </si>
  <si>
    <t>Всего
затрат в
базисном
уровне цен,
руб.</t>
  </si>
  <si>
    <t>Коэффи-
циенты
(индек-
сы) пере-
счета,
нормы
НР и СП</t>
  </si>
  <si>
    <t>ВСЕГО
затрат в
текущем
уровне цен,
руб.</t>
  </si>
  <si>
    <t>Прокладка трубопроводов отопления и газоснабжения из стальных бесшовных труб диаметром 150 мм</t>
  </si>
  <si>
    <t>Трубы стальные бесшовные горячедеформированные со снятой фаской из стали марок 15, 20, 25, ГОСТ 8732-78, наружный диаметр 159 мм, толщина стенки 4,5 мм</t>
  </si>
  <si>
    <t>Всего по позиции:</t>
  </si>
  <si>
    <t>Доплата к эксплуатации строительных машин</t>
  </si>
  <si>
    <t>Отводы крутоизогнутые из стали 20, ГОСТ 17375-01, наружный диаметр 159 мм, толщина стенки, мм 4,5-5,0, под углом 90°, 60°, 45°</t>
  </si>
  <si>
    <t>Конструктивные элементы вспомогательного назначения, элементы крепления подвесных потолков, трубопроводов, воздуховодов, закл.детали, детали крепления стеновых панелей, ворот, переплетов решеток, массой не более 50 кг, с преобл. толстолистовой стали без отверстий и сборосварочных операций (крепление труб)</t>
  </si>
  <si>
    <t>Масляная окраска белилами с добавлением колера стальных балок, труб, диаметром более 50 мм и т.п. за два раза</t>
  </si>
  <si>
    <t>Краска, марка БТ-177, серебристая</t>
  </si>
  <si>
    <t>Окраска металлических огрунтованных поверхностей органосиликатной композицией ОС-12-01</t>
  </si>
  <si>
    <t>Композиция (краска) органосиликатная, марка ОС-12-03, для окраски огрунтованных металлических поверхностей</t>
  </si>
  <si>
    <t>)*(1.67-1)*2</t>
  </si>
  <si>
    <t>Анкер-шпилька распорный, высокоэффективный, с шестигранной гайкой и шайбой, из оцинкованной стали, для использования в бетоне с трещинами, диаметр 10 мм, длина 110 мм, толщина прикрепляемой детали минимальная/максимальная 30/50 мм</t>
  </si>
  <si>
    <t>Анкер-гильза распорный из оцинкованной стали, с шестигранной головкой, установка в бетон и кирпич, диаметр 12 мм, длина 75 мм, толщина прикрепляемой детали 35 мм</t>
  </si>
  <si>
    <t>17.52</t>
  </si>
  <si>
    <r>
      <t xml:space="preserve">Субподрядчик: </t>
    </r>
    <r>
      <rPr>
        <sz val="16"/>
        <rFont val="Times New Roman"/>
        <family val="1"/>
        <charset val="204"/>
      </rPr>
      <t>ООО "СТРОЙ-МОНТАЖ 2002"</t>
    </r>
  </si>
  <si>
    <r>
      <t xml:space="preserve">Заказчик - Генподрядчик: </t>
    </r>
    <r>
      <rPr>
        <sz val="16"/>
        <rFont val="Times New Roman"/>
        <family val="1"/>
        <charset val="204"/>
      </rPr>
      <t>АО "Мосинжпроект"</t>
    </r>
  </si>
  <si>
    <t>ИТОГО с К=1,15</t>
  </si>
  <si>
    <t>Раздел 1/16.1</t>
  </si>
  <si>
    <t>Раздел 2/16.2</t>
  </si>
  <si>
    <t xml:space="preserve">Итого по акту 1/16.1: </t>
  </si>
  <si>
    <t xml:space="preserve">Итого по акту 2/16.2: </t>
  </si>
  <si>
    <t>Итого по акту 3/16.3:</t>
  </si>
  <si>
    <t xml:space="preserve">Итого по акту 4/16.4: </t>
  </si>
  <si>
    <t>Раздел 5/16.5</t>
  </si>
  <si>
    <t>Раздел 4/16.4</t>
  </si>
  <si>
    <t>Раздел 3/16.3</t>
  </si>
  <si>
    <t xml:space="preserve">Итого по акту 6/16.6: </t>
  </si>
  <si>
    <t>Раздел 6/16.6</t>
  </si>
  <si>
    <t>Раздел 7/16.7</t>
  </si>
  <si>
    <t>Итого по акту 7/16.7:</t>
  </si>
  <si>
    <t>Раздел 8/16.8</t>
  </si>
  <si>
    <t>Итого по акту 8/16.8:</t>
  </si>
  <si>
    <t>Раздел 9/16.9</t>
  </si>
  <si>
    <t>Итого по акту 9/16.9:</t>
  </si>
  <si>
    <t>Раздел 10/16.10</t>
  </si>
  <si>
    <t xml:space="preserve">Итого по акту 10/16.10: </t>
  </si>
  <si>
    <t xml:space="preserve">Итого по Акту №6 с  К=1,15 </t>
  </si>
  <si>
    <t xml:space="preserve">Итого по акту 11/16.11: </t>
  </si>
  <si>
    <r>
      <rPr>
        <b/>
        <sz val="16"/>
        <rFont val="Times New Roman"/>
        <family val="1"/>
        <charset val="204"/>
      </rPr>
      <t xml:space="preserve">Объект: </t>
    </r>
    <r>
      <rPr>
        <sz val="16"/>
        <rFont val="Times New Roman"/>
        <family val="1"/>
        <charset val="204"/>
      </rPr>
      <t>Юго-западный участок третьего пересадочного контура, ст. метро "Проспект вернадского" - ст. метро "Можайская" (ст. Аминьевское шоссе, Мичуренский проспект)</t>
    </r>
  </si>
  <si>
    <t>1/16.1</t>
  </si>
  <si>
    <t>2/16.2</t>
  </si>
  <si>
    <t>3/16.3</t>
  </si>
  <si>
    <t>4/16.4</t>
  </si>
  <si>
    <t>5/16.5</t>
  </si>
  <si>
    <t>6/16.6</t>
  </si>
  <si>
    <t>7/16.7</t>
  </si>
  <si>
    <t>8/16.8</t>
  </si>
  <si>
    <t>9/16.9</t>
  </si>
  <si>
    <t>10/16.10</t>
  </si>
  <si>
    <t>Всего по акту №6 за декабрь месяц</t>
  </si>
  <si>
    <t>11/17.52</t>
  </si>
  <si>
    <t>Раздел 11/17.52</t>
  </si>
  <si>
    <r>
      <t xml:space="preserve">Всего работ и затрат облагаемых налогом </t>
    </r>
    <r>
      <rPr>
        <b/>
        <i/>
        <sz val="10"/>
        <color indexed="10"/>
        <rFont val="Times New Roman"/>
        <family val="1"/>
        <charset val="204"/>
      </rPr>
      <t xml:space="preserve"> </t>
    </r>
  </si>
  <si>
    <r>
      <t>Итого НДС</t>
    </r>
    <r>
      <rPr>
        <b/>
        <i/>
        <sz val="10"/>
        <color indexed="10"/>
        <rFont val="Times New Roman"/>
        <family val="1"/>
        <charset val="204"/>
      </rPr>
      <t xml:space="preserve"> </t>
    </r>
  </si>
  <si>
    <r>
      <t xml:space="preserve">ВСЕГО с НДС </t>
    </r>
    <r>
      <rPr>
        <b/>
        <i/>
        <sz val="10"/>
        <color indexed="10"/>
        <rFont val="Times New Roman"/>
        <family val="1"/>
        <charset val="204"/>
      </rPr>
      <t xml:space="preserve"> </t>
    </r>
  </si>
  <si>
    <r>
      <t>3.16-3-1</t>
    </r>
    <r>
      <rPr>
        <i/>
        <sz val="10"/>
        <rFont val="Times New Roman"/>
        <family val="1"/>
        <charset val="204"/>
      </rPr>
      <t xml:space="preserve">
Поправка: ТСН-2001.3-29. О.П. п.4.1</t>
    </r>
  </si>
  <si>
    <r>
      <t>УГОЛЬНИК ЧУГУННЫЙ ОЦИНКОВАННЫЙ 90°-2-Ц-50 ГОСТ 8946-75, МАССА 0,790 КГ</t>
    </r>
    <r>
      <rPr>
        <i/>
        <sz val="10"/>
        <rFont val="Times New Roman"/>
        <family val="1"/>
        <charset val="204"/>
      </rPr>
      <t xml:space="preserve">
Базисная стоимость: 26,18 = [143,22 /  5,58]+ 2% Закл.скл</t>
    </r>
  </si>
  <si>
    <r>
      <t>УГОЛЬНИК ПРОХОДНОЙ ИЗ КОВКОГО ЧУГУНА С ЦИЛИНДРИЧЕСКОЙ РЕЗЬБОЙ И ЦИНКОВЫМ ПОКРЫТИЕМ 90°-1-Ц-20 ГОСТ 8946-75, МАССА БЕЗ ПОКРЫТИЯ НЕ БОЛЕЕ 0,146 КГ</t>
    </r>
    <r>
      <rPr>
        <i/>
        <sz val="10"/>
        <rFont val="Times New Roman"/>
        <family val="1"/>
        <charset val="204"/>
      </rPr>
      <t xml:space="preserve">
Базисная стоимость: 23,58 = [129 /  5,58] +  2% Заг.скл</t>
    </r>
  </si>
  <si>
    <r>
      <t>ТРОЙНИК ПЕРЕХОДНОЙ СВАРНОЙ ИЗ СТАЛИ 08Х18Н10Т, ДИАМЕТР 89Х3,5-57Х4ММ ГОСТ 17376-2001</t>
    </r>
    <r>
      <rPr>
        <i/>
        <sz val="10"/>
        <rFont val="Times New Roman"/>
        <family val="1"/>
        <charset val="204"/>
      </rPr>
      <t xml:space="preserve">
Базисная стоимость: 318,65 = [1 743,22 /  5,58] +  2% Заг.скл</t>
    </r>
  </si>
  <si>
    <r>
      <t>Клапан противопожарный универсальный, нормально-открытый, исполнение общепромышленное, канальный, с электроприводом на 220 В, привод снаружи, без терморазмыкающего устройства, без клеммной колодки/коробки, без решеток, без монтажного лючка, без переходника на круглое сечение, без рукоятки для ручного взвода, без монтажной рамы, размер 200х100 мм</t>
    </r>
    <r>
      <rPr>
        <i/>
        <sz val="10"/>
        <rFont val="Times New Roman"/>
        <family val="1"/>
        <charset val="204"/>
      </rPr>
      <t xml:space="preserve">
Базисная стоимость: 2 553,39 = [13 968,5 /  5,58] +  2% Заг.скл</t>
    </r>
  </si>
  <si>
    <r>
      <t xml:space="preserve">Клапан противопожарный универсальный, нормально-открытый, исполнение общепромышленное, канальный, с электроприводом на 220В, привод снаружи, без терморазмыкающего устройства, без клеммной колодки/коробки, без решеток, без монтажного лючка, без переходника на круглое сечение, без рукоятки для ручного взвода, без монтажной рамы, размер 100х100 мм
</t>
    </r>
    <r>
      <rPr>
        <i/>
        <sz val="11"/>
        <rFont val="Times New Roman"/>
        <family val="1"/>
        <charset val="204"/>
      </rPr>
      <t>Базисная стоимость: 2 636,28 = [13 814,13 /  5,58] +  2% Заг.скл</t>
    </r>
  </si>
  <si>
    <r>
      <t>Клапан противопожарный универсальный, нормально-открытый, исполнение общепромышленное, канальный, с электроприводом на 220 В, привод снаружи, без клеммной колодки/коробки, без решеток, без монтажного лючка, без переходника на круглое сечение, без рукоятки для ручного взвода, без монтажной рамы, размер 100х150 мм</t>
    </r>
    <r>
      <rPr>
        <i/>
        <sz val="10"/>
        <rFont val="Times New Roman"/>
        <family val="1"/>
        <charset val="204"/>
      </rPr>
      <t xml:space="preserve">
Базисная стоимость: 2 539,27 = [13 891,32 /  5,58] +  2% Заг.скл</t>
    </r>
  </si>
  <si>
    <r>
      <t xml:space="preserve">Клапан противопожарный, исполнение общепромышленное, нормально открытый, количество фланцев 2, с электроприводом, напряжение питания 220, размещение привода снаружи, без терморазмыкающего устройства, с клеммной колодкой, без решеток, без монтажного лючка, без переходника на круглое сечение, без рукоятки для ручного взвода, без монтажной рамы, размер 150х150 мм
</t>
    </r>
    <r>
      <rPr>
        <i/>
        <sz val="11"/>
        <rFont val="Times New Roman"/>
        <family val="1"/>
        <charset val="204"/>
      </rPr>
      <t>Базисная стоимость: 2 753,06 = [14 426,03 /  5,58] +  2% Заг.скл</t>
    </r>
  </si>
  <si>
    <r>
      <t xml:space="preserve">Клапан противопожарный универсальный, нормально-открытый, исполнение общепромышленное, канальный, с электроприводом на 220 В, привод снаружи, без терморазмыкающего устройства, без клеммной колодки/коробки, без решеток, без монтажного лючка, без переходника на круглое сечение, без рукоятки для ручного взвода, без монтажной рамы, размер 200х100 мм 
</t>
    </r>
    <r>
      <rPr>
        <i/>
        <sz val="11"/>
        <rFont val="Times New Roman"/>
        <family val="1"/>
        <charset val="204"/>
      </rPr>
      <t xml:space="preserve">Базисная стоимость: 2 665,74 = [13 968,5 /  5,58] +  2% Заг.скл
</t>
    </r>
  </si>
  <si>
    <r>
      <t xml:space="preserve">Клапан противопожарный универсальный КПУ-1Н нормально открытый; исполнение общепромышленное, канальный, с электроприводом Belimo на 220В, привод снаружи, без терморазмыкающего устройства, без клеммной колодки/коробки, без решеток, без монтажного лючка, без рукоятки для ручного взвода, без монтажной рамы: КПУ-1Н-О-Н-250*200-2*ф-MB220-сн-0-0-0-0-0-0 (расчетный вес 12 кг)
</t>
    </r>
    <r>
      <rPr>
        <i/>
        <sz val="11"/>
        <rFont val="Times New Roman"/>
        <family val="1"/>
        <charset val="204"/>
      </rPr>
      <t>Базисная стоимость: 2 543,72 = [13 329,1 /  5,58] +  2% Заг.скл</t>
    </r>
  </si>
  <si>
    <r>
      <t>Клапан противопожарный универсальный КПУ-1Н-О-Н-200*300-2*ф-MВ220-сн-кк-0-0-0-0-0, нормально-открытый, исполнение общепромышленное, канальный, с электроприводом, на 220В, привод снаружи, без терморазмыкающего устройства, с клеммной коробкой, без решеток, без монтажного лючка, без рукоятки для ручного взвода, без монтажной рамы, размер 200х300 мм</t>
    </r>
    <r>
      <rPr>
        <i/>
        <sz val="10"/>
        <rFont val="Times New Roman"/>
        <family val="1"/>
        <charset val="204"/>
      </rPr>
      <t xml:space="preserve">
Базисная стоимость: 2 696,12 = [14 749,33 /  5,58] +  2% Заг.скл</t>
    </r>
  </si>
  <si>
    <r>
      <t xml:space="preserve">Клапан противопожарный универсальный, нормально-открытый, исполнение общепромышленное, канальный, с электроприводом, на 220В, привод снаружи, без терморазмыкающего устройства, с клеммной коробкой, без решеток, без монтажного лючка, без рукоятки для ручного взвода, без монтажной рамы, размер 200х500 мм
</t>
    </r>
    <r>
      <rPr>
        <i/>
        <sz val="11"/>
        <rFont val="Times New Roman"/>
        <family val="1"/>
        <charset val="204"/>
      </rPr>
      <t>Базисная стоимость: 2 882,64 = [15 105,05 /  5,58] +  2% Заг.скл</t>
    </r>
  </si>
  <si>
    <r>
      <t xml:space="preserve">Клапан противопожарный универсальный, нормально-открытый, исполнение общепромышленное, канальный, с электроприводом 220В, привод снаружи, без терморазмыкающего устройства, с клеммной коробкой, без решеток, без монтажного лючка, без рукоятки для ручного взвода, без монтажной рамы, размер 300х500 мм
</t>
    </r>
    <r>
      <rPr>
        <i/>
        <sz val="11"/>
        <rFont val="Times New Roman"/>
        <family val="1"/>
        <charset val="204"/>
      </rPr>
      <t>Базисная стоимость: 2 882,64 = [15 105,05 /  5,58] +  2% Заг.скл</t>
    </r>
  </si>
  <si>
    <r>
      <t>Клапан противопожарный типа КПУ Назначение - нормально открытый; Исполнение - общепромышленное; Рабочее сечение - 600х400; Тип клапана - канальный (два фланца); Тип привода - электропривод Belimo на 220В; Терморазмыкающее устройство - есть; Размещение привода - снаружи; Клеммная колодка/коробка - нет; Дополнительная комплектация - нет; Монтажный лючок - есть; Переходник на круглое сечение - нет; Рукоятка для ручного взвода - есть; Монтажная рама - нет; Предел огнестойкости - ЕI 90.</t>
    </r>
    <r>
      <rPr>
        <i/>
        <sz val="10"/>
        <rFont val="Times New Roman"/>
        <family val="1"/>
        <charset val="204"/>
      </rPr>
      <t xml:space="preserve">
Базисная стоимость: 2 754,20 = [15 067,1 /  5,58] +  2% Заг.скл</t>
    </r>
  </si>
  <si>
    <r>
      <t xml:space="preserve">Клапан противопожарный универсальный КПУ-1Н-О-Н-800х400-2*ф-МВ220-Т-сн-0-0-0-0-0-мрп, нормально открытый, предел огнестойкости EI90, общепромышленное исполнение, рабочее сечение (ШхВ) 800х400 мм, канальный, два фланца, электропривод «Belimo» на 220В, терморазмыкающее устройство, привод снаружи, без клеммной колодки/коробки, без решеток, без монтажного лючка, без переходника на круглое сечение, без рукоятки для ручного взвода, с монтажной рамой для присоединения к стене
</t>
    </r>
    <r>
      <rPr>
        <i/>
        <sz val="11"/>
        <rFont val="Times New Roman"/>
        <family val="1"/>
        <charset val="204"/>
      </rPr>
      <t>Базисная стоимость: 3 031,11 = [15 883,04 /  5,58] +  2% Заг.скл</t>
    </r>
  </si>
  <si>
    <r>
      <t xml:space="preserve">Клапан противопожарный универсальный, нормально-открытый, исполнение общепромышленное, канальный, с электроприводом на 220 В, привод внутри, без клеммной колодки/коробки, без решеток, без монтажного лючка, переходник на круглое сечение без вылета лопаток - 1 шт., без рукоятки для ручного взвода, без монтажной рамы, размер 1000х450 мм
</t>
    </r>
    <r>
      <rPr>
        <i/>
        <sz val="11"/>
        <rFont val="Times New Roman"/>
        <family val="1"/>
        <charset val="204"/>
      </rPr>
      <t>Базисная стоимость: 3 258,12 = [17 072,54 /  5,58] +  2% Заг.скл</t>
    </r>
  </si>
  <si>
    <r>
      <t xml:space="preserve">Клапан противопожарный универсальный КПУ-1Н-О-Н-2000х600-2*ф-МВ220-Т-сн-0-0-0-0-0-0, нормально открытый, предел огнестойкости EI90, общепромышленное исполнение, рабочее сечение (ШхВ) 2000х600 мм, канальный, два фланца, электропривод «Belimo» на 220В, терморазмыкающее устройство, привод снаружи, без клеммной колодки/коробки, без решеток, без монтажного лючка, без переходника на круглое сечение, без рукоятки для ручного взвода, без монтажной рамы
</t>
    </r>
    <r>
      <rPr>
        <i/>
        <sz val="11"/>
        <rFont val="Times New Roman"/>
        <family val="1"/>
        <charset val="204"/>
      </rPr>
      <t>Базисная стоимость: 4 627,20 = [24 246,52 /  5,58] +  2% Заг.скл</t>
    </r>
  </si>
  <si>
    <r>
      <t>Покрытие комбинированное огнезащитное для воздуховодов Изовент ЕІ60, на основе базальтового рулонного материала, кашированного алюминиевой фольгой и клеевого состава ПВК-2002, расход ПВК-2002 0,6 кг/м2</t>
    </r>
    <r>
      <rPr>
        <i/>
        <sz val="10"/>
        <rFont val="Times New Roman"/>
        <family val="1"/>
        <charset val="204"/>
      </rPr>
      <t xml:space="preserve">
Базисная стоимость: 33,81 = [184,98 /  5,58] +  2% Заг.скл</t>
    </r>
  </si>
  <si>
    <r>
      <t xml:space="preserve">Покрытие воздуховодов огнезащитное Изовент-комбинированное огнезащитное покрытие на основе базальтового рулонного материала, кашированного алюминиевой фольгой,  и клеевого состава ПВК-2002 (толщина слоя 0,45 мм), с пределом огнестойкости EI90, толщина покрытия-13 мм
</t>
    </r>
    <r>
      <rPr>
        <i/>
        <sz val="11"/>
        <rFont val="Times New Roman"/>
        <family val="1"/>
        <charset val="204"/>
      </rPr>
      <t>Базисная стоимость: 38,135 = [208,98  /  5,58] +  2% Заг.скл</t>
    </r>
  </si>
  <si>
    <r>
      <t xml:space="preserve">Клапан противопожарный универсальный, нормально-открытый, исполнение общепромышленное, канальный, с электроприводом на 220В, привод снаружи, без терморазмыкающего устройства, без клеммной колодки/коробки, без решеток, без монтажного лючка, без переходника на круглое сечение, без рукоятки для ручного взвода, без монтажной рамы, размер 100х100 мм
</t>
    </r>
    <r>
      <rPr>
        <i/>
        <sz val="11"/>
        <rFont val="Times New Roman"/>
        <family val="1"/>
        <charset val="204"/>
      </rPr>
      <t>Базисная стоимость: 2 571,24 = [13 814,13 /  5,48] +  2% Заг.скл</t>
    </r>
  </si>
  <si>
    <r>
      <t>Клапан противопожарный универсальный, нормально-открытый, исполнение общепромышленное, канальный, с электроприводом на 220 В, привод снаружи, без клеммной колодки/коробки, без решеток, без монтажного лючка, без переходника на круглое сечение, без рукоятки для ручного взвода, без монтажной рамы, размер 100х150 мм</t>
    </r>
    <r>
      <rPr>
        <i/>
        <sz val="10"/>
        <rFont val="Times New Roman"/>
        <family val="1"/>
        <charset val="204"/>
      </rPr>
      <t xml:space="preserve">
Базисная стоимость: 2 585,61 = [13 891,32 /  5,48] +  2% Заг.скл</t>
    </r>
  </si>
  <si>
    <r>
      <t xml:space="preserve">Клапан противопожарный универсальный, нормально-открытый, исполнение общепромышленное, канальный, с электроприводом на 220 В, привод снаружи, без терморазмыкающего устройства, без клеммной колодки/коробки, без решеток, без монтажного лючка, без переходника на круглое сечение, без рукоятки для ручного взвода, без монтажной рамы, размер 200х100 мм
</t>
    </r>
    <r>
      <rPr>
        <i/>
        <sz val="11"/>
        <rFont val="Times New Roman"/>
        <family val="1"/>
        <charset val="204"/>
      </rPr>
      <t>Базисная стоимость: 2 599,98 = [13 968,5/  5,48] +  2% Заг.скл</t>
    </r>
  </si>
  <si>
    <r>
      <t>Клапан противопожарный универсальный КПУ-1Н-О-Н-200х200-2*ф-МВ220-Т-сн-0-0-0-0-0-мрп, нормально открытый, предел огнестойкости EI90, общепромышленное исполнение, рабочее сечение (ШхВ) 200х200 мм, канальный, два фланца, электропривод «Belimo» на 220В, терморазмыкающее устройство, привод снаружи, без клеммной колодки/коробки, без решеток, без монтажного лючка, без переходника на круглое сечение, без рукоятки для ручного взвода, с монтажной рамой для присоединения к стене</t>
    </r>
    <r>
      <rPr>
        <i/>
        <sz val="10"/>
        <rFont val="Times New Roman"/>
        <family val="1"/>
        <charset val="204"/>
      </rPr>
      <t xml:space="preserve">
Базисная стоимость: 2 673,15 = [14 361,64 /  5,48] +  2% Заг.скл</t>
    </r>
  </si>
  <si>
    <r>
      <t xml:space="preserve">Клапан противопожарный универсальный КПУ-1Н-О-Н-600х250-2*ф-МВ220-Т-сн-0-0-0-0-0-мрп, нормально открытый, предел огнестойкости EI90, общепромышленное исполнение, рабочее сечение (ШхВ) 600х250 мм, канальный, два фланца, электропривод «Belimo» на 220В, терморазмыкающее устройство, привод снаружи, без клеммной колодки/коробки, без решеток, без монтажного лючка, без переходника на круглое сечение, без рукоятки для ручного взвода, с монтажной рамой для присоединения к стене
</t>
    </r>
    <r>
      <rPr>
        <i/>
        <sz val="11"/>
        <rFont val="Times New Roman"/>
        <family val="1"/>
        <charset val="204"/>
      </rPr>
      <t>Базисная стоимость: 2 850,49 = [15 314,39 /  5,48] +  2% Заг.скл</t>
    </r>
  </si>
  <si>
    <r>
      <t>Рефнет-разветвитель KHRQ22M20T Daikin, расчетный вес 5 кг</t>
    </r>
    <r>
      <rPr>
        <i/>
        <sz val="10"/>
        <rFont val="Times New Roman"/>
        <family val="1"/>
        <charset val="204"/>
      </rPr>
      <t xml:space="preserve">
Базисная стоимость: 1 346,97 = [7 368,69 /  5,58]+  2% Заг.скл </t>
    </r>
  </si>
  <si>
    <r>
      <t>Рефнет-разветвитель KHRQ22M29T9 "Daikin"  (расчетная масса-5 кг)</t>
    </r>
    <r>
      <rPr>
        <i/>
        <sz val="10"/>
        <rFont val="Times New Roman"/>
        <family val="1"/>
        <charset val="204"/>
      </rPr>
      <t xml:space="preserve">
Базисная стоимость: 1 534,21 = [8 393,04 /  5,58]+  2% Заг.скл </t>
    </r>
  </si>
  <si>
    <r>
      <t>Комплект разветвителей KHRQ22M64T, вес не более 2 кг</t>
    </r>
    <r>
      <rPr>
        <i/>
        <sz val="10"/>
        <rFont val="Times New Roman"/>
        <family val="1"/>
        <charset val="204"/>
      </rPr>
      <t xml:space="preserve">
Базисная стоимость: 1 183,88 = [6 476,53 /  5,58]+  2% Заг.скл </t>
    </r>
  </si>
  <si>
    <r>
      <t>Рефнет-разветвитель KHRQ22M20T Daikin, расчетный вес 5 кг</t>
    </r>
    <r>
      <rPr>
        <i/>
        <sz val="10"/>
        <rFont val="Times New Roman"/>
        <family val="1"/>
        <charset val="204"/>
      </rPr>
      <t xml:space="preserve">
Базисная стоимость: 1 346,97= [7 368,69 /  5,58]+  2% Заг.скл </t>
    </r>
  </si>
  <si>
    <r>
      <t>Лоток неперфорированный, горячеоценкованный по методу Сендзимира, габаритные размеры 150х50х3000 мм, артикул 35023, масса 1,54 кг/м</t>
    </r>
    <r>
      <rPr>
        <i/>
        <sz val="10"/>
        <rFont val="Times New Roman"/>
        <family val="1"/>
        <charset val="204"/>
      </rPr>
      <t xml:space="preserve">
Базисная стоимость: 33,99 = [185,92 /  5,58]+  2% Заг.скл </t>
    </r>
  </si>
  <si>
    <r>
      <t>Лоток неперфорированный, габаритные размеры 300x50x3000 мм, материал сталь, толщина стали 0,8 мм, DKC, артикул 35025, вес 2,72 кг</t>
    </r>
    <r>
      <rPr>
        <i/>
        <sz val="10"/>
        <rFont val="Times New Roman"/>
        <family val="1"/>
        <charset val="204"/>
      </rPr>
      <t xml:space="preserve">
Базисная стоимость: 58,30 = [305,51 /  5,58]+  2% Заг.скл </t>
    </r>
  </si>
  <si>
    <r>
      <t>Траверса монтажная, оцинкованная сталь 20х30х1,5, вес 0,80 кг за пог.м./1шт=2м/</t>
    </r>
    <r>
      <rPr>
        <i/>
        <sz val="10"/>
        <rFont val="Times New Roman"/>
        <family val="1"/>
        <charset val="204"/>
      </rPr>
      <t xml:space="preserve">
Базисная стоимость: 6,69 = [36,6 /  5,58]+  2% Заг.скл </t>
    </r>
  </si>
  <si>
    <r>
      <t>Лоток неперфорированный, горячеоценкованный по методу Сендзимира, габаритные размеры 150х50х3000 мм, артикул 35023, масса 1,54 кг/м</t>
    </r>
    <r>
      <rPr>
        <i/>
        <sz val="10"/>
        <rFont val="Times New Roman"/>
        <family val="1"/>
        <charset val="204"/>
      </rPr>
      <t xml:space="preserve">
Базисная стоимость: 35,48 = [185,92 /  5,58]+ 2% Закл.скл.</t>
    </r>
  </si>
  <si>
    <r>
      <t>Траверса монтажная, оцинкованная сталь 20х30х1,5, вес 0,80 кг за пог.м./1шт=2м/</t>
    </r>
    <r>
      <rPr>
        <i/>
        <sz val="10"/>
        <rFont val="Times New Roman"/>
        <family val="1"/>
        <charset val="204"/>
      </rPr>
      <t xml:space="preserve">
Базисная стоимость: 6,98 = [36,6 /  5,58]+  2% Заг.скл </t>
    </r>
  </si>
  <si>
    <r>
      <t xml:space="preserve">Клапан противопожарный универсальный, нормально-открытый, исполнение общепромышленное, канальный, с электроприводом на 220 В, привод снаружи, без клеммной колодки/коробки, без решеток, без монтажного лючка, без переходника на круглое сечение, без рукоятки для ручного взвода, без монтажной рамы, размер 100х150 мм                       </t>
    </r>
    <r>
      <rPr>
        <i/>
        <sz val="11"/>
        <rFont val="Times New Roman"/>
        <family val="1"/>
        <charset val="204"/>
      </rPr>
      <t>Базисная стоимость: 2 539,28 = [13891,32 /  5,58] +  2% Заг.</t>
    </r>
    <r>
      <rPr>
        <sz val="11"/>
        <rFont val="Times New Roman"/>
        <family val="1"/>
        <charset val="204"/>
      </rPr>
      <t>скл</t>
    </r>
  </si>
  <si>
    <r>
      <t>Клапан противопожарный универсальный, нормально-открытый, исполнение общепромышленное, канальный, с электроприводом на 220 В, привод снаружи, без терморазмыкающего устройства, без клеммной колодки/коробки, без решеток, без монтажного лючка, без переходника на круглое сечение, без рукоятки для ручного взвода, без монтажной рамы, размер 200х100 мм</t>
    </r>
    <r>
      <rPr>
        <i/>
        <sz val="10"/>
        <rFont val="Times New Roman"/>
        <family val="1"/>
        <charset val="204"/>
      </rPr>
      <t xml:space="preserve">
Базисная стоимость: 2 553,38 = [13 968,5 /  5,58] +  2% Заг.скл</t>
    </r>
  </si>
  <si>
    <r>
      <t xml:space="preserve">Клапан противопожарный универсальный КПУ-1Н-О-Н-200х200-2*ф-МВ220-Т-сн-0-0-0-0-0-мрп, нормально открытый, предел огнестойкости EI90, общепромышленное исполнение, рабочее сечение (ШхВ) 200х200 мм, канальный, два фланца, электропривод «Belimo» на 220В, терморазмыкающее устройство, привод снаружи, без клеммной колодки/коробки, без решеток, без монтажного лючка, без переходника на круглое сечение, без рукоятки для ручного взвода, с монтажной рамой для присоединения к стене              </t>
    </r>
    <r>
      <rPr>
        <i/>
        <sz val="11"/>
        <rFont val="Times New Roman"/>
        <family val="1"/>
        <charset val="204"/>
      </rPr>
      <t>Базисная стоимость: 2 625,25 = [14361,64/  5,58] +  2% Заг.скл</t>
    </r>
  </si>
  <si>
    <r>
      <t>Рефнет-разветвитель KHRQ22M20T Daikin, расчетный вес 5 кг</t>
    </r>
    <r>
      <rPr>
        <i/>
        <sz val="10"/>
        <rFont val="Times New Roman"/>
        <family val="1"/>
        <charset val="204"/>
      </rPr>
      <t xml:space="preserve">
Базисная стоимость: 1 246,82 = [7 368,69 /  5,58] +  2% Заг.скл</t>
    </r>
  </si>
  <si>
    <r>
      <t>Лоток неперфорированный, горячеоценкованный по методу Сендзимира, габаритные размеры 150х50х3000 мм, артикул 35023, масса 1,54 кг/м</t>
    </r>
    <r>
      <rPr>
        <i/>
        <sz val="10"/>
        <rFont val="Times New Roman"/>
        <family val="1"/>
        <charset val="204"/>
      </rPr>
      <t xml:space="preserve">
Базисная стоимость: 33,99 = [185,92 / 5,58] +  2% Заг.скл</t>
    </r>
  </si>
  <si>
    <r>
      <t>3.16-9-6</t>
    </r>
    <r>
      <rPr>
        <i/>
        <sz val="10"/>
        <rFont val="Times New Roman"/>
        <family val="1"/>
        <charset val="204"/>
      </rPr>
      <t xml:space="preserve">
Поправка: ТСН-2001.3-29. О.П. п.1.4.а</t>
    </r>
  </si>
  <si>
    <r>
      <t>3.16-9-6/1</t>
    </r>
    <r>
      <rPr>
        <i/>
        <sz val="10"/>
        <rFont val="Times New Roman"/>
        <family val="1"/>
        <charset val="204"/>
      </rPr>
      <t xml:space="preserve">
Поправка: ТСН-2001.3-29. О.П. п.1.4.а</t>
    </r>
  </si>
  <si>
    <r>
      <t>3.15-107-3</t>
    </r>
    <r>
      <rPr>
        <i/>
        <sz val="10"/>
        <rFont val="Times New Roman"/>
        <family val="1"/>
        <charset val="204"/>
      </rPr>
      <t xml:space="preserve">
Поправка: ТСН-2001.3-29. О.П. п.4.1</t>
    </r>
  </si>
  <si>
    <r>
      <t>3.15-107-3/1</t>
    </r>
    <r>
      <rPr>
        <i/>
        <sz val="10"/>
        <rFont val="Times New Roman"/>
        <family val="1"/>
        <charset val="204"/>
      </rPr>
      <t xml:space="preserve">
Поправка: ТСН-2001.3-29. О.П. п.4.1</t>
    </r>
  </si>
  <si>
    <r>
      <t>3.13-11-6</t>
    </r>
    <r>
      <rPr>
        <i/>
        <sz val="10"/>
        <rFont val="Times New Roman"/>
        <family val="1"/>
        <charset val="204"/>
      </rPr>
      <t xml:space="preserve">
Поправка: ТСН-2001.3-29. О.П. п.4.1</t>
    </r>
  </si>
  <si>
    <r>
      <t>3.13-11-6/1</t>
    </r>
    <r>
      <rPr>
        <i/>
        <sz val="10"/>
        <rFont val="Times New Roman"/>
        <family val="1"/>
        <charset val="204"/>
      </rPr>
      <t xml:space="preserve">
Поправка: ТСН-2001.3-29. О.П. п.4.1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</si>
</sst>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43" formatCode="_-* #,##0.00\ _₽_-;\-* #,##0.00\ _₽_-;_-* &quot;-&quot;??\ _₽_-;_-@_-"/>
    <numFmt numFmtId="164" formatCode="_-* #,##0.00_-;\-* #,##0.00_-;_-* &quot;-&quot;??_-;_-@_-"/>
    <numFmt numFmtId="165" formatCode="_-* #,##0.00_р_._-;\-* #,##0.00_р_._-;_-* &quot;-&quot;??_р_._-;_-@_-"/>
    <numFmt numFmtId="166" formatCode="* #,##0.00;* \-#,##0.00;* &quot;-&quot;??;@"/>
    <numFmt numFmtId="167" formatCode="#,##0.00_ ;[Red]\-#,##0.00\ "/>
    <numFmt numFmtId="168" formatCode="#,##0.00####;[Red]\-\ #,##0.00####"/>
    <numFmt numFmtId="169" formatCode="#,##0.00;[Red]\-\ #,##0.00"/>
    <numFmt numFmtId="170" formatCode="#,##0.00_ ;\-#,##0.00\ "/>
    <numFmt numFmtId="171" formatCode="0.000"/>
    <numFmt numFmtId="172" formatCode="0.00000"/>
    <numFmt numFmtId="173" formatCode="dd/mm/yy;@"/>
    <numFmt numFmtId="174" formatCode="_-* #,##0_р_._-;\-* #,##0_р_._-;_-* &quot;-&quot;??_р_._-;_-@_-"/>
    <numFmt numFmtId="175" formatCode="#,##0_ ;\-#,##0\ "/>
    <numFmt numFmtId="176" formatCode="_-* #,##0\ _₽_-;\-* #,##0\ _₽_-;_-* &quot;-&quot;??\ _₽_-;_-@_-"/>
  </numFmts>
  <fonts count="107" x14ac:knownFonts="1">
    <font>
      <sz val="8"/>
      <color indexed="64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8"/>
      <color indexed="64"/>
      <name val="Arial"/>
      <family val="2"/>
      <charset val="204"/>
    </font>
    <font>
      <sz val="10"/>
      <name val="Arial Cyr"/>
      <charset val="204"/>
    </font>
    <font>
      <sz val="9"/>
      <color indexed="64"/>
      <name val="Arial"/>
      <family val="2"/>
      <charset val="204"/>
    </font>
    <font>
      <sz val="8"/>
      <color indexed="64"/>
      <name val="Courier New"/>
      <family val="3"/>
      <charset val="204"/>
    </font>
    <font>
      <sz val="8"/>
      <name val="Courier New"/>
      <family val="3"/>
      <charset val="204"/>
    </font>
    <font>
      <sz val="10"/>
      <name val="Arial"/>
      <family val="2"/>
      <charset val="204"/>
    </font>
    <font>
      <sz val="10"/>
      <name val="Arial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b/>
      <sz val="14"/>
      <name val="Arial"/>
      <family val="2"/>
      <charset val="204"/>
    </font>
    <font>
      <b/>
      <sz val="16"/>
      <name val="Arial"/>
      <family val="2"/>
      <charset val="204"/>
    </font>
    <font>
      <sz val="16"/>
      <name val="Arial"/>
      <family val="2"/>
      <charset val="204"/>
    </font>
    <font>
      <sz val="20"/>
      <name val="Arial"/>
      <family val="2"/>
      <charset val="204"/>
    </font>
    <font>
      <sz val="18"/>
      <name val="Arial"/>
      <family val="2"/>
      <charset val="204"/>
    </font>
    <font>
      <sz val="14"/>
      <name val="Arial"/>
      <family val="2"/>
      <charset val="204"/>
    </font>
    <font>
      <sz val="11"/>
      <name val="Arial"/>
      <family val="2"/>
      <charset val="204"/>
    </font>
    <font>
      <b/>
      <sz val="18"/>
      <name val="Arial"/>
      <family val="2"/>
      <charset val="204"/>
    </font>
    <font>
      <sz val="9"/>
      <name val="Arial"/>
      <family val="2"/>
      <charset val="204"/>
    </font>
    <font>
      <b/>
      <sz val="11"/>
      <name val="Arial"/>
      <family val="2"/>
      <charset val="204"/>
    </font>
    <font>
      <b/>
      <sz val="13"/>
      <name val="Arial"/>
      <family val="2"/>
      <charset val="204"/>
    </font>
    <font>
      <i/>
      <sz val="10"/>
      <name val="Arial"/>
      <family val="2"/>
      <charset val="204"/>
    </font>
    <font>
      <i/>
      <sz val="11"/>
      <name val="Arial"/>
      <family val="2"/>
      <charset val="204"/>
    </font>
    <font>
      <b/>
      <i/>
      <sz val="11"/>
      <name val="Arial"/>
      <family val="2"/>
      <charset val="204"/>
    </font>
    <font>
      <i/>
      <sz val="11"/>
      <color rgb="FF7030A0"/>
      <name val="Arial"/>
      <family val="2"/>
      <charset val="204"/>
    </font>
    <font>
      <b/>
      <sz val="9"/>
      <name val="Arial"/>
      <family val="2"/>
      <charset val="204"/>
    </font>
    <font>
      <sz val="12"/>
      <name val="Arial"/>
      <family val="2"/>
      <charset val="204"/>
    </font>
    <font>
      <b/>
      <sz val="12"/>
      <name val="Arial"/>
      <family val="2"/>
      <charset val="204"/>
    </font>
    <font>
      <sz val="10"/>
      <name val="Arial"/>
      <family val="2"/>
      <charset val="204"/>
    </font>
    <font>
      <b/>
      <sz val="20"/>
      <name val="Arial"/>
      <family val="2"/>
      <charset val="204"/>
    </font>
    <font>
      <b/>
      <sz val="14"/>
      <color rgb="FFFF0000"/>
      <name val="Arial"/>
      <family val="2"/>
      <charset val="204"/>
    </font>
    <font>
      <b/>
      <sz val="15"/>
      <name val="Arial"/>
      <family val="2"/>
      <charset val="204"/>
    </font>
    <font>
      <b/>
      <i/>
      <sz val="12"/>
      <name val="Arial"/>
      <family val="2"/>
      <charset val="204"/>
    </font>
    <font>
      <sz val="10"/>
      <color rgb="FFFF0000"/>
      <name val="Arial"/>
      <family val="2"/>
      <charset val="204"/>
    </font>
    <font>
      <sz val="11"/>
      <color theme="1"/>
      <name val="Calibri"/>
      <family val="2"/>
      <scheme val="minor"/>
    </font>
    <font>
      <sz val="8"/>
      <name val="Arial"/>
      <family val="2"/>
      <charset val="204"/>
    </font>
    <font>
      <sz val="12"/>
      <color indexed="64"/>
      <name val="Arial"/>
      <family val="2"/>
      <charset val="204"/>
    </font>
    <font>
      <sz val="14"/>
      <name val="Times New Roman"/>
      <family val="1"/>
      <charset val="204"/>
    </font>
    <font>
      <sz val="10"/>
      <color indexed="64"/>
      <name val="Arial"/>
      <family val="2"/>
      <charset val="204"/>
    </font>
    <font>
      <b/>
      <sz val="11"/>
      <color indexed="8"/>
      <name val="Arial"/>
      <family val="2"/>
      <charset val="204"/>
    </font>
    <font>
      <sz val="11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sz val="8"/>
      <name val="Arial"/>
      <family val="2"/>
    </font>
    <font>
      <b/>
      <sz val="12"/>
      <name val="Cambria"/>
      <family val="1"/>
      <charset val="204"/>
    </font>
    <font>
      <sz val="12"/>
      <color theme="0"/>
      <name val="Arial"/>
      <family val="2"/>
      <charset val="204"/>
    </font>
    <font>
      <i/>
      <strike/>
      <sz val="10"/>
      <name val="Arial"/>
      <family val="2"/>
      <charset val="204"/>
    </font>
    <font>
      <b/>
      <i/>
      <sz val="10"/>
      <name val="Arial"/>
      <family val="2"/>
      <charset val="204"/>
    </font>
    <font>
      <b/>
      <sz val="12"/>
      <color theme="0"/>
      <name val="Arial"/>
      <family val="2"/>
      <charset val="204"/>
    </font>
    <font>
      <b/>
      <sz val="12"/>
      <color rgb="FFFF0000"/>
      <name val="Arial"/>
      <family val="2"/>
      <charset val="204"/>
    </font>
    <font>
      <sz val="12"/>
      <color rgb="FFFF0000"/>
      <name val="Arial"/>
      <family val="2"/>
      <charset val="204"/>
    </font>
    <font>
      <sz val="14"/>
      <color rgb="FFFF0000"/>
      <name val="Arial"/>
      <family val="2"/>
      <charset val="204"/>
    </font>
    <font>
      <sz val="16"/>
      <color rgb="FFFF0000"/>
      <name val="Arial"/>
      <family val="2"/>
      <charset val="204"/>
    </font>
    <font>
      <sz val="18"/>
      <color rgb="FFFF0000"/>
      <name val="Arial"/>
      <family val="2"/>
      <charset val="204"/>
    </font>
    <font>
      <sz val="11"/>
      <color indexed="8"/>
      <name val="Calibri"/>
      <family val="2"/>
      <charset val="204"/>
    </font>
    <font>
      <sz val="10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1"/>
      <name val="Times New Roman"/>
      <family val="1"/>
      <charset val="204"/>
    </font>
    <font>
      <i/>
      <sz val="12"/>
      <name val="Times New Roman"/>
      <family val="1"/>
      <charset val="204"/>
    </font>
    <font>
      <sz val="11"/>
      <name val="Times New Roman"/>
      <family val="1"/>
      <charset val="204"/>
    </font>
    <font>
      <sz val="12"/>
      <name val="Times New Roman"/>
      <family val="1"/>
      <charset val="204"/>
    </font>
    <font>
      <sz val="11"/>
      <color rgb="FFFF0000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b/>
      <sz val="16"/>
      <name val="Times New Roman"/>
      <family val="1"/>
      <charset val="204"/>
    </font>
    <font>
      <sz val="16"/>
      <name val="Times New Roman"/>
      <family val="1"/>
      <charset val="204"/>
    </font>
    <font>
      <b/>
      <sz val="22"/>
      <name val="Times New Roman"/>
      <family val="1"/>
      <charset val="204"/>
    </font>
    <font>
      <b/>
      <sz val="20"/>
      <name val="Times New Roman"/>
      <family val="1"/>
      <charset val="204"/>
    </font>
    <font>
      <b/>
      <sz val="14"/>
      <name val="Times New Roman"/>
      <family val="1"/>
      <charset val="204"/>
    </font>
    <font>
      <b/>
      <i/>
      <sz val="14"/>
      <name val="Times New Roman"/>
      <family val="1"/>
      <charset val="204"/>
    </font>
    <font>
      <b/>
      <sz val="14"/>
      <color rgb="FFFF0000"/>
      <name val="Times New Roman"/>
      <family val="1"/>
      <charset val="204"/>
    </font>
    <font>
      <b/>
      <u/>
      <sz val="14"/>
      <name val="Times New Roman"/>
      <family val="1"/>
      <charset val="204"/>
    </font>
    <font>
      <b/>
      <sz val="18"/>
      <name val="Times New Roman"/>
      <family val="1"/>
      <charset val="204"/>
    </font>
    <font>
      <b/>
      <u/>
      <sz val="18"/>
      <name val="Times New Roman"/>
      <family val="1"/>
      <charset val="204"/>
    </font>
    <font>
      <sz val="18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0"/>
      <name val="Times New Roman"/>
      <family val="1"/>
      <charset val="204"/>
    </font>
    <font>
      <b/>
      <sz val="13"/>
      <name val="Times New Roman"/>
      <family val="1"/>
      <charset val="204"/>
    </font>
    <font>
      <sz val="13"/>
      <name val="Times New Roman"/>
      <family val="1"/>
      <charset val="204"/>
    </font>
    <font>
      <b/>
      <i/>
      <sz val="10"/>
      <name val="Times New Roman"/>
      <family val="1"/>
      <charset val="204"/>
    </font>
    <font>
      <b/>
      <i/>
      <sz val="10"/>
      <color indexed="10"/>
      <name val="Times New Roman"/>
      <family val="1"/>
      <charset val="204"/>
    </font>
    <font>
      <b/>
      <sz val="12"/>
      <color rgb="FFFF0000"/>
      <name val="Times New Roman"/>
      <family val="1"/>
      <charset val="204"/>
    </font>
    <font>
      <b/>
      <sz val="12"/>
      <color indexed="64"/>
      <name val="Times New Roman"/>
      <family val="1"/>
      <charset val="204"/>
    </font>
    <font>
      <sz val="20"/>
      <name val="Times New Roman"/>
      <family val="1"/>
      <charset val="204"/>
    </font>
    <font>
      <sz val="18"/>
      <color theme="1"/>
      <name val="Times New Roman"/>
      <family val="1"/>
      <charset val="204"/>
    </font>
    <font>
      <sz val="9"/>
      <name val="Times New Roman"/>
      <family val="1"/>
      <charset val="204"/>
    </font>
    <font>
      <i/>
      <sz val="11"/>
      <name val="Times New Roman"/>
      <family val="1"/>
      <charset val="204"/>
    </font>
    <font>
      <i/>
      <sz val="10"/>
      <name val="Times New Roman"/>
      <family val="1"/>
      <charset val="204"/>
    </font>
    <font>
      <b/>
      <i/>
      <sz val="11"/>
      <name val="Times New Roman"/>
      <family val="1"/>
      <charset val="204"/>
    </font>
    <font>
      <sz val="8"/>
      <color indexed="64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b/>
      <i/>
      <sz val="12"/>
      <name val="Times New Roman"/>
      <family val="1"/>
      <charset val="204"/>
    </font>
    <font>
      <sz val="12"/>
      <color indexed="64"/>
      <name val="Times New Roman"/>
      <family val="1"/>
      <charset val="204"/>
    </font>
    <font>
      <sz val="10"/>
      <color rgb="FF7030A0"/>
      <name val="Times New Roman"/>
      <family val="1"/>
      <charset val="204"/>
    </font>
    <font>
      <sz val="11"/>
      <color rgb="FF7030A0"/>
      <name val="Times New Roman"/>
      <family val="1"/>
      <charset val="204"/>
    </font>
    <font>
      <sz val="8"/>
      <color rgb="FF7030A0"/>
      <name val="Times New Roman"/>
      <family val="1"/>
      <charset val="204"/>
    </font>
    <font>
      <b/>
      <sz val="15"/>
      <color indexed="64"/>
      <name val="Times New Roman"/>
      <family val="1"/>
      <charset val="204"/>
    </font>
    <font>
      <b/>
      <u/>
      <sz val="11"/>
      <name val="Times New Roman"/>
      <family val="1"/>
      <charset val="204"/>
    </font>
    <font>
      <sz val="10"/>
      <color rgb="FFFF0000"/>
      <name val="Times New Roman"/>
      <family val="1"/>
      <charset val="204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84">
    <xf numFmtId="0" fontId="0" fillId="0" borderId="0" applyNumberFormat="0"/>
    <xf numFmtId="0" fontId="11" fillId="0" borderId="0" applyNumberFormat="0"/>
    <xf numFmtId="0" fontId="11" fillId="0" borderId="0" applyNumberFormat="0"/>
    <xf numFmtId="0" fontId="12" fillId="0" borderId="0"/>
    <xf numFmtId="0" fontId="9" fillId="0" borderId="0"/>
    <xf numFmtId="0" fontId="9" fillId="0" borderId="0"/>
    <xf numFmtId="0" fontId="9" fillId="0" borderId="0"/>
    <xf numFmtId="0" fontId="9" fillId="0" borderId="0" applyNumberFormat="0"/>
    <xf numFmtId="0" fontId="9" fillId="0" borderId="0" applyNumberFormat="0"/>
    <xf numFmtId="0" fontId="9" fillId="0" borderId="0" applyNumberFormat="0"/>
    <xf numFmtId="0" fontId="13" fillId="0" borderId="0"/>
    <xf numFmtId="0" fontId="9" fillId="0" borderId="0"/>
    <xf numFmtId="0" fontId="9" fillId="0" borderId="0" applyNumberFormat="0"/>
    <xf numFmtId="0" fontId="9" fillId="0" borderId="0" applyNumberFormat="0"/>
    <xf numFmtId="0" fontId="11" fillId="0" borderId="0" applyNumberFormat="0"/>
    <xf numFmtId="0" fontId="11" fillId="0" borderId="0" applyNumberFormat="0"/>
    <xf numFmtId="0" fontId="9" fillId="0" borderId="0"/>
    <xf numFmtId="0" fontId="9" fillId="0" borderId="0"/>
    <xf numFmtId="0" fontId="9" fillId="0" borderId="0"/>
    <xf numFmtId="0" fontId="9" fillId="0" borderId="0"/>
    <xf numFmtId="0" fontId="11" fillId="0" borderId="0"/>
    <xf numFmtId="0" fontId="14" fillId="0" borderId="0"/>
    <xf numFmtId="0" fontId="14" fillId="0" borderId="0"/>
    <xf numFmtId="0" fontId="14" fillId="0" borderId="0"/>
    <xf numFmtId="0" fontId="15" fillId="0" borderId="0"/>
    <xf numFmtId="0" fontId="16" fillId="0" borderId="0"/>
    <xf numFmtId="0" fontId="14" fillId="0" borderId="0"/>
    <xf numFmtId="0" fontId="14" fillId="0" borderId="0"/>
    <xf numFmtId="0" fontId="14" fillId="0" borderId="0"/>
    <xf numFmtId="0" fontId="8" fillId="0" borderId="0"/>
    <xf numFmtId="165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6" fontId="17" fillId="0" borderId="0" applyFont="0" applyFill="0" applyBorder="0" applyAlignment="0" applyProtection="0"/>
    <xf numFmtId="0" fontId="9" fillId="0" borderId="0" applyNumberFormat="0"/>
    <xf numFmtId="0" fontId="11" fillId="0" borderId="0" applyNumberFormat="0"/>
    <xf numFmtId="0" fontId="9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14" fillId="0" borderId="0"/>
    <xf numFmtId="0" fontId="10" fillId="0" borderId="0"/>
    <xf numFmtId="165" fontId="14" fillId="0" borderId="0" applyFont="0" applyFill="0" applyBorder="0" applyAlignment="0" applyProtection="0"/>
    <xf numFmtId="0" fontId="6" fillId="0" borderId="0"/>
    <xf numFmtId="166" fontId="17" fillId="0" borderId="0" applyFont="0" applyFill="0" applyBorder="0" applyAlignment="0" applyProtection="0"/>
    <xf numFmtId="0" fontId="14" fillId="0" borderId="0"/>
    <xf numFmtId="0" fontId="14" fillId="0" borderId="0"/>
    <xf numFmtId="165" fontId="5" fillId="0" borderId="0" applyFont="0" applyFill="0" applyBorder="0" applyAlignment="0" applyProtection="0"/>
    <xf numFmtId="0" fontId="36" fillId="0" borderId="0"/>
    <xf numFmtId="0" fontId="4" fillId="0" borderId="0"/>
    <xf numFmtId="164" fontId="9" fillId="0" borderId="0" applyFont="0" applyFill="0" applyBorder="0" applyAlignment="0" applyProtection="0"/>
    <xf numFmtId="0" fontId="10" fillId="0" borderId="0"/>
    <xf numFmtId="43" fontId="42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0" fillId="0" borderId="0"/>
    <xf numFmtId="0" fontId="50" fillId="0" borderId="0"/>
    <xf numFmtId="0" fontId="3" fillId="0" borderId="0"/>
    <xf numFmtId="165" fontId="3" fillId="0" borderId="0" applyFont="0" applyFill="0" applyBorder="0" applyAlignment="0" applyProtection="0"/>
    <xf numFmtId="0" fontId="13" fillId="0" borderId="0"/>
    <xf numFmtId="0" fontId="14" fillId="0" borderId="0"/>
    <xf numFmtId="165" fontId="3" fillId="0" borderId="0" applyFont="0" applyFill="0" applyBorder="0" applyAlignment="0" applyProtection="0"/>
    <xf numFmtId="0" fontId="61" fillId="0" borderId="0"/>
    <xf numFmtId="0" fontId="14" fillId="0" borderId="0"/>
    <xf numFmtId="43" fontId="2" fillId="0" borderId="0" applyFont="0" applyFill="0" applyBorder="0" applyAlignment="0" applyProtection="0"/>
    <xf numFmtId="0" fontId="14" fillId="0" borderId="0"/>
    <xf numFmtId="0" fontId="14" fillId="0" borderId="0"/>
    <xf numFmtId="0" fontId="10" fillId="0" borderId="0"/>
    <xf numFmtId="0" fontId="2" fillId="0" borderId="0"/>
    <xf numFmtId="0" fontId="11" fillId="0" borderId="0"/>
    <xf numFmtId="0" fontId="2" fillId="0" borderId="0"/>
    <xf numFmtId="165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4" fillId="0" borderId="0"/>
    <xf numFmtId="0" fontId="10" fillId="0" borderId="0"/>
    <xf numFmtId="0" fontId="42" fillId="0" borderId="0"/>
    <xf numFmtId="0" fontId="14" fillId="0" borderId="0"/>
    <xf numFmtId="0" fontId="1" fillId="0" borderId="0"/>
    <xf numFmtId="0" fontId="14" fillId="0" borderId="0"/>
    <xf numFmtId="0" fontId="10" fillId="0" borderId="0"/>
    <xf numFmtId="0" fontId="12" fillId="0" borderId="0" applyNumberFormat="0"/>
    <xf numFmtId="0" fontId="14" fillId="0" borderId="0" applyNumberFormat="0" applyFont="0" applyFill="0" applyBorder="0" applyAlignment="0" applyProtection="0">
      <alignment vertical="top"/>
    </xf>
    <xf numFmtId="43" fontId="1" fillId="0" borderId="0" applyFont="0" applyFill="0" applyBorder="0" applyAlignment="0" applyProtection="0"/>
  </cellStyleXfs>
  <cellXfs count="1138">
    <xf numFmtId="0" fontId="0" fillId="0" borderId="0" xfId="0"/>
    <xf numFmtId="0" fontId="14" fillId="0" borderId="0" xfId="28"/>
    <xf numFmtId="0" fontId="24" fillId="0" borderId="0" xfId="28" applyFont="1"/>
    <xf numFmtId="0" fontId="27" fillId="0" borderId="0" xfId="28" applyFont="1"/>
    <xf numFmtId="0" fontId="24" fillId="0" borderId="0" xfId="28" applyFont="1" applyAlignment="1">
      <alignment horizontal="right"/>
    </xf>
    <xf numFmtId="0" fontId="24" fillId="0" borderId="0" xfId="28" applyFont="1" applyAlignment="1">
      <alignment horizontal="right"/>
    </xf>
    <xf numFmtId="0" fontId="24" fillId="0" borderId="4" xfId="28" applyFont="1" applyBorder="1" applyAlignment="1">
      <alignment horizontal="center"/>
    </xf>
    <xf numFmtId="0" fontId="14" fillId="0" borderId="10" xfId="28" applyFont="1" applyBorder="1" applyAlignment="1">
      <alignment horizontal="center" vertical="center" wrapText="1"/>
    </xf>
    <xf numFmtId="0" fontId="14" fillId="0" borderId="3" xfId="28" applyFont="1" applyBorder="1" applyAlignment="1">
      <alignment horizontal="center" vertical="center" wrapText="1"/>
    </xf>
    <xf numFmtId="14" fontId="24" fillId="0" borderId="4" xfId="28" applyNumberFormat="1" applyFont="1" applyBorder="1" applyAlignment="1">
      <alignment horizontal="center"/>
    </xf>
    <xf numFmtId="14" fontId="24" fillId="0" borderId="1" xfId="28" applyNumberFormat="1" applyFont="1" applyBorder="1" applyAlignment="1">
      <alignment horizontal="center"/>
    </xf>
    <xf numFmtId="0" fontId="18" fillId="0" borderId="0" xfId="28" applyFont="1" applyAlignment="1">
      <alignment horizontal="center"/>
    </xf>
    <xf numFmtId="0" fontId="17" fillId="0" borderId="0" xfId="39" applyFont="1" applyAlignment="1">
      <alignment horizontal="left" wrapText="1"/>
    </xf>
    <xf numFmtId="0" fontId="24" fillId="0" borderId="1" xfId="28" applyFont="1" applyBorder="1" applyAlignment="1">
      <alignment horizontal="center" vertical="center" wrapText="1"/>
    </xf>
    <xf numFmtId="0" fontId="24" fillId="0" borderId="0" xfId="28" applyFont="1" applyAlignment="1">
      <alignment horizontal="left" vertical="top"/>
    </xf>
    <xf numFmtId="0" fontId="24" fillId="0" borderId="0" xfId="28" applyFont="1" applyAlignment="1">
      <alignment horizontal="left" vertical="top" wrapText="1"/>
    </xf>
    <xf numFmtId="0" fontId="30" fillId="0" borderId="0" xfId="28" applyFont="1" applyAlignment="1">
      <alignment horizontal="right" wrapText="1"/>
    </xf>
    <xf numFmtId="168" fontId="24" fillId="0" borderId="0" xfId="28" applyNumberFormat="1" applyFont="1" applyAlignment="1">
      <alignment horizontal="right"/>
    </xf>
    <xf numFmtId="0" fontId="24" fillId="0" borderId="0" xfId="28" applyFont="1" applyAlignment="1">
      <alignment horizontal="right" wrapText="1"/>
    </xf>
    <xf numFmtId="169" fontId="24" fillId="0" borderId="0" xfId="28" applyNumberFormat="1" applyFont="1" applyAlignment="1">
      <alignment horizontal="right"/>
    </xf>
    <xf numFmtId="169" fontId="30" fillId="0" borderId="0" xfId="28" applyNumberFormat="1" applyFont="1" applyAlignment="1">
      <alignment horizontal="right"/>
    </xf>
    <xf numFmtId="169" fontId="14" fillId="0" borderId="0" xfId="28" applyNumberFormat="1"/>
    <xf numFmtId="0" fontId="30" fillId="0" borderId="0" xfId="28" applyFont="1" applyAlignment="1">
      <alignment horizontal="left" vertical="top"/>
    </xf>
    <xf numFmtId="0" fontId="30" fillId="0" borderId="0" xfId="28" applyFont="1" applyAlignment="1">
      <alignment horizontal="left" vertical="top" wrapText="1"/>
    </xf>
    <xf numFmtId="0" fontId="30" fillId="0" borderId="0" xfId="28" applyFont="1" applyAlignment="1">
      <alignment horizontal="right"/>
    </xf>
    <xf numFmtId="168" fontId="30" fillId="0" borderId="0" xfId="28" applyNumberFormat="1" applyFont="1" applyAlignment="1">
      <alignment horizontal="right"/>
    </xf>
    <xf numFmtId="0" fontId="30" fillId="0" borderId="0" xfId="28" applyFont="1" applyAlignment="1">
      <alignment horizontal="right" shrinkToFit="1"/>
    </xf>
    <xf numFmtId="0" fontId="27" fillId="0" borderId="9" xfId="28" applyFont="1" applyBorder="1" applyAlignment="1">
      <alignment horizontal="left" vertical="top"/>
    </xf>
    <xf numFmtId="0" fontId="27" fillId="0" borderId="9" xfId="28" applyFont="1" applyBorder="1" applyAlignment="1">
      <alignment horizontal="left" vertical="top" wrapText="1"/>
    </xf>
    <xf numFmtId="0" fontId="31" fillId="0" borderId="9" xfId="28" applyFont="1" applyBorder="1" applyAlignment="1">
      <alignment horizontal="right" wrapText="1"/>
    </xf>
    <xf numFmtId="0" fontId="27" fillId="0" borderId="9" xfId="28" applyFont="1" applyBorder="1" applyAlignment="1">
      <alignment horizontal="right"/>
    </xf>
    <xf numFmtId="168" fontId="27" fillId="0" borderId="9" xfId="28" applyNumberFormat="1" applyFont="1" applyBorder="1" applyAlignment="1">
      <alignment horizontal="right"/>
    </xf>
    <xf numFmtId="0" fontId="27" fillId="0" borderId="9" xfId="28" applyFont="1" applyBorder="1" applyAlignment="1">
      <alignment horizontal="right" wrapText="1"/>
    </xf>
    <xf numFmtId="0" fontId="24" fillId="0" borderId="0" xfId="28" applyFont="1" applyAlignment="1">
      <alignment horizontal="left" vertical="top"/>
    </xf>
    <xf numFmtId="0" fontId="32" fillId="0" borderId="0" xfId="28" applyFont="1" applyAlignment="1">
      <alignment horizontal="left" vertical="top" wrapText="1"/>
    </xf>
    <xf numFmtId="0" fontId="14" fillId="0" borderId="9" xfId="28" applyBorder="1"/>
    <xf numFmtId="0" fontId="24" fillId="0" borderId="0" xfId="22" applyFont="1" applyFill="1"/>
    <xf numFmtId="167" fontId="24" fillId="0" borderId="0" xfId="22" applyNumberFormat="1" applyFont="1" applyFill="1"/>
    <xf numFmtId="0" fontId="14" fillId="0" borderId="0" xfId="23"/>
    <xf numFmtId="0" fontId="24" fillId="0" borderId="0" xfId="23" applyFont="1" applyAlignment="1">
      <alignment wrapText="1"/>
    </xf>
    <xf numFmtId="0" fontId="14" fillId="0" borderId="0" xfId="22" applyFont="1" applyFill="1"/>
    <xf numFmtId="0" fontId="27" fillId="0" borderId="0" xfId="22" applyFont="1" applyFill="1" applyAlignment="1">
      <alignment horizontal="left" wrapText="1"/>
    </xf>
    <xf numFmtId="0" fontId="14" fillId="0" borderId="0" xfId="22" applyFont="1"/>
    <xf numFmtId="0" fontId="14" fillId="0" borderId="0" xfId="28" applyFont="1"/>
    <xf numFmtId="0" fontId="27" fillId="0" borderId="0" xfId="39" applyFont="1" applyAlignment="1">
      <alignment horizontal="left" wrapText="1"/>
    </xf>
    <xf numFmtId="0" fontId="27" fillId="2" borderId="0" xfId="39" applyFont="1" applyFill="1" applyAlignment="1">
      <alignment horizontal="left" wrapText="1"/>
    </xf>
    <xf numFmtId="0" fontId="28" fillId="0" borderId="0" xfId="28" applyFont="1" applyAlignment="1">
      <alignment horizontal="center" wrapText="1"/>
    </xf>
    <xf numFmtId="169" fontId="14" fillId="0" borderId="0" xfId="28" applyNumberFormat="1" applyFont="1"/>
    <xf numFmtId="0" fontId="27" fillId="0" borderId="0" xfId="28" applyFont="1" applyAlignment="1">
      <alignment horizontal="left" wrapText="1"/>
    </xf>
    <xf numFmtId="169" fontId="27" fillId="0" borderId="0" xfId="28" applyNumberFormat="1" applyFont="1" applyAlignment="1">
      <alignment horizontal="right"/>
    </xf>
    <xf numFmtId="0" fontId="27" fillId="0" borderId="0" xfId="28" applyFont="1" applyAlignment="1">
      <alignment horizontal="right"/>
    </xf>
    <xf numFmtId="0" fontId="14" fillId="0" borderId="9" xfId="28" applyFont="1" applyBorder="1"/>
    <xf numFmtId="0" fontId="32" fillId="0" borderId="0" xfId="28" applyFont="1" applyAlignment="1">
      <alignment horizontal="right" wrapText="1"/>
    </xf>
    <xf numFmtId="0" fontId="32" fillId="0" borderId="0" xfId="28" applyFont="1" applyAlignment="1">
      <alignment horizontal="right"/>
    </xf>
    <xf numFmtId="171" fontId="14" fillId="0" borderId="0" xfId="28" applyNumberFormat="1"/>
    <xf numFmtId="0" fontId="24" fillId="0" borderId="0" xfId="28" applyFont="1" applyFill="1" applyAlignment="1">
      <alignment horizontal="left" vertical="top" wrapText="1"/>
    </xf>
    <xf numFmtId="0" fontId="30" fillId="0" borderId="0" xfId="28" applyFont="1" applyFill="1" applyAlignment="1">
      <alignment horizontal="right" wrapText="1"/>
    </xf>
    <xf numFmtId="169" fontId="24" fillId="0" borderId="0" xfId="28" applyNumberFormat="1" applyFont="1" applyFill="1" applyAlignment="1">
      <alignment horizontal="right"/>
    </xf>
    <xf numFmtId="0" fontId="24" fillId="0" borderId="0" xfId="28" applyFont="1" applyFill="1" applyAlignment="1">
      <alignment horizontal="right" wrapText="1"/>
    </xf>
    <xf numFmtId="0" fontId="24" fillId="0" borderId="0" xfId="28" applyFont="1" applyFill="1" applyAlignment="1">
      <alignment horizontal="right"/>
    </xf>
    <xf numFmtId="0" fontId="14" fillId="0" borderId="0" xfId="28" applyFill="1"/>
    <xf numFmtId="0" fontId="14" fillId="0" borderId="9" xfId="28" applyFill="1" applyBorder="1"/>
    <xf numFmtId="169" fontId="14" fillId="0" borderId="0" xfId="28" applyNumberFormat="1" applyFill="1"/>
    <xf numFmtId="0" fontId="32" fillId="0" borderId="0" xfId="28" applyFont="1" applyFill="1" applyAlignment="1">
      <alignment horizontal="left" vertical="top" wrapText="1"/>
    </xf>
    <xf numFmtId="0" fontId="24" fillId="2" borderId="0" xfId="28" applyFont="1" applyFill="1" applyAlignment="1">
      <alignment horizontal="left" vertical="top" wrapText="1"/>
    </xf>
    <xf numFmtId="0" fontId="27" fillId="0" borderId="0" xfId="43" applyFont="1" applyAlignment="1">
      <alignment horizontal="left" wrapText="1"/>
    </xf>
    <xf numFmtId="0" fontId="32" fillId="0" borderId="0" xfId="28" applyFont="1" applyBorder="1" applyAlignment="1">
      <alignment horizontal="left" vertical="top" wrapText="1"/>
    </xf>
    <xf numFmtId="0" fontId="24" fillId="0" borderId="0" xfId="28" applyFont="1" applyBorder="1" applyAlignment="1">
      <alignment wrapText="1"/>
    </xf>
    <xf numFmtId="0" fontId="24" fillId="0" borderId="0" xfId="28" applyFont="1" applyAlignment="1">
      <alignment horizontal="right"/>
    </xf>
    <xf numFmtId="0" fontId="24" fillId="0" borderId="4" xfId="28" applyFont="1" applyBorder="1" applyAlignment="1">
      <alignment horizontal="center"/>
    </xf>
    <xf numFmtId="0" fontId="24" fillId="0" borderId="10" xfId="28" applyFont="1" applyBorder="1" applyAlignment="1">
      <alignment horizontal="center"/>
    </xf>
    <xf numFmtId="0" fontId="26" fillId="0" borderId="0" xfId="0" applyFont="1"/>
    <xf numFmtId="0" fontId="24" fillId="4" borderId="0" xfId="0" applyFont="1" applyFill="1" applyAlignment="1">
      <alignment horizontal="left" vertical="top" wrapText="1"/>
    </xf>
    <xf numFmtId="0" fontId="24" fillId="4" borderId="0" xfId="28" applyFont="1" applyFill="1" applyAlignment="1">
      <alignment horizontal="left" vertical="top" wrapText="1"/>
    </xf>
    <xf numFmtId="0" fontId="27" fillId="0" borderId="0" xfId="23" applyFont="1" applyAlignment="1">
      <alignment wrapText="1"/>
    </xf>
    <xf numFmtId="0" fontId="24" fillId="3" borderId="0" xfId="28" applyFont="1" applyFill="1" applyAlignment="1">
      <alignment horizontal="right"/>
    </xf>
    <xf numFmtId="0" fontId="24" fillId="0" borderId="0" xfId="28" applyFont="1" applyAlignment="1">
      <alignment horizontal="right"/>
    </xf>
    <xf numFmtId="0" fontId="32" fillId="3" borderId="0" xfId="28" applyFont="1" applyFill="1" applyAlignment="1">
      <alignment horizontal="right"/>
    </xf>
    <xf numFmtId="0" fontId="26" fillId="0" borderId="0" xfId="48" applyFont="1"/>
    <xf numFmtId="0" fontId="36" fillId="0" borderId="0" xfId="48"/>
    <xf numFmtId="0" fontId="24" fillId="0" borderId="0" xfId="48" applyFont="1"/>
    <xf numFmtId="0" fontId="27" fillId="0" borderId="0" xfId="48" applyFont="1"/>
    <xf numFmtId="0" fontId="24" fillId="0" borderId="0" xfId="48" applyFont="1" applyAlignment="1">
      <alignment horizontal="right"/>
    </xf>
    <xf numFmtId="0" fontId="24" fillId="0" borderId="14" xfId="48" applyFont="1" applyBorder="1" applyAlignment="1"/>
    <xf numFmtId="0" fontId="24" fillId="0" borderId="0" xfId="48" applyFont="1" applyBorder="1" applyAlignment="1"/>
    <xf numFmtId="0" fontId="24" fillId="0" borderId="15" xfId="48" applyFont="1" applyBorder="1" applyAlignment="1"/>
    <xf numFmtId="0" fontId="24" fillId="0" borderId="12" xfId="48" applyFont="1" applyBorder="1" applyAlignment="1"/>
    <xf numFmtId="0" fontId="24" fillId="0" borderId="2" xfId="48" applyFont="1" applyBorder="1" applyAlignment="1"/>
    <xf numFmtId="0" fontId="24" fillId="0" borderId="13" xfId="48" applyFont="1" applyBorder="1" applyAlignment="1"/>
    <xf numFmtId="0" fontId="24" fillId="0" borderId="10" xfId="48" applyFont="1" applyBorder="1" applyAlignment="1">
      <alignment horizontal="center"/>
    </xf>
    <xf numFmtId="0" fontId="24" fillId="0" borderId="4" xfId="48" applyFont="1" applyBorder="1" applyAlignment="1">
      <alignment horizontal="center"/>
    </xf>
    <xf numFmtId="0" fontId="14" fillId="0" borderId="10" xfId="48" applyFont="1" applyBorder="1" applyAlignment="1">
      <alignment horizontal="center" vertical="center" wrapText="1"/>
    </xf>
    <xf numFmtId="0" fontId="14" fillId="0" borderId="3" xfId="48" applyFont="1" applyBorder="1" applyAlignment="1">
      <alignment horizontal="center" vertical="center" wrapText="1"/>
    </xf>
    <xf numFmtId="14" fontId="24" fillId="0" borderId="4" xfId="48" applyNumberFormat="1" applyFont="1" applyBorder="1" applyAlignment="1">
      <alignment horizontal="center"/>
    </xf>
    <xf numFmtId="14" fontId="24" fillId="0" borderId="1" xfId="48" applyNumberFormat="1" applyFont="1" applyBorder="1" applyAlignment="1">
      <alignment horizontal="center"/>
    </xf>
    <xf numFmtId="0" fontId="18" fillId="0" borderId="0" xfId="48" applyFont="1" applyAlignment="1">
      <alignment horizontal="center"/>
    </xf>
    <xf numFmtId="0" fontId="33" fillId="0" borderId="0" xfId="49" applyFont="1" applyAlignment="1">
      <alignment horizontal="left" wrapText="1"/>
    </xf>
    <xf numFmtId="0" fontId="24" fillId="0" borderId="1" xfId="48" applyFont="1" applyBorder="1" applyAlignment="1">
      <alignment horizontal="center" vertical="center" wrapText="1"/>
    </xf>
    <xf numFmtId="0" fontId="24" fillId="0" borderId="0" xfId="48" applyFont="1" applyAlignment="1">
      <alignment horizontal="left" vertical="top"/>
    </xf>
    <xf numFmtId="0" fontId="24" fillId="0" borderId="0" xfId="48" applyFont="1" applyAlignment="1">
      <alignment horizontal="left" vertical="top" wrapText="1"/>
    </xf>
    <xf numFmtId="0" fontId="30" fillId="0" borderId="0" xfId="48" applyFont="1" applyAlignment="1">
      <alignment horizontal="right" wrapText="1"/>
    </xf>
    <xf numFmtId="168" fontId="24" fillId="0" borderId="0" xfId="48" applyNumberFormat="1" applyFont="1" applyAlignment="1">
      <alignment horizontal="right"/>
    </xf>
    <xf numFmtId="0" fontId="24" fillId="0" borderId="0" xfId="48" applyFont="1" applyAlignment="1">
      <alignment horizontal="right" wrapText="1"/>
    </xf>
    <xf numFmtId="169" fontId="24" fillId="0" borderId="0" xfId="48" applyNumberFormat="1" applyFont="1" applyAlignment="1">
      <alignment horizontal="right"/>
    </xf>
    <xf numFmtId="169" fontId="30" fillId="0" borderId="0" xfId="48" applyNumberFormat="1" applyFont="1" applyAlignment="1">
      <alignment horizontal="right"/>
    </xf>
    <xf numFmtId="169" fontId="36" fillId="0" borderId="0" xfId="48" applyNumberFormat="1"/>
    <xf numFmtId="0" fontId="30" fillId="0" borderId="0" xfId="48" applyFont="1" applyAlignment="1">
      <alignment horizontal="left" vertical="top"/>
    </xf>
    <xf numFmtId="0" fontId="30" fillId="0" borderId="0" xfId="48" applyFont="1" applyAlignment="1">
      <alignment horizontal="left" vertical="top" wrapText="1"/>
    </xf>
    <xf numFmtId="0" fontId="30" fillId="0" borderId="0" xfId="48" applyFont="1" applyAlignment="1">
      <alignment horizontal="right"/>
    </xf>
    <xf numFmtId="168" fontId="30" fillId="0" borderId="0" xfId="48" applyNumberFormat="1" applyFont="1" applyAlignment="1">
      <alignment horizontal="right"/>
    </xf>
    <xf numFmtId="0" fontId="30" fillId="0" borderId="0" xfId="48" applyFont="1" applyAlignment="1">
      <alignment horizontal="right" shrinkToFit="1"/>
    </xf>
    <xf numFmtId="0" fontId="27" fillId="0" borderId="9" xfId="48" applyFont="1" applyBorder="1" applyAlignment="1">
      <alignment horizontal="left" vertical="top"/>
    </xf>
    <xf numFmtId="0" fontId="27" fillId="0" borderId="9" xfId="48" applyFont="1" applyBorder="1" applyAlignment="1">
      <alignment horizontal="left" vertical="top" wrapText="1"/>
    </xf>
    <xf numFmtId="0" fontId="31" fillId="0" borderId="9" xfId="48" applyFont="1" applyBorder="1" applyAlignment="1">
      <alignment horizontal="right" wrapText="1"/>
    </xf>
    <xf numFmtId="0" fontId="27" fillId="0" borderId="9" xfId="48" applyFont="1" applyBorder="1" applyAlignment="1">
      <alignment horizontal="right"/>
    </xf>
    <xf numFmtId="168" fontId="27" fillId="0" borderId="9" xfId="48" applyNumberFormat="1" applyFont="1" applyBorder="1" applyAlignment="1">
      <alignment horizontal="right"/>
    </xf>
    <xf numFmtId="0" fontId="27" fillId="0" borderId="9" xfId="48" applyFont="1" applyBorder="1" applyAlignment="1">
      <alignment horizontal="right" wrapText="1"/>
    </xf>
    <xf numFmtId="0" fontId="36" fillId="0" borderId="9" xfId="48" applyBorder="1"/>
    <xf numFmtId="0" fontId="32" fillId="0" borderId="0" xfId="28" applyFont="1" applyFill="1" applyAlignment="1">
      <alignment horizontal="right"/>
    </xf>
    <xf numFmtId="0" fontId="28" fillId="0" borderId="0" xfId="48" applyFont="1" applyAlignment="1">
      <alignment horizontal="center" wrapText="1"/>
    </xf>
    <xf numFmtId="0" fontId="24" fillId="0" borderId="0" xfId="48" quotePrefix="1" applyFont="1" applyAlignment="1">
      <alignment horizontal="right" wrapText="1"/>
    </xf>
    <xf numFmtId="172" fontId="24" fillId="0" borderId="0" xfId="48" applyNumberFormat="1" applyFont="1" applyAlignment="1">
      <alignment horizontal="right"/>
    </xf>
    <xf numFmtId="0" fontId="27" fillId="0" borderId="0" xfId="48" applyFont="1" applyAlignment="1">
      <alignment horizontal="left" wrapText="1"/>
    </xf>
    <xf numFmtId="172" fontId="36" fillId="0" borderId="0" xfId="48" applyNumberFormat="1"/>
    <xf numFmtId="168" fontId="24" fillId="0" borderId="0" xfId="28" applyNumberFormat="1" applyFont="1" applyFill="1" applyAlignment="1">
      <alignment horizontal="right"/>
    </xf>
    <xf numFmtId="0" fontId="35" fillId="2" borderId="0" xfId="4" applyFont="1" applyFill="1" applyAlignment="1">
      <alignment vertical="center"/>
    </xf>
    <xf numFmtId="0" fontId="35" fillId="0" borderId="0" xfId="4" applyFont="1" applyAlignment="1">
      <alignment vertical="center" wrapText="1"/>
    </xf>
    <xf numFmtId="0" fontId="35" fillId="0" borderId="0" xfId="4" applyFont="1" applyAlignment="1">
      <alignment vertical="center"/>
    </xf>
    <xf numFmtId="0" fontId="23" fillId="0" borderId="0" xfId="4" applyFont="1" applyAlignment="1">
      <alignment horizontal="left" vertical="center"/>
    </xf>
    <xf numFmtId="0" fontId="21" fillId="0" borderId="0" xfId="4" applyFont="1" applyAlignment="1">
      <alignment horizontal="left" vertical="center"/>
    </xf>
    <xf numFmtId="0" fontId="21" fillId="2" borderId="0" xfId="4" applyFont="1" applyFill="1" applyAlignment="1">
      <alignment horizontal="left" vertical="center"/>
    </xf>
    <xf numFmtId="0" fontId="34" fillId="0" borderId="0" xfId="4" applyFont="1" applyAlignment="1">
      <alignment vertical="center"/>
    </xf>
    <xf numFmtId="0" fontId="34" fillId="0" borderId="0" xfId="4" applyFont="1" applyAlignment="1">
      <alignment vertical="center" wrapText="1"/>
    </xf>
    <xf numFmtId="0" fontId="37" fillId="0" borderId="0" xfId="28" applyFont="1" applyAlignment="1">
      <alignment horizontal="center"/>
    </xf>
    <xf numFmtId="0" fontId="18" fillId="5" borderId="1" xfId="28" applyFont="1" applyFill="1" applyBorder="1" applyAlignment="1">
      <alignment horizontal="center" vertical="center"/>
    </xf>
    <xf numFmtId="49" fontId="38" fillId="5" borderId="1" xfId="28" applyNumberFormat="1" applyFont="1" applyFill="1" applyBorder="1" applyAlignment="1">
      <alignment horizontal="center" vertical="center" wrapText="1"/>
    </xf>
    <xf numFmtId="0" fontId="39" fillId="5" borderId="1" xfId="33" applyNumberFormat="1" applyFont="1" applyFill="1" applyBorder="1" applyAlignment="1">
      <alignment horizontal="left" vertical="center" wrapText="1"/>
    </xf>
    <xf numFmtId="4" fontId="18" fillId="5" borderId="1" xfId="30" applyNumberFormat="1" applyFont="1" applyFill="1" applyBorder="1" applyAlignment="1">
      <alignment horizontal="center" vertical="center" wrapText="1"/>
    </xf>
    <xf numFmtId="3" fontId="34" fillId="0" borderId="1" xfId="28" applyNumberFormat="1" applyFont="1" applyBorder="1" applyAlignment="1">
      <alignment horizontal="center" vertical="center" wrapText="1"/>
    </xf>
    <xf numFmtId="4" fontId="23" fillId="0" borderId="1" xfId="30" applyNumberFormat="1" applyFont="1" applyFill="1" applyBorder="1" applyAlignment="1">
      <alignment horizontal="center" vertical="center" wrapText="1"/>
    </xf>
    <xf numFmtId="0" fontId="34" fillId="5" borderId="1" xfId="28" applyFont="1" applyFill="1" applyBorder="1" applyAlignment="1">
      <alignment horizontal="center" vertical="center"/>
    </xf>
    <xf numFmtId="49" fontId="35" fillId="5" borderId="1" xfId="28" applyNumberFormat="1" applyFont="1" applyFill="1" applyBorder="1" applyAlignment="1">
      <alignment horizontal="center" vertical="center" wrapText="1"/>
    </xf>
    <xf numFmtId="49" fontId="18" fillId="5" borderId="1" xfId="28" applyNumberFormat="1" applyFont="1" applyFill="1" applyBorder="1" applyAlignment="1">
      <alignment horizontal="left" vertical="center" wrapText="1"/>
    </xf>
    <xf numFmtId="3" fontId="35" fillId="5" borderId="1" xfId="28" applyNumberFormat="1" applyFont="1" applyFill="1" applyBorder="1" applyAlignment="1">
      <alignment horizontal="center" vertical="center"/>
    </xf>
    <xf numFmtId="0" fontId="22" fillId="2" borderId="0" xfId="4" applyFont="1" applyFill="1" applyAlignment="1">
      <alignment vertical="center"/>
    </xf>
    <xf numFmtId="0" fontId="22" fillId="0" borderId="0" xfId="4" applyFont="1" applyAlignment="1">
      <alignment vertical="center"/>
    </xf>
    <xf numFmtId="0" fontId="25" fillId="0" borderId="0" xfId="28" applyFont="1"/>
    <xf numFmtId="0" fontId="22" fillId="2" borderId="0" xfId="28" applyFont="1" applyFill="1" applyAlignment="1">
      <alignment vertical="center"/>
    </xf>
    <xf numFmtId="0" fontId="18" fillId="0" borderId="0" xfId="29" applyFont="1" applyAlignment="1">
      <alignment horizontal="center" vertical="top"/>
    </xf>
    <xf numFmtId="0" fontId="22" fillId="0" borderId="0" xfId="29" applyFont="1" applyAlignment="1">
      <alignment horizontal="center" vertical="top"/>
    </xf>
    <xf numFmtId="0" fontId="22" fillId="2" borderId="0" xfId="29" applyFont="1" applyFill="1" applyAlignment="1">
      <alignment vertical="top"/>
    </xf>
    <xf numFmtId="0" fontId="35" fillId="0" borderId="8" xfId="28" applyFont="1" applyBorder="1" applyAlignment="1">
      <alignment horizontal="center" vertical="center" wrapText="1"/>
    </xf>
    <xf numFmtId="0" fontId="35" fillId="0" borderId="8" xfId="4" applyFont="1" applyBorder="1" applyAlignment="1">
      <alignment horizontal="center" vertical="center" wrapText="1"/>
    </xf>
    <xf numFmtId="0" fontId="35" fillId="0" borderId="8" xfId="23" applyFont="1" applyBorder="1" applyAlignment="1">
      <alignment horizontal="center" vertical="center" wrapText="1"/>
    </xf>
    <xf numFmtId="0" fontId="14" fillId="2" borderId="1" xfId="23" applyFill="1" applyBorder="1" applyAlignment="1">
      <alignment horizontal="center" vertical="center" wrapText="1"/>
    </xf>
    <xf numFmtId="0" fontId="14" fillId="0" borderId="1" xfId="23" applyBorder="1" applyAlignment="1">
      <alignment horizontal="center" vertical="center" wrapText="1"/>
    </xf>
    <xf numFmtId="0" fontId="34" fillId="0" borderId="1" xfId="28" applyFont="1" applyBorder="1" applyAlignment="1">
      <alignment horizontal="center" vertical="center" wrapText="1"/>
    </xf>
    <xf numFmtId="0" fontId="22" fillId="0" borderId="0" xfId="28" applyFont="1" applyAlignment="1">
      <alignment vertical="center"/>
    </xf>
    <xf numFmtId="0" fontId="14" fillId="2" borderId="1" xfId="28" applyFill="1" applyBorder="1" applyAlignment="1">
      <alignment horizontal="center" vertical="center" wrapText="1"/>
    </xf>
    <xf numFmtId="0" fontId="19" fillId="2" borderId="1" xfId="33" applyFont="1" applyFill="1" applyBorder="1" applyAlignment="1">
      <alignment horizontal="left" vertical="center" wrapText="1"/>
    </xf>
    <xf numFmtId="0" fontId="14" fillId="0" borderId="1" xfId="28" applyBorder="1" applyAlignment="1">
      <alignment horizontal="center" vertical="center" wrapText="1"/>
    </xf>
    <xf numFmtId="0" fontId="34" fillId="2" borderId="1" xfId="28" applyFont="1" applyFill="1" applyBorder="1" applyAlignment="1">
      <alignment horizontal="center" vertical="center" wrapText="1"/>
    </xf>
    <xf numFmtId="0" fontId="14" fillId="5" borderId="1" xfId="23" applyFill="1" applyBorder="1" applyAlignment="1">
      <alignment horizontal="center" vertical="center" wrapText="1"/>
    </xf>
    <xf numFmtId="0" fontId="41" fillId="5" borderId="1" xfId="28" applyFont="1" applyFill="1" applyBorder="1" applyAlignment="1">
      <alignment horizontal="center" vertical="center" wrapText="1"/>
    </xf>
    <xf numFmtId="0" fontId="19" fillId="5" borderId="1" xfId="28" applyFont="1" applyFill="1" applyBorder="1" applyAlignment="1">
      <alignment horizontal="left" vertical="center" wrapText="1"/>
    </xf>
    <xf numFmtId="0" fontId="14" fillId="5" borderId="1" xfId="28" applyFill="1" applyBorder="1" applyAlignment="1">
      <alignment horizontal="center" vertical="center" wrapText="1"/>
    </xf>
    <xf numFmtId="0" fontId="34" fillId="5" borderId="1" xfId="28" applyFont="1" applyFill="1" applyBorder="1" applyAlignment="1">
      <alignment horizontal="center" vertical="center" wrapText="1"/>
    </xf>
    <xf numFmtId="0" fontId="22" fillId="5" borderId="0" xfId="28" applyFont="1" applyFill="1" applyAlignment="1">
      <alignment vertical="center"/>
    </xf>
    <xf numFmtId="0" fontId="19" fillId="5" borderId="1" xfId="28" applyFont="1" applyFill="1" applyBorder="1" applyAlignment="1">
      <alignment horizontal="left" vertical="center"/>
    </xf>
    <xf numFmtId="49" fontId="23" fillId="0" borderId="1" xfId="13" applyNumberFormat="1" applyFont="1" applyBorder="1" applyAlignment="1">
      <alignment horizontal="center" vertical="center" wrapText="1"/>
    </xf>
    <xf numFmtId="49" fontId="23" fillId="0" borderId="1" xfId="2" applyNumberFormat="1" applyFont="1" applyBorder="1" applyAlignment="1">
      <alignment horizontal="center" vertical="center" wrapText="1"/>
    </xf>
    <xf numFmtId="0" fontId="23" fillId="0" borderId="1" xfId="34" applyFont="1" applyBorder="1" applyAlignment="1">
      <alignment horizontal="center" vertical="center" wrapText="1"/>
    </xf>
    <xf numFmtId="2" fontId="23" fillId="0" borderId="1" xfId="51" applyNumberFormat="1" applyFont="1" applyBorder="1" applyAlignment="1">
      <alignment horizontal="left" vertical="center" wrapText="1"/>
    </xf>
    <xf numFmtId="4" fontId="23" fillId="0" borderId="1" xfId="31" applyNumberFormat="1" applyFont="1" applyFill="1" applyBorder="1" applyAlignment="1">
      <alignment horizontal="center" vertical="center" wrapText="1"/>
    </xf>
    <xf numFmtId="4" fontId="34" fillId="0" borderId="1" xfId="52" applyNumberFormat="1" applyFont="1" applyFill="1" applyBorder="1" applyAlignment="1">
      <alignment horizontal="center" vertical="center" wrapText="1"/>
    </xf>
    <xf numFmtId="4" fontId="20" fillId="0" borderId="1" xfId="28" applyNumberFormat="1" applyFont="1" applyBorder="1" applyAlignment="1">
      <alignment horizontal="center" vertical="center" wrapText="1"/>
    </xf>
    <xf numFmtId="170" fontId="34" fillId="0" borderId="0" xfId="52" applyNumberFormat="1" applyFont="1" applyFill="1" applyAlignment="1">
      <alignment horizontal="center" vertical="center"/>
    </xf>
    <xf numFmtId="4" fontId="23" fillId="2" borderId="1" xfId="31" applyNumberFormat="1" applyFont="1" applyFill="1" applyBorder="1" applyAlignment="1">
      <alignment horizontal="center" vertical="center" wrapText="1"/>
    </xf>
    <xf numFmtId="0" fontId="23" fillId="5" borderId="0" xfId="28" applyFont="1" applyFill="1" applyAlignment="1">
      <alignment vertical="center"/>
    </xf>
    <xf numFmtId="0" fontId="25" fillId="5" borderId="0" xfId="28" applyFont="1" applyFill="1" applyAlignment="1">
      <alignment vertical="center"/>
    </xf>
    <xf numFmtId="4" fontId="25" fillId="5" borderId="0" xfId="28" applyNumberFormat="1" applyFont="1" applyFill="1" applyAlignment="1">
      <alignment vertical="center"/>
    </xf>
    <xf numFmtId="0" fontId="24" fillId="2" borderId="0" xfId="28" applyFont="1" applyFill="1" applyAlignment="1">
      <alignment horizontal="center" vertical="center"/>
    </xf>
    <xf numFmtId="49" fontId="21" fillId="0" borderId="0" xfId="28" applyNumberFormat="1" applyFont="1" applyAlignment="1">
      <alignment horizontal="center" vertical="center" wrapText="1"/>
    </xf>
    <xf numFmtId="0" fontId="21" fillId="0" borderId="0" xfId="28" applyFont="1" applyAlignment="1">
      <alignment horizontal="center" vertical="center" wrapText="1"/>
    </xf>
    <xf numFmtId="0" fontId="19" fillId="0" borderId="0" xfId="11" applyFont="1"/>
    <xf numFmtId="0" fontId="19" fillId="2" borderId="0" xfId="11" applyFont="1" applyFill="1"/>
    <xf numFmtId="164" fontId="19" fillId="2" borderId="0" xfId="50" applyFont="1" applyFill="1" applyBorder="1" applyAlignment="1"/>
    <xf numFmtId="0" fontId="22" fillId="0" borderId="0" xfId="28" applyFont="1" applyAlignment="1">
      <alignment horizontal="center" vertical="center"/>
    </xf>
    <xf numFmtId="4" fontId="22" fillId="2" borderId="0" xfId="28" applyNumberFormat="1" applyFont="1" applyFill="1" applyAlignment="1">
      <alignment vertical="center"/>
    </xf>
    <xf numFmtId="0" fontId="24" fillId="2" borderId="0" xfId="4" applyFont="1" applyFill="1" applyAlignment="1">
      <alignment horizontal="center" vertical="center"/>
    </xf>
    <xf numFmtId="49" fontId="21" fillId="0" borderId="0" xfId="4" applyNumberFormat="1" applyFont="1" applyAlignment="1">
      <alignment horizontal="center" vertical="center" wrapText="1"/>
    </xf>
    <xf numFmtId="0" fontId="21" fillId="0" borderId="0" xfId="4" applyFont="1" applyAlignment="1">
      <alignment horizontal="center" vertical="center" wrapText="1"/>
    </xf>
    <xf numFmtId="4" fontId="19" fillId="2" borderId="0" xfId="11" applyNumberFormat="1" applyFont="1" applyFill="1"/>
    <xf numFmtId="4" fontId="22" fillId="2" borderId="0" xfId="4" applyNumberFormat="1" applyFont="1" applyFill="1" applyAlignment="1">
      <alignment vertical="center"/>
    </xf>
    <xf numFmtId="0" fontId="23" fillId="2" borderId="0" xfId="28" applyFont="1" applyFill="1" applyAlignment="1">
      <alignment vertical="center"/>
    </xf>
    <xf numFmtId="0" fontId="21" fillId="0" borderId="0" xfId="28" applyFont="1" applyAlignment="1">
      <alignment vertical="center" wrapText="1"/>
    </xf>
    <xf numFmtId="0" fontId="21" fillId="0" borderId="0" xfId="28" applyFont="1" applyAlignment="1">
      <alignment horizontal="center" vertical="center"/>
    </xf>
    <xf numFmtId="0" fontId="19" fillId="0" borderId="2" xfId="11" applyFont="1" applyBorder="1"/>
    <xf numFmtId="0" fontId="19" fillId="0" borderId="0" xfId="28" applyFont="1" applyAlignment="1">
      <alignment vertical="center"/>
    </xf>
    <xf numFmtId="0" fontId="23" fillId="0" borderId="0" xfId="4" applyFont="1" applyAlignment="1">
      <alignment vertical="center"/>
    </xf>
    <xf numFmtId="0" fontId="21" fillId="0" borderId="0" xfId="4" applyFont="1" applyAlignment="1">
      <alignment vertical="center" wrapText="1"/>
    </xf>
    <xf numFmtId="0" fontId="21" fillId="0" borderId="0" xfId="4" applyFont="1" applyAlignment="1">
      <alignment horizontal="center" vertical="center"/>
    </xf>
    <xf numFmtId="0" fontId="20" fillId="0" borderId="0" xfId="18" applyFont="1"/>
    <xf numFmtId="0" fontId="19" fillId="0" borderId="0" xfId="18" applyFont="1"/>
    <xf numFmtId="0" fontId="19" fillId="0" borderId="0" xfId="19" applyFont="1"/>
    <xf numFmtId="0" fontId="19" fillId="2" borderId="0" xfId="19" applyFont="1" applyFill="1"/>
    <xf numFmtId="0" fontId="23" fillId="2" borderId="0" xfId="29" applyFont="1" applyFill="1" applyAlignment="1">
      <alignment vertical="center"/>
    </xf>
    <xf numFmtId="0" fontId="21" fillId="0" borderId="0" xfId="29" applyFont="1" applyAlignment="1">
      <alignment vertical="center" wrapText="1"/>
    </xf>
    <xf numFmtId="0" fontId="21" fillId="0" borderId="0" xfId="29" applyFont="1" applyAlignment="1">
      <alignment vertical="center"/>
    </xf>
    <xf numFmtId="0" fontId="21" fillId="0" borderId="0" xfId="29" applyFont="1" applyAlignment="1">
      <alignment horizontal="left" vertical="center"/>
    </xf>
    <xf numFmtId="0" fontId="21" fillId="2" borderId="0" xfId="29" applyFont="1" applyFill="1" applyAlignment="1">
      <alignment horizontal="left" vertical="center"/>
    </xf>
    <xf numFmtId="0" fontId="22" fillId="0" borderId="0" xfId="29" applyFont="1" applyAlignment="1">
      <alignment horizontal="center" vertical="center"/>
    </xf>
    <xf numFmtId="0" fontId="22" fillId="2" borderId="0" xfId="29" applyFont="1" applyFill="1" applyAlignment="1">
      <alignment vertical="center"/>
    </xf>
    <xf numFmtId="0" fontId="24" fillId="0" borderId="2" xfId="45" applyFont="1" applyBorder="1" applyAlignment="1">
      <alignment wrapText="1"/>
    </xf>
    <xf numFmtId="0" fontId="14" fillId="0" borderId="2" xfId="45" applyBorder="1" applyAlignment="1">
      <alignment wrapText="1"/>
    </xf>
    <xf numFmtId="4" fontId="24" fillId="0" borderId="2" xfId="45" applyNumberFormat="1" applyFont="1" applyBorder="1" applyAlignment="1">
      <alignment horizontal="right"/>
    </xf>
    <xf numFmtId="0" fontId="0" fillId="0" borderId="2" xfId="0" applyBorder="1"/>
    <xf numFmtId="169" fontId="24" fillId="0" borderId="2" xfId="45" applyNumberFormat="1" applyFont="1" applyBorder="1"/>
    <xf numFmtId="0" fontId="24" fillId="0" borderId="5" xfId="45" applyFont="1" applyBorder="1" applyAlignment="1">
      <alignment wrapText="1"/>
    </xf>
    <xf numFmtId="4" fontId="14" fillId="0" borderId="5" xfId="45" applyNumberFormat="1" applyBorder="1" applyAlignment="1">
      <alignment wrapText="1"/>
    </xf>
    <xf numFmtId="169" fontId="24" fillId="0" borderId="5" xfId="45" applyNumberFormat="1" applyFont="1" applyBorder="1"/>
    <xf numFmtId="0" fontId="14" fillId="0" borderId="5" xfId="45" applyBorder="1" applyAlignment="1">
      <alignment wrapText="1"/>
    </xf>
    <xf numFmtId="4" fontId="24" fillId="0" borderId="5" xfId="45" applyNumberFormat="1" applyFont="1" applyBorder="1" applyAlignment="1">
      <alignment horizontal="right"/>
    </xf>
    <xf numFmtId="0" fontId="0" fillId="0" borderId="5" xfId="0" applyBorder="1"/>
    <xf numFmtId="0" fontId="24" fillId="0" borderId="5" xfId="46" applyFont="1" applyBorder="1" applyAlignment="1">
      <alignment wrapText="1"/>
    </xf>
    <xf numFmtId="0" fontId="14" fillId="0" borderId="5" xfId="46" applyBorder="1"/>
    <xf numFmtId="4" fontId="24" fillId="0" borderId="5" xfId="46" applyNumberFormat="1" applyFont="1" applyBorder="1"/>
    <xf numFmtId="169" fontId="24" fillId="0" borderId="5" xfId="46" applyNumberFormat="1" applyFont="1" applyBorder="1"/>
    <xf numFmtId="0" fontId="27" fillId="0" borderId="5" xfId="46" applyFont="1" applyBorder="1" applyAlignment="1">
      <alignment wrapText="1"/>
    </xf>
    <xf numFmtId="0" fontId="17" fillId="0" borderId="5" xfId="46" applyFont="1" applyBorder="1"/>
    <xf numFmtId="4" fontId="27" fillId="0" borderId="5" xfId="46" applyNumberFormat="1" applyFont="1" applyBorder="1"/>
    <xf numFmtId="169" fontId="27" fillId="0" borderId="5" xfId="46" applyNumberFormat="1" applyFont="1" applyBorder="1"/>
    <xf numFmtId="169" fontId="24" fillId="0" borderId="5" xfId="46" applyNumberFormat="1" applyFont="1" applyBorder="1" applyAlignment="1">
      <alignment horizontal="right"/>
    </xf>
    <xf numFmtId="0" fontId="24" fillId="0" borderId="0" xfId="45" applyFont="1" applyAlignment="1">
      <alignment horizontal="left" wrapText="1"/>
    </xf>
    <xf numFmtId="0" fontId="24" fillId="0" borderId="0" xfId="46" applyFont="1" applyAlignment="1">
      <alignment wrapText="1"/>
    </xf>
    <xf numFmtId="0" fontId="14" fillId="0" borderId="0" xfId="46"/>
    <xf numFmtId="169" fontId="24" fillId="0" borderId="0" xfId="46" applyNumberFormat="1" applyFont="1"/>
    <xf numFmtId="169" fontId="24" fillId="0" borderId="0" xfId="46" applyNumberFormat="1" applyFont="1" applyAlignment="1">
      <alignment horizontal="right"/>
    </xf>
    <xf numFmtId="0" fontId="24" fillId="0" borderId="2" xfId="46" applyFont="1" applyBorder="1" applyAlignment="1">
      <alignment wrapText="1"/>
    </xf>
    <xf numFmtId="169" fontId="24" fillId="0" borderId="2" xfId="46" applyNumberFormat="1" applyFont="1" applyBorder="1"/>
    <xf numFmtId="0" fontId="27" fillId="0" borderId="0" xfId="39" applyFont="1"/>
    <xf numFmtId="0" fontId="7" fillId="0" borderId="0" xfId="39"/>
    <xf numFmtId="165" fontId="24" fillId="0" borderId="0" xfId="47" applyFont="1" applyFill="1" applyBorder="1" applyAlignment="1"/>
    <xf numFmtId="0" fontId="24" fillId="0" borderId="0" xfId="28" applyFont="1" applyAlignment="1">
      <alignment horizontal="right"/>
    </xf>
    <xf numFmtId="1" fontId="24" fillId="0" borderId="0" xfId="28" applyNumberFormat="1" applyFont="1" applyFill="1" applyAlignment="1">
      <alignment horizontal="right"/>
    </xf>
    <xf numFmtId="0" fontId="37" fillId="0" borderId="0" xfId="28" applyFont="1" applyAlignment="1">
      <alignment horizontal="center"/>
    </xf>
    <xf numFmtId="0" fontId="24" fillId="0" borderId="0" xfId="28" applyFont="1" applyAlignment="1">
      <alignment horizontal="right"/>
    </xf>
    <xf numFmtId="0" fontId="14" fillId="2" borderId="1" xfId="23" applyFont="1" applyFill="1" applyBorder="1" applyAlignment="1">
      <alignment horizontal="center" vertical="center" wrapText="1"/>
    </xf>
    <xf numFmtId="0" fontId="14" fillId="2" borderId="1" xfId="28" applyFont="1" applyFill="1" applyBorder="1" applyAlignment="1">
      <alignment horizontal="center" vertical="center" wrapText="1"/>
    </xf>
    <xf numFmtId="0" fontId="14" fillId="5" borderId="1" xfId="28" applyFont="1" applyFill="1" applyBorder="1" applyAlignment="1">
      <alignment horizontal="center" vertical="center" wrapText="1"/>
    </xf>
    <xf numFmtId="0" fontId="14" fillId="5" borderId="1" xfId="23" applyFont="1" applyFill="1" applyBorder="1" applyAlignment="1">
      <alignment horizontal="center" vertical="center" wrapText="1"/>
    </xf>
    <xf numFmtId="169" fontId="27" fillId="0" borderId="0" xfId="28" applyNumberFormat="1" applyFont="1" applyAlignment="1"/>
    <xf numFmtId="167" fontId="24" fillId="0" borderId="0" xfId="23" applyNumberFormat="1" applyFont="1" applyAlignment="1">
      <alignment wrapText="1"/>
    </xf>
    <xf numFmtId="4" fontId="24" fillId="0" borderId="0" xfId="23" applyNumberFormat="1" applyFont="1" applyAlignment="1">
      <alignment wrapText="1"/>
    </xf>
    <xf numFmtId="0" fontId="46" fillId="0" borderId="0" xfId="38" applyFont="1"/>
    <xf numFmtId="4" fontId="9" fillId="0" borderId="0" xfId="38" applyNumberFormat="1" applyFont="1"/>
    <xf numFmtId="0" fontId="46" fillId="0" borderId="0" xfId="38" applyFont="1" applyAlignment="1">
      <alignment horizontal="right"/>
    </xf>
    <xf numFmtId="49" fontId="34" fillId="0" borderId="20" xfId="56" applyNumberFormat="1" applyFont="1" applyBorder="1"/>
    <xf numFmtId="49" fontId="34" fillId="0" borderId="21" xfId="56" applyNumberFormat="1" applyFont="1" applyBorder="1"/>
    <xf numFmtId="49" fontId="34" fillId="0" borderId="20" xfId="56" applyNumberFormat="1" applyFont="1" applyBorder="1" applyAlignment="1">
      <alignment vertical="top"/>
    </xf>
    <xf numFmtId="49" fontId="34" fillId="0" borderId="21" xfId="56" applyNumberFormat="1" applyFont="1" applyBorder="1" applyAlignment="1">
      <alignment vertical="top"/>
    </xf>
    <xf numFmtId="0" fontId="14" fillId="0" borderId="0" xfId="56" applyFont="1"/>
    <xf numFmtId="4" fontId="14" fillId="0" borderId="0" xfId="56" applyNumberFormat="1" applyFont="1" applyAlignment="1">
      <alignment horizontal="right"/>
    </xf>
    <xf numFmtId="4" fontId="14" fillId="0" borderId="15" xfId="56" applyNumberFormat="1" applyFont="1" applyBorder="1" applyAlignment="1">
      <alignment horizontal="right"/>
    </xf>
    <xf numFmtId="0" fontId="14" fillId="0" borderId="4" xfId="56" applyFont="1" applyBorder="1" applyAlignment="1">
      <alignment horizontal="right"/>
    </xf>
    <xf numFmtId="0" fontId="14" fillId="0" borderId="0" xfId="56" applyFont="1" applyAlignment="1">
      <alignment horizontal="left"/>
    </xf>
    <xf numFmtId="4" fontId="14" fillId="0" borderId="0" xfId="56" applyNumberFormat="1" applyFont="1"/>
    <xf numFmtId="0" fontId="14" fillId="0" borderId="0" xfId="56" applyFont="1" applyAlignment="1">
      <alignment horizontal="right"/>
    </xf>
    <xf numFmtId="49" fontId="35" fillId="0" borderId="1" xfId="57" applyNumberFormat="1" applyFont="1" applyBorder="1" applyAlignment="1">
      <alignment horizontal="center" vertical="center" wrapText="1"/>
    </xf>
    <xf numFmtId="14" fontId="51" fillId="0" borderId="1" xfId="56" applyNumberFormat="1" applyFont="1" applyBorder="1" applyAlignment="1">
      <alignment horizontal="center" vertical="center"/>
    </xf>
    <xf numFmtId="0" fontId="17" fillId="0" borderId="0" xfId="56" applyFont="1" applyAlignment="1">
      <alignment horizontal="center"/>
    </xf>
    <xf numFmtId="4" fontId="14" fillId="0" borderId="0" xfId="56" applyNumberFormat="1" applyFont="1" applyAlignment="1">
      <alignment horizontal="center"/>
    </xf>
    <xf numFmtId="0" fontId="14" fillId="0" borderId="0" xfId="56" applyFont="1" applyAlignment="1">
      <alignment horizontal="center"/>
    </xf>
    <xf numFmtId="0" fontId="14" fillId="0" borderId="0" xfId="0" applyFont="1"/>
    <xf numFmtId="3" fontId="14" fillId="0" borderId="39" xfId="56" applyNumberFormat="1" applyFont="1" applyBorder="1" applyAlignment="1">
      <alignment horizontal="center" vertical="center"/>
    </xf>
    <xf numFmtId="3" fontId="14" fillId="0" borderId="25" xfId="56" applyNumberFormat="1" applyFont="1" applyBorder="1" applyAlignment="1">
      <alignment horizontal="center" vertical="center"/>
    </xf>
    <xf numFmtId="3" fontId="14" fillId="0" borderId="17" xfId="56" applyNumberFormat="1" applyFont="1" applyBorder="1" applyAlignment="1">
      <alignment horizontal="center" vertical="center"/>
    </xf>
    <xf numFmtId="3" fontId="14" fillId="0" borderId="27" xfId="56" applyNumberFormat="1" applyFont="1" applyBorder="1" applyAlignment="1">
      <alignment horizontal="center" vertical="center"/>
    </xf>
    <xf numFmtId="49" fontId="14" fillId="0" borderId="40" xfId="56" applyNumberFormat="1" applyFont="1" applyBorder="1" applyAlignment="1">
      <alignment horizontal="center" vertical="center"/>
    </xf>
    <xf numFmtId="0" fontId="14" fillId="0" borderId="24" xfId="56" applyFont="1" applyBorder="1" applyAlignment="1">
      <alignment vertical="center" wrapText="1"/>
    </xf>
    <xf numFmtId="174" fontId="34" fillId="0" borderId="31" xfId="56" applyNumberFormat="1" applyFont="1" applyBorder="1" applyAlignment="1">
      <alignment vertical="center"/>
    </xf>
    <xf numFmtId="43" fontId="34" fillId="0" borderId="32" xfId="56" applyNumberFormat="1" applyFont="1" applyBorder="1" applyAlignment="1">
      <alignment vertical="center"/>
    </xf>
    <xf numFmtId="165" fontId="34" fillId="0" borderId="32" xfId="56" applyNumberFormat="1" applyFont="1" applyBorder="1" applyAlignment="1">
      <alignment vertical="center"/>
    </xf>
    <xf numFmtId="174" fontId="34" fillId="0" borderId="40" xfId="56" applyNumberFormat="1" applyFont="1" applyBorder="1" applyAlignment="1">
      <alignment vertical="center"/>
    </xf>
    <xf numFmtId="165" fontId="34" fillId="0" borderId="30" xfId="56" applyNumberFormat="1" applyFont="1" applyBorder="1" applyAlignment="1">
      <alignment vertical="center"/>
    </xf>
    <xf numFmtId="49" fontId="14" fillId="0" borderId="41" xfId="56" applyNumberFormat="1" applyFont="1" applyBorder="1" applyAlignment="1">
      <alignment horizontal="center" vertical="center"/>
    </xf>
    <xf numFmtId="4" fontId="14" fillId="0" borderId="34" xfId="56" applyNumberFormat="1" applyFont="1" applyBorder="1" applyAlignment="1">
      <alignment vertical="center"/>
    </xf>
    <xf numFmtId="174" fontId="34" fillId="0" borderId="42" xfId="56" applyNumberFormat="1" applyFont="1" applyBorder="1" applyAlignment="1">
      <alignment vertical="center"/>
    </xf>
    <xf numFmtId="165" fontId="34" fillId="0" borderId="37" xfId="56" applyNumberFormat="1" applyFont="1" applyBorder="1" applyAlignment="1">
      <alignment vertical="center"/>
    </xf>
    <xf numFmtId="49" fontId="14" fillId="0" borderId="43" xfId="56" applyNumberFormat="1" applyFont="1" applyBorder="1" applyAlignment="1">
      <alignment horizontal="center" vertical="center"/>
    </xf>
    <xf numFmtId="4" fontId="14" fillId="0" borderId="24" xfId="56" applyNumberFormat="1" applyFont="1" applyBorder="1" applyAlignment="1">
      <alignment vertical="center"/>
    </xf>
    <xf numFmtId="174" fontId="34" fillId="6" borderId="31" xfId="56" applyNumberFormat="1" applyFont="1" applyFill="1" applyBorder="1" applyAlignment="1">
      <alignment vertical="center"/>
    </xf>
    <xf numFmtId="165" fontId="34" fillId="6" borderId="32" xfId="56" applyNumberFormat="1" applyFont="1" applyFill="1" applyBorder="1" applyAlignment="1">
      <alignment vertical="center"/>
    </xf>
    <xf numFmtId="174" fontId="52" fillId="6" borderId="29" xfId="56" applyNumberFormat="1" applyFont="1" applyFill="1" applyBorder="1" applyAlignment="1">
      <alignment vertical="center"/>
    </xf>
    <xf numFmtId="174" fontId="52" fillId="6" borderId="30" xfId="56" applyNumberFormat="1" applyFont="1" applyFill="1" applyBorder="1" applyAlignment="1">
      <alignment vertical="center"/>
    </xf>
    <xf numFmtId="4" fontId="14" fillId="0" borderId="28" xfId="56" applyNumberFormat="1" applyFont="1" applyBorder="1" applyAlignment="1">
      <alignment vertical="center"/>
    </xf>
    <xf numFmtId="174" fontId="34" fillId="6" borderId="35" xfId="56" applyNumberFormat="1" applyFont="1" applyFill="1" applyBorder="1" applyAlignment="1">
      <alignment vertical="center"/>
    </xf>
    <xf numFmtId="174" fontId="52" fillId="6" borderId="31" xfId="56" applyNumberFormat="1" applyFont="1" applyFill="1" applyBorder="1" applyAlignment="1">
      <alignment vertical="center"/>
    </xf>
    <xf numFmtId="174" fontId="52" fillId="6" borderId="32" xfId="56" applyNumberFormat="1" applyFont="1" applyFill="1" applyBorder="1" applyAlignment="1">
      <alignment vertical="center"/>
    </xf>
    <xf numFmtId="174" fontId="34" fillId="6" borderId="42" xfId="56" applyNumberFormat="1" applyFont="1" applyFill="1" applyBorder="1" applyAlignment="1">
      <alignment vertical="center"/>
    </xf>
    <xf numFmtId="165" fontId="34" fillId="6" borderId="37" xfId="56" applyNumberFormat="1" applyFont="1" applyFill="1" applyBorder="1" applyAlignment="1">
      <alignment vertical="center"/>
    </xf>
    <xf numFmtId="174" fontId="52" fillId="6" borderId="42" xfId="56" applyNumberFormat="1" applyFont="1" applyFill="1" applyBorder="1" applyAlignment="1">
      <alignment vertical="center"/>
    </xf>
    <xf numFmtId="174" fontId="52" fillId="6" borderId="37" xfId="56" applyNumberFormat="1" applyFont="1" applyFill="1" applyBorder="1" applyAlignment="1">
      <alignment vertical="center"/>
    </xf>
    <xf numFmtId="165" fontId="34" fillId="0" borderId="44" xfId="56" applyNumberFormat="1" applyFont="1" applyBorder="1" applyAlignment="1">
      <alignment vertical="center"/>
    </xf>
    <xf numFmtId="174" fontId="34" fillId="0" borderId="35" xfId="56" applyNumberFormat="1" applyFont="1" applyBorder="1" applyAlignment="1">
      <alignment vertical="center"/>
    </xf>
    <xf numFmtId="165" fontId="34" fillId="6" borderId="44" xfId="56" applyNumberFormat="1" applyFont="1" applyFill="1" applyBorder="1" applyAlignment="1">
      <alignment vertical="center"/>
    </xf>
    <xf numFmtId="165" fontId="52" fillId="6" borderId="30" xfId="56" applyNumberFormat="1" applyFont="1" applyFill="1" applyBorder="1" applyAlignment="1">
      <alignment vertical="center"/>
    </xf>
    <xf numFmtId="165" fontId="52" fillId="6" borderId="32" xfId="56" applyNumberFormat="1" applyFont="1" applyFill="1" applyBorder="1" applyAlignment="1">
      <alignment vertical="center"/>
    </xf>
    <xf numFmtId="49" fontId="14" fillId="2" borderId="41" xfId="56" applyNumberFormat="1" applyFont="1" applyFill="1" applyBorder="1" applyAlignment="1">
      <alignment horizontal="center" vertical="center"/>
    </xf>
    <xf numFmtId="165" fontId="52" fillId="6" borderId="37" xfId="56" applyNumberFormat="1" applyFont="1" applyFill="1" applyBorder="1" applyAlignment="1">
      <alignment vertical="center"/>
    </xf>
    <xf numFmtId="174" fontId="34" fillId="0" borderId="29" xfId="56" applyNumberFormat="1" applyFont="1" applyBorder="1" applyAlignment="1">
      <alignment vertical="center"/>
    </xf>
    <xf numFmtId="165" fontId="52" fillId="6" borderId="30" xfId="56" applyNumberFormat="1" applyFont="1" applyFill="1" applyBorder="1" applyAlignment="1">
      <alignment horizontal="right" vertical="center"/>
    </xf>
    <xf numFmtId="165" fontId="52" fillId="6" borderId="21" xfId="56" applyNumberFormat="1" applyFont="1" applyFill="1" applyBorder="1" applyAlignment="1">
      <alignment vertical="center"/>
    </xf>
    <xf numFmtId="49" fontId="14" fillId="0" borderId="16" xfId="56" applyNumberFormat="1" applyFont="1" applyBorder="1" applyAlignment="1">
      <alignment horizontal="center" vertical="center"/>
    </xf>
    <xf numFmtId="4" fontId="29" fillId="0" borderId="39" xfId="56" applyNumberFormat="1" applyFont="1" applyBorder="1" applyAlignment="1">
      <alignment vertical="center" wrapText="1"/>
    </xf>
    <xf numFmtId="165" fontId="34" fillId="6" borderId="45" xfId="56" applyNumberFormat="1" applyFont="1" applyFill="1" applyBorder="1" applyAlignment="1">
      <alignment vertical="center"/>
    </xf>
    <xf numFmtId="174" fontId="52" fillId="6" borderId="39" xfId="56" applyNumberFormat="1" applyFont="1" applyFill="1" applyBorder="1" applyAlignment="1">
      <alignment vertical="center"/>
    </xf>
    <xf numFmtId="165" fontId="52" fillId="6" borderId="39" xfId="56" applyNumberFormat="1" applyFont="1" applyFill="1" applyBorder="1" applyAlignment="1">
      <alignment vertical="center"/>
    </xf>
    <xf numFmtId="4" fontId="29" fillId="0" borderId="39" xfId="56" applyNumberFormat="1" applyFont="1" applyBorder="1" applyAlignment="1">
      <alignment vertical="center"/>
    </xf>
    <xf numFmtId="174" fontId="34" fillId="6" borderId="39" xfId="56" applyNumberFormat="1" applyFont="1" applyFill="1" applyBorder="1" applyAlignment="1">
      <alignment vertical="center"/>
    </xf>
    <xf numFmtId="165" fontId="34" fillId="6" borderId="39" xfId="56" applyNumberFormat="1" applyFont="1" applyFill="1" applyBorder="1" applyAlignment="1">
      <alignment vertical="center"/>
    </xf>
    <xf numFmtId="4" fontId="54" fillId="0" borderId="46" xfId="56" applyNumberFormat="1" applyFont="1" applyBorder="1" applyAlignment="1">
      <alignment vertical="center"/>
    </xf>
    <xf numFmtId="174" fontId="35" fillId="6" borderId="39" xfId="56" applyNumberFormat="1" applyFont="1" applyFill="1" applyBorder="1" applyAlignment="1">
      <alignment vertical="center"/>
    </xf>
    <xf numFmtId="174" fontId="55" fillId="6" borderId="39" xfId="56" applyNumberFormat="1" applyFont="1" applyFill="1" applyBorder="1" applyAlignment="1">
      <alignment vertical="center"/>
    </xf>
    <xf numFmtId="165" fontId="34" fillId="0" borderId="39" xfId="56" applyNumberFormat="1" applyFont="1" applyBorder="1" applyAlignment="1">
      <alignment vertical="center"/>
    </xf>
    <xf numFmtId="174" fontId="34" fillId="0" borderId="39" xfId="56" applyNumberFormat="1" applyFont="1" applyBorder="1" applyAlignment="1">
      <alignment vertical="center"/>
    </xf>
    <xf numFmtId="49" fontId="17" fillId="0" borderId="41" xfId="56" applyNumberFormat="1" applyFont="1" applyBorder="1" applyAlignment="1">
      <alignment horizontal="center" vertical="center"/>
    </xf>
    <xf numFmtId="4" fontId="54" fillId="0" borderId="39" xfId="56" applyNumberFormat="1" applyFont="1" applyBorder="1" applyAlignment="1">
      <alignment vertical="center" wrapText="1"/>
    </xf>
    <xf numFmtId="174" fontId="56" fillId="0" borderId="39" xfId="56" applyNumberFormat="1" applyFont="1" applyBorder="1" applyAlignment="1">
      <alignment vertical="center"/>
    </xf>
    <xf numFmtId="174" fontId="35" fillId="0" borderId="39" xfId="56" applyNumberFormat="1" applyFont="1" applyBorder="1" applyAlignment="1">
      <alignment vertical="center"/>
    </xf>
    <xf numFmtId="165" fontId="35" fillId="0" borderId="39" xfId="56" applyNumberFormat="1" applyFont="1" applyBorder="1" applyAlignment="1">
      <alignment horizontal="right" vertical="center"/>
    </xf>
    <xf numFmtId="165" fontId="34" fillId="0" borderId="45" xfId="56" applyNumberFormat="1" applyFont="1" applyBorder="1" applyAlignment="1">
      <alignment vertical="center"/>
    </xf>
    <xf numFmtId="49" fontId="17" fillId="0" borderId="16" xfId="56" applyNumberFormat="1" applyFont="1" applyBorder="1" applyAlignment="1">
      <alignment horizontal="center" vertical="center"/>
    </xf>
    <xf numFmtId="49" fontId="17" fillId="0" borderId="0" xfId="56" applyNumberFormat="1" applyFont="1"/>
    <xf numFmtId="0" fontId="17" fillId="0" borderId="0" xfId="56" applyFont="1" applyAlignment="1">
      <alignment horizontal="left"/>
    </xf>
    <xf numFmtId="174" fontId="17" fillId="0" borderId="0" xfId="56" applyNumberFormat="1" applyFont="1"/>
    <xf numFmtId="4" fontId="17" fillId="0" borderId="0" xfId="56" applyNumberFormat="1" applyFont="1"/>
    <xf numFmtId="0" fontId="17" fillId="0" borderId="0" xfId="56" applyFont="1"/>
    <xf numFmtId="2" fontId="17" fillId="0" borderId="0" xfId="56" applyNumberFormat="1" applyFont="1"/>
    <xf numFmtId="4" fontId="17" fillId="0" borderId="0" xfId="58" applyNumberFormat="1" applyFont="1" applyAlignment="1">
      <alignment horizontal="center" vertical="center" wrapText="1"/>
    </xf>
    <xf numFmtId="0" fontId="17" fillId="0" borderId="0" xfId="38" applyFont="1"/>
    <xf numFmtId="0" fontId="34" fillId="0" borderId="0" xfId="38" applyFont="1"/>
    <xf numFmtId="4" fontId="17" fillId="0" borderId="0" xfId="38" applyNumberFormat="1" applyFont="1"/>
    <xf numFmtId="0" fontId="18" fillId="0" borderId="0" xfId="38" applyFont="1"/>
    <xf numFmtId="0" fontId="18" fillId="0" borderId="0" xfId="38" applyFont="1" applyAlignment="1">
      <alignment horizontal="left"/>
    </xf>
    <xf numFmtId="0" fontId="18" fillId="0" borderId="2" xfId="38" applyFont="1" applyBorder="1" applyAlignment="1">
      <alignment horizontal="right"/>
    </xf>
    <xf numFmtId="0" fontId="18" fillId="0" borderId="2" xfId="38" applyFont="1" applyBorder="1"/>
    <xf numFmtId="4" fontId="18" fillId="0" borderId="2" xfId="38" applyNumberFormat="1" applyFont="1" applyBorder="1"/>
    <xf numFmtId="0" fontId="14" fillId="0" borderId="0" xfId="38" applyFont="1"/>
    <xf numFmtId="0" fontId="34" fillId="0" borderId="0" xfId="38" applyFont="1" applyAlignment="1">
      <alignment horizontal="left"/>
    </xf>
    <xf numFmtId="0" fontId="23" fillId="0" borderId="0" xfId="56" applyFont="1"/>
    <xf numFmtId="0" fontId="18" fillId="0" borderId="0" xfId="56" applyFont="1" applyAlignment="1">
      <alignment horizontal="left"/>
    </xf>
    <xf numFmtId="0" fontId="18" fillId="0" borderId="2" xfId="56" applyFont="1" applyBorder="1"/>
    <xf numFmtId="4" fontId="18" fillId="0" borderId="2" xfId="56" applyNumberFormat="1" applyFont="1" applyBorder="1"/>
    <xf numFmtId="0" fontId="18" fillId="0" borderId="0" xfId="56" applyFont="1"/>
    <xf numFmtId="4" fontId="18" fillId="0" borderId="0" xfId="56" applyNumberFormat="1" applyFont="1"/>
    <xf numFmtId="4" fontId="18" fillId="0" borderId="0" xfId="56" applyNumberFormat="1" applyFont="1" applyAlignment="1">
      <alignment horizontal="center"/>
    </xf>
    <xf numFmtId="0" fontId="17" fillId="0" borderId="0" xfId="58" applyFont="1" applyAlignment="1">
      <alignment horizontal="center" vertical="center" wrapText="1"/>
    </xf>
    <xf numFmtId="0" fontId="34" fillId="0" borderId="1" xfId="28" applyFont="1" applyFill="1" applyBorder="1" applyAlignment="1">
      <alignment horizontal="center" vertical="center"/>
    </xf>
    <xf numFmtId="49" fontId="34" fillId="0" borderId="1" xfId="28" applyNumberFormat="1" applyFont="1" applyFill="1" applyBorder="1" applyAlignment="1">
      <alignment horizontal="center" vertical="center" wrapText="1"/>
    </xf>
    <xf numFmtId="0" fontId="34" fillId="0" borderId="1" xfId="34" applyFont="1" applyFill="1" applyBorder="1" applyAlignment="1">
      <alignment horizontal="center" vertical="center" wrapText="1"/>
    </xf>
    <xf numFmtId="49" fontId="34" fillId="0" borderId="1" xfId="28" applyNumberFormat="1" applyFont="1" applyFill="1" applyBorder="1" applyAlignment="1">
      <alignment horizontal="left" vertical="center" wrapText="1"/>
    </xf>
    <xf numFmtId="3" fontId="34" fillId="0" borderId="1" xfId="28" applyNumberFormat="1" applyFont="1" applyFill="1" applyBorder="1" applyAlignment="1">
      <alignment horizontal="center" vertical="center" wrapText="1"/>
    </xf>
    <xf numFmtId="0" fontId="22" fillId="0" borderId="0" xfId="28" applyFont="1" applyFill="1" applyAlignment="1">
      <alignment vertical="center"/>
    </xf>
    <xf numFmtId="4" fontId="22" fillId="0" borderId="0" xfId="28" applyNumberFormat="1" applyFont="1" applyFill="1" applyAlignment="1">
      <alignment vertical="center"/>
    </xf>
    <xf numFmtId="0" fontId="34" fillId="0" borderId="1" xfId="28" applyFont="1" applyFill="1" applyBorder="1" applyAlignment="1">
      <alignment horizontal="center" vertical="center" wrapText="1"/>
    </xf>
    <xf numFmtId="4" fontId="18" fillId="0" borderId="1" xfId="30" applyNumberFormat="1" applyFont="1" applyFill="1" applyBorder="1" applyAlignment="1">
      <alignment horizontal="center" vertical="center" wrapText="1"/>
    </xf>
    <xf numFmtId="3" fontId="34" fillId="0" borderId="1" xfId="28" applyNumberFormat="1" applyFont="1" applyFill="1" applyBorder="1" applyAlignment="1">
      <alignment horizontal="center" vertical="center"/>
    </xf>
    <xf numFmtId="49" fontId="23" fillId="0" borderId="1" xfId="13" applyNumberFormat="1" applyFont="1" applyFill="1" applyBorder="1" applyAlignment="1">
      <alignment horizontal="center" vertical="center" wrapText="1"/>
    </xf>
    <xf numFmtId="49" fontId="23" fillId="0" borderId="1" xfId="2" applyNumberFormat="1" applyFont="1" applyFill="1" applyBorder="1" applyAlignment="1">
      <alignment horizontal="center" vertical="center" wrapText="1"/>
    </xf>
    <xf numFmtId="0" fontId="23" fillId="0" borderId="1" xfId="34" applyFont="1" applyFill="1" applyBorder="1" applyAlignment="1">
      <alignment horizontal="center" vertical="center" wrapText="1"/>
    </xf>
    <xf numFmtId="2" fontId="23" fillId="0" borderId="1" xfId="51" applyNumberFormat="1" applyFont="1" applyFill="1" applyBorder="1" applyAlignment="1">
      <alignment horizontal="left" vertical="center" wrapText="1"/>
    </xf>
    <xf numFmtId="4" fontId="20" fillId="0" borderId="1" xfId="28" applyNumberFormat="1" applyFont="1" applyFill="1" applyBorder="1" applyAlignment="1">
      <alignment horizontal="center" vertical="center" wrapText="1"/>
    </xf>
    <xf numFmtId="0" fontId="20" fillId="0" borderId="0" xfId="4" applyFont="1" applyAlignment="1">
      <alignment horizontal="center" vertical="center"/>
    </xf>
    <xf numFmtId="0" fontId="20" fillId="0" borderId="0" xfId="28" applyFont="1" applyAlignment="1">
      <alignment horizontal="center" vertical="center"/>
    </xf>
    <xf numFmtId="0" fontId="19" fillId="0" borderId="0" xfId="28" applyFont="1" applyAlignment="1">
      <alignment horizontal="center"/>
    </xf>
    <xf numFmtId="0" fontId="20" fillId="2" borderId="0" xfId="29" applyFont="1" applyFill="1" applyAlignment="1">
      <alignment horizontal="center" vertical="top"/>
    </xf>
    <xf numFmtId="0" fontId="20" fillId="2" borderId="0" xfId="28" applyFont="1" applyFill="1" applyAlignment="1">
      <alignment horizontal="center" vertical="center"/>
    </xf>
    <xf numFmtId="0" fontId="20" fillId="5" borderId="0" xfId="28" applyFont="1" applyFill="1" applyAlignment="1">
      <alignment horizontal="center" vertical="center"/>
    </xf>
    <xf numFmtId="0" fontId="20" fillId="5" borderId="0" xfId="28" applyFont="1" applyFill="1" applyAlignment="1">
      <alignment horizontal="center" vertical="center" wrapText="1"/>
    </xf>
    <xf numFmtId="43" fontId="20" fillId="0" borderId="0" xfId="52" applyFont="1" applyFill="1" applyAlignment="1">
      <alignment horizontal="center" vertical="center"/>
    </xf>
    <xf numFmtId="4" fontId="20" fillId="5" borderId="0" xfId="28" applyNumberFormat="1" applyFont="1" applyFill="1" applyAlignment="1">
      <alignment horizontal="center" vertical="center"/>
    </xf>
    <xf numFmtId="0" fontId="20" fillId="0" borderId="0" xfId="28" applyFont="1" applyFill="1" applyAlignment="1">
      <alignment horizontal="center" vertical="center"/>
    </xf>
    <xf numFmtId="0" fontId="19" fillId="5" borderId="0" xfId="28" applyFont="1" applyFill="1" applyAlignment="1">
      <alignment horizontal="center" vertical="center"/>
    </xf>
    <xf numFmtId="0" fontId="20" fillId="2" borderId="0" xfId="29" applyFont="1" applyFill="1" applyAlignment="1">
      <alignment horizontal="center" vertical="center"/>
    </xf>
    <xf numFmtId="49" fontId="58" fillId="7" borderId="1" xfId="13" applyNumberFormat="1" applyFont="1" applyFill="1" applyBorder="1" applyAlignment="1">
      <alignment horizontal="center" vertical="center" wrapText="1"/>
    </xf>
    <xf numFmtId="49" fontId="58" fillId="7" borderId="1" xfId="2" applyNumberFormat="1" applyFont="1" applyFill="1" applyBorder="1" applyAlignment="1">
      <alignment horizontal="center" vertical="center" wrapText="1"/>
    </xf>
    <xf numFmtId="0" fontId="58" fillId="7" borderId="1" xfId="34" applyFont="1" applyFill="1" applyBorder="1" applyAlignment="1">
      <alignment horizontal="center" vertical="center" wrapText="1"/>
    </xf>
    <xf numFmtId="2" fontId="58" fillId="7" borderId="1" xfId="51" applyNumberFormat="1" applyFont="1" applyFill="1" applyBorder="1" applyAlignment="1">
      <alignment horizontal="left" vertical="center" wrapText="1"/>
    </xf>
    <xf numFmtId="4" fontId="58" fillId="7" borderId="1" xfId="30" applyNumberFormat="1" applyFont="1" applyFill="1" applyBorder="1" applyAlignment="1">
      <alignment horizontal="center" vertical="center" wrapText="1"/>
    </xf>
    <xf numFmtId="4" fontId="58" fillId="7" borderId="1" xfId="31" applyNumberFormat="1" applyFont="1" applyFill="1" applyBorder="1" applyAlignment="1">
      <alignment horizontal="center" vertical="center" wrapText="1"/>
    </xf>
    <xf numFmtId="4" fontId="57" fillId="7" borderId="1" xfId="52" applyNumberFormat="1" applyFont="1" applyFill="1" applyBorder="1" applyAlignment="1">
      <alignment horizontal="center" vertical="center" wrapText="1"/>
    </xf>
    <xf numFmtId="4" fontId="38" fillId="7" borderId="1" xfId="30" applyNumberFormat="1" applyFont="1" applyFill="1" applyBorder="1" applyAlignment="1">
      <alignment horizontal="center" vertical="center" wrapText="1"/>
    </xf>
    <xf numFmtId="4" fontId="59" fillId="7" borderId="1" xfId="28" applyNumberFormat="1" applyFont="1" applyFill="1" applyBorder="1" applyAlignment="1">
      <alignment horizontal="center" vertical="center" wrapText="1"/>
    </xf>
    <xf numFmtId="0" fontId="60" fillId="7" borderId="0" xfId="28" applyFont="1" applyFill="1" applyAlignment="1">
      <alignment vertical="center"/>
    </xf>
    <xf numFmtId="0" fontId="59" fillId="7" borderId="0" xfId="0" applyFont="1" applyFill="1" applyAlignment="1">
      <alignment horizontal="left" vertical="center"/>
    </xf>
    <xf numFmtId="43" fontId="59" fillId="0" borderId="0" xfId="52" applyFont="1" applyFill="1" applyAlignment="1">
      <alignment horizontal="left" vertical="center"/>
    </xf>
    <xf numFmtId="43" fontId="20" fillId="0" borderId="0" xfId="52" applyFont="1" applyFill="1" applyAlignment="1">
      <alignment horizontal="left" vertical="center"/>
    </xf>
    <xf numFmtId="0" fontId="62" fillId="0" borderId="0" xfId="28" applyFont="1" applyFill="1"/>
    <xf numFmtId="43" fontId="62" fillId="0" borderId="0" xfId="65" applyFont="1" applyFill="1"/>
    <xf numFmtId="0" fontId="62" fillId="0" borderId="0" xfId="66" applyFont="1" applyFill="1"/>
    <xf numFmtId="0" fontId="63" fillId="0" borderId="5" xfId="21" applyFont="1" applyFill="1" applyBorder="1" applyAlignment="1">
      <alignment wrapText="1"/>
    </xf>
    <xf numFmtId="0" fontId="63" fillId="0" borderId="6" xfId="21" applyFont="1" applyFill="1" applyBorder="1" applyAlignment="1">
      <alignment wrapText="1"/>
    </xf>
    <xf numFmtId="0" fontId="65" fillId="0" borderId="4" xfId="21" applyFont="1" applyFill="1" applyBorder="1" applyAlignment="1">
      <alignment horizontal="right" wrapText="1"/>
    </xf>
    <xf numFmtId="0" fontId="65" fillId="0" borderId="5" xfId="21" applyFont="1" applyFill="1" applyBorder="1" applyAlignment="1">
      <alignment horizontal="left" wrapText="1"/>
    </xf>
    <xf numFmtId="0" fontId="67" fillId="0" borderId="4" xfId="21" applyFont="1" applyFill="1" applyBorder="1" applyAlignment="1">
      <alignment horizontal="right" wrapText="1"/>
    </xf>
    <xf numFmtId="0" fontId="67" fillId="0" borderId="5" xfId="21" applyFont="1" applyFill="1" applyBorder="1" applyAlignment="1">
      <alignment horizontal="right" wrapText="1"/>
    </xf>
    <xf numFmtId="0" fontId="65" fillId="0" borderId="6" xfId="21" applyFont="1" applyFill="1" applyBorder="1" applyAlignment="1">
      <alignment horizontal="left" wrapText="1"/>
    </xf>
    <xf numFmtId="0" fontId="69" fillId="0" borderId="2" xfId="4" applyFont="1" applyFill="1" applyBorder="1"/>
    <xf numFmtId="0" fontId="70" fillId="0" borderId="0" xfId="4" applyFont="1" applyFill="1"/>
    <xf numFmtId="0" fontId="69" fillId="0" borderId="2" xfId="21" applyFont="1" applyFill="1" applyBorder="1"/>
    <xf numFmtId="0" fontId="67" fillId="0" borderId="0" xfId="12" applyFont="1" applyAlignment="1">
      <alignment vertical="center" wrapText="1"/>
    </xf>
    <xf numFmtId="0" fontId="72" fillId="0" borderId="0" xfId="69" applyFont="1" applyFill="1" applyAlignment="1">
      <alignment vertical="center"/>
    </xf>
    <xf numFmtId="0" fontId="62" fillId="0" borderId="0" xfId="22" applyFont="1"/>
    <xf numFmtId="0" fontId="62" fillId="0" borderId="0" xfId="28" applyFont="1"/>
    <xf numFmtId="4" fontId="67" fillId="0" borderId="0" xfId="28" applyNumberFormat="1" applyFont="1"/>
    <xf numFmtId="0" fontId="62" fillId="0" borderId="0" xfId="28" applyFont="1" applyBorder="1" applyAlignment="1"/>
    <xf numFmtId="0" fontId="62" fillId="0" borderId="0" xfId="77" applyFont="1"/>
    <xf numFmtId="0" fontId="82" fillId="0" borderId="0" xfId="78" applyFont="1"/>
    <xf numFmtId="4" fontId="83" fillId="0" borderId="0" xfId="78" applyNumberFormat="1" applyFont="1"/>
    <xf numFmtId="0" fontId="62" fillId="0" borderId="0" xfId="79" applyFont="1"/>
    <xf numFmtId="0" fontId="62" fillId="0" borderId="0" xfId="28" applyFont="1" applyAlignment="1">
      <alignment horizontal="right"/>
    </xf>
    <xf numFmtId="0" fontId="66" fillId="0" borderId="2" xfId="79" applyFont="1" applyBorder="1" applyAlignment="1">
      <alignment horizontal="left" wrapText="1"/>
    </xf>
    <xf numFmtId="0" fontId="66" fillId="0" borderId="2" xfId="28" applyFont="1" applyBorder="1" applyAlignment="1">
      <alignment horizontal="left" wrapText="1"/>
    </xf>
    <xf numFmtId="0" fontId="62" fillId="0" borderId="0" xfId="28" applyFont="1" applyBorder="1" applyAlignment="1">
      <alignment vertical="top"/>
    </xf>
    <xf numFmtId="0" fontId="62" fillId="0" borderId="0" xfId="28" applyFont="1" applyBorder="1" applyAlignment="1">
      <alignment vertical="top" wrapText="1"/>
    </xf>
    <xf numFmtId="0" fontId="66" fillId="0" borderId="0" xfId="28" applyFont="1" applyAlignment="1">
      <alignment horizontal="left" wrapText="1"/>
    </xf>
    <xf numFmtId="4" fontId="67" fillId="0" borderId="0" xfId="79" applyNumberFormat="1" applyFont="1"/>
    <xf numFmtId="0" fontId="62" fillId="0" borderId="0" xfId="40" applyFont="1"/>
    <xf numFmtId="0" fontId="62" fillId="0" borderId="10" xfId="28" applyFont="1" applyBorder="1" applyAlignment="1">
      <alignment horizontal="center"/>
    </xf>
    <xf numFmtId="4" fontId="67" fillId="0" borderId="0" xfId="40" applyNumberFormat="1" applyFont="1"/>
    <xf numFmtId="0" fontId="62" fillId="0" borderId="4" xfId="28" applyFont="1" applyBorder="1" applyAlignment="1">
      <alignment horizontal="center"/>
    </xf>
    <xf numFmtId="0" fontId="62" fillId="0" borderId="3" xfId="22" applyFont="1" applyBorder="1" applyAlignment="1">
      <alignment horizontal="center" vertical="center" wrapText="1"/>
    </xf>
    <xf numFmtId="0" fontId="62" fillId="0" borderId="7" xfId="22" applyFont="1" applyBorder="1" applyAlignment="1">
      <alignment horizontal="center" vertical="center" wrapText="1"/>
    </xf>
    <xf numFmtId="0" fontId="62" fillId="0" borderId="10" xfId="22" applyFont="1" applyBorder="1" applyAlignment="1">
      <alignment horizontal="center" vertical="center" wrapText="1"/>
    </xf>
    <xf numFmtId="0" fontId="70" fillId="0" borderId="3" xfId="22" applyFont="1" applyBorder="1" applyAlignment="1">
      <alignment horizontal="center" vertical="center" wrapText="1"/>
    </xf>
    <xf numFmtId="49" fontId="66" fillId="0" borderId="1" xfId="22" applyNumberFormat="1" applyFont="1" applyFill="1" applyBorder="1" applyAlignment="1">
      <alignment horizontal="center" vertical="top"/>
    </xf>
    <xf numFmtId="14" fontId="66" fillId="0" borderId="4" xfId="28" applyNumberFormat="1" applyFont="1" applyFill="1" applyBorder="1" applyAlignment="1">
      <alignment horizontal="center"/>
    </xf>
    <xf numFmtId="14" fontId="66" fillId="0" borderId="1" xfId="28" applyNumberFormat="1" applyFont="1" applyFill="1" applyBorder="1" applyAlignment="1">
      <alignment horizontal="center"/>
    </xf>
    <xf numFmtId="0" fontId="62" fillId="0" borderId="0" xfId="80" applyFont="1"/>
    <xf numFmtId="0" fontId="84" fillId="0" borderId="0" xfId="80" applyFont="1" applyAlignment="1">
      <alignment horizontal="center"/>
    </xf>
    <xf numFmtId="4" fontId="62" fillId="0" borderId="0" xfId="80" applyNumberFormat="1" applyFont="1" applyBorder="1" applyAlignment="1">
      <alignment horizontal="center"/>
    </xf>
    <xf numFmtId="0" fontId="62" fillId="0" borderId="0" xfId="80" applyFont="1" applyBorder="1" applyAlignment="1">
      <alignment horizontal="center"/>
    </xf>
    <xf numFmtId="0" fontId="62" fillId="0" borderId="0" xfId="36" applyFont="1"/>
    <xf numFmtId="4" fontId="67" fillId="0" borderId="0" xfId="36" applyNumberFormat="1" applyFont="1"/>
    <xf numFmtId="0" fontId="86" fillId="0" borderId="0" xfId="80" applyFont="1" applyAlignment="1">
      <alignment horizontal="center" vertical="center" wrapText="1"/>
    </xf>
    <xf numFmtId="0" fontId="86" fillId="0" borderId="0" xfId="80" applyFont="1" applyAlignment="1">
      <alignment horizontal="center" vertical="center"/>
    </xf>
    <xf numFmtId="49" fontId="67" fillId="0" borderId="0" xfId="36" applyNumberFormat="1" applyFont="1"/>
    <xf numFmtId="3" fontId="62" fillId="0" borderId="39" xfId="80" applyNumberFormat="1" applyFont="1" applyBorder="1" applyAlignment="1">
      <alignment horizontal="center" vertical="center"/>
    </xf>
    <xf numFmtId="3" fontId="62" fillId="0" borderId="25" xfId="80" applyNumberFormat="1" applyFont="1" applyBorder="1" applyAlignment="1">
      <alignment horizontal="center" vertical="center"/>
    </xf>
    <xf numFmtId="3" fontId="62" fillId="0" borderId="27" xfId="80" applyNumberFormat="1" applyFont="1" applyBorder="1" applyAlignment="1">
      <alignment horizontal="center" vertical="center"/>
    </xf>
    <xf numFmtId="4" fontId="67" fillId="0" borderId="0" xfId="36" applyNumberFormat="1" applyFont="1" applyBorder="1"/>
    <xf numFmtId="49" fontId="62" fillId="8" borderId="40" xfId="80" applyNumberFormat="1" applyFont="1" applyFill="1" applyBorder="1" applyAlignment="1">
      <alignment horizontal="center" vertical="center"/>
    </xf>
    <xf numFmtId="0" fontId="62" fillId="8" borderId="24" xfId="80" applyFont="1" applyFill="1" applyBorder="1" applyAlignment="1">
      <alignment vertical="center" wrapText="1"/>
    </xf>
    <xf numFmtId="165" fontId="67" fillId="8" borderId="30" xfId="80" applyNumberFormat="1" applyFont="1" applyFill="1" applyBorder="1" applyAlignment="1">
      <alignment vertical="center"/>
    </xf>
    <xf numFmtId="4" fontId="67" fillId="8" borderId="47" xfId="80" applyNumberFormat="1" applyFont="1" applyFill="1" applyBorder="1" applyAlignment="1">
      <alignment vertical="center"/>
    </xf>
    <xf numFmtId="4" fontId="67" fillId="8" borderId="30" xfId="80" applyNumberFormat="1" applyFont="1" applyFill="1" applyBorder="1" applyAlignment="1">
      <alignment vertical="center"/>
    </xf>
    <xf numFmtId="43" fontId="62" fillId="0" borderId="0" xfId="36" applyNumberFormat="1" applyFont="1"/>
    <xf numFmtId="4" fontId="62" fillId="0" borderId="0" xfId="36" applyNumberFormat="1" applyFont="1"/>
    <xf numFmtId="49" fontId="62" fillId="0" borderId="41" xfId="80" applyNumberFormat="1" applyFont="1" applyFill="1" applyBorder="1" applyAlignment="1">
      <alignment horizontal="center" vertical="center"/>
    </xf>
    <xf numFmtId="4" fontId="62" fillId="0" borderId="34" xfId="80" applyNumberFormat="1" applyFont="1" applyFill="1" applyBorder="1" applyAlignment="1">
      <alignment vertical="center"/>
    </xf>
    <xf numFmtId="174" fontId="67" fillId="0" borderId="42" xfId="80" applyNumberFormat="1" applyFont="1" applyFill="1" applyBorder="1" applyAlignment="1">
      <alignment vertical="center"/>
    </xf>
    <xf numFmtId="165" fontId="67" fillId="0" borderId="37" xfId="80" applyNumberFormat="1" applyFont="1" applyFill="1" applyBorder="1" applyAlignment="1">
      <alignment vertical="center"/>
    </xf>
    <xf numFmtId="4" fontId="67" fillId="0" borderId="42" xfId="80" applyNumberFormat="1" applyFont="1" applyFill="1" applyBorder="1" applyAlignment="1">
      <alignment vertical="center"/>
    </xf>
    <xf numFmtId="4" fontId="67" fillId="0" borderId="37" xfId="80" applyNumberFormat="1" applyFont="1" applyFill="1" applyBorder="1" applyAlignment="1">
      <alignment vertical="center"/>
    </xf>
    <xf numFmtId="49" fontId="62" fillId="0" borderId="24" xfId="80" applyNumberFormat="1" applyFont="1" applyFill="1" applyBorder="1" applyAlignment="1">
      <alignment horizontal="center" vertical="center"/>
    </xf>
    <xf numFmtId="4" fontId="62" fillId="0" borderId="24" xfId="80" applyNumberFormat="1" applyFont="1" applyFill="1" applyBorder="1" applyAlignment="1">
      <alignment vertical="center"/>
    </xf>
    <xf numFmtId="174" fontId="67" fillId="0" borderId="31" xfId="80" applyNumberFormat="1" applyFont="1" applyFill="1" applyBorder="1" applyAlignment="1">
      <alignment vertical="center"/>
    </xf>
    <xf numFmtId="165" fontId="67" fillId="0" borderId="44" xfId="80" applyNumberFormat="1" applyFont="1" applyFill="1" applyBorder="1" applyAlignment="1">
      <alignment vertical="center"/>
    </xf>
    <xf numFmtId="175" fontId="67" fillId="0" borderId="29" xfId="80" applyNumberFormat="1" applyFont="1" applyFill="1" applyBorder="1" applyAlignment="1">
      <alignment vertical="center"/>
    </xf>
    <xf numFmtId="165" fontId="67" fillId="0" borderId="30" xfId="80" applyNumberFormat="1" applyFont="1" applyFill="1" applyBorder="1" applyAlignment="1">
      <alignment vertical="center"/>
    </xf>
    <xf numFmtId="4" fontId="67" fillId="0" borderId="31" xfId="80" applyNumberFormat="1" applyFont="1" applyFill="1" applyBorder="1" applyAlignment="1">
      <alignment vertical="center"/>
    </xf>
    <xf numFmtId="4" fontId="67" fillId="0" borderId="32" xfId="80" applyNumberFormat="1" applyFont="1" applyFill="1" applyBorder="1" applyAlignment="1">
      <alignment vertical="center"/>
    </xf>
    <xf numFmtId="4" fontId="67" fillId="0" borderId="44" xfId="80" applyNumberFormat="1" applyFont="1" applyFill="1" applyBorder="1" applyAlignment="1">
      <alignment vertical="center"/>
    </xf>
    <xf numFmtId="49" fontId="62" fillId="0" borderId="48" xfId="80" applyNumberFormat="1" applyFont="1" applyFill="1" applyBorder="1" applyAlignment="1">
      <alignment horizontal="center" vertical="center"/>
    </xf>
    <xf numFmtId="4" fontId="62" fillId="0" borderId="28" xfId="80" applyNumberFormat="1" applyFont="1" applyFill="1" applyBorder="1" applyAlignment="1">
      <alignment vertical="center"/>
    </xf>
    <xf numFmtId="165" fontId="67" fillId="0" borderId="32" xfId="80" applyNumberFormat="1" applyFont="1" applyFill="1" applyBorder="1" applyAlignment="1">
      <alignment vertical="center"/>
    </xf>
    <xf numFmtId="4" fontId="67" fillId="0" borderId="35" xfId="80" applyNumberFormat="1" applyFont="1" applyFill="1" applyBorder="1" applyAlignment="1">
      <alignment vertical="center"/>
    </xf>
    <xf numFmtId="49" fontId="62" fillId="0" borderId="43" xfId="80" applyNumberFormat="1" applyFont="1" applyFill="1" applyBorder="1" applyAlignment="1">
      <alignment horizontal="center" vertical="center"/>
    </xf>
    <xf numFmtId="174" fontId="67" fillId="0" borderId="55" xfId="80" applyNumberFormat="1" applyFont="1" applyFill="1" applyBorder="1" applyAlignment="1">
      <alignment vertical="center"/>
    </xf>
    <xf numFmtId="174" fontId="67" fillId="0" borderId="29" xfId="80" applyNumberFormat="1" applyFont="1" applyFill="1" applyBorder="1" applyAlignment="1">
      <alignment vertical="center"/>
    </xf>
    <xf numFmtId="4" fontId="67" fillId="0" borderId="29" xfId="80" applyNumberFormat="1" applyFont="1" applyFill="1" applyBorder="1" applyAlignment="1">
      <alignment vertical="center"/>
    </xf>
    <xf numFmtId="4" fontId="67" fillId="0" borderId="30" xfId="80" applyNumberFormat="1" applyFont="1" applyFill="1" applyBorder="1" applyAlignment="1">
      <alignment vertical="center"/>
    </xf>
    <xf numFmtId="49" fontId="62" fillId="0" borderId="40" xfId="80" applyNumberFormat="1" applyFont="1" applyFill="1" applyBorder="1" applyAlignment="1">
      <alignment horizontal="center" vertical="center"/>
    </xf>
    <xf numFmtId="165" fontId="67" fillId="0" borderId="49" xfId="80" applyNumberFormat="1" applyFont="1" applyFill="1" applyBorder="1" applyAlignment="1">
      <alignment vertical="center"/>
    </xf>
    <xf numFmtId="4" fontId="67" fillId="0" borderId="49" xfId="80" applyNumberFormat="1" applyFont="1" applyFill="1" applyBorder="1" applyAlignment="1">
      <alignment vertical="center"/>
    </xf>
    <xf numFmtId="174" fontId="67" fillId="0" borderId="29" xfId="80" applyNumberFormat="1" applyFont="1" applyFill="1" applyBorder="1" applyAlignment="1">
      <alignment horizontal="center" vertical="center"/>
    </xf>
    <xf numFmtId="165" fontId="67" fillId="0" borderId="21" xfId="80" applyNumberFormat="1" applyFont="1" applyFill="1" applyBorder="1" applyAlignment="1">
      <alignment vertical="center"/>
    </xf>
    <xf numFmtId="4" fontId="67" fillId="0" borderId="45" xfId="80" applyNumberFormat="1" applyFont="1" applyFill="1" applyBorder="1" applyAlignment="1">
      <alignment vertical="center"/>
    </xf>
    <xf numFmtId="49" fontId="84" fillId="0" borderId="50" xfId="80" applyNumberFormat="1" applyFont="1" applyFill="1" applyBorder="1" applyAlignment="1">
      <alignment horizontal="center" vertical="center"/>
    </xf>
    <xf numFmtId="4" fontId="87" fillId="0" borderId="51" xfId="80" applyNumberFormat="1" applyFont="1" applyFill="1" applyBorder="1" applyAlignment="1">
      <alignment vertical="center" wrapText="1"/>
    </xf>
    <xf numFmtId="165" fontId="63" fillId="0" borderId="52" xfId="80" applyNumberFormat="1" applyFont="1" applyFill="1" applyBorder="1" applyAlignment="1">
      <alignment horizontal="right" vertical="center"/>
    </xf>
    <xf numFmtId="174" fontId="63" fillId="0" borderId="18" xfId="80" applyNumberFormat="1" applyFont="1" applyFill="1" applyBorder="1" applyAlignment="1">
      <alignment vertical="center"/>
    </xf>
    <xf numFmtId="4" fontId="89" fillId="0" borderId="1" xfId="80" applyNumberFormat="1" applyFont="1" applyFill="1" applyBorder="1" applyAlignment="1">
      <alignment vertical="center"/>
    </xf>
    <xf numFmtId="4" fontId="63" fillId="0" borderId="1" xfId="80" applyNumberFormat="1" applyFont="1" applyFill="1" applyBorder="1" applyAlignment="1">
      <alignment horizontal="right" vertical="center"/>
    </xf>
    <xf numFmtId="49" fontId="84" fillId="0" borderId="40" xfId="80" applyNumberFormat="1" applyFont="1" applyFill="1" applyBorder="1" applyAlignment="1">
      <alignment horizontal="center" vertical="center"/>
    </xf>
    <xf numFmtId="4" fontId="87" fillId="0" borderId="28" xfId="80" applyNumberFormat="1" applyFont="1" applyFill="1" applyBorder="1" applyAlignment="1">
      <alignment vertical="center" wrapText="1"/>
    </xf>
    <xf numFmtId="165" fontId="63" fillId="0" borderId="32" xfId="80" applyNumberFormat="1" applyFont="1" applyFill="1" applyBorder="1" applyAlignment="1">
      <alignment horizontal="right" vertical="center"/>
    </xf>
    <xf numFmtId="174" fontId="63" fillId="0" borderId="40" xfId="80" applyNumberFormat="1" applyFont="1" applyFill="1" applyBorder="1" applyAlignment="1">
      <alignment vertical="center"/>
    </xf>
    <xf numFmtId="49" fontId="84" fillId="0" borderId="20" xfId="80" applyNumberFormat="1" applyFont="1" applyFill="1" applyBorder="1" applyAlignment="1">
      <alignment horizontal="center" vertical="center"/>
    </xf>
    <xf numFmtId="4" fontId="87" fillId="0" borderId="46" xfId="80" applyNumberFormat="1" applyFont="1" applyFill="1" applyBorder="1" applyAlignment="1">
      <alignment vertical="center" wrapText="1"/>
    </xf>
    <xf numFmtId="165" fontId="63" fillId="0" borderId="49" xfId="80" applyNumberFormat="1" applyFont="1" applyFill="1" applyBorder="1" applyAlignment="1">
      <alignment horizontal="right" vertical="center"/>
    </xf>
    <xf numFmtId="174" fontId="63" fillId="0" borderId="20" xfId="80" applyNumberFormat="1" applyFont="1" applyFill="1" applyBorder="1" applyAlignment="1">
      <alignment vertical="center"/>
    </xf>
    <xf numFmtId="4" fontId="67" fillId="0" borderId="1" xfId="80" applyNumberFormat="1" applyFont="1" applyFill="1" applyBorder="1" applyAlignment="1">
      <alignment vertical="center"/>
    </xf>
    <xf numFmtId="49" fontId="62" fillId="0" borderId="50" xfId="80" applyNumberFormat="1" applyFont="1" applyFill="1" applyBorder="1" applyAlignment="1">
      <alignment horizontal="center" vertical="center"/>
    </xf>
    <xf numFmtId="4" fontId="62" fillId="0" borderId="53" xfId="80" applyNumberFormat="1" applyFont="1" applyFill="1" applyBorder="1" applyAlignment="1">
      <alignment vertical="center"/>
    </xf>
    <xf numFmtId="174" fontId="67" fillId="0" borderId="35" xfId="80" applyNumberFormat="1" applyFont="1" applyFill="1" applyBorder="1" applyAlignment="1">
      <alignment vertical="center"/>
    </xf>
    <xf numFmtId="165" fontId="67" fillId="0" borderId="45" xfId="80" applyNumberFormat="1" applyFont="1" applyFill="1" applyBorder="1" applyAlignment="1">
      <alignment vertical="center"/>
    </xf>
    <xf numFmtId="165" fontId="67" fillId="0" borderId="38" xfId="80" applyNumberFormat="1" applyFont="1" applyFill="1" applyBorder="1" applyAlignment="1">
      <alignment vertical="center"/>
    </xf>
    <xf numFmtId="0" fontId="62" fillId="8" borderId="39" xfId="80" applyNumberFormat="1" applyFont="1" applyFill="1" applyBorder="1" applyAlignment="1">
      <alignment horizontal="center" vertical="center"/>
    </xf>
    <xf numFmtId="4" fontId="67" fillId="0" borderId="1" xfId="36" applyNumberFormat="1" applyFont="1" applyBorder="1"/>
    <xf numFmtId="0" fontId="62" fillId="0" borderId="24" xfId="80" applyNumberFormat="1" applyFont="1" applyFill="1" applyBorder="1" applyAlignment="1">
      <alignment horizontal="center" vertical="center"/>
    </xf>
    <xf numFmtId="4" fontId="62" fillId="0" borderId="23" xfId="80" applyNumberFormat="1" applyFont="1" applyFill="1" applyBorder="1" applyAlignment="1">
      <alignment vertical="center"/>
    </xf>
    <xf numFmtId="165" fontId="62" fillId="0" borderId="22" xfId="80" applyNumberFormat="1" applyFont="1" applyFill="1" applyBorder="1" applyAlignment="1">
      <alignment vertical="center"/>
    </xf>
    <xf numFmtId="165" fontId="67" fillId="0" borderId="22" xfId="80" applyNumberFormat="1" applyFont="1" applyFill="1" applyBorder="1" applyAlignment="1">
      <alignment vertical="center"/>
    </xf>
    <xf numFmtId="165" fontId="67" fillId="0" borderId="52" xfId="80" applyNumberFormat="1" applyFont="1" applyFill="1" applyBorder="1" applyAlignment="1">
      <alignment vertical="center"/>
    </xf>
    <xf numFmtId="0" fontId="62" fillId="0" borderId="28" xfId="80" applyNumberFormat="1" applyFont="1" applyFill="1" applyBorder="1" applyAlignment="1">
      <alignment horizontal="center" vertical="center"/>
    </xf>
    <xf numFmtId="165" fontId="62" fillId="0" borderId="40" xfId="80" applyNumberFormat="1" applyFont="1" applyFill="1" applyBorder="1" applyAlignment="1">
      <alignment vertical="center"/>
    </xf>
    <xf numFmtId="165" fontId="67" fillId="0" borderId="40" xfId="80" applyNumberFormat="1" applyFont="1" applyFill="1" applyBorder="1" applyAlignment="1">
      <alignment vertical="center"/>
    </xf>
    <xf numFmtId="0" fontId="62" fillId="0" borderId="34" xfId="80" applyNumberFormat="1" applyFont="1" applyFill="1" applyBorder="1" applyAlignment="1">
      <alignment horizontal="center" vertical="center"/>
    </xf>
    <xf numFmtId="4" fontId="62" fillId="0" borderId="21" xfId="80" applyNumberFormat="1" applyFont="1" applyFill="1" applyBorder="1" applyAlignment="1">
      <alignment vertical="center" wrapText="1"/>
    </xf>
    <xf numFmtId="165" fontId="62" fillId="0" borderId="41" xfId="80" applyNumberFormat="1" applyFont="1" applyFill="1" applyBorder="1" applyAlignment="1">
      <alignment vertical="center"/>
    </xf>
    <xf numFmtId="165" fontId="67" fillId="0" borderId="41" xfId="80" applyNumberFormat="1" applyFont="1" applyFill="1" applyBorder="1" applyAlignment="1">
      <alignment vertical="center"/>
    </xf>
    <xf numFmtId="0" fontId="62" fillId="0" borderId="53" xfId="80" applyNumberFormat="1" applyFont="1" applyFill="1" applyBorder="1" applyAlignment="1">
      <alignment horizontal="center" vertical="center"/>
    </xf>
    <xf numFmtId="4" fontId="84" fillId="0" borderId="19" xfId="80" applyNumberFormat="1" applyFont="1" applyFill="1" applyBorder="1" applyAlignment="1">
      <alignment vertical="center" wrapText="1"/>
    </xf>
    <xf numFmtId="165" fontId="62" fillId="0" borderId="18" xfId="80" applyNumberFormat="1" applyFont="1" applyFill="1" applyBorder="1" applyAlignment="1">
      <alignment horizontal="right" vertical="center"/>
    </xf>
    <xf numFmtId="165" fontId="67" fillId="0" borderId="18" xfId="80" applyNumberFormat="1" applyFont="1" applyFill="1" applyBorder="1" applyAlignment="1">
      <alignment vertical="center"/>
    </xf>
    <xf numFmtId="4" fontId="84" fillId="0" borderId="33" xfId="80" applyNumberFormat="1" applyFont="1" applyFill="1" applyBorder="1" applyAlignment="1">
      <alignment vertical="center" wrapText="1"/>
    </xf>
    <xf numFmtId="165" fontId="62" fillId="0" borderId="40" xfId="80" applyNumberFormat="1" applyFont="1" applyFill="1" applyBorder="1" applyAlignment="1">
      <alignment horizontal="right" vertical="center"/>
    </xf>
    <xf numFmtId="0" fontId="62" fillId="0" borderId="46" xfId="80" applyNumberFormat="1" applyFont="1" applyFill="1" applyBorder="1" applyAlignment="1">
      <alignment horizontal="center" vertical="center"/>
    </xf>
    <xf numFmtId="4" fontId="84" fillId="0" borderId="21" xfId="80" applyNumberFormat="1" applyFont="1" applyFill="1" applyBorder="1" applyAlignment="1">
      <alignment vertical="center"/>
    </xf>
    <xf numFmtId="165" fontId="84" fillId="0" borderId="20" xfId="80" applyNumberFormat="1" applyFont="1" applyFill="1" applyBorder="1" applyAlignment="1">
      <alignment horizontal="right" vertical="center"/>
    </xf>
    <xf numFmtId="165" fontId="63" fillId="0" borderId="49" xfId="80" applyNumberFormat="1" applyFont="1" applyFill="1" applyBorder="1" applyAlignment="1">
      <alignment vertical="center"/>
    </xf>
    <xf numFmtId="165" fontId="63" fillId="0" borderId="20" xfId="80" applyNumberFormat="1" applyFont="1" applyFill="1" applyBorder="1" applyAlignment="1">
      <alignment vertical="center"/>
    </xf>
    <xf numFmtId="0" fontId="84" fillId="0" borderId="53" xfId="80" applyNumberFormat="1" applyFont="1" applyFill="1" applyBorder="1" applyAlignment="1">
      <alignment horizontal="center" vertical="center"/>
    </xf>
    <xf numFmtId="0" fontId="84" fillId="0" borderId="28" xfId="80" applyNumberFormat="1" applyFont="1" applyFill="1" applyBorder="1" applyAlignment="1">
      <alignment horizontal="center" vertical="center"/>
    </xf>
    <xf numFmtId="0" fontId="84" fillId="0" borderId="46" xfId="80" applyNumberFormat="1" applyFont="1" applyFill="1" applyBorder="1" applyAlignment="1">
      <alignment horizontal="center" vertical="center"/>
    </xf>
    <xf numFmtId="4" fontId="84" fillId="0" borderId="21" xfId="80" applyNumberFormat="1" applyFont="1" applyFill="1" applyBorder="1" applyAlignment="1">
      <alignment vertical="center" wrapText="1"/>
    </xf>
    <xf numFmtId="165" fontId="62" fillId="0" borderId="20" xfId="80" applyNumberFormat="1" applyFont="1" applyFill="1" applyBorder="1" applyAlignment="1">
      <alignment horizontal="right" vertical="center"/>
    </xf>
    <xf numFmtId="4" fontId="62" fillId="0" borderId="0" xfId="80" applyNumberFormat="1" applyFont="1"/>
    <xf numFmtId="4" fontId="67" fillId="0" borderId="0" xfId="80" applyNumberFormat="1" applyFont="1" applyFill="1" applyBorder="1" applyAlignment="1">
      <alignment vertical="center"/>
    </xf>
    <xf numFmtId="0" fontId="67" fillId="0" borderId="0" xfId="36" applyFont="1"/>
    <xf numFmtId="4" fontId="63" fillId="0" borderId="0" xfId="80" applyNumberFormat="1" applyFont="1" applyFill="1" applyBorder="1" applyAlignment="1">
      <alignment vertical="center"/>
    </xf>
    <xf numFmtId="0" fontId="63" fillId="0" borderId="0" xfId="36" applyFont="1" applyAlignment="1">
      <alignment horizontal="left" vertical="top" wrapText="1"/>
    </xf>
    <xf numFmtId="0" fontId="67" fillId="0" borderId="0" xfId="37" applyFont="1"/>
    <xf numFmtId="2" fontId="90" fillId="0" borderId="0" xfId="81" applyNumberFormat="1" applyFont="1"/>
    <xf numFmtId="0" fontId="67" fillId="0" borderId="0" xfId="82" applyFont="1" applyAlignment="1">
      <alignment horizontal="center" vertical="top" wrapText="1"/>
    </xf>
    <xf numFmtId="0" fontId="67" fillId="0" borderId="0" xfId="82" applyFont="1" applyAlignment="1">
      <alignment vertical="top" wrapText="1"/>
    </xf>
    <xf numFmtId="0" fontId="63" fillId="0" borderId="0" xfId="37" applyFont="1"/>
    <xf numFmtId="0" fontId="71" fillId="0" borderId="0" xfId="69" applyFont="1" applyFill="1" applyAlignment="1">
      <alignment vertical="center"/>
    </xf>
    <xf numFmtId="0" fontId="73" fillId="0" borderId="0" xfId="28" applyFont="1" applyFill="1" applyAlignment="1">
      <alignment horizontal="center"/>
    </xf>
    <xf numFmtId="4" fontId="73" fillId="0" borderId="0" xfId="28" applyNumberFormat="1" applyFont="1" applyFill="1" applyAlignment="1">
      <alignment horizontal="center"/>
    </xf>
    <xf numFmtId="0" fontId="74" fillId="0" borderId="0" xfId="28" applyFont="1" applyFill="1" applyAlignment="1">
      <alignment horizontal="center"/>
    </xf>
    <xf numFmtId="0" fontId="75" fillId="0" borderId="8" xfId="28" applyFont="1" applyFill="1" applyBorder="1" applyAlignment="1">
      <alignment horizontal="center" vertical="center" wrapText="1"/>
    </xf>
    <xf numFmtId="0" fontId="75" fillId="0" borderId="8" xfId="69" applyFont="1" applyFill="1" applyBorder="1" applyAlignment="1">
      <alignment horizontal="center" vertical="center" wrapText="1"/>
    </xf>
    <xf numFmtId="0" fontId="45" fillId="0" borderId="1" xfId="70" applyFont="1" applyFill="1" applyBorder="1" applyAlignment="1">
      <alignment horizontal="center" vertical="center" wrapText="1"/>
    </xf>
    <xf numFmtId="49" fontId="45" fillId="0" borderId="1" xfId="23" applyNumberFormat="1" applyFont="1" applyFill="1" applyBorder="1" applyAlignment="1">
      <alignment horizontal="center" vertical="center" wrapText="1"/>
    </xf>
    <xf numFmtId="49" fontId="67" fillId="0" borderId="1" xfId="28" applyNumberFormat="1" applyFont="1" applyFill="1" applyBorder="1" applyAlignment="1">
      <alignment horizontal="center" vertical="center"/>
    </xf>
    <xf numFmtId="4" fontId="45" fillId="0" borderId="1" xfId="72" applyNumberFormat="1" applyFont="1" applyFill="1" applyBorder="1" applyAlignment="1">
      <alignment horizontal="center" vertical="center" wrapText="1"/>
    </xf>
    <xf numFmtId="4" fontId="45" fillId="0" borderId="1" xfId="73" applyNumberFormat="1" applyFont="1" applyFill="1" applyBorder="1" applyAlignment="1">
      <alignment horizontal="center" vertical="center" wrapText="1"/>
    </xf>
    <xf numFmtId="4" fontId="45" fillId="0" borderId="1" xfId="32" applyNumberFormat="1" applyFont="1" applyFill="1" applyBorder="1" applyAlignment="1">
      <alignment horizontal="center" vertical="center" wrapText="1"/>
    </xf>
    <xf numFmtId="4" fontId="75" fillId="0" borderId="1" xfId="72" applyNumberFormat="1" applyFont="1" applyFill="1" applyBorder="1" applyAlignment="1">
      <alignment horizontal="center" vertical="center" wrapText="1"/>
    </xf>
    <xf numFmtId="167" fontId="45" fillId="0" borderId="1" xfId="67" applyNumberFormat="1" applyFont="1" applyFill="1" applyBorder="1" applyAlignment="1">
      <alignment horizontal="center" vertical="center" wrapText="1"/>
    </xf>
    <xf numFmtId="0" fontId="75" fillId="0" borderId="1" xfId="28" applyFont="1" applyFill="1" applyBorder="1" applyAlignment="1">
      <alignment horizontal="center" vertical="center"/>
    </xf>
    <xf numFmtId="49" fontId="77" fillId="0" borderId="1" xfId="28" applyNumberFormat="1" applyFont="1" applyFill="1" applyBorder="1" applyAlignment="1">
      <alignment horizontal="center" vertical="center" wrapText="1"/>
    </xf>
    <xf numFmtId="49" fontId="75" fillId="0" borderId="1" xfId="33" applyNumberFormat="1" applyFont="1" applyFill="1" applyBorder="1" applyAlignment="1">
      <alignment horizontal="left" vertical="center" wrapText="1"/>
    </xf>
    <xf numFmtId="4" fontId="78" fillId="0" borderId="1" xfId="72" applyNumberFormat="1" applyFont="1" applyFill="1" applyBorder="1" applyAlignment="1">
      <alignment horizontal="center" vertical="center" wrapText="1"/>
    </xf>
    <xf numFmtId="0" fontId="45" fillId="0" borderId="1" xfId="28" applyFont="1" applyFill="1" applyBorder="1" applyAlignment="1">
      <alignment horizontal="center" vertical="center"/>
    </xf>
    <xf numFmtId="49" fontId="45" fillId="0" borderId="1" xfId="28" applyNumberFormat="1" applyFont="1" applyFill="1" applyBorder="1" applyAlignment="1">
      <alignment horizontal="center" vertical="center" wrapText="1"/>
    </xf>
    <xf numFmtId="0" fontId="45" fillId="0" borderId="1" xfId="34" applyFont="1" applyFill="1" applyBorder="1" applyAlignment="1">
      <alignment horizontal="center" vertical="center" wrapText="1"/>
    </xf>
    <xf numFmtId="49" fontId="45" fillId="0" borderId="1" xfId="28" applyNumberFormat="1" applyFont="1" applyFill="1" applyBorder="1" applyAlignment="1">
      <alignment horizontal="left" vertical="center" wrapText="1"/>
    </xf>
    <xf numFmtId="0" fontId="45" fillId="0" borderId="1" xfId="28" applyNumberFormat="1" applyFont="1" applyFill="1" applyBorder="1" applyAlignment="1">
      <alignment horizontal="center" vertical="center" wrapText="1"/>
    </xf>
    <xf numFmtId="49" fontId="75" fillId="0" borderId="1" xfId="28" applyNumberFormat="1" applyFont="1" applyFill="1" applyBorder="1" applyAlignment="1">
      <alignment horizontal="center" vertical="center" wrapText="1"/>
    </xf>
    <xf numFmtId="49" fontId="75" fillId="0" borderId="1" xfId="28" applyNumberFormat="1" applyFont="1" applyFill="1" applyBorder="1" applyAlignment="1">
      <alignment horizontal="left" vertical="center" wrapText="1"/>
    </xf>
    <xf numFmtId="167" fontId="72" fillId="0" borderId="0" xfId="36" applyNumberFormat="1" applyFont="1" applyFill="1" applyBorder="1"/>
    <xf numFmtId="0" fontId="79" fillId="0" borderId="0" xfId="74" applyFont="1" applyFill="1" applyBorder="1" applyAlignment="1"/>
    <xf numFmtId="0" fontId="80" fillId="0" borderId="2" xfId="21" applyFont="1" applyFill="1" applyBorder="1"/>
    <xf numFmtId="0" fontId="79" fillId="0" borderId="2" xfId="21" applyFont="1" applyFill="1" applyBorder="1"/>
    <xf numFmtId="167" fontId="81" fillId="0" borderId="0" xfId="36" applyNumberFormat="1" applyFont="1" applyFill="1" applyBorder="1"/>
    <xf numFmtId="49" fontId="81" fillId="0" borderId="0" xfId="36" applyNumberFormat="1" applyFont="1" applyFill="1" applyBorder="1"/>
    <xf numFmtId="167" fontId="81" fillId="0" borderId="0" xfId="36" applyNumberFormat="1" applyFont="1" applyFill="1" applyBorder="1" applyAlignment="1">
      <alignment horizontal="center" wrapText="1"/>
    </xf>
    <xf numFmtId="167" fontId="81" fillId="0" borderId="0" xfId="36" applyNumberFormat="1" applyFont="1" applyFill="1" applyBorder="1" applyAlignment="1">
      <alignment horizontal="left" wrapText="1"/>
    </xf>
    <xf numFmtId="167" fontId="81" fillId="0" borderId="0" xfId="36" applyNumberFormat="1" applyFont="1" applyFill="1" applyBorder="1" applyAlignment="1">
      <alignment horizontal="left"/>
    </xf>
    <xf numFmtId="167" fontId="81" fillId="0" borderId="0" xfId="36" applyNumberFormat="1" applyFont="1" applyFill="1" applyBorder="1" applyAlignment="1"/>
    <xf numFmtId="0" fontId="71" fillId="0" borderId="0" xfId="69" applyFont="1" applyFill="1" applyAlignment="1">
      <alignment vertical="center" wrapText="1"/>
    </xf>
    <xf numFmtId="0" fontId="72" fillId="0" borderId="0" xfId="69" applyFont="1" applyFill="1" applyAlignment="1">
      <alignment horizontal="left" vertical="center"/>
    </xf>
    <xf numFmtId="0" fontId="91" fillId="0" borderId="0" xfId="69" applyFont="1" applyFill="1" applyAlignment="1">
      <alignment horizontal="left" vertical="center"/>
    </xf>
    <xf numFmtId="0" fontId="81" fillId="0" borderId="0" xfId="69" applyFont="1" applyFill="1" applyAlignment="1">
      <alignment vertical="center"/>
    </xf>
    <xf numFmtId="0" fontId="72" fillId="0" borderId="0" xfId="69" applyFont="1" applyFill="1" applyAlignment="1">
      <alignment vertical="center" wrapText="1"/>
    </xf>
    <xf numFmtId="0" fontId="81" fillId="0" borderId="0" xfId="28" applyFont="1" applyFill="1" applyAlignment="1">
      <alignment vertical="center"/>
    </xf>
    <xf numFmtId="0" fontId="81" fillId="0" borderId="0" xfId="71" applyFont="1" applyFill="1" applyAlignment="1">
      <alignment vertical="top"/>
    </xf>
    <xf numFmtId="2" fontId="45" fillId="0" borderId="1" xfId="51" applyNumberFormat="1" applyFont="1" applyFill="1" applyBorder="1" applyAlignment="1">
      <alignment horizontal="left" vertical="center" wrapText="1"/>
    </xf>
    <xf numFmtId="4" fontId="81" fillId="0" borderId="0" xfId="28" applyNumberFormat="1" applyFont="1" applyFill="1" applyAlignment="1">
      <alignment vertical="center"/>
    </xf>
    <xf numFmtId="0" fontId="45" fillId="0" borderId="1" xfId="28" applyFont="1" applyFill="1" applyBorder="1" applyAlignment="1">
      <alignment vertical="center"/>
    </xf>
    <xf numFmtId="0" fontId="45" fillId="0" borderId="0" xfId="28" applyFont="1" applyFill="1" applyAlignment="1">
      <alignment vertical="center"/>
    </xf>
    <xf numFmtId="0" fontId="66" fillId="0" borderId="0" xfId="28" applyFont="1" applyFill="1" applyBorder="1" applyAlignment="1">
      <alignment horizontal="center" vertical="center"/>
    </xf>
    <xf numFmtId="49" fontId="91" fillId="0" borderId="0" xfId="28" applyNumberFormat="1" applyFont="1" applyFill="1" applyBorder="1" applyAlignment="1">
      <alignment horizontal="center" vertical="center" wrapText="1"/>
    </xf>
    <xf numFmtId="0" fontId="91" fillId="0" borderId="0" xfId="28" applyFont="1" applyFill="1" applyBorder="1" applyAlignment="1">
      <alignment horizontal="center" vertical="center" wrapText="1"/>
    </xf>
    <xf numFmtId="0" fontId="71" fillId="0" borderId="0" xfId="35" applyNumberFormat="1" applyFont="1" applyFill="1" applyBorder="1" applyAlignment="1"/>
    <xf numFmtId="0" fontId="79" fillId="0" borderId="0" xfId="28" applyFont="1" applyFill="1" applyAlignment="1">
      <alignment vertical="center"/>
    </xf>
    <xf numFmtId="0" fontId="81" fillId="0" borderId="2" xfId="28" applyFont="1" applyFill="1" applyBorder="1" applyAlignment="1"/>
    <xf numFmtId="0" fontId="81" fillId="0" borderId="0" xfId="28" applyFont="1" applyFill="1" applyAlignment="1"/>
    <xf numFmtId="0" fontId="79" fillId="0" borderId="0" xfId="35" applyNumberFormat="1" applyFont="1" applyFill="1" applyBorder="1" applyAlignment="1"/>
    <xf numFmtId="167" fontId="72" fillId="0" borderId="0" xfId="36" applyNumberFormat="1" applyFont="1" applyFill="1"/>
    <xf numFmtId="167" fontId="81" fillId="0" borderId="0" xfId="36" applyNumberFormat="1" applyFont="1" applyFill="1"/>
    <xf numFmtId="49" fontId="81" fillId="0" borderId="0" xfId="36" applyNumberFormat="1" applyFont="1" applyFill="1"/>
    <xf numFmtId="167" fontId="81" fillId="0" borderId="0" xfId="36" applyNumberFormat="1" applyFont="1" applyFill="1" applyAlignment="1">
      <alignment horizontal="center" wrapText="1"/>
    </xf>
    <xf numFmtId="167" fontId="81" fillId="0" borderId="0" xfId="36" applyNumberFormat="1" applyFont="1" applyFill="1" applyAlignment="1">
      <alignment horizontal="left" wrapText="1"/>
    </xf>
    <xf numFmtId="167" fontId="81" fillId="0" borderId="0" xfId="36" applyNumberFormat="1" applyFont="1" applyFill="1" applyAlignment="1">
      <alignment horizontal="left"/>
    </xf>
    <xf numFmtId="167" fontId="81" fillId="0" borderId="0" xfId="36" applyNumberFormat="1" applyFont="1" applyFill="1" applyAlignment="1"/>
    <xf numFmtId="0" fontId="79" fillId="0" borderId="0" xfId="37" applyNumberFormat="1" applyFont="1" applyFill="1" applyBorder="1" applyAlignment="1"/>
    <xf numFmtId="0" fontId="71" fillId="0" borderId="0" xfId="37" applyNumberFormat="1" applyFont="1" applyFill="1" applyBorder="1" applyAlignment="1"/>
    <xf numFmtId="0" fontId="45" fillId="0" borderId="0" xfId="71" applyFont="1" applyFill="1" applyAlignment="1">
      <alignment vertical="center"/>
    </xf>
    <xf numFmtId="0" fontId="81" fillId="0" borderId="0" xfId="71" applyFont="1" applyFill="1" applyAlignment="1">
      <alignment horizontal="left" vertical="center"/>
    </xf>
    <xf numFmtId="0" fontId="91" fillId="0" borderId="0" xfId="71" applyFont="1" applyFill="1" applyAlignment="1">
      <alignment horizontal="left" vertical="center"/>
    </xf>
    <xf numFmtId="0" fontId="81" fillId="0" borderId="0" xfId="71" applyFont="1" applyFill="1" applyAlignment="1">
      <alignment vertical="center"/>
    </xf>
    <xf numFmtId="0" fontId="72" fillId="0" borderId="0" xfId="69" applyFont="1" applyFill="1" applyBorder="1" applyAlignment="1">
      <alignment vertical="center" wrapText="1"/>
    </xf>
    <xf numFmtId="0" fontId="72" fillId="0" borderId="0" xfId="69" applyFont="1" applyFill="1" applyBorder="1" applyAlignment="1">
      <alignment horizontal="center" vertical="center"/>
    </xf>
    <xf numFmtId="0" fontId="72" fillId="0" borderId="0" xfId="37" applyNumberFormat="1" applyFont="1" applyFill="1" applyBorder="1" applyAlignment="1"/>
    <xf numFmtId="0" fontId="91" fillId="0" borderId="0" xfId="71" applyFont="1" applyFill="1" applyAlignment="1">
      <alignment vertical="center" wrapText="1"/>
    </xf>
    <xf numFmtId="0" fontId="91" fillId="0" borderId="0" xfId="71" applyFont="1" applyFill="1" applyAlignment="1">
      <alignment vertical="center"/>
    </xf>
    <xf numFmtId="0" fontId="62" fillId="0" borderId="0" xfId="0" applyFont="1"/>
    <xf numFmtId="0" fontId="62" fillId="0" borderId="0" xfId="23" applyFont="1"/>
    <xf numFmtId="0" fontId="66" fillId="0" borderId="2" xfId="0" applyFont="1" applyBorder="1" applyAlignment="1">
      <alignment horizontal="left" wrapText="1"/>
    </xf>
    <xf numFmtId="0" fontId="66" fillId="0" borderId="1" xfId="0" applyFont="1" applyBorder="1" applyAlignment="1">
      <alignment horizontal="center" vertical="center" wrapText="1"/>
    </xf>
    <xf numFmtId="0" fontId="66" fillId="0" borderId="0" xfId="0" applyFont="1" applyAlignment="1">
      <alignment horizontal="left" vertical="top"/>
    </xf>
    <xf numFmtId="0" fontId="66" fillId="0" borderId="0" xfId="0" applyFont="1" applyAlignment="1">
      <alignment horizontal="left" vertical="top" wrapText="1"/>
    </xf>
    <xf numFmtId="0" fontId="94" fillId="0" borderId="0" xfId="0" applyFont="1" applyAlignment="1">
      <alignment horizontal="right" wrapText="1"/>
    </xf>
    <xf numFmtId="0" fontId="66" fillId="0" borderId="0" xfId="0" applyFont="1" applyAlignment="1">
      <alignment horizontal="right"/>
    </xf>
    <xf numFmtId="168" fontId="66" fillId="0" borderId="0" xfId="0" applyNumberFormat="1" applyFont="1" applyAlignment="1">
      <alignment horizontal="right"/>
    </xf>
    <xf numFmtId="0" fontId="66" fillId="0" borderId="0" xfId="0" applyFont="1" applyAlignment="1">
      <alignment horizontal="right" wrapText="1"/>
    </xf>
    <xf numFmtId="169" fontId="66" fillId="0" borderId="0" xfId="0" applyNumberFormat="1" applyFont="1" applyAlignment="1">
      <alignment horizontal="right"/>
    </xf>
    <xf numFmtId="169" fontId="94" fillId="0" borderId="0" xfId="0" applyNumberFormat="1" applyFont="1" applyAlignment="1">
      <alignment horizontal="right"/>
    </xf>
    <xf numFmtId="0" fontId="94" fillId="0" borderId="0" xfId="0" applyFont="1" applyAlignment="1">
      <alignment horizontal="left" vertical="top"/>
    </xf>
    <xf numFmtId="0" fontId="94" fillId="0" borderId="0" xfId="0" applyFont="1" applyAlignment="1">
      <alignment horizontal="left" vertical="top" wrapText="1"/>
    </xf>
    <xf numFmtId="0" fontId="94" fillId="0" borderId="0" xfId="0" applyFont="1" applyAlignment="1">
      <alignment horizontal="right"/>
    </xf>
    <xf numFmtId="168" fontId="94" fillId="0" borderId="0" xfId="0" applyNumberFormat="1" applyFont="1" applyAlignment="1">
      <alignment horizontal="right"/>
    </xf>
    <xf numFmtId="0" fontId="94" fillId="0" borderId="0" xfId="0" applyFont="1" applyAlignment="1">
      <alignment horizontal="right" shrinkToFit="1"/>
    </xf>
    <xf numFmtId="0" fontId="64" fillId="0" borderId="9" xfId="0" applyFont="1" applyBorder="1" applyAlignment="1">
      <alignment horizontal="left" vertical="top"/>
    </xf>
    <xf numFmtId="0" fontId="64" fillId="0" borderId="9" xfId="0" applyFont="1" applyBorder="1" applyAlignment="1">
      <alignment horizontal="left" vertical="top" wrapText="1"/>
    </xf>
    <xf numFmtId="0" fontId="96" fillId="0" borderId="9" xfId="0" applyFont="1" applyBorder="1" applyAlignment="1">
      <alignment horizontal="right" wrapText="1"/>
    </xf>
    <xf numFmtId="0" fontId="64" fillId="0" borderId="9" xfId="0" applyFont="1" applyBorder="1" applyAlignment="1">
      <alignment horizontal="right"/>
    </xf>
    <xf numFmtId="168" fontId="64" fillId="0" borderId="9" xfId="0" applyNumberFormat="1" applyFont="1" applyBorder="1" applyAlignment="1">
      <alignment horizontal="right"/>
    </xf>
    <xf numFmtId="0" fontId="64" fillId="0" borderId="9" xfId="0" applyFont="1" applyBorder="1" applyAlignment="1">
      <alignment horizontal="right" wrapText="1"/>
    </xf>
    <xf numFmtId="0" fontId="64" fillId="0" borderId="0" xfId="0" applyFont="1" applyAlignment="1">
      <alignment horizontal="left" wrapText="1"/>
    </xf>
    <xf numFmtId="0" fontId="66" fillId="0" borderId="0" xfId="23" applyFont="1" applyAlignment="1">
      <alignment wrapText="1"/>
    </xf>
    <xf numFmtId="0" fontId="66" fillId="0" borderId="0" xfId="0" applyFont="1" applyAlignment="1">
      <alignment horizontal="left" wrapText="1"/>
    </xf>
    <xf numFmtId="0" fontId="97" fillId="0" borderId="0" xfId="0" applyFont="1"/>
    <xf numFmtId="4" fontId="66" fillId="0" borderId="0" xfId="45" applyNumberFormat="1" applyFont="1"/>
    <xf numFmtId="169" fontId="66" fillId="0" borderId="0" xfId="21" applyNumberFormat="1" applyFont="1" applyAlignment="1"/>
    <xf numFmtId="169" fontId="64" fillId="0" borderId="0" xfId="21" applyNumberFormat="1" applyFont="1" applyFill="1" applyAlignment="1"/>
    <xf numFmtId="0" fontId="98" fillId="0" borderId="0" xfId="64" applyFont="1" applyFill="1" applyAlignment="1">
      <alignment horizontal="left"/>
    </xf>
    <xf numFmtId="0" fontId="82" fillId="0" borderId="0" xfId="64" applyFont="1" applyFill="1" applyAlignment="1">
      <alignment horizontal="left" wrapText="1"/>
    </xf>
    <xf numFmtId="4" fontId="98" fillId="0" borderId="0" xfId="64" applyNumberFormat="1" applyFont="1" applyFill="1" applyAlignment="1">
      <alignment horizontal="right" wrapText="1"/>
    </xf>
    <xf numFmtId="166" fontId="82" fillId="0" borderId="0" xfId="32" applyFont="1" applyFill="1" applyAlignment="1">
      <alignment horizontal="right" wrapText="1"/>
    </xf>
    <xf numFmtId="0" fontId="66" fillId="0" borderId="0" xfId="40" applyFont="1" applyFill="1" applyAlignment="1">
      <alignment wrapText="1"/>
    </xf>
    <xf numFmtId="170" fontId="82" fillId="0" borderId="0" xfId="32" applyNumberFormat="1" applyFont="1" applyFill="1" applyAlignment="1">
      <alignment horizontal="right" wrapText="1"/>
    </xf>
    <xf numFmtId="0" fontId="98" fillId="0" borderId="0" xfId="4" applyFont="1" applyFill="1"/>
    <xf numFmtId="0" fontId="82" fillId="0" borderId="0" xfId="4" applyFont="1" applyFill="1"/>
    <xf numFmtId="0" fontId="64" fillId="0" borderId="0" xfId="67" applyNumberFormat="1" applyFont="1" applyFill="1" applyBorder="1" applyAlignment="1">
      <alignment vertical="center"/>
    </xf>
    <xf numFmtId="0" fontId="98" fillId="0" borderId="0" xfId="40" applyFont="1" applyFill="1" applyBorder="1" applyAlignment="1"/>
    <xf numFmtId="0" fontId="98" fillId="0" borderId="0" xfId="41" applyFont="1" applyFill="1" applyBorder="1" applyAlignment="1"/>
    <xf numFmtId="170" fontId="64" fillId="0" borderId="0" xfId="42" applyNumberFormat="1" applyFont="1" applyFill="1" applyBorder="1" applyAlignment="1">
      <alignment horizontal="right"/>
    </xf>
    <xf numFmtId="175" fontId="98" fillId="0" borderId="0" xfId="42" applyNumberFormat="1" applyFont="1" applyFill="1" applyBorder="1"/>
    <xf numFmtId="0" fontId="82" fillId="0" borderId="0" xfId="67" applyNumberFormat="1" applyFont="1" applyFill="1" applyBorder="1" applyAlignment="1">
      <alignment vertical="center"/>
    </xf>
    <xf numFmtId="0" fontId="82" fillId="0" borderId="0" xfId="40" applyFont="1" applyFill="1" applyBorder="1" applyAlignment="1"/>
    <xf numFmtId="0" fontId="82" fillId="0" borderId="0" xfId="41" applyFont="1" applyFill="1" applyBorder="1" applyAlignment="1"/>
    <xf numFmtId="170" fontId="66" fillId="0" borderId="0" xfId="42" applyNumberFormat="1" applyFont="1" applyFill="1" applyBorder="1" applyAlignment="1">
      <alignment horizontal="right"/>
    </xf>
    <xf numFmtId="175" fontId="82" fillId="0" borderId="0" xfId="42" applyNumberFormat="1" applyFont="1" applyFill="1" applyBorder="1" applyAlignment="1">
      <alignment horizontal="right" vertical="center" wrapText="1"/>
    </xf>
    <xf numFmtId="175" fontId="82" fillId="0" borderId="0" xfId="42" applyNumberFormat="1" applyFont="1" applyFill="1" applyBorder="1"/>
    <xf numFmtId="175" fontId="66" fillId="0" borderId="0" xfId="42" applyNumberFormat="1" applyFont="1" applyFill="1" applyBorder="1" applyAlignment="1">
      <alignment horizontal="right"/>
    </xf>
    <xf numFmtId="0" fontId="62" fillId="0" borderId="0" xfId="0" applyFont="1" applyFill="1"/>
    <xf numFmtId="0" fontId="93" fillId="0" borderId="0" xfId="0" applyFont="1" applyFill="1"/>
    <xf numFmtId="0" fontId="64" fillId="0" borderId="0" xfId="28" applyFont="1" applyFill="1"/>
    <xf numFmtId="0" fontId="66" fillId="0" borderId="0" xfId="28" applyFont="1" applyFill="1"/>
    <xf numFmtId="0" fontId="62" fillId="0" borderId="0" xfId="23" applyFont="1" applyFill="1"/>
    <xf numFmtId="0" fontId="66" fillId="0" borderId="0" xfId="28" applyFont="1" applyFill="1" applyAlignment="1">
      <alignment horizontal="right"/>
    </xf>
    <xf numFmtId="0" fontId="66" fillId="0" borderId="2" xfId="23" applyFont="1" applyFill="1" applyBorder="1" applyAlignment="1">
      <alignment horizontal="left" wrapText="1"/>
    </xf>
    <xf numFmtId="0" fontId="66" fillId="0" borderId="0" xfId="23" applyFont="1" applyFill="1" applyBorder="1" applyAlignment="1">
      <alignment horizontal="left" wrapText="1"/>
    </xf>
    <xf numFmtId="0" fontId="66" fillId="0" borderId="10" xfId="28" applyFont="1" applyFill="1" applyBorder="1" applyAlignment="1">
      <alignment horizontal="center"/>
    </xf>
    <xf numFmtId="0" fontId="66" fillId="0" borderId="4" xfId="28" applyFont="1" applyFill="1" applyBorder="1" applyAlignment="1">
      <alignment horizontal="center"/>
    </xf>
    <xf numFmtId="0" fontId="62" fillId="0" borderId="10" xfId="28" applyFont="1" applyFill="1" applyBorder="1" applyAlignment="1">
      <alignment horizontal="center" vertical="center" wrapText="1"/>
    </xf>
    <xf numFmtId="0" fontId="62" fillId="0" borderId="3" xfId="28" applyFont="1" applyFill="1" applyBorder="1" applyAlignment="1">
      <alignment horizontal="center" vertical="center" wrapText="1"/>
    </xf>
    <xf numFmtId="49" fontId="66" fillId="0" borderId="4" xfId="28" applyNumberFormat="1" applyFont="1" applyFill="1" applyBorder="1" applyAlignment="1">
      <alignment horizontal="center"/>
    </xf>
    <xf numFmtId="49" fontId="66" fillId="0" borderId="0" xfId="28" applyNumberFormat="1" applyFont="1" applyFill="1" applyBorder="1" applyAlignment="1">
      <alignment horizontal="center"/>
    </xf>
    <xf numFmtId="14" fontId="66" fillId="0" borderId="0" xfId="28" applyNumberFormat="1" applyFont="1" applyFill="1" applyBorder="1" applyAlignment="1">
      <alignment horizontal="center"/>
    </xf>
    <xf numFmtId="0" fontId="75" fillId="0" borderId="0" xfId="0" applyFont="1" applyFill="1" applyAlignment="1">
      <alignment horizontal="center"/>
    </xf>
    <xf numFmtId="0" fontId="75" fillId="0" borderId="0" xfId="0" applyFont="1" applyFill="1" applyAlignment="1">
      <alignment horizontal="left" vertical="center"/>
    </xf>
    <xf numFmtId="0" fontId="66" fillId="0" borderId="2" xfId="0" applyFont="1" applyFill="1" applyBorder="1" applyAlignment="1">
      <alignment horizontal="left" wrapText="1"/>
    </xf>
    <xf numFmtId="0" fontId="66" fillId="0" borderId="1" xfId="0" applyFont="1" applyFill="1" applyBorder="1" applyAlignment="1">
      <alignment horizontal="center" vertical="center" wrapText="1"/>
    </xf>
    <xf numFmtId="0" fontId="85" fillId="0" borderId="0" xfId="0" applyFont="1" applyFill="1" applyAlignment="1">
      <alignment horizontal="center" wrapText="1"/>
    </xf>
    <xf numFmtId="0" fontId="66" fillId="0" borderId="0" xfId="0" applyFont="1" applyFill="1" applyAlignment="1">
      <alignment horizontal="left" vertical="top"/>
    </xf>
    <xf numFmtId="0" fontId="66" fillId="0" borderId="0" xfId="0" applyFont="1" applyFill="1" applyAlignment="1">
      <alignment horizontal="left" vertical="top" wrapText="1"/>
    </xf>
    <xf numFmtId="0" fontId="94" fillId="0" borderId="0" xfId="0" applyFont="1" applyFill="1" applyAlignment="1">
      <alignment horizontal="right" wrapText="1"/>
    </xf>
    <xf numFmtId="0" fontId="66" fillId="0" borderId="0" xfId="0" applyFont="1" applyFill="1" applyAlignment="1">
      <alignment horizontal="right"/>
    </xf>
    <xf numFmtId="168" fontId="66" fillId="0" borderId="0" xfId="0" applyNumberFormat="1" applyFont="1" applyFill="1" applyAlignment="1">
      <alignment horizontal="right"/>
    </xf>
    <xf numFmtId="0" fontId="66" fillId="0" borderId="0" xfId="0" applyFont="1" applyFill="1" applyAlignment="1">
      <alignment horizontal="right" wrapText="1"/>
    </xf>
    <xf numFmtId="169" fontId="66" fillId="0" borderId="0" xfId="0" applyNumberFormat="1" applyFont="1" applyFill="1" applyAlignment="1">
      <alignment horizontal="right"/>
    </xf>
    <xf numFmtId="0" fontId="62" fillId="0" borderId="9" xfId="0" applyFont="1" applyFill="1" applyBorder="1"/>
    <xf numFmtId="169" fontId="62" fillId="0" borderId="0" xfId="0" applyNumberFormat="1" applyFont="1" applyFill="1"/>
    <xf numFmtId="169" fontId="94" fillId="0" borderId="0" xfId="0" applyNumberFormat="1" applyFont="1" applyFill="1" applyAlignment="1">
      <alignment horizontal="right"/>
    </xf>
    <xf numFmtId="0" fontId="94" fillId="0" borderId="0" xfId="0" applyFont="1" applyFill="1" applyAlignment="1">
      <alignment horizontal="left" vertical="top"/>
    </xf>
    <xf numFmtId="0" fontId="94" fillId="0" borderId="0" xfId="0" applyFont="1" applyFill="1" applyAlignment="1">
      <alignment horizontal="left" vertical="top" wrapText="1"/>
    </xf>
    <xf numFmtId="0" fontId="94" fillId="0" borderId="0" xfId="0" applyFont="1" applyFill="1" applyAlignment="1">
      <alignment horizontal="right"/>
    </xf>
    <xf numFmtId="168" fontId="94" fillId="0" borderId="0" xfId="0" applyNumberFormat="1" applyFont="1" applyFill="1" applyAlignment="1">
      <alignment horizontal="right"/>
    </xf>
    <xf numFmtId="0" fontId="94" fillId="0" borderId="0" xfId="0" applyFont="1" applyFill="1" applyAlignment="1">
      <alignment horizontal="right" shrinkToFit="1"/>
    </xf>
    <xf numFmtId="0" fontId="64" fillId="0" borderId="9" xfId="0" applyFont="1" applyFill="1" applyBorder="1" applyAlignment="1">
      <alignment horizontal="left" vertical="top"/>
    </xf>
    <xf numFmtId="0" fontId="64" fillId="0" borderId="9" xfId="0" applyFont="1" applyFill="1" applyBorder="1" applyAlignment="1">
      <alignment horizontal="left" vertical="top" wrapText="1"/>
    </xf>
    <xf numFmtId="0" fontId="96" fillId="0" borderId="9" xfId="0" applyFont="1" applyFill="1" applyBorder="1" applyAlignment="1">
      <alignment horizontal="right" wrapText="1"/>
    </xf>
    <xf numFmtId="0" fontId="64" fillId="0" borderId="9" xfId="0" applyFont="1" applyFill="1" applyBorder="1" applyAlignment="1">
      <alignment horizontal="right"/>
    </xf>
    <xf numFmtId="168" fontId="64" fillId="0" borderId="9" xfId="0" applyNumberFormat="1" applyFont="1" applyFill="1" applyBorder="1" applyAlignment="1">
      <alignment horizontal="right"/>
    </xf>
    <xf numFmtId="0" fontId="64" fillId="0" borderId="9" xfId="0" applyFont="1" applyFill="1" applyBorder="1" applyAlignment="1">
      <alignment horizontal="right" wrapText="1"/>
    </xf>
    <xf numFmtId="0" fontId="64" fillId="0" borderId="0" xfId="0" applyFont="1" applyFill="1" applyAlignment="1">
      <alignment horizontal="left" wrapText="1"/>
    </xf>
    <xf numFmtId="0" fontId="66" fillId="0" borderId="0" xfId="0" applyFont="1" applyFill="1" applyAlignment="1">
      <alignment wrapText="1"/>
    </xf>
    <xf numFmtId="0" fontId="66" fillId="0" borderId="0" xfId="23" applyFont="1" applyFill="1" applyAlignment="1">
      <alignment wrapText="1"/>
    </xf>
    <xf numFmtId="169" fontId="64" fillId="0" borderId="0" xfId="0" applyNumberFormat="1" applyFont="1" applyFill="1" applyAlignment="1">
      <alignment horizontal="right"/>
    </xf>
    <xf numFmtId="167" fontId="64" fillId="0" borderId="0" xfId="0" applyNumberFormat="1" applyFont="1" applyFill="1" applyAlignment="1">
      <alignment horizontal="right"/>
    </xf>
    <xf numFmtId="0" fontId="66" fillId="0" borderId="0" xfId="0" applyFont="1" applyFill="1" applyAlignment="1">
      <alignment horizontal="left" wrapText="1"/>
    </xf>
    <xf numFmtId="0" fontId="97" fillId="0" borderId="0" xfId="0" applyFont="1" applyFill="1"/>
    <xf numFmtId="4" fontId="66" fillId="0" borderId="0" xfId="45" applyNumberFormat="1" applyFont="1" applyFill="1"/>
    <xf numFmtId="169" fontId="66" fillId="0" borderId="0" xfId="21" applyNumberFormat="1" applyFont="1" applyFill="1" applyAlignment="1">
      <alignment horizontal="right"/>
    </xf>
    <xf numFmtId="169" fontId="66" fillId="0" borderId="0" xfId="21" applyNumberFormat="1" applyFont="1" applyFill="1" applyAlignment="1"/>
    <xf numFmtId="0" fontId="66" fillId="0" borderId="0" xfId="0" applyFont="1"/>
    <xf numFmtId="0" fontId="66" fillId="0" borderId="0" xfId="0" quotePrefix="1" applyFont="1" applyAlignment="1">
      <alignment horizontal="right" wrapText="1"/>
    </xf>
    <xf numFmtId="169" fontId="97" fillId="0" borderId="0" xfId="0" applyNumberFormat="1" applyFont="1"/>
    <xf numFmtId="0" fontId="97" fillId="0" borderId="9" xfId="0" applyFont="1" applyBorder="1"/>
    <xf numFmtId="0" fontId="62" fillId="0" borderId="0" xfId="0" applyFont="1" applyFill="1" applyAlignment="1">
      <alignment horizontal="right"/>
    </xf>
    <xf numFmtId="0" fontId="66" fillId="0" borderId="0" xfId="0" applyFont="1" applyFill="1"/>
    <xf numFmtId="0" fontId="66" fillId="0" borderId="0" xfId="0" applyFont="1" applyFill="1" applyBorder="1" applyAlignment="1">
      <alignment horizontal="center"/>
    </xf>
    <xf numFmtId="0" fontId="66" fillId="0" borderId="0" xfId="0" quotePrefix="1" applyFont="1" applyFill="1" applyBorder="1" applyAlignment="1">
      <alignment horizontal="center"/>
    </xf>
    <xf numFmtId="14" fontId="66" fillId="0" borderId="0" xfId="0" applyNumberFormat="1" applyFont="1" applyFill="1" applyBorder="1" applyAlignment="1">
      <alignment horizontal="center"/>
    </xf>
    <xf numFmtId="0" fontId="64" fillId="0" borderId="0" xfId="0" applyFont="1" applyFill="1"/>
    <xf numFmtId="0" fontId="66" fillId="0" borderId="0" xfId="0" applyFont="1" applyFill="1" applyBorder="1" applyAlignment="1">
      <alignment horizontal="left" wrapText="1"/>
    </xf>
    <xf numFmtId="0" fontId="66" fillId="0" borderId="0" xfId="0" applyFont="1" applyFill="1" applyBorder="1" applyAlignment="1">
      <alignment horizontal="center" vertical="center" wrapText="1"/>
    </xf>
    <xf numFmtId="0" fontId="66" fillId="0" borderId="0" xfId="0" quotePrefix="1" applyFont="1" applyFill="1" applyAlignment="1">
      <alignment horizontal="right" wrapText="1"/>
    </xf>
    <xf numFmtId="169" fontId="64" fillId="0" borderId="0" xfId="0" applyNumberFormat="1" applyFont="1" applyFill="1" applyBorder="1" applyAlignment="1">
      <alignment horizontal="right"/>
    </xf>
    <xf numFmtId="169" fontId="97" fillId="0" borderId="0" xfId="0" applyNumberFormat="1" applyFont="1" applyFill="1"/>
    <xf numFmtId="0" fontId="97" fillId="0" borderId="9" xfId="0" applyFont="1" applyFill="1" applyBorder="1"/>
    <xf numFmtId="0" fontId="64" fillId="0" borderId="0" xfId="0" applyFont="1" applyFill="1" applyAlignment="1">
      <alignment horizontal="right"/>
    </xf>
    <xf numFmtId="0" fontId="97" fillId="3" borderId="0" xfId="0" applyFont="1" applyFill="1"/>
    <xf numFmtId="169" fontId="64" fillId="0" borderId="0" xfId="21" applyNumberFormat="1" applyFont="1" applyAlignment="1"/>
    <xf numFmtId="0" fontId="90" fillId="0" borderId="0" xfId="0" applyFont="1" applyFill="1"/>
    <xf numFmtId="4" fontId="97" fillId="0" borderId="0" xfId="0" applyNumberFormat="1" applyFont="1" applyFill="1" applyAlignment="1">
      <alignment horizontal="right"/>
    </xf>
    <xf numFmtId="4" fontId="66" fillId="0" borderId="0" xfId="46" applyNumberFormat="1" applyFont="1" applyFill="1"/>
    <xf numFmtId="0" fontId="64" fillId="0" borderId="0" xfId="21" applyFont="1" applyFill="1" applyAlignment="1">
      <alignment wrapText="1"/>
    </xf>
    <xf numFmtId="0" fontId="62" fillId="0" borderId="0" xfId="21" applyFont="1" applyFill="1"/>
    <xf numFmtId="169" fontId="84" fillId="0" borderId="0" xfId="0" applyNumberFormat="1" applyFont="1" applyFill="1"/>
    <xf numFmtId="0" fontId="84" fillId="0" borderId="0" xfId="0" applyFont="1" applyFill="1"/>
    <xf numFmtId="0" fontId="90" fillId="0" borderId="0" xfId="0" applyFont="1" applyFill="1" applyAlignment="1">
      <alignment horizontal="left" vertical="center"/>
    </xf>
    <xf numFmtId="4" fontId="97" fillId="0" borderId="0" xfId="0" applyNumberFormat="1" applyFont="1" applyFill="1"/>
    <xf numFmtId="0" fontId="101" fillId="0" borderId="0" xfId="0" applyFont="1" applyFill="1"/>
    <xf numFmtId="0" fontId="84" fillId="0" borderId="0" xfId="21" applyFont="1" applyFill="1"/>
    <xf numFmtId="0" fontId="63" fillId="0" borderId="0" xfId="0" applyFont="1" applyAlignment="1">
      <alignment horizontal="left" vertical="center"/>
    </xf>
    <xf numFmtId="0" fontId="63" fillId="0" borderId="0" xfId="0" applyFont="1" applyFill="1" applyAlignment="1">
      <alignment horizontal="left" vertical="center"/>
    </xf>
    <xf numFmtId="169" fontId="64" fillId="0" borderId="2" xfId="0" applyNumberFormat="1" applyFont="1" applyFill="1" applyBorder="1"/>
    <xf numFmtId="4" fontId="66" fillId="0" borderId="0" xfId="0" applyNumberFormat="1" applyFont="1" applyFill="1" applyAlignment="1">
      <alignment horizontal="right"/>
    </xf>
    <xf numFmtId="167" fontId="97" fillId="0" borderId="0" xfId="0" applyNumberFormat="1" applyFont="1" applyFill="1"/>
    <xf numFmtId="0" fontId="97" fillId="0" borderId="0" xfId="0" applyFont="1" applyFill="1" applyBorder="1"/>
    <xf numFmtId="0" fontId="99" fillId="0" borderId="0" xfId="0" applyFont="1" applyFill="1" applyAlignment="1">
      <alignment horizontal="center"/>
    </xf>
    <xf numFmtId="0" fontId="99" fillId="0" borderId="0" xfId="0" applyFont="1" applyFill="1" applyAlignment="1">
      <alignment horizontal="left" vertical="center"/>
    </xf>
    <xf numFmtId="0" fontId="99" fillId="0" borderId="0" xfId="0" applyFont="1" applyFill="1" applyAlignment="1">
      <alignment horizontal="left"/>
    </xf>
    <xf numFmtId="0" fontId="102" fillId="0" borderId="0" xfId="23" applyFont="1" applyFill="1" applyAlignment="1">
      <alignment wrapText="1"/>
    </xf>
    <xf numFmtId="0" fontId="103" fillId="0" borderId="0" xfId="0" applyFont="1" applyFill="1"/>
    <xf numFmtId="0" fontId="99" fillId="0" borderId="0" xfId="0" applyFont="1" applyAlignment="1">
      <alignment horizontal="center"/>
    </xf>
    <xf numFmtId="0" fontId="63" fillId="0" borderId="0" xfId="0" applyFont="1" applyAlignment="1">
      <alignment horizontal="center"/>
    </xf>
    <xf numFmtId="0" fontId="63" fillId="0" borderId="0" xfId="0" applyFont="1" applyAlignment="1">
      <alignment horizontal="left"/>
    </xf>
    <xf numFmtId="169" fontId="62" fillId="0" borderId="0" xfId="21" applyNumberFormat="1" applyFont="1" applyFill="1"/>
    <xf numFmtId="0" fontId="97" fillId="0" borderId="0" xfId="6" applyFont="1" applyFill="1"/>
    <xf numFmtId="0" fontId="97" fillId="0" borderId="0" xfId="6" applyFont="1" applyFill="1" applyAlignment="1">
      <alignment wrapText="1"/>
    </xf>
    <xf numFmtId="4" fontId="106" fillId="0" borderId="0" xfId="6" applyNumberFormat="1" applyFont="1" applyFill="1"/>
    <xf numFmtId="0" fontId="104" fillId="0" borderId="0" xfId="0" applyFont="1" applyFill="1"/>
    <xf numFmtId="0" fontId="105" fillId="0" borderId="0" xfId="0" applyFont="1" applyFill="1" applyAlignment="1">
      <alignment horizontal="left" wrapText="1"/>
    </xf>
    <xf numFmtId="0" fontId="66" fillId="0" borderId="2" xfId="0" applyFont="1" applyFill="1" applyBorder="1" applyAlignment="1">
      <alignment horizontal="left" vertical="top"/>
    </xf>
    <xf numFmtId="0" fontId="66" fillId="0" borderId="2" xfId="0" applyFont="1" applyFill="1" applyBorder="1" applyAlignment="1">
      <alignment horizontal="left" vertical="top" wrapText="1"/>
    </xf>
    <xf numFmtId="0" fontId="94" fillId="0" borderId="2" xfId="0" applyFont="1" applyFill="1" applyBorder="1" applyAlignment="1">
      <alignment horizontal="right" wrapText="1"/>
    </xf>
    <xf numFmtId="0" fontId="66" fillId="0" borderId="2" xfId="0" applyFont="1" applyFill="1" applyBorder="1" applyAlignment="1">
      <alignment horizontal="right"/>
    </xf>
    <xf numFmtId="168" fontId="66" fillId="0" borderId="2" xfId="0" applyNumberFormat="1" applyFont="1" applyFill="1" applyBorder="1" applyAlignment="1">
      <alignment horizontal="right"/>
    </xf>
    <xf numFmtId="0" fontId="66" fillId="0" borderId="2" xfId="0" applyFont="1" applyFill="1" applyBorder="1" applyAlignment="1">
      <alignment horizontal="right" wrapText="1"/>
    </xf>
    <xf numFmtId="169" fontId="66" fillId="0" borderId="2" xfId="0" applyNumberFormat="1" applyFont="1" applyFill="1" applyBorder="1" applyAlignment="1">
      <alignment horizontal="right"/>
    </xf>
    <xf numFmtId="0" fontId="66" fillId="0" borderId="0" xfId="0" applyFont="1" applyFill="1" applyAlignment="1">
      <alignment horizontal="right" shrinkToFit="1"/>
    </xf>
    <xf numFmtId="0" fontId="64" fillId="0" borderId="9" xfId="0" applyFont="1" applyFill="1" applyBorder="1"/>
    <xf numFmtId="166" fontId="97" fillId="0" borderId="0" xfId="0" applyNumberFormat="1" applyFont="1" applyFill="1"/>
    <xf numFmtId="170" fontId="97" fillId="0" borderId="0" xfId="0" applyNumberFormat="1" applyFont="1" applyFill="1"/>
    <xf numFmtId="165" fontId="67" fillId="7" borderId="30" xfId="80" applyNumberFormat="1" applyFont="1" applyFill="1" applyBorder="1" applyAlignment="1">
      <alignment vertical="center"/>
    </xf>
    <xf numFmtId="174" fontId="67" fillId="7" borderId="31" xfId="80" applyNumberFormat="1" applyFont="1" applyFill="1" applyBorder="1" applyAlignment="1">
      <alignment vertical="center"/>
    </xf>
    <xf numFmtId="43" fontId="66" fillId="0" borderId="0" xfId="36" applyNumberFormat="1" applyFont="1"/>
    <xf numFmtId="0" fontId="18" fillId="0" borderId="2" xfId="38" applyFont="1" applyBorder="1" applyAlignment="1">
      <alignment horizontal="center"/>
    </xf>
    <xf numFmtId="0" fontId="24" fillId="0" borderId="0" xfId="38" applyFont="1" applyAlignment="1">
      <alignment horizontal="right"/>
    </xf>
    <xf numFmtId="4" fontId="18" fillId="0" borderId="2" xfId="56" applyNumberFormat="1" applyFont="1" applyBorder="1" applyAlignment="1">
      <alignment horizontal="center"/>
    </xf>
    <xf numFmtId="0" fontId="34" fillId="0" borderId="31" xfId="56" applyFont="1" applyBorder="1" applyAlignment="1">
      <alignment horizontal="center" vertical="center" wrapText="1"/>
    </xf>
    <xf numFmtId="0" fontId="34" fillId="0" borderId="35" xfId="56" applyFont="1" applyBorder="1" applyAlignment="1">
      <alignment horizontal="center" vertical="center" wrapText="1"/>
    </xf>
    <xf numFmtId="4" fontId="34" fillId="0" borderId="33" xfId="56" applyNumberFormat="1" applyFont="1" applyBorder="1" applyAlignment="1">
      <alignment horizontal="center" vertical="center" wrapText="1"/>
    </xf>
    <xf numFmtId="4" fontId="34" fillId="0" borderId="36" xfId="56" applyNumberFormat="1" applyFont="1" applyBorder="1" applyAlignment="1">
      <alignment horizontal="center" vertical="center" wrapText="1"/>
    </xf>
    <xf numFmtId="4" fontId="34" fillId="0" borderId="32" xfId="56" applyNumberFormat="1" applyFont="1" applyBorder="1" applyAlignment="1">
      <alignment horizontal="center" vertical="center" wrapText="1"/>
    </xf>
    <xf numFmtId="4" fontId="34" fillId="0" borderId="37" xfId="56" applyNumberFormat="1" applyFont="1" applyBorder="1" applyAlignment="1">
      <alignment horizontal="center" vertical="center" wrapText="1"/>
    </xf>
    <xf numFmtId="4" fontId="34" fillId="0" borderId="38" xfId="56" applyNumberFormat="1" applyFont="1" applyBorder="1" applyAlignment="1">
      <alignment horizontal="center" vertical="center" wrapText="1"/>
    </xf>
    <xf numFmtId="14" fontId="51" fillId="0" borderId="4" xfId="56" applyNumberFormat="1" applyFont="1" applyBorder="1" applyAlignment="1">
      <alignment horizontal="center" vertical="center"/>
    </xf>
    <xf numFmtId="14" fontId="51" fillId="0" borderId="6" xfId="56" applyNumberFormat="1" applyFont="1" applyBorder="1" applyAlignment="1">
      <alignment horizontal="center" vertical="center"/>
    </xf>
    <xf numFmtId="0" fontId="51" fillId="0" borderId="6" xfId="56" applyFont="1" applyBorder="1" applyAlignment="1">
      <alignment horizontal="center" vertical="center"/>
    </xf>
    <xf numFmtId="0" fontId="28" fillId="0" borderId="0" xfId="56" applyFont="1" applyAlignment="1">
      <alignment horizontal="center" vertical="center" wrapText="1"/>
    </xf>
    <xf numFmtId="0" fontId="28" fillId="0" borderId="0" xfId="56" applyFont="1" applyAlignment="1">
      <alignment horizontal="center" vertical="center"/>
    </xf>
    <xf numFmtId="0" fontId="14" fillId="0" borderId="18" xfId="56" applyFont="1" applyBorder="1" applyAlignment="1">
      <alignment horizontal="center" vertical="center" wrapText="1"/>
    </xf>
    <xf numFmtId="0" fontId="14" fillId="0" borderId="22" xfId="56" applyFont="1" applyBorder="1" applyAlignment="1">
      <alignment horizontal="center" vertical="center" wrapText="1"/>
    </xf>
    <xf numFmtId="0" fontId="14" fillId="0" borderId="20" xfId="56" applyFont="1" applyBorder="1" applyAlignment="1">
      <alignment horizontal="center" vertical="center" wrapText="1"/>
    </xf>
    <xf numFmtId="0" fontId="34" fillId="0" borderId="24" xfId="56" applyFont="1" applyBorder="1" applyAlignment="1">
      <alignment horizontal="center" vertical="center" wrapText="1"/>
    </xf>
    <xf numFmtId="0" fontId="34" fillId="0" borderId="28" xfId="56" applyFont="1" applyBorder="1" applyAlignment="1">
      <alignment horizontal="center" vertical="center" wrapText="1"/>
    </xf>
    <xf numFmtId="0" fontId="34" fillId="0" borderId="34" xfId="56" applyFont="1" applyBorder="1" applyAlignment="1">
      <alignment horizontal="center" vertical="center" wrapText="1"/>
    </xf>
    <xf numFmtId="0" fontId="34" fillId="0" borderId="25" xfId="56" applyFont="1" applyBorder="1" applyAlignment="1">
      <alignment horizontal="center" vertical="center"/>
    </xf>
    <xf numFmtId="0" fontId="34" fillId="0" borderId="26" xfId="56" applyFont="1" applyBorder="1" applyAlignment="1">
      <alignment horizontal="center" vertical="center"/>
    </xf>
    <xf numFmtId="0" fontId="34" fillId="0" borderId="27" xfId="56" applyFont="1" applyBorder="1" applyAlignment="1">
      <alignment horizontal="center" vertical="center"/>
    </xf>
    <xf numFmtId="0" fontId="34" fillId="0" borderId="29" xfId="56" applyFont="1" applyBorder="1" applyAlignment="1">
      <alignment horizontal="center" vertical="center" wrapText="1"/>
    </xf>
    <xf numFmtId="0" fontId="34" fillId="0" borderId="30" xfId="56" applyFont="1" applyBorder="1" applyAlignment="1">
      <alignment horizontal="center" vertical="center" wrapText="1"/>
    </xf>
    <xf numFmtId="0" fontId="34" fillId="0" borderId="32" xfId="56" applyFont="1" applyBorder="1" applyAlignment="1">
      <alignment horizontal="center" vertical="center" wrapText="1"/>
    </xf>
    <xf numFmtId="173" fontId="35" fillId="0" borderId="16" xfId="56" applyNumberFormat="1" applyFont="1" applyBorder="1" applyAlignment="1">
      <alignment horizontal="center"/>
    </xf>
    <xf numFmtId="173" fontId="35" fillId="0" borderId="17" xfId="56" applyNumberFormat="1" applyFont="1" applyBorder="1" applyAlignment="1">
      <alignment horizontal="center"/>
    </xf>
    <xf numFmtId="0" fontId="14" fillId="0" borderId="16" xfId="56" applyFont="1" applyBorder="1" applyAlignment="1">
      <alignment horizontal="center"/>
    </xf>
    <xf numFmtId="0" fontId="14" fillId="0" borderId="17" xfId="56" applyFont="1" applyBorder="1" applyAlignment="1">
      <alignment horizontal="center"/>
    </xf>
    <xf numFmtId="49" fontId="14" fillId="0" borderId="3" xfId="56" applyNumberFormat="1" applyFont="1" applyBorder="1" applyAlignment="1">
      <alignment horizontal="center" vertical="center" wrapText="1"/>
    </xf>
    <xf numFmtId="49" fontId="14" fillId="0" borderId="7" xfId="56" applyNumberFormat="1" applyFont="1" applyBorder="1" applyAlignment="1">
      <alignment horizontal="center" vertical="center" wrapText="1"/>
    </xf>
    <xf numFmtId="4" fontId="14" fillId="0" borderId="3" xfId="56" applyNumberFormat="1" applyFont="1" applyBorder="1" applyAlignment="1">
      <alignment horizontal="center" vertical="center" wrapText="1"/>
    </xf>
    <xf numFmtId="4" fontId="14" fillId="0" borderId="7" xfId="56" applyNumberFormat="1" applyFont="1" applyBorder="1" applyAlignment="1">
      <alignment horizontal="center" vertical="center" wrapText="1"/>
    </xf>
    <xf numFmtId="0" fontId="14" fillId="0" borderId="4" xfId="56" applyFont="1" applyBorder="1" applyAlignment="1">
      <alignment horizontal="center" vertical="center" wrapText="1"/>
    </xf>
    <xf numFmtId="0" fontId="14" fillId="0" borderId="5" xfId="56" applyFont="1" applyBorder="1" applyAlignment="1">
      <alignment horizontal="center" vertical="center" wrapText="1"/>
    </xf>
    <xf numFmtId="0" fontId="14" fillId="0" borderId="6" xfId="56" applyFont="1" applyBorder="1" applyAlignment="1">
      <alignment horizontal="center" vertical="center" wrapText="1"/>
    </xf>
    <xf numFmtId="0" fontId="14" fillId="0" borderId="4" xfId="56" applyFont="1" applyBorder="1" applyAlignment="1">
      <alignment horizontal="center" vertical="center"/>
    </xf>
    <xf numFmtId="0" fontId="14" fillId="0" borderId="6" xfId="56" applyFont="1" applyBorder="1" applyAlignment="1">
      <alignment horizontal="center" vertical="center"/>
    </xf>
    <xf numFmtId="49" fontId="35" fillId="0" borderId="16" xfId="56" applyNumberFormat="1" applyFont="1" applyBorder="1" applyAlignment="1">
      <alignment horizontal="center" wrapText="1"/>
    </xf>
    <xf numFmtId="49" fontId="35" fillId="0" borderId="17" xfId="56" applyNumberFormat="1" applyFont="1" applyBorder="1" applyAlignment="1">
      <alignment horizontal="center" wrapText="1"/>
    </xf>
    <xf numFmtId="0" fontId="49" fillId="0" borderId="9" xfId="38" applyFont="1" applyBorder="1" applyAlignment="1">
      <alignment horizontal="center" vertical="top" wrapText="1"/>
    </xf>
    <xf numFmtId="0" fontId="47" fillId="0" borderId="2" xfId="38" applyFont="1" applyBorder="1" applyAlignment="1">
      <alignment horizontal="left" wrapText="1"/>
    </xf>
    <xf numFmtId="0" fontId="47" fillId="0" borderId="2" xfId="38" applyFont="1" applyBorder="1" applyAlignment="1">
      <alignment horizontal="left"/>
    </xf>
    <xf numFmtId="49" fontId="34" fillId="0" borderId="18" xfId="56" applyNumberFormat="1" applyFont="1" applyBorder="1" applyAlignment="1">
      <alignment horizontal="center"/>
    </xf>
    <xf numFmtId="49" fontId="34" fillId="0" borderId="19" xfId="56" applyNumberFormat="1" applyFont="1" applyBorder="1" applyAlignment="1">
      <alignment horizontal="center"/>
    </xf>
    <xf numFmtId="0" fontId="44" fillId="0" borderId="18" xfId="38" applyFont="1" applyBorder="1" applyAlignment="1">
      <alignment horizontal="center"/>
    </xf>
    <xf numFmtId="0" fontId="44" fillId="0" borderId="19" xfId="38" applyFont="1" applyBorder="1" applyAlignment="1">
      <alignment horizontal="center"/>
    </xf>
    <xf numFmtId="0" fontId="44" fillId="0" borderId="22" xfId="38" applyFont="1" applyBorder="1" applyAlignment="1">
      <alignment horizontal="center"/>
    </xf>
    <xf numFmtId="0" fontId="44" fillId="0" borderId="23" xfId="38" applyFont="1" applyBorder="1" applyAlignment="1">
      <alignment horizontal="center"/>
    </xf>
    <xf numFmtId="0" fontId="44" fillId="0" borderId="20" xfId="38" applyFont="1" applyBorder="1" applyAlignment="1">
      <alignment horizontal="center"/>
    </xf>
    <xf numFmtId="0" fontId="44" fillId="0" borderId="21" xfId="38" applyFont="1" applyBorder="1" applyAlignment="1">
      <alignment horizontal="center"/>
    </xf>
    <xf numFmtId="0" fontId="47" fillId="0" borderId="5" xfId="38" applyFont="1" applyBorder="1" applyAlignment="1">
      <alignment horizontal="left" wrapText="1"/>
    </xf>
    <xf numFmtId="4" fontId="14" fillId="0" borderId="0" xfId="56" applyNumberFormat="1" applyFont="1" applyAlignment="1">
      <alignment horizontal="right"/>
    </xf>
    <xf numFmtId="4" fontId="14" fillId="0" borderId="23" xfId="56" applyNumberFormat="1" applyFont="1" applyBorder="1" applyAlignment="1">
      <alignment horizontal="right"/>
    </xf>
    <xf numFmtId="0" fontId="14" fillId="0" borderId="0" xfId="56" applyFont="1" applyAlignment="1">
      <alignment horizontal="right"/>
    </xf>
    <xf numFmtId="4" fontId="14" fillId="0" borderId="16" xfId="56" applyNumberFormat="1" applyFont="1" applyBorder="1" applyAlignment="1">
      <alignment horizontal="center"/>
    </xf>
    <xf numFmtId="4" fontId="14" fillId="0" borderId="17" xfId="56" applyNumberFormat="1" applyFont="1" applyBorder="1" applyAlignment="1">
      <alignment horizontal="center"/>
    </xf>
    <xf numFmtId="49" fontId="34" fillId="0" borderId="16" xfId="56" applyNumberFormat="1" applyFont="1" applyBorder="1" applyAlignment="1">
      <alignment horizontal="center"/>
    </xf>
    <xf numFmtId="49" fontId="34" fillId="0" borderId="17" xfId="56" applyNumberFormat="1" applyFont="1" applyBorder="1" applyAlignment="1">
      <alignment horizontal="center"/>
    </xf>
    <xf numFmtId="169" fontId="27" fillId="0" borderId="9" xfId="28" applyNumberFormat="1" applyFont="1" applyBorder="1" applyAlignment="1">
      <alignment horizontal="right"/>
    </xf>
    <xf numFmtId="0" fontId="23" fillId="0" borderId="0" xfId="28" applyFont="1" applyFill="1" applyAlignment="1">
      <alignment horizontal="center"/>
    </xf>
    <xf numFmtId="0" fontId="24" fillId="0" borderId="2" xfId="28" applyFont="1" applyBorder="1" applyAlignment="1">
      <alignment horizontal="left" wrapText="1"/>
    </xf>
    <xf numFmtId="0" fontId="24" fillId="0" borderId="1" xfId="28" applyFont="1" applyBorder="1" applyAlignment="1">
      <alignment horizontal="center" vertical="center" wrapText="1"/>
    </xf>
    <xf numFmtId="0" fontId="24" fillId="0" borderId="3" xfId="28" applyFont="1" applyBorder="1" applyAlignment="1">
      <alignment horizontal="center" vertical="center" wrapText="1"/>
    </xf>
    <xf numFmtId="0" fontId="24" fillId="0" borderId="8" xfId="28" applyFont="1" applyBorder="1" applyAlignment="1">
      <alignment horizontal="center" vertical="center" wrapText="1"/>
    </xf>
    <xf numFmtId="0" fontId="24" fillId="0" borderId="7" xfId="28" applyFont="1" applyBorder="1" applyAlignment="1">
      <alignment horizontal="center" vertical="center" wrapText="1"/>
    </xf>
    <xf numFmtId="0" fontId="28" fillId="0" borderId="0" xfId="28" applyFont="1" applyAlignment="1">
      <alignment horizontal="center" wrapText="1"/>
    </xf>
    <xf numFmtId="0" fontId="18" fillId="0" borderId="0" xfId="28" applyFont="1" applyAlignment="1">
      <alignment horizontal="center"/>
    </xf>
    <xf numFmtId="0" fontId="14" fillId="0" borderId="3" xfId="28" applyFont="1" applyBorder="1" applyAlignment="1">
      <alignment horizontal="center" vertical="center" wrapText="1"/>
    </xf>
    <xf numFmtId="0" fontId="14" fillId="0" borderId="7" xfId="28" applyFont="1" applyBorder="1" applyAlignment="1">
      <alignment horizontal="center" vertical="center" wrapText="1"/>
    </xf>
    <xf numFmtId="0" fontId="24" fillId="0" borderId="0" xfId="28" applyFont="1" applyAlignment="1">
      <alignment horizontal="right"/>
    </xf>
    <xf numFmtId="0" fontId="24" fillId="0" borderId="15" xfId="28" applyFont="1" applyBorder="1" applyAlignment="1">
      <alignment horizontal="right"/>
    </xf>
    <xf numFmtId="0" fontId="24" fillId="0" borderId="4" xfId="28" applyFont="1" applyBorder="1" applyAlignment="1">
      <alignment horizontal="center"/>
    </xf>
    <xf numFmtId="0" fontId="24" fillId="0" borderId="5" xfId="28" applyFont="1" applyBorder="1" applyAlignment="1">
      <alignment horizontal="center"/>
    </xf>
    <xf numFmtId="0" fontId="24" fillId="0" borderId="6" xfId="28" applyFont="1" applyBorder="1" applyAlignment="1">
      <alignment horizontal="center"/>
    </xf>
    <xf numFmtId="14" fontId="24" fillId="0" borderId="4" xfId="28" applyNumberFormat="1" applyFont="1" applyBorder="1" applyAlignment="1">
      <alignment horizontal="center"/>
    </xf>
    <xf numFmtId="14" fontId="24" fillId="0" borderId="5" xfId="28" applyNumberFormat="1" applyFont="1" applyBorder="1" applyAlignment="1">
      <alignment horizontal="center"/>
    </xf>
    <xf numFmtId="14" fontId="24" fillId="0" borderId="6" xfId="28" applyNumberFormat="1" applyFont="1" applyBorder="1" applyAlignment="1">
      <alignment horizontal="center"/>
    </xf>
    <xf numFmtId="0" fontId="14" fillId="0" borderId="10" xfId="28" applyFont="1" applyBorder="1" applyAlignment="1">
      <alignment horizontal="center" vertical="center" wrapText="1"/>
    </xf>
    <xf numFmtId="0" fontId="14" fillId="0" borderId="14" xfId="28" applyFont="1" applyBorder="1" applyAlignment="1">
      <alignment horizontal="center" vertical="center" wrapText="1"/>
    </xf>
    <xf numFmtId="0" fontId="14" fillId="0" borderId="11" xfId="28" applyFont="1" applyBorder="1" applyAlignment="1">
      <alignment horizontal="center" vertical="center" wrapText="1"/>
    </xf>
    <xf numFmtId="169" fontId="24" fillId="0" borderId="5" xfId="46" applyNumberFormat="1" applyFont="1" applyBorder="1" applyAlignment="1">
      <alignment horizontal="right"/>
    </xf>
    <xf numFmtId="169" fontId="27" fillId="0" borderId="5" xfId="46" applyNumberFormat="1" applyFont="1" applyBorder="1" applyAlignment="1">
      <alignment horizontal="right"/>
    </xf>
    <xf numFmtId="4" fontId="24" fillId="0" borderId="0" xfId="23" applyNumberFormat="1" applyFont="1" applyAlignment="1">
      <alignment horizontal="right" wrapText="1"/>
    </xf>
    <xf numFmtId="0" fontId="24" fillId="0" borderId="5" xfId="45" applyFont="1" applyBorder="1" applyAlignment="1">
      <alignment horizontal="left" wrapText="1"/>
    </xf>
    <xf numFmtId="0" fontId="27" fillId="0" borderId="5" xfId="45" applyFont="1" applyBorder="1" applyAlignment="1">
      <alignment horizontal="left" wrapText="1"/>
    </xf>
    <xf numFmtId="0" fontId="24" fillId="0" borderId="2" xfId="45" applyFont="1" applyBorder="1" applyAlignment="1">
      <alignment horizontal="left" wrapText="1"/>
    </xf>
    <xf numFmtId="0" fontId="14" fillId="0" borderId="0" xfId="28" applyAlignment="1">
      <alignment horizontal="left" wrapText="1"/>
    </xf>
    <xf numFmtId="169" fontId="24" fillId="0" borderId="2" xfId="46" applyNumberFormat="1" applyFont="1" applyBorder="1" applyAlignment="1">
      <alignment horizontal="right"/>
    </xf>
    <xf numFmtId="0" fontId="24" fillId="0" borderId="0" xfId="28" applyFont="1" applyAlignment="1">
      <alignment horizontal="left" vertical="top"/>
    </xf>
    <xf numFmtId="0" fontId="24" fillId="0" borderId="2" xfId="28" applyFont="1" applyBorder="1" applyAlignment="1">
      <alignment horizontal="left" vertical="top"/>
    </xf>
    <xf numFmtId="0" fontId="27" fillId="0" borderId="0" xfId="28" applyFont="1" applyAlignment="1">
      <alignment horizontal="left" wrapText="1"/>
    </xf>
    <xf numFmtId="169" fontId="27" fillId="0" borderId="0" xfId="28" applyNumberFormat="1" applyFont="1" applyAlignment="1">
      <alignment horizontal="right"/>
    </xf>
    <xf numFmtId="0" fontId="27" fillId="0" borderId="0" xfId="28" applyFont="1" applyAlignment="1">
      <alignment horizontal="right"/>
    </xf>
    <xf numFmtId="0" fontId="14" fillId="0" borderId="0" xfId="28" applyAlignment="1">
      <alignment horizontal="right"/>
    </xf>
    <xf numFmtId="0" fontId="24" fillId="0" borderId="4" xfId="28" quotePrefix="1" applyFont="1" applyBorder="1" applyAlignment="1">
      <alignment horizontal="center"/>
    </xf>
    <xf numFmtId="0" fontId="24" fillId="0" borderId="5" xfId="28" quotePrefix="1" applyFont="1" applyBorder="1" applyAlignment="1">
      <alignment horizontal="center"/>
    </xf>
    <xf numFmtId="0" fontId="24" fillId="0" borderId="6" xfId="28" quotePrefix="1" applyFont="1" applyBorder="1" applyAlignment="1">
      <alignment horizontal="center"/>
    </xf>
    <xf numFmtId="49" fontId="24" fillId="0" borderId="10" xfId="28" applyNumberFormat="1" applyFont="1" applyBorder="1" applyAlignment="1">
      <alignment horizontal="center"/>
    </xf>
    <xf numFmtId="49" fontId="24" fillId="0" borderId="9" xfId="28" applyNumberFormat="1" applyFont="1" applyBorder="1" applyAlignment="1">
      <alignment horizontal="center"/>
    </xf>
    <xf numFmtId="49" fontId="24" fillId="0" borderId="11" xfId="28" applyNumberFormat="1" applyFont="1" applyBorder="1" applyAlignment="1">
      <alignment horizontal="center"/>
    </xf>
    <xf numFmtId="49" fontId="24" fillId="0" borderId="12" xfId="28" applyNumberFormat="1" applyFont="1" applyBorder="1" applyAlignment="1">
      <alignment horizontal="center"/>
    </xf>
    <xf numFmtId="49" fontId="24" fillId="0" borderId="2" xfId="28" applyNumberFormat="1" applyFont="1" applyBorder="1" applyAlignment="1">
      <alignment horizontal="center"/>
    </xf>
    <xf numFmtId="49" fontId="24" fillId="0" borderId="13" xfId="28" applyNumberFormat="1" applyFont="1" applyBorder="1" applyAlignment="1">
      <alignment horizontal="center"/>
    </xf>
    <xf numFmtId="0" fontId="26" fillId="0" borderId="9" xfId="28" applyFont="1" applyBorder="1" applyAlignment="1">
      <alignment horizontal="center"/>
    </xf>
    <xf numFmtId="0" fontId="26" fillId="0" borderId="9" xfId="28" applyFont="1" applyBorder="1" applyAlignment="1">
      <alignment horizontal="center" vertical="top"/>
    </xf>
    <xf numFmtId="0" fontId="24" fillId="0" borderId="10" xfId="28" applyFont="1" applyBorder="1" applyAlignment="1">
      <alignment horizontal="center"/>
    </xf>
    <xf numFmtId="0" fontId="24" fillId="0" borderId="9" xfId="28" applyFont="1" applyBorder="1" applyAlignment="1">
      <alignment horizontal="center"/>
    </xf>
    <xf numFmtId="0" fontId="24" fillId="0" borderId="11" xfId="28" applyFont="1" applyBorder="1" applyAlignment="1">
      <alignment horizontal="center"/>
    </xf>
    <xf numFmtId="0" fontId="24" fillId="0" borderId="12" xfId="28" applyFont="1" applyBorder="1" applyAlignment="1">
      <alignment horizontal="center"/>
    </xf>
    <xf numFmtId="0" fontId="24" fillId="0" borderId="2" xfId="28" applyFont="1" applyBorder="1" applyAlignment="1">
      <alignment horizontal="center"/>
    </xf>
    <xf numFmtId="0" fontId="24" fillId="0" borderId="13" xfId="28" applyFont="1" applyBorder="1" applyAlignment="1">
      <alignment horizontal="center"/>
    </xf>
    <xf numFmtId="0" fontId="27" fillId="0" borderId="0" xfId="22" applyFont="1" applyFill="1" applyAlignment="1">
      <alignment horizontal="left" wrapText="1"/>
    </xf>
    <xf numFmtId="0" fontId="27" fillId="0" borderId="0" xfId="28" applyFont="1" applyAlignment="1">
      <alignment horizontal="left"/>
    </xf>
    <xf numFmtId="167" fontId="24" fillId="0" borderId="0" xfId="23" applyNumberFormat="1" applyFont="1" applyAlignment="1">
      <alignment horizontal="right" wrapText="1"/>
    </xf>
    <xf numFmtId="0" fontId="24" fillId="0" borderId="0" xfId="23" applyFont="1" applyAlignment="1">
      <alignment horizontal="right" wrapText="1"/>
    </xf>
    <xf numFmtId="169" fontId="24" fillId="0" borderId="0" xfId="23" applyNumberFormat="1" applyFont="1" applyAlignment="1">
      <alignment horizontal="right" wrapText="1"/>
    </xf>
    <xf numFmtId="169" fontId="27" fillId="0" borderId="9" xfId="28" applyNumberFormat="1" applyFont="1" applyFill="1" applyBorder="1" applyAlignment="1">
      <alignment horizontal="right"/>
    </xf>
    <xf numFmtId="0" fontId="24" fillId="0" borderId="0" xfId="28" applyFont="1" applyFill="1" applyAlignment="1">
      <alignment horizontal="left" vertical="top"/>
    </xf>
    <xf numFmtId="0" fontId="24" fillId="0" borderId="2" xfId="28" applyFont="1" applyFill="1" applyBorder="1" applyAlignment="1">
      <alignment horizontal="left" vertical="top"/>
    </xf>
    <xf numFmtId="167" fontId="27" fillId="0" borderId="0" xfId="23" applyNumberFormat="1" applyFont="1" applyAlignment="1">
      <alignment horizontal="right" wrapText="1"/>
    </xf>
    <xf numFmtId="0" fontId="27" fillId="0" borderId="0" xfId="23" applyFont="1" applyAlignment="1">
      <alignment horizontal="right" wrapText="1"/>
    </xf>
    <xf numFmtId="169" fontId="27" fillId="0" borderId="9" xfId="48" applyNumberFormat="1" applyFont="1" applyBorder="1" applyAlignment="1">
      <alignment horizontal="right"/>
    </xf>
    <xf numFmtId="0" fontId="27" fillId="0" borderId="0" xfId="48" applyFont="1" applyAlignment="1">
      <alignment horizontal="left" wrapText="1"/>
    </xf>
    <xf numFmtId="169" fontId="27" fillId="0" borderId="0" xfId="48" applyNumberFormat="1" applyFont="1" applyAlignment="1">
      <alignment horizontal="right"/>
    </xf>
    <xf numFmtId="0" fontId="27" fillId="0" borderId="0" xfId="48" applyFont="1" applyAlignment="1">
      <alignment horizontal="right"/>
    </xf>
    <xf numFmtId="0" fontId="28" fillId="0" borderId="0" xfId="48" applyFont="1" applyAlignment="1">
      <alignment horizontal="center" wrapText="1"/>
    </xf>
    <xf numFmtId="0" fontId="23" fillId="0" borderId="0" xfId="48" applyFont="1" applyFill="1" applyAlignment="1">
      <alignment horizontal="center"/>
    </xf>
    <xf numFmtId="0" fontId="24" fillId="0" borderId="2" xfId="48" applyFont="1" applyBorder="1" applyAlignment="1">
      <alignment horizontal="left" wrapText="1"/>
    </xf>
    <xf numFmtId="0" fontId="24" fillId="0" borderId="1" xfId="48" applyFont="1" applyBorder="1" applyAlignment="1">
      <alignment horizontal="center" vertical="center" wrapText="1"/>
    </xf>
    <xf numFmtId="0" fontId="24" fillId="0" borderId="3" xfId="48" applyFont="1" applyBorder="1" applyAlignment="1">
      <alignment horizontal="center" vertical="center" wrapText="1"/>
    </xf>
    <xf numFmtId="0" fontId="24" fillId="0" borderId="8" xfId="48" applyFont="1" applyBorder="1" applyAlignment="1">
      <alignment horizontal="center" vertical="center" wrapText="1"/>
    </xf>
    <xf numFmtId="0" fontId="24" fillId="0" borderId="7" xfId="48" applyFont="1" applyBorder="1" applyAlignment="1">
      <alignment horizontal="center" vertical="center" wrapText="1"/>
    </xf>
    <xf numFmtId="0" fontId="18" fillId="0" borderId="0" xfId="48" applyFont="1" applyAlignment="1">
      <alignment horizontal="center"/>
    </xf>
    <xf numFmtId="0" fontId="26" fillId="0" borderId="9" xfId="48" applyFont="1" applyBorder="1" applyAlignment="1">
      <alignment horizontal="center"/>
    </xf>
    <xf numFmtId="0" fontId="24" fillId="0" borderId="0" xfId="48" applyFont="1" applyAlignment="1">
      <alignment horizontal="right"/>
    </xf>
    <xf numFmtId="0" fontId="24" fillId="0" borderId="0" xfId="48" applyFont="1" applyBorder="1" applyAlignment="1">
      <alignment horizontal="right"/>
    </xf>
    <xf numFmtId="0" fontId="24" fillId="0" borderId="1" xfId="48" applyFont="1" applyBorder="1" applyAlignment="1">
      <alignment horizontal="center"/>
    </xf>
    <xf numFmtId="0" fontId="24" fillId="0" borderId="15" xfId="48" applyFont="1" applyBorder="1" applyAlignment="1">
      <alignment horizontal="right"/>
    </xf>
    <xf numFmtId="14" fontId="24" fillId="0" borderId="1" xfId="48" applyNumberFormat="1" applyFont="1" applyBorder="1" applyAlignment="1">
      <alignment horizontal="center"/>
    </xf>
    <xf numFmtId="0" fontId="14" fillId="0" borderId="3" xfId="48" applyFont="1" applyBorder="1" applyAlignment="1">
      <alignment horizontal="center" vertical="center" wrapText="1"/>
    </xf>
    <xf numFmtId="0" fontId="14" fillId="0" borderId="7" xfId="48" applyFont="1" applyBorder="1" applyAlignment="1">
      <alignment horizontal="center" vertical="center" wrapText="1"/>
    </xf>
    <xf numFmtId="0" fontId="14" fillId="0" borderId="10" xfId="48" applyFont="1" applyBorder="1" applyAlignment="1">
      <alignment horizontal="center" vertical="center" wrapText="1"/>
    </xf>
    <xf numFmtId="0" fontId="14" fillId="0" borderId="14" xfId="48" applyFont="1" applyBorder="1" applyAlignment="1">
      <alignment horizontal="center" vertical="center" wrapText="1"/>
    </xf>
    <xf numFmtId="0" fontId="14" fillId="0" borderId="11" xfId="48" applyFont="1" applyBorder="1" applyAlignment="1">
      <alignment horizontal="center" vertical="center" wrapText="1"/>
    </xf>
    <xf numFmtId="0" fontId="14" fillId="0" borderId="0" xfId="48" applyFont="1" applyAlignment="1">
      <alignment horizontal="right"/>
    </xf>
    <xf numFmtId="0" fontId="24" fillId="0" borderId="1" xfId="48" quotePrefix="1" applyFont="1" applyBorder="1" applyAlignment="1">
      <alignment horizontal="center"/>
    </xf>
    <xf numFmtId="0" fontId="24" fillId="0" borderId="0" xfId="48" applyFont="1" applyBorder="1" applyAlignment="1">
      <alignment horizontal="left" wrapText="1"/>
    </xf>
    <xf numFmtId="0" fontId="24" fillId="0" borderId="10" xfId="48" applyFont="1" applyBorder="1" applyAlignment="1">
      <alignment horizontal="center"/>
    </xf>
    <xf numFmtId="0" fontId="24" fillId="0" borderId="9" xfId="48" applyFont="1" applyBorder="1" applyAlignment="1">
      <alignment horizontal="center"/>
    </xf>
    <xf numFmtId="0" fontId="24" fillId="0" borderId="11" xfId="48" applyFont="1" applyBorder="1" applyAlignment="1">
      <alignment horizontal="center"/>
    </xf>
    <xf numFmtId="0" fontId="24" fillId="0" borderId="12" xfId="48" applyFont="1" applyBorder="1" applyAlignment="1">
      <alignment horizontal="center"/>
    </xf>
    <xf numFmtId="0" fontId="24" fillId="0" borderId="2" xfId="48" applyFont="1" applyBorder="1" applyAlignment="1">
      <alignment horizontal="center"/>
    </xf>
    <xf numFmtId="0" fontId="24" fillId="0" borderId="13" xfId="48" applyFont="1" applyBorder="1" applyAlignment="1">
      <alignment horizontal="center"/>
    </xf>
    <xf numFmtId="0" fontId="62" fillId="0" borderId="4" xfId="28" applyFont="1" applyBorder="1" applyAlignment="1">
      <alignment horizontal="center"/>
    </xf>
    <xf numFmtId="0" fontId="62" fillId="0" borderId="6" xfId="28" applyFont="1" applyBorder="1" applyAlignment="1">
      <alignment horizontal="center"/>
    </xf>
    <xf numFmtId="0" fontId="62" fillId="0" borderId="0" xfId="75" applyFont="1" applyAlignment="1">
      <alignment horizontal="right"/>
    </xf>
    <xf numFmtId="0" fontId="70" fillId="0" borderId="0" xfId="76" applyFont="1" applyAlignment="1">
      <alignment horizontal="right"/>
    </xf>
    <xf numFmtId="0" fontId="62" fillId="0" borderId="4" xfId="28" quotePrefix="1" applyFont="1" applyBorder="1" applyAlignment="1">
      <alignment horizontal="center"/>
    </xf>
    <xf numFmtId="0" fontId="62" fillId="0" borderId="6" xfId="28" quotePrefix="1" applyFont="1" applyBorder="1" applyAlignment="1">
      <alignment horizontal="center"/>
    </xf>
    <xf numFmtId="49" fontId="62" fillId="0" borderId="10" xfId="28" applyNumberFormat="1" applyFont="1" applyBorder="1" applyAlignment="1">
      <alignment horizontal="center"/>
    </xf>
    <xf numFmtId="49" fontId="62" fillId="0" borderId="11" xfId="28" applyNumberFormat="1" applyFont="1" applyBorder="1" applyAlignment="1">
      <alignment horizontal="center"/>
    </xf>
    <xf numFmtId="49" fontId="62" fillId="0" borderId="12" xfId="28" applyNumberFormat="1" applyFont="1" applyBorder="1" applyAlignment="1">
      <alignment horizontal="center"/>
    </xf>
    <xf numFmtId="49" fontId="62" fillId="0" borderId="13" xfId="28" applyNumberFormat="1" applyFont="1" applyBorder="1" applyAlignment="1">
      <alignment horizontal="center"/>
    </xf>
    <xf numFmtId="0" fontId="62" fillId="0" borderId="2" xfId="28" applyFont="1" applyBorder="1" applyAlignment="1">
      <alignment horizontal="left" vertical="top" wrapText="1"/>
    </xf>
    <xf numFmtId="0" fontId="62" fillId="0" borderId="9" xfId="28" applyFont="1" applyBorder="1" applyAlignment="1">
      <alignment horizontal="center" vertical="top" wrapText="1"/>
    </xf>
    <xf numFmtId="0" fontId="62" fillId="0" borderId="3" xfId="22" applyFont="1" applyBorder="1" applyAlignment="1">
      <alignment horizontal="center" vertical="center" wrapText="1"/>
    </xf>
    <xf numFmtId="0" fontId="62" fillId="0" borderId="7" xfId="22" applyFont="1" applyBorder="1" applyAlignment="1">
      <alignment horizontal="center" vertical="center" wrapText="1"/>
    </xf>
    <xf numFmtId="0" fontId="62" fillId="0" borderId="4" xfId="22" applyFont="1" applyBorder="1" applyAlignment="1">
      <alignment horizontal="center" vertical="center" wrapText="1"/>
    </xf>
    <xf numFmtId="0" fontId="62" fillId="0" borderId="6" xfId="22" applyFont="1" applyBorder="1" applyAlignment="1">
      <alignment horizontal="center" vertical="center" wrapText="1"/>
    </xf>
    <xf numFmtId="0" fontId="62" fillId="0" borderId="10" xfId="28" applyFont="1" applyBorder="1" applyAlignment="1">
      <alignment horizontal="center"/>
    </xf>
    <xf numFmtId="0" fontId="62" fillId="0" borderId="11" xfId="28" applyFont="1" applyBorder="1" applyAlignment="1">
      <alignment horizontal="center"/>
    </xf>
    <xf numFmtId="0" fontId="62" fillId="0" borderId="12" xfId="28" applyFont="1" applyBorder="1" applyAlignment="1">
      <alignment horizontal="center"/>
    </xf>
    <xf numFmtId="0" fontId="62" fillId="0" borderId="13" xfId="28" applyFont="1" applyBorder="1" applyAlignment="1">
      <alignment horizontal="center"/>
    </xf>
    <xf numFmtId="0" fontId="62" fillId="0" borderId="9" xfId="28" applyFont="1" applyBorder="1" applyAlignment="1">
      <alignment horizontal="center" vertical="top"/>
    </xf>
    <xf numFmtId="0" fontId="62" fillId="0" borderId="1" xfId="28" applyFont="1" applyBorder="1" applyAlignment="1">
      <alignment horizontal="center"/>
    </xf>
    <xf numFmtId="14" fontId="62" fillId="0" borderId="1" xfId="28" applyNumberFormat="1" applyFont="1" applyBorder="1" applyAlignment="1">
      <alignment horizontal="center"/>
    </xf>
    <xf numFmtId="4" fontId="84" fillId="8" borderId="16" xfId="80" applyNumberFormat="1" applyFont="1" applyFill="1" applyBorder="1" applyAlignment="1">
      <alignment vertical="center" wrapText="1"/>
    </xf>
    <xf numFmtId="0" fontId="62" fillId="8" borderId="54" xfId="36" applyFont="1" applyFill="1" applyBorder="1" applyAlignment="1">
      <alignment vertical="center"/>
    </xf>
    <xf numFmtId="0" fontId="62" fillId="8" borderId="17" xfId="36" applyFont="1" applyFill="1" applyBorder="1" applyAlignment="1">
      <alignment vertical="center"/>
    </xf>
    <xf numFmtId="0" fontId="85" fillId="0" borderId="0" xfId="80" applyFont="1" applyAlignment="1">
      <alignment horizontal="center" vertical="center" wrapText="1"/>
    </xf>
    <xf numFmtId="0" fontId="85" fillId="0" borderId="0" xfId="80" applyFont="1" applyAlignment="1">
      <alignment horizontal="center" vertical="center"/>
    </xf>
    <xf numFmtId="0" fontId="62" fillId="0" borderId="18" xfId="80" applyFont="1" applyBorder="1" applyAlignment="1">
      <alignment horizontal="center" vertical="center" wrapText="1"/>
    </xf>
    <xf numFmtId="0" fontId="62" fillId="0" borderId="22" xfId="80" applyFont="1" applyBorder="1" applyAlignment="1">
      <alignment horizontal="center" vertical="center" wrapText="1"/>
    </xf>
    <xf numFmtId="0" fontId="62" fillId="0" borderId="20" xfId="80" applyFont="1" applyBorder="1" applyAlignment="1">
      <alignment horizontal="center" vertical="center" wrapText="1"/>
    </xf>
    <xf numFmtId="0" fontId="67" fillId="0" borderId="24" xfId="80" applyFont="1" applyBorder="1" applyAlignment="1">
      <alignment horizontal="center" vertical="center" wrapText="1"/>
    </xf>
    <xf numFmtId="0" fontId="67" fillId="0" borderId="28" xfId="80" applyFont="1" applyBorder="1" applyAlignment="1">
      <alignment horizontal="center" vertical="center" wrapText="1"/>
    </xf>
    <xf numFmtId="0" fontId="67" fillId="0" borderId="34" xfId="80" applyFont="1" applyBorder="1" applyAlignment="1">
      <alignment horizontal="center" vertical="center" wrapText="1"/>
    </xf>
    <xf numFmtId="0" fontId="67" fillId="0" borderId="25" xfId="80" applyFont="1" applyBorder="1" applyAlignment="1">
      <alignment horizontal="center" vertical="center"/>
    </xf>
    <xf numFmtId="0" fontId="67" fillId="0" borderId="26" xfId="80" applyFont="1" applyBorder="1" applyAlignment="1">
      <alignment horizontal="center" vertical="center"/>
    </xf>
    <xf numFmtId="0" fontId="67" fillId="0" borderId="27" xfId="80" applyFont="1" applyBorder="1" applyAlignment="1">
      <alignment horizontal="center" vertical="center"/>
    </xf>
    <xf numFmtId="0" fontId="67" fillId="0" borderId="29" xfId="80" applyFont="1" applyBorder="1" applyAlignment="1">
      <alignment horizontal="center" vertical="center" wrapText="1"/>
    </xf>
    <xf numFmtId="0" fontId="67" fillId="0" borderId="30" xfId="80" applyFont="1" applyBorder="1" applyAlignment="1">
      <alignment horizontal="center" vertical="center" wrapText="1"/>
    </xf>
    <xf numFmtId="0" fontId="67" fillId="0" borderId="31" xfId="80" applyFont="1" applyBorder="1" applyAlignment="1">
      <alignment horizontal="center" vertical="center" wrapText="1"/>
    </xf>
    <xf numFmtId="0" fontId="67" fillId="0" borderId="32" xfId="80" applyFont="1" applyBorder="1" applyAlignment="1">
      <alignment horizontal="center" vertical="center" wrapText="1"/>
    </xf>
    <xf numFmtId="0" fontId="67" fillId="0" borderId="35" xfId="80" applyFont="1" applyBorder="1" applyAlignment="1">
      <alignment horizontal="center" vertical="center" wrapText="1"/>
    </xf>
    <xf numFmtId="4" fontId="67" fillId="0" borderId="32" xfId="80" applyNumberFormat="1" applyFont="1" applyBorder="1" applyAlignment="1">
      <alignment horizontal="center" vertical="center" wrapText="1"/>
    </xf>
    <xf numFmtId="4" fontId="67" fillId="0" borderId="37" xfId="80" applyNumberFormat="1" applyFont="1" applyBorder="1" applyAlignment="1">
      <alignment horizontal="center" vertical="center" wrapText="1"/>
    </xf>
    <xf numFmtId="4" fontId="67" fillId="0" borderId="38" xfId="80" applyNumberFormat="1" applyFont="1" applyBorder="1" applyAlignment="1">
      <alignment horizontal="center" vertical="center" wrapText="1"/>
    </xf>
    <xf numFmtId="0" fontId="35" fillId="2" borderId="3" xfId="28" applyFont="1" applyFill="1" applyBorder="1" applyAlignment="1">
      <alignment horizontal="center" vertical="center" wrapText="1"/>
    </xf>
    <xf numFmtId="0" fontId="35" fillId="2" borderId="7" xfId="28" applyFont="1" applyFill="1" applyBorder="1" applyAlignment="1">
      <alignment horizontal="center" vertical="center" wrapText="1"/>
    </xf>
    <xf numFmtId="3" fontId="35" fillId="0" borderId="1" xfId="28" applyNumberFormat="1" applyFont="1" applyBorder="1" applyAlignment="1">
      <alignment horizontal="center" vertical="center" wrapText="1"/>
    </xf>
    <xf numFmtId="0" fontId="18" fillId="0" borderId="2" xfId="29" applyFont="1" applyBorder="1" applyAlignment="1">
      <alignment horizontal="center" vertical="top"/>
    </xf>
    <xf numFmtId="0" fontId="35" fillId="0" borderId="3" xfId="28" applyFont="1" applyBorder="1" applyAlignment="1">
      <alignment horizontal="center" vertical="center" wrapText="1"/>
    </xf>
    <xf numFmtId="0" fontId="35" fillId="0" borderId="7" xfId="28" applyFont="1" applyBorder="1" applyAlignment="1">
      <alignment horizontal="center" vertical="center" wrapText="1"/>
    </xf>
    <xf numFmtId="0" fontId="35" fillId="0" borderId="4" xfId="28" applyFont="1" applyBorder="1" applyAlignment="1">
      <alignment horizontal="center" vertical="center" wrapText="1"/>
    </xf>
    <xf numFmtId="0" fontId="35" fillId="0" borderId="5" xfId="28" applyFont="1" applyBorder="1" applyAlignment="1">
      <alignment horizontal="center" vertical="center" wrapText="1"/>
    </xf>
    <xf numFmtId="0" fontId="35" fillId="0" borderId="6" xfId="28" applyFont="1" applyBorder="1" applyAlignment="1">
      <alignment horizontal="center" vertical="center" wrapText="1"/>
    </xf>
    <xf numFmtId="0" fontId="35" fillId="0" borderId="4" xfId="23" applyFont="1" applyBorder="1" applyAlignment="1">
      <alignment horizontal="center" vertical="center" wrapText="1"/>
    </xf>
    <xf numFmtId="0" fontId="35" fillId="0" borderId="5" xfId="23" applyFont="1" applyBorder="1" applyAlignment="1">
      <alignment horizontal="center" vertical="center" wrapText="1"/>
    </xf>
    <xf numFmtId="0" fontId="35" fillId="0" borderId="6" xfId="23" applyFont="1" applyBorder="1" applyAlignment="1">
      <alignment horizontal="center" vertical="center" wrapText="1"/>
    </xf>
    <xf numFmtId="0" fontId="35" fillId="2" borderId="4" xfId="28" applyFont="1" applyFill="1" applyBorder="1" applyAlignment="1">
      <alignment horizontal="center" vertical="center" wrapText="1"/>
    </xf>
    <xf numFmtId="0" fontId="35" fillId="2" borderId="5" xfId="28" applyFont="1" applyFill="1" applyBorder="1" applyAlignment="1">
      <alignment horizontal="center" vertical="center" wrapText="1"/>
    </xf>
    <xf numFmtId="0" fontId="35" fillId="2" borderId="6" xfId="28" applyFont="1" applyFill="1" applyBorder="1" applyAlignment="1">
      <alignment horizontal="center" vertical="center" wrapText="1"/>
    </xf>
    <xf numFmtId="0" fontId="37" fillId="0" borderId="0" xfId="28" applyFont="1" applyAlignment="1">
      <alignment horizontal="center"/>
    </xf>
    <xf numFmtId="0" fontId="35" fillId="2" borderId="3" xfId="23" applyFont="1" applyFill="1" applyBorder="1" applyAlignment="1">
      <alignment horizontal="center" vertical="center" wrapText="1"/>
    </xf>
    <xf numFmtId="0" fontId="35" fillId="2" borderId="7" xfId="23" applyFont="1" applyFill="1" applyBorder="1" applyAlignment="1">
      <alignment horizontal="center" vertical="center" wrapText="1"/>
    </xf>
    <xf numFmtId="3" fontId="35" fillId="0" borderId="3" xfId="28" applyNumberFormat="1" applyFont="1" applyBorder="1" applyAlignment="1">
      <alignment horizontal="center" vertical="center" wrapText="1"/>
    </xf>
    <xf numFmtId="3" fontId="35" fillId="0" borderId="7" xfId="28" applyNumberFormat="1" applyFont="1" applyBorder="1" applyAlignment="1">
      <alignment horizontal="center" vertical="center" wrapText="1"/>
    </xf>
    <xf numFmtId="0" fontId="79" fillId="0" borderId="0" xfId="21" applyFont="1" applyFill="1" applyBorder="1" applyAlignment="1">
      <alignment horizontal="right" wrapText="1"/>
    </xf>
    <xf numFmtId="0" fontId="92" fillId="0" borderId="0" xfId="28" applyFont="1" applyFill="1" applyAlignment="1"/>
    <xf numFmtId="0" fontId="75" fillId="0" borderId="3" xfId="28" applyFont="1" applyFill="1" applyBorder="1" applyAlignment="1">
      <alignment horizontal="center" vertical="center" wrapText="1"/>
    </xf>
    <xf numFmtId="0" fontId="75" fillId="0" borderId="7" xfId="28" applyFont="1" applyFill="1" applyBorder="1" applyAlignment="1">
      <alignment horizontal="center" vertical="center" wrapText="1"/>
    </xf>
    <xf numFmtId="0" fontId="75" fillId="0" borderId="4" xfId="28" applyFont="1" applyFill="1" applyBorder="1" applyAlignment="1">
      <alignment horizontal="center" vertical="center" wrapText="1"/>
    </xf>
    <xf numFmtId="0" fontId="75" fillId="0" borderId="5" xfId="28" applyFont="1" applyFill="1" applyBorder="1" applyAlignment="1">
      <alignment horizontal="center" vertical="center" wrapText="1"/>
    </xf>
    <xf numFmtId="0" fontId="75" fillId="0" borderId="6" xfId="28" applyFont="1" applyFill="1" applyBorder="1" applyAlignment="1">
      <alignment horizontal="center" vertical="center" wrapText="1"/>
    </xf>
    <xf numFmtId="0" fontId="75" fillId="0" borderId="3" xfId="71" applyFont="1" applyFill="1" applyBorder="1" applyAlignment="1">
      <alignment horizontal="center" vertical="center" wrapText="1"/>
    </xf>
    <xf numFmtId="0" fontId="75" fillId="0" borderId="7" xfId="71" applyFont="1" applyFill="1" applyBorder="1" applyAlignment="1">
      <alignment horizontal="center" vertical="center" wrapText="1"/>
    </xf>
    <xf numFmtId="0" fontId="92" fillId="0" borderId="0" xfId="28" applyFont="1" applyFill="1" applyAlignment="1">
      <alignment horizontal="right"/>
    </xf>
    <xf numFmtId="0" fontId="73" fillId="0" borderId="0" xfId="28" applyFont="1" applyFill="1" applyAlignment="1">
      <alignment horizontal="center"/>
    </xf>
    <xf numFmtId="0" fontId="75" fillId="0" borderId="3" xfId="70" applyFont="1" applyFill="1" applyBorder="1" applyAlignment="1">
      <alignment horizontal="center" vertical="center" wrapText="1"/>
    </xf>
    <xf numFmtId="0" fontId="75" fillId="0" borderId="7" xfId="70" applyFont="1" applyFill="1" applyBorder="1" applyAlignment="1">
      <alignment horizontal="center" vertical="center" wrapText="1"/>
    </xf>
    <xf numFmtId="3" fontId="75" fillId="0" borderId="3" xfId="28" applyNumberFormat="1" applyFont="1" applyFill="1" applyBorder="1" applyAlignment="1">
      <alignment horizontal="center" vertical="center" wrapText="1"/>
    </xf>
    <xf numFmtId="3" fontId="75" fillId="0" borderId="7" xfId="28" applyNumberFormat="1" applyFont="1" applyFill="1" applyBorder="1" applyAlignment="1">
      <alignment horizontal="center" vertical="center" wrapText="1"/>
    </xf>
    <xf numFmtId="0" fontId="76" fillId="0" borderId="0" xfId="0" applyFont="1" applyFill="1" applyAlignment="1">
      <alignment horizontal="center"/>
    </xf>
    <xf numFmtId="0" fontId="66" fillId="0" borderId="0" xfId="28" applyFont="1" applyFill="1" applyAlignment="1">
      <alignment horizontal="left" wrapText="1"/>
    </xf>
    <xf numFmtId="0" fontId="66" fillId="0" borderId="2" xfId="28" applyFont="1" applyFill="1" applyBorder="1" applyAlignment="1">
      <alignment horizontal="left" wrapText="1"/>
    </xf>
    <xf numFmtId="0" fontId="93" fillId="0" borderId="9" xfId="28" applyFont="1" applyFill="1" applyBorder="1" applyAlignment="1">
      <alignment horizontal="center"/>
    </xf>
    <xf numFmtId="49" fontId="66" fillId="0" borderId="10" xfId="28" applyNumberFormat="1" applyFont="1" applyFill="1" applyBorder="1" applyAlignment="1">
      <alignment horizontal="center"/>
    </xf>
    <xf numFmtId="49" fontId="66" fillId="0" borderId="9" xfId="28" applyNumberFormat="1" applyFont="1" applyFill="1" applyBorder="1" applyAlignment="1">
      <alignment horizontal="center"/>
    </xf>
    <xf numFmtId="49" fontId="66" fillId="0" borderId="11" xfId="28" applyNumberFormat="1" applyFont="1" applyFill="1" applyBorder="1" applyAlignment="1">
      <alignment horizontal="center"/>
    </xf>
    <xf numFmtId="49" fontId="66" fillId="0" borderId="12" xfId="28" applyNumberFormat="1" applyFont="1" applyFill="1" applyBorder="1" applyAlignment="1">
      <alignment horizontal="center"/>
    </xf>
    <xf numFmtId="49" fontId="66" fillId="0" borderId="2" xfId="28" applyNumberFormat="1" applyFont="1" applyFill="1" applyBorder="1" applyAlignment="1">
      <alignment horizontal="center"/>
    </xf>
    <xf numFmtId="49" fontId="66" fillId="0" borderId="13" xfId="28" applyNumberFormat="1" applyFont="1" applyFill="1" applyBorder="1" applyAlignment="1">
      <alignment horizontal="center"/>
    </xf>
    <xf numFmtId="0" fontId="93" fillId="0" borderId="9" xfId="28" applyFont="1" applyFill="1" applyBorder="1" applyAlignment="1">
      <alignment horizontal="center" vertical="top"/>
    </xf>
    <xf numFmtId="0" fontId="66" fillId="0" borderId="10" xfId="28" applyFont="1" applyFill="1" applyBorder="1" applyAlignment="1">
      <alignment horizontal="center"/>
    </xf>
    <xf numFmtId="0" fontId="66" fillId="0" borderId="9" xfId="28" applyFont="1" applyFill="1" applyBorder="1" applyAlignment="1">
      <alignment horizontal="center"/>
    </xf>
    <xf numFmtId="0" fontId="66" fillId="0" borderId="11" xfId="28" applyFont="1" applyFill="1" applyBorder="1" applyAlignment="1">
      <alignment horizontal="center"/>
    </xf>
    <xf numFmtId="0" fontId="66" fillId="0" borderId="12" xfId="28" applyFont="1" applyFill="1" applyBorder="1" applyAlignment="1">
      <alignment horizontal="center"/>
    </xf>
    <xf numFmtId="0" fontId="66" fillId="0" borderId="2" xfId="28" applyFont="1" applyFill="1" applyBorder="1" applyAlignment="1">
      <alignment horizontal="center"/>
    </xf>
    <xf numFmtId="0" fontId="66" fillId="0" borderId="13" xfId="28" applyFont="1" applyFill="1" applyBorder="1" applyAlignment="1">
      <alignment horizontal="center"/>
    </xf>
    <xf numFmtId="0" fontId="66" fillId="0" borderId="0" xfId="28" applyFont="1" applyFill="1" applyAlignment="1">
      <alignment horizontal="right"/>
    </xf>
    <xf numFmtId="0" fontId="66" fillId="0" borderId="15" xfId="28" applyFont="1" applyFill="1" applyBorder="1" applyAlignment="1">
      <alignment horizontal="right"/>
    </xf>
    <xf numFmtId="0" fontId="66" fillId="0" borderId="4" xfId="28" applyFont="1" applyFill="1" applyBorder="1" applyAlignment="1">
      <alignment horizontal="center"/>
    </xf>
    <xf numFmtId="0" fontId="66" fillId="0" borderId="5" xfId="28" applyFont="1" applyFill="1" applyBorder="1" applyAlignment="1">
      <alignment horizontal="center"/>
    </xf>
    <xf numFmtId="0" fontId="66" fillId="0" borderId="6" xfId="28" applyFont="1" applyFill="1" applyBorder="1" applyAlignment="1">
      <alignment horizontal="center"/>
    </xf>
    <xf numFmtId="14" fontId="66" fillId="0" borderId="4" xfId="28" applyNumberFormat="1" applyFont="1" applyFill="1" applyBorder="1" applyAlignment="1">
      <alignment horizontal="center"/>
    </xf>
    <xf numFmtId="14" fontId="66" fillId="0" borderId="5" xfId="28" applyNumberFormat="1" applyFont="1" applyFill="1" applyBorder="1" applyAlignment="1">
      <alignment horizontal="center"/>
    </xf>
    <xf numFmtId="14" fontId="66" fillId="0" borderId="6" xfId="28" applyNumberFormat="1" applyFont="1" applyFill="1" applyBorder="1" applyAlignment="1">
      <alignment horizontal="center"/>
    </xf>
    <xf numFmtId="0" fontId="62" fillId="0" borderId="3" xfId="28" applyFont="1" applyFill="1" applyBorder="1" applyAlignment="1">
      <alignment horizontal="center" vertical="center" wrapText="1"/>
    </xf>
    <xf numFmtId="0" fontId="62" fillId="0" borderId="7" xfId="28" applyFont="1" applyFill="1" applyBorder="1" applyAlignment="1">
      <alignment horizontal="center" vertical="center" wrapText="1"/>
    </xf>
    <xf numFmtId="0" fontId="62" fillId="0" borderId="4" xfId="28" applyFont="1" applyFill="1" applyBorder="1" applyAlignment="1">
      <alignment horizontal="center" vertical="center" wrapText="1"/>
    </xf>
    <xf numFmtId="0" fontId="62" fillId="0" borderId="6" xfId="28" applyFont="1" applyFill="1" applyBorder="1" applyAlignment="1">
      <alignment horizontal="center" vertical="center" wrapText="1"/>
    </xf>
    <xf numFmtId="0" fontId="75" fillId="0" borderId="0" xfId="28" applyFont="1" applyFill="1" applyAlignment="1">
      <alignment horizontal="center"/>
    </xf>
    <xf numFmtId="0" fontId="75" fillId="0" borderId="0" xfId="0" applyFont="1" applyFill="1" applyAlignment="1">
      <alignment horizontal="center"/>
    </xf>
    <xf numFmtId="0" fontId="62" fillId="0" borderId="0" xfId="28" applyFont="1" applyFill="1" applyAlignment="1">
      <alignment horizontal="right"/>
    </xf>
    <xf numFmtId="0" fontId="66" fillId="0" borderId="4" xfId="28" quotePrefix="1" applyFont="1" applyFill="1" applyBorder="1" applyAlignment="1">
      <alignment horizontal="center"/>
    </xf>
    <xf numFmtId="0" fontId="66" fillId="0" borderId="5" xfId="28" quotePrefix="1" applyFont="1" applyFill="1" applyBorder="1" applyAlignment="1">
      <alignment horizontal="center"/>
    </xf>
    <xf numFmtId="0" fontId="66" fillId="0" borderId="6" xfId="28" quotePrefix="1" applyFont="1" applyFill="1" applyBorder="1" applyAlignment="1">
      <alignment horizontal="center"/>
    </xf>
    <xf numFmtId="0" fontId="66" fillId="0" borderId="14" xfId="28" applyFont="1" applyFill="1" applyBorder="1" applyAlignment="1">
      <alignment horizontal="center"/>
    </xf>
    <xf numFmtId="0" fontId="66" fillId="0" borderId="0" xfId="28" applyFont="1" applyFill="1" applyBorder="1" applyAlignment="1">
      <alignment horizontal="center"/>
    </xf>
    <xf numFmtId="0" fontId="66" fillId="0" borderId="15" xfId="28" applyFont="1" applyFill="1" applyBorder="1" applyAlignment="1">
      <alignment horizontal="center"/>
    </xf>
    <xf numFmtId="0" fontId="75" fillId="0" borderId="0" xfId="0" applyFont="1" applyFill="1" applyAlignment="1">
      <alignment horizontal="left" vertical="center" wrapText="1"/>
    </xf>
    <xf numFmtId="0" fontId="66" fillId="0" borderId="2" xfId="0" applyFont="1" applyFill="1" applyBorder="1" applyAlignment="1">
      <alignment horizontal="left" wrapText="1"/>
    </xf>
    <xf numFmtId="0" fontId="66" fillId="0" borderId="3" xfId="0" applyFont="1" applyFill="1" applyBorder="1" applyAlignment="1">
      <alignment horizontal="center" vertical="center" wrapText="1"/>
    </xf>
    <xf numFmtId="0" fontId="66" fillId="0" borderId="8" xfId="0" applyFont="1" applyFill="1" applyBorder="1" applyAlignment="1">
      <alignment horizontal="center" vertical="center" wrapText="1"/>
    </xf>
    <xf numFmtId="0" fontId="66" fillId="0" borderId="7" xfId="0" applyFont="1" applyFill="1" applyBorder="1" applyAlignment="1">
      <alignment horizontal="center" vertical="center" wrapText="1"/>
    </xf>
    <xf numFmtId="0" fontId="66" fillId="0" borderId="1" xfId="0" applyFont="1" applyFill="1" applyBorder="1" applyAlignment="1">
      <alignment horizontal="center" vertical="center" wrapText="1"/>
    </xf>
    <xf numFmtId="0" fontId="85" fillId="0" borderId="0" xfId="0" applyFont="1" applyFill="1" applyAlignment="1">
      <alignment horizontal="center" wrapText="1"/>
    </xf>
    <xf numFmtId="169" fontId="64" fillId="0" borderId="9" xfId="0" applyNumberFormat="1" applyFont="1" applyFill="1" applyBorder="1" applyAlignment="1">
      <alignment horizontal="right"/>
    </xf>
    <xf numFmtId="0" fontId="64" fillId="0" borderId="0" xfId="0" applyFont="1" applyFill="1" applyAlignment="1">
      <alignment horizontal="left" wrapText="1"/>
    </xf>
    <xf numFmtId="169" fontId="64" fillId="0" borderId="0" xfId="0" applyNumberFormat="1" applyFont="1" applyFill="1" applyAlignment="1">
      <alignment horizontal="right"/>
    </xf>
    <xf numFmtId="0" fontId="64" fillId="0" borderId="0" xfId="0" applyFont="1" applyFill="1" applyAlignment="1">
      <alignment horizontal="right"/>
    </xf>
    <xf numFmtId="167" fontId="66" fillId="0" borderId="0" xfId="0" applyNumberFormat="1" applyFont="1" applyFill="1" applyAlignment="1">
      <alignment horizontal="right" wrapText="1"/>
    </xf>
    <xf numFmtId="0" fontId="66" fillId="0" borderId="0" xfId="0" applyFont="1" applyFill="1" applyAlignment="1">
      <alignment horizontal="right" wrapText="1"/>
    </xf>
    <xf numFmtId="169" fontId="66" fillId="0" borderId="0" xfId="0" applyNumberFormat="1" applyFont="1" applyFill="1" applyAlignment="1">
      <alignment horizontal="right"/>
    </xf>
    <xf numFmtId="0" fontId="66" fillId="0" borderId="0" xfId="0" applyFont="1" applyFill="1" applyAlignment="1">
      <alignment horizontal="left" wrapText="1"/>
    </xf>
    <xf numFmtId="169" fontId="66" fillId="0" borderId="0" xfId="21" applyNumberFormat="1" applyFont="1" applyFill="1" applyAlignment="1">
      <alignment horizontal="right"/>
    </xf>
    <xf numFmtId="0" fontId="62" fillId="0" borderId="0" xfId="0" applyFont="1" applyFill="1" applyAlignment="1">
      <alignment horizontal="left" wrapText="1"/>
    </xf>
    <xf numFmtId="0" fontId="99" fillId="0" borderId="0" xfId="0" applyFont="1" applyFill="1" applyAlignment="1">
      <alignment horizontal="center"/>
    </xf>
    <xf numFmtId="0" fontId="64" fillId="0" borderId="0" xfId="0" applyFont="1" applyFill="1" applyAlignment="1">
      <alignment horizontal="left" vertical="center" wrapText="1"/>
    </xf>
    <xf numFmtId="167" fontId="66" fillId="0" borderId="0" xfId="23" applyNumberFormat="1" applyFont="1" applyFill="1" applyAlignment="1">
      <alignment horizontal="right" wrapText="1"/>
    </xf>
    <xf numFmtId="0" fontId="66" fillId="0" borderId="0" xfId="23" applyFont="1" applyFill="1" applyAlignment="1">
      <alignment horizontal="right" wrapText="1"/>
    </xf>
    <xf numFmtId="0" fontId="93" fillId="0" borderId="0" xfId="0" applyFont="1" applyFill="1" applyAlignment="1">
      <alignment horizontal="left" wrapText="1"/>
    </xf>
    <xf numFmtId="0" fontId="90" fillId="0" borderId="0" xfId="0" applyFont="1" applyFill="1" applyAlignment="1">
      <alignment horizontal="left" vertical="center" wrapText="1"/>
    </xf>
    <xf numFmtId="4" fontId="100" fillId="0" borderId="0" xfId="0" applyNumberFormat="1" applyFont="1" applyFill="1" applyAlignment="1">
      <alignment horizontal="right"/>
    </xf>
    <xf numFmtId="0" fontId="63" fillId="0" borderId="0" xfId="0" applyFont="1" applyFill="1" applyAlignment="1">
      <alignment horizontal="left" vertical="center" wrapText="1"/>
    </xf>
    <xf numFmtId="167" fontId="102" fillId="0" borderId="0" xfId="23" applyNumberFormat="1" applyFont="1" applyFill="1" applyAlignment="1">
      <alignment horizontal="right" wrapText="1"/>
    </xf>
    <xf numFmtId="0" fontId="102" fillId="0" borderId="0" xfId="23" applyFont="1" applyFill="1" applyAlignment="1">
      <alignment horizontal="right" wrapText="1"/>
    </xf>
    <xf numFmtId="0" fontId="99" fillId="0" borderId="0" xfId="0" applyFont="1" applyFill="1" applyAlignment="1">
      <alignment horizontal="center" vertical="center"/>
    </xf>
    <xf numFmtId="0" fontId="66" fillId="0" borderId="2" xfId="0" applyFont="1" applyBorder="1" applyAlignment="1">
      <alignment horizontal="left" wrapText="1"/>
    </xf>
    <xf numFmtId="0" fontId="66" fillId="0" borderId="1" xfId="0" applyFont="1" applyBorder="1" applyAlignment="1">
      <alignment horizontal="center" vertical="center" wrapText="1"/>
    </xf>
    <xf numFmtId="0" fontId="66" fillId="0" borderId="3" xfId="0" applyFont="1" applyBorder="1" applyAlignment="1">
      <alignment horizontal="center" vertical="center" wrapText="1"/>
    </xf>
    <xf numFmtId="0" fontId="66" fillId="0" borderId="8" xfId="0" applyFont="1" applyBorder="1" applyAlignment="1">
      <alignment horizontal="center" vertical="center" wrapText="1"/>
    </xf>
    <xf numFmtId="0" fontId="66" fillId="0" borderId="7" xfId="0" applyFont="1" applyBorder="1" applyAlignment="1">
      <alignment horizontal="center" vertical="center" wrapText="1"/>
    </xf>
    <xf numFmtId="0" fontId="85" fillId="0" borderId="0" xfId="0" applyFont="1" applyAlignment="1">
      <alignment horizontal="center" wrapText="1"/>
    </xf>
    <xf numFmtId="169" fontId="64" fillId="0" borderId="9" xfId="0" applyNumberFormat="1" applyFont="1" applyBorder="1" applyAlignment="1">
      <alignment horizontal="right"/>
    </xf>
    <xf numFmtId="0" fontId="64" fillId="0" borderId="0" xfId="0" applyFont="1" applyAlignment="1">
      <alignment horizontal="left" wrapText="1"/>
    </xf>
    <xf numFmtId="169" fontId="64" fillId="0" borderId="0" xfId="0" applyNumberFormat="1" applyFont="1" applyAlignment="1">
      <alignment horizontal="right"/>
    </xf>
    <xf numFmtId="0" fontId="64" fillId="0" borderId="0" xfId="0" applyFont="1" applyAlignment="1">
      <alignment horizontal="right"/>
    </xf>
    <xf numFmtId="0" fontId="75" fillId="0" borderId="0" xfId="0" applyFont="1" applyAlignment="1">
      <alignment horizontal="center"/>
    </xf>
    <xf numFmtId="0" fontId="99" fillId="0" borderId="0" xfId="0" applyFont="1" applyAlignment="1">
      <alignment horizontal="center"/>
    </xf>
    <xf numFmtId="0" fontId="63" fillId="0" borderId="0" xfId="0" applyFont="1" applyAlignment="1">
      <alignment horizontal="left" vertical="center" wrapText="1"/>
    </xf>
    <xf numFmtId="167" fontId="66" fillId="3" borderId="0" xfId="23" applyNumberFormat="1" applyFont="1" applyFill="1" applyAlignment="1">
      <alignment horizontal="right" wrapText="1"/>
    </xf>
    <xf numFmtId="0" fontId="66" fillId="3" borderId="0" xfId="23" applyFont="1" applyFill="1" applyAlignment="1">
      <alignment horizontal="right" wrapText="1"/>
    </xf>
    <xf numFmtId="169" fontId="64" fillId="3" borderId="0" xfId="0" applyNumberFormat="1" applyFont="1" applyFill="1" applyAlignment="1">
      <alignment horizontal="right"/>
    </xf>
    <xf numFmtId="0" fontId="64" fillId="3" borderId="0" xfId="0" applyFont="1" applyFill="1" applyAlignment="1">
      <alignment horizontal="right"/>
    </xf>
    <xf numFmtId="169" fontId="66" fillId="0" borderId="0" xfId="21" applyNumberFormat="1" applyFont="1" applyAlignment="1">
      <alignment horizontal="right"/>
    </xf>
    <xf numFmtId="0" fontId="66" fillId="0" borderId="0" xfId="0" applyFont="1" applyAlignment="1">
      <alignment horizontal="left" wrapText="1"/>
    </xf>
    <xf numFmtId="0" fontId="62" fillId="0" borderId="0" xfId="0" applyFont="1" applyAlignment="1">
      <alignment horizontal="left" wrapText="1"/>
    </xf>
    <xf numFmtId="169" fontId="64" fillId="0" borderId="2" xfId="0" applyNumberFormat="1" applyFont="1" applyFill="1" applyBorder="1" applyAlignment="1">
      <alignment horizontal="right"/>
    </xf>
    <xf numFmtId="0" fontId="66" fillId="0" borderId="10" xfId="0" applyFont="1" applyFill="1" applyBorder="1" applyAlignment="1">
      <alignment horizontal="center" vertical="center" wrapText="1"/>
    </xf>
    <xf numFmtId="0" fontId="66" fillId="0" borderId="11" xfId="0" applyFont="1" applyFill="1" applyBorder="1" applyAlignment="1">
      <alignment horizontal="center" vertical="center" wrapText="1"/>
    </xf>
    <xf numFmtId="0" fontId="66" fillId="0" borderId="12" xfId="0" applyFont="1" applyFill="1" applyBorder="1" applyAlignment="1">
      <alignment horizontal="center" vertical="center" wrapText="1"/>
    </xf>
    <xf numFmtId="0" fontId="66" fillId="0" borderId="13" xfId="0" applyFont="1" applyFill="1" applyBorder="1" applyAlignment="1">
      <alignment horizontal="center" vertical="center" wrapText="1"/>
    </xf>
    <xf numFmtId="0" fontId="105" fillId="0" borderId="0" xfId="0" applyFont="1" applyFill="1" applyAlignment="1">
      <alignment horizontal="left" wrapText="1"/>
    </xf>
    <xf numFmtId="0" fontId="63" fillId="0" borderId="4" xfId="21" applyFont="1" applyFill="1" applyBorder="1" applyAlignment="1">
      <alignment horizontal="left" vertical="center" wrapText="1"/>
    </xf>
    <xf numFmtId="0" fontId="63" fillId="0" borderId="5" xfId="21" applyFont="1" applyFill="1" applyBorder="1" applyAlignment="1">
      <alignment horizontal="left" vertical="center" wrapText="1"/>
    </xf>
    <xf numFmtId="3" fontId="64" fillId="0" borderId="4" xfId="44" applyNumberFormat="1" applyFont="1" applyFill="1" applyBorder="1" applyAlignment="1">
      <alignment horizontal="right" vertical="center"/>
    </xf>
    <xf numFmtId="3" fontId="64" fillId="0" borderId="6" xfId="44" applyNumberFormat="1" applyFont="1" applyFill="1" applyBorder="1" applyAlignment="1">
      <alignment horizontal="right" vertical="center"/>
    </xf>
    <xf numFmtId="4" fontId="64" fillId="0" borderId="4" xfId="44" applyNumberFormat="1" applyFont="1" applyFill="1" applyBorder="1" applyAlignment="1">
      <alignment horizontal="right" vertical="center"/>
    </xf>
    <xf numFmtId="4" fontId="64" fillId="0" borderId="6" xfId="44" applyNumberFormat="1" applyFont="1" applyFill="1" applyBorder="1" applyAlignment="1">
      <alignment horizontal="right" vertical="center"/>
    </xf>
    <xf numFmtId="3" fontId="66" fillId="0" borderId="4" xfId="44" quotePrefix="1" applyNumberFormat="1" applyFont="1" applyFill="1" applyBorder="1" applyAlignment="1">
      <alignment horizontal="right" wrapText="1"/>
    </xf>
    <xf numFmtId="3" fontId="66" fillId="0" borderId="6" xfId="44" quotePrefix="1" applyNumberFormat="1" applyFont="1" applyFill="1" applyBorder="1" applyAlignment="1">
      <alignment horizontal="right" wrapText="1"/>
    </xf>
    <xf numFmtId="4" fontId="66" fillId="0" borderId="4" xfId="44" quotePrefix="1" applyNumberFormat="1" applyFont="1" applyFill="1" applyBorder="1" applyAlignment="1">
      <alignment horizontal="right" wrapText="1"/>
    </xf>
    <xf numFmtId="4" fontId="66" fillId="0" borderId="6" xfId="44" quotePrefix="1" applyNumberFormat="1" applyFont="1" applyFill="1" applyBorder="1" applyAlignment="1">
      <alignment horizontal="right" wrapText="1"/>
    </xf>
    <xf numFmtId="0" fontId="69" fillId="0" borderId="2" xfId="4" applyFont="1" applyFill="1" applyBorder="1" applyAlignment="1">
      <alignment horizontal="left" wrapText="1"/>
    </xf>
    <xf numFmtId="0" fontId="69" fillId="0" borderId="2" xfId="21" applyFont="1" applyFill="1" applyBorder="1" applyAlignment="1">
      <alignment horizontal="right"/>
    </xf>
    <xf numFmtId="49" fontId="70" fillId="0" borderId="9" xfId="68" applyNumberFormat="1" applyFont="1" applyFill="1" applyBorder="1" applyAlignment="1">
      <alignment horizontal="left" vertical="top"/>
    </xf>
    <xf numFmtId="0" fontId="70" fillId="0" borderId="9" xfId="4" applyFont="1" applyFill="1" applyBorder="1" applyAlignment="1">
      <alignment horizontal="right"/>
    </xf>
    <xf numFmtId="3" fontId="66" fillId="0" borderId="4" xfId="44" applyNumberFormat="1" applyFont="1" applyFill="1" applyBorder="1" applyAlignment="1">
      <alignment horizontal="right" wrapText="1"/>
    </xf>
    <xf numFmtId="3" fontId="66" fillId="0" borderId="6" xfId="44" applyNumberFormat="1" applyFont="1" applyFill="1" applyBorder="1" applyAlignment="1">
      <alignment horizontal="right" wrapText="1"/>
    </xf>
    <xf numFmtId="4" fontId="66" fillId="0" borderId="4" xfId="44" applyNumberFormat="1" applyFont="1" applyFill="1" applyBorder="1" applyAlignment="1">
      <alignment horizontal="right" wrapText="1"/>
    </xf>
    <xf numFmtId="4" fontId="66" fillId="0" borderId="6" xfId="44" applyNumberFormat="1" applyFont="1" applyFill="1" applyBorder="1" applyAlignment="1">
      <alignment horizontal="right" wrapText="1"/>
    </xf>
    <xf numFmtId="176" fontId="66" fillId="0" borderId="4" xfId="44" applyNumberFormat="1" applyFont="1" applyFill="1" applyBorder="1" applyAlignment="1">
      <alignment horizontal="right" wrapText="1"/>
    </xf>
    <xf numFmtId="176" fontId="66" fillId="0" borderId="6" xfId="44" applyNumberFormat="1" applyFont="1" applyFill="1" applyBorder="1" applyAlignment="1">
      <alignment horizontal="right" wrapText="1"/>
    </xf>
    <xf numFmtId="176" fontId="66" fillId="0" borderId="4" xfId="44" applyNumberFormat="1" applyFont="1" applyFill="1" applyBorder="1" applyAlignment="1">
      <alignment horizontal="center" wrapText="1"/>
    </xf>
    <xf numFmtId="176" fontId="66" fillId="0" borderId="6" xfId="44" applyNumberFormat="1" applyFont="1" applyFill="1" applyBorder="1" applyAlignment="1">
      <alignment horizontal="center" wrapText="1"/>
    </xf>
    <xf numFmtId="170" fontId="68" fillId="0" borderId="4" xfId="44" applyNumberFormat="1" applyFont="1" applyFill="1" applyBorder="1" applyAlignment="1">
      <alignment horizontal="right" wrapText="1"/>
    </xf>
    <xf numFmtId="170" fontId="68" fillId="0" borderId="6" xfId="44" applyNumberFormat="1" applyFont="1" applyFill="1" applyBorder="1" applyAlignment="1">
      <alignment horizontal="right" wrapText="1"/>
    </xf>
  </cellXfs>
  <cellStyles count="84">
    <cellStyle name="Normal 2" xfId="60"/>
    <cellStyle name="Обычный" xfId="0" builtinId="0"/>
    <cellStyle name="Обычный 10" xfId="5"/>
    <cellStyle name="Обычный 10 10 2" xfId="41"/>
    <cellStyle name="Обычный 10 3 2" xfId="28"/>
    <cellStyle name="Обычный 10 95" xfId="54"/>
    <cellStyle name="Обычный 100 2 2 3 3 2 3" xfId="78"/>
    <cellStyle name="Обычный 107 3 2 2 2 2" xfId="40"/>
    <cellStyle name="Обычный 11" xfId="6"/>
    <cellStyle name="Обычный 12" xfId="7"/>
    <cellStyle name="Обычный 13" xfId="24"/>
    <cellStyle name="Обычный 13 2" xfId="26"/>
    <cellStyle name="Обычный 14" xfId="25"/>
    <cellStyle name="Обычный 14 2" xfId="27"/>
    <cellStyle name="Обычный 15" xfId="48"/>
    <cellStyle name="Обычный 2" xfId="1"/>
    <cellStyle name="Обычный 2 13 11 2 2" xfId="21"/>
    <cellStyle name="Обычный 2 13 2" xfId="36"/>
    <cellStyle name="Обычный 2 19" xfId="3"/>
    <cellStyle name="Обычный 2 2" xfId="2"/>
    <cellStyle name="Обычный 2 2 2" xfId="34"/>
    <cellStyle name="Обычный 2 2 2 2" xfId="63"/>
    <cellStyle name="Обычный 2 2 2 2 2" xfId="20"/>
    <cellStyle name="Обычный 2 3" xfId="8"/>
    <cellStyle name="Обычный 2 3 2" xfId="56"/>
    <cellStyle name="Обычный 2 3 2 3 2" xfId="80"/>
    <cellStyle name="Обычный 2 4" xfId="38"/>
    <cellStyle name="Обычный 2 4 2" xfId="81"/>
    <cellStyle name="Обычный 2 5" xfId="39"/>
    <cellStyle name="Обычный 2 5 2" xfId="61"/>
    <cellStyle name="Обычный 2 6" xfId="43"/>
    <cellStyle name="Обычный 2 7" xfId="49"/>
    <cellStyle name="Обычный 2 8" xfId="57"/>
    <cellStyle name="Обычный 22 2" xfId="46"/>
    <cellStyle name="Обычный 233" xfId="53"/>
    <cellStyle name="Обычный 234 2" xfId="55"/>
    <cellStyle name="Обычный 24" xfId="45"/>
    <cellStyle name="Обычный 3" xfId="9"/>
    <cellStyle name="Обычный 3 13" xfId="10"/>
    <cellStyle name="Обычный 3 2" xfId="11"/>
    <cellStyle name="Обычный 3 2 2" xfId="35"/>
    <cellStyle name="Обычный 3 2 2 2" xfId="33"/>
    <cellStyle name="Обычный 3 2 3" xfId="82"/>
    <cellStyle name="Обычный 3 2 36 2 2" xfId="79"/>
    <cellStyle name="Обычный 3 3" xfId="12"/>
    <cellStyle name="Обычный 3 4" xfId="76"/>
    <cellStyle name="Обычный 3 4 2" xfId="22"/>
    <cellStyle name="Обычный 325 2" xfId="64"/>
    <cellStyle name="Обычный 4" xfId="13"/>
    <cellStyle name="Обычный 4 2 2" xfId="23"/>
    <cellStyle name="Обычный 4 2 2 2" xfId="66"/>
    <cellStyle name="Обычный 4 2 2 3" xfId="70"/>
    <cellStyle name="Обычный 44" xfId="14"/>
    <cellStyle name="Обычный 5" xfId="4"/>
    <cellStyle name="Обычный 5 2" xfId="69"/>
    <cellStyle name="Обычный 5 2 2 2" xfId="77"/>
    <cellStyle name="Обычный 6" xfId="15"/>
    <cellStyle name="Обычный 7" xfId="16"/>
    <cellStyle name="Обычный 8" xfId="17"/>
    <cellStyle name="Обычный 8 2 2" xfId="58"/>
    <cellStyle name="Обычный 8 8 3" xfId="29"/>
    <cellStyle name="Обычный 8 8 3 2" xfId="71"/>
    <cellStyle name="Обычный 9" xfId="18"/>
    <cellStyle name="Обычный 9 2" xfId="19"/>
    <cellStyle name="Обычный 9 2 2" xfId="37"/>
    <cellStyle name="Обычный_1933-Вариант ПМС 2" xfId="74"/>
    <cellStyle name="Обычный_РЕЕСТРЫ-внешний" xfId="51"/>
    <cellStyle name="Обычный_Ф2_Ф3_07_Андропов" xfId="75"/>
    <cellStyle name="Обычный_Ф3" xfId="68"/>
    <cellStyle name="Обычный_Ф-3 и реестр БНТ СМТ-БТС 2 2" xfId="67"/>
    <cellStyle name="Финансовый" xfId="50" builtinId="3"/>
    <cellStyle name="Финансовый 12 2 3" xfId="42"/>
    <cellStyle name="Финансовый 13 2" xfId="44"/>
    <cellStyle name="Финансовый 2" xfId="59"/>
    <cellStyle name="Финансовый 2 2" xfId="47"/>
    <cellStyle name="Финансовый 2 2 2" xfId="62"/>
    <cellStyle name="Финансовый 2 3 2" xfId="31"/>
    <cellStyle name="Финансовый 2 3 2 2" xfId="73"/>
    <cellStyle name="Финансовый 3" xfId="52"/>
    <cellStyle name="Финансовый 3 2" xfId="32"/>
    <cellStyle name="Финансовый 4" xfId="65"/>
    <cellStyle name="Финансовый 4 2" xfId="83"/>
    <cellStyle name="Финансовый 5" xfId="30"/>
    <cellStyle name="Финансовый 5 2" xfId="72"/>
  </cellStyles>
  <dxfs count="0"/>
  <tableStyles count="0" defaultTableStyle="TableStyleMedium9" defaultPivotStyle="PivotStyleLight16"/>
  <colors>
    <mruColors>
      <color rgb="FFBAE18F"/>
      <color rgb="FFD8EEC0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externalLink" Target="externalLinks/externalLink1.xml"/><Relationship Id="rId117" Type="http://schemas.openxmlformats.org/officeDocument/2006/relationships/externalLink" Target="externalLinks/externalLink92.xml"/><Relationship Id="rId21" Type="http://schemas.openxmlformats.org/officeDocument/2006/relationships/worksheet" Target="worksheets/sheet21.xml"/><Relationship Id="rId42" Type="http://schemas.openxmlformats.org/officeDocument/2006/relationships/externalLink" Target="externalLinks/externalLink17.xml"/><Relationship Id="rId47" Type="http://schemas.openxmlformats.org/officeDocument/2006/relationships/externalLink" Target="externalLinks/externalLink22.xml"/><Relationship Id="rId63" Type="http://schemas.openxmlformats.org/officeDocument/2006/relationships/externalLink" Target="externalLinks/externalLink38.xml"/><Relationship Id="rId68" Type="http://schemas.openxmlformats.org/officeDocument/2006/relationships/externalLink" Target="externalLinks/externalLink43.xml"/><Relationship Id="rId84" Type="http://schemas.openxmlformats.org/officeDocument/2006/relationships/externalLink" Target="externalLinks/externalLink59.xml"/><Relationship Id="rId89" Type="http://schemas.openxmlformats.org/officeDocument/2006/relationships/externalLink" Target="externalLinks/externalLink64.xml"/><Relationship Id="rId112" Type="http://schemas.openxmlformats.org/officeDocument/2006/relationships/externalLink" Target="externalLinks/externalLink87.xml"/><Relationship Id="rId133" Type="http://schemas.openxmlformats.org/officeDocument/2006/relationships/calcChain" Target="calcChain.xml"/><Relationship Id="rId16" Type="http://schemas.openxmlformats.org/officeDocument/2006/relationships/worksheet" Target="worksheets/sheet16.xml"/><Relationship Id="rId107" Type="http://schemas.openxmlformats.org/officeDocument/2006/relationships/externalLink" Target="externalLinks/externalLink82.xml"/><Relationship Id="rId11" Type="http://schemas.openxmlformats.org/officeDocument/2006/relationships/worksheet" Target="worksheets/sheet11.xml"/><Relationship Id="rId32" Type="http://schemas.openxmlformats.org/officeDocument/2006/relationships/externalLink" Target="externalLinks/externalLink7.xml"/><Relationship Id="rId37" Type="http://schemas.openxmlformats.org/officeDocument/2006/relationships/externalLink" Target="externalLinks/externalLink12.xml"/><Relationship Id="rId53" Type="http://schemas.openxmlformats.org/officeDocument/2006/relationships/externalLink" Target="externalLinks/externalLink28.xml"/><Relationship Id="rId58" Type="http://schemas.openxmlformats.org/officeDocument/2006/relationships/externalLink" Target="externalLinks/externalLink33.xml"/><Relationship Id="rId74" Type="http://schemas.openxmlformats.org/officeDocument/2006/relationships/externalLink" Target="externalLinks/externalLink49.xml"/><Relationship Id="rId79" Type="http://schemas.openxmlformats.org/officeDocument/2006/relationships/externalLink" Target="externalLinks/externalLink54.xml"/><Relationship Id="rId102" Type="http://schemas.openxmlformats.org/officeDocument/2006/relationships/externalLink" Target="externalLinks/externalLink77.xml"/><Relationship Id="rId123" Type="http://schemas.openxmlformats.org/officeDocument/2006/relationships/externalLink" Target="externalLinks/externalLink98.xml"/><Relationship Id="rId128" Type="http://schemas.openxmlformats.org/officeDocument/2006/relationships/externalLink" Target="externalLinks/externalLink103.xml"/><Relationship Id="rId5" Type="http://schemas.openxmlformats.org/officeDocument/2006/relationships/worksheet" Target="worksheets/sheet5.xml"/><Relationship Id="rId90" Type="http://schemas.openxmlformats.org/officeDocument/2006/relationships/externalLink" Target="externalLinks/externalLink65.xml"/><Relationship Id="rId95" Type="http://schemas.openxmlformats.org/officeDocument/2006/relationships/externalLink" Target="externalLinks/externalLink70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2.xml"/><Relationship Id="rId30" Type="http://schemas.openxmlformats.org/officeDocument/2006/relationships/externalLink" Target="externalLinks/externalLink5.xml"/><Relationship Id="rId35" Type="http://schemas.openxmlformats.org/officeDocument/2006/relationships/externalLink" Target="externalLinks/externalLink10.xml"/><Relationship Id="rId43" Type="http://schemas.openxmlformats.org/officeDocument/2006/relationships/externalLink" Target="externalLinks/externalLink18.xml"/><Relationship Id="rId48" Type="http://schemas.openxmlformats.org/officeDocument/2006/relationships/externalLink" Target="externalLinks/externalLink23.xml"/><Relationship Id="rId56" Type="http://schemas.openxmlformats.org/officeDocument/2006/relationships/externalLink" Target="externalLinks/externalLink31.xml"/><Relationship Id="rId64" Type="http://schemas.openxmlformats.org/officeDocument/2006/relationships/externalLink" Target="externalLinks/externalLink39.xml"/><Relationship Id="rId69" Type="http://schemas.openxmlformats.org/officeDocument/2006/relationships/externalLink" Target="externalLinks/externalLink44.xml"/><Relationship Id="rId77" Type="http://schemas.openxmlformats.org/officeDocument/2006/relationships/externalLink" Target="externalLinks/externalLink52.xml"/><Relationship Id="rId100" Type="http://schemas.openxmlformats.org/officeDocument/2006/relationships/externalLink" Target="externalLinks/externalLink75.xml"/><Relationship Id="rId105" Type="http://schemas.openxmlformats.org/officeDocument/2006/relationships/externalLink" Target="externalLinks/externalLink80.xml"/><Relationship Id="rId113" Type="http://schemas.openxmlformats.org/officeDocument/2006/relationships/externalLink" Target="externalLinks/externalLink88.xml"/><Relationship Id="rId118" Type="http://schemas.openxmlformats.org/officeDocument/2006/relationships/externalLink" Target="externalLinks/externalLink93.xml"/><Relationship Id="rId126" Type="http://schemas.openxmlformats.org/officeDocument/2006/relationships/externalLink" Target="externalLinks/externalLink101.xml"/><Relationship Id="rId8" Type="http://schemas.openxmlformats.org/officeDocument/2006/relationships/worksheet" Target="worksheets/sheet8.xml"/><Relationship Id="rId51" Type="http://schemas.openxmlformats.org/officeDocument/2006/relationships/externalLink" Target="externalLinks/externalLink26.xml"/><Relationship Id="rId72" Type="http://schemas.openxmlformats.org/officeDocument/2006/relationships/externalLink" Target="externalLinks/externalLink47.xml"/><Relationship Id="rId80" Type="http://schemas.openxmlformats.org/officeDocument/2006/relationships/externalLink" Target="externalLinks/externalLink55.xml"/><Relationship Id="rId85" Type="http://schemas.openxmlformats.org/officeDocument/2006/relationships/externalLink" Target="externalLinks/externalLink60.xml"/><Relationship Id="rId93" Type="http://schemas.openxmlformats.org/officeDocument/2006/relationships/externalLink" Target="externalLinks/externalLink68.xml"/><Relationship Id="rId98" Type="http://schemas.openxmlformats.org/officeDocument/2006/relationships/externalLink" Target="externalLinks/externalLink73.xml"/><Relationship Id="rId121" Type="http://schemas.openxmlformats.org/officeDocument/2006/relationships/externalLink" Target="externalLinks/externalLink96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8.xml"/><Relationship Id="rId38" Type="http://schemas.openxmlformats.org/officeDocument/2006/relationships/externalLink" Target="externalLinks/externalLink13.xml"/><Relationship Id="rId46" Type="http://schemas.openxmlformats.org/officeDocument/2006/relationships/externalLink" Target="externalLinks/externalLink21.xml"/><Relationship Id="rId59" Type="http://schemas.openxmlformats.org/officeDocument/2006/relationships/externalLink" Target="externalLinks/externalLink34.xml"/><Relationship Id="rId67" Type="http://schemas.openxmlformats.org/officeDocument/2006/relationships/externalLink" Target="externalLinks/externalLink42.xml"/><Relationship Id="rId103" Type="http://schemas.openxmlformats.org/officeDocument/2006/relationships/externalLink" Target="externalLinks/externalLink78.xml"/><Relationship Id="rId108" Type="http://schemas.openxmlformats.org/officeDocument/2006/relationships/externalLink" Target="externalLinks/externalLink83.xml"/><Relationship Id="rId116" Type="http://schemas.openxmlformats.org/officeDocument/2006/relationships/externalLink" Target="externalLinks/externalLink91.xml"/><Relationship Id="rId124" Type="http://schemas.openxmlformats.org/officeDocument/2006/relationships/externalLink" Target="externalLinks/externalLink99.xml"/><Relationship Id="rId129" Type="http://schemas.openxmlformats.org/officeDocument/2006/relationships/externalLink" Target="externalLinks/externalLink104.xml"/><Relationship Id="rId20" Type="http://schemas.openxmlformats.org/officeDocument/2006/relationships/worksheet" Target="worksheets/sheet20.xml"/><Relationship Id="rId41" Type="http://schemas.openxmlformats.org/officeDocument/2006/relationships/externalLink" Target="externalLinks/externalLink16.xml"/><Relationship Id="rId54" Type="http://schemas.openxmlformats.org/officeDocument/2006/relationships/externalLink" Target="externalLinks/externalLink29.xml"/><Relationship Id="rId62" Type="http://schemas.openxmlformats.org/officeDocument/2006/relationships/externalLink" Target="externalLinks/externalLink37.xml"/><Relationship Id="rId70" Type="http://schemas.openxmlformats.org/officeDocument/2006/relationships/externalLink" Target="externalLinks/externalLink45.xml"/><Relationship Id="rId75" Type="http://schemas.openxmlformats.org/officeDocument/2006/relationships/externalLink" Target="externalLinks/externalLink50.xml"/><Relationship Id="rId83" Type="http://schemas.openxmlformats.org/officeDocument/2006/relationships/externalLink" Target="externalLinks/externalLink58.xml"/><Relationship Id="rId88" Type="http://schemas.openxmlformats.org/officeDocument/2006/relationships/externalLink" Target="externalLinks/externalLink63.xml"/><Relationship Id="rId91" Type="http://schemas.openxmlformats.org/officeDocument/2006/relationships/externalLink" Target="externalLinks/externalLink66.xml"/><Relationship Id="rId96" Type="http://schemas.openxmlformats.org/officeDocument/2006/relationships/externalLink" Target="externalLinks/externalLink71.xml"/><Relationship Id="rId111" Type="http://schemas.openxmlformats.org/officeDocument/2006/relationships/externalLink" Target="externalLinks/externalLink86.xml"/><Relationship Id="rId132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3.xml"/><Relationship Id="rId36" Type="http://schemas.openxmlformats.org/officeDocument/2006/relationships/externalLink" Target="externalLinks/externalLink11.xml"/><Relationship Id="rId49" Type="http://schemas.openxmlformats.org/officeDocument/2006/relationships/externalLink" Target="externalLinks/externalLink24.xml"/><Relationship Id="rId57" Type="http://schemas.openxmlformats.org/officeDocument/2006/relationships/externalLink" Target="externalLinks/externalLink32.xml"/><Relationship Id="rId106" Type="http://schemas.openxmlformats.org/officeDocument/2006/relationships/externalLink" Target="externalLinks/externalLink81.xml"/><Relationship Id="rId114" Type="http://schemas.openxmlformats.org/officeDocument/2006/relationships/externalLink" Target="externalLinks/externalLink89.xml"/><Relationship Id="rId119" Type="http://schemas.openxmlformats.org/officeDocument/2006/relationships/externalLink" Target="externalLinks/externalLink94.xml"/><Relationship Id="rId127" Type="http://schemas.openxmlformats.org/officeDocument/2006/relationships/externalLink" Target="externalLinks/externalLink102.xml"/><Relationship Id="rId10" Type="http://schemas.openxmlformats.org/officeDocument/2006/relationships/worksheet" Target="worksheets/sheet10.xml"/><Relationship Id="rId31" Type="http://schemas.openxmlformats.org/officeDocument/2006/relationships/externalLink" Target="externalLinks/externalLink6.xml"/><Relationship Id="rId44" Type="http://schemas.openxmlformats.org/officeDocument/2006/relationships/externalLink" Target="externalLinks/externalLink19.xml"/><Relationship Id="rId52" Type="http://schemas.openxmlformats.org/officeDocument/2006/relationships/externalLink" Target="externalLinks/externalLink27.xml"/><Relationship Id="rId60" Type="http://schemas.openxmlformats.org/officeDocument/2006/relationships/externalLink" Target="externalLinks/externalLink35.xml"/><Relationship Id="rId65" Type="http://schemas.openxmlformats.org/officeDocument/2006/relationships/externalLink" Target="externalLinks/externalLink40.xml"/><Relationship Id="rId73" Type="http://schemas.openxmlformats.org/officeDocument/2006/relationships/externalLink" Target="externalLinks/externalLink48.xml"/><Relationship Id="rId78" Type="http://schemas.openxmlformats.org/officeDocument/2006/relationships/externalLink" Target="externalLinks/externalLink53.xml"/><Relationship Id="rId81" Type="http://schemas.openxmlformats.org/officeDocument/2006/relationships/externalLink" Target="externalLinks/externalLink56.xml"/><Relationship Id="rId86" Type="http://schemas.openxmlformats.org/officeDocument/2006/relationships/externalLink" Target="externalLinks/externalLink61.xml"/><Relationship Id="rId94" Type="http://schemas.openxmlformats.org/officeDocument/2006/relationships/externalLink" Target="externalLinks/externalLink69.xml"/><Relationship Id="rId99" Type="http://schemas.openxmlformats.org/officeDocument/2006/relationships/externalLink" Target="externalLinks/externalLink74.xml"/><Relationship Id="rId101" Type="http://schemas.openxmlformats.org/officeDocument/2006/relationships/externalLink" Target="externalLinks/externalLink76.xml"/><Relationship Id="rId122" Type="http://schemas.openxmlformats.org/officeDocument/2006/relationships/externalLink" Target="externalLinks/externalLink97.xml"/><Relationship Id="rId13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externalLink" Target="externalLinks/externalLink14.xml"/><Relationship Id="rId109" Type="http://schemas.openxmlformats.org/officeDocument/2006/relationships/externalLink" Target="externalLinks/externalLink84.xml"/><Relationship Id="rId34" Type="http://schemas.openxmlformats.org/officeDocument/2006/relationships/externalLink" Target="externalLinks/externalLink9.xml"/><Relationship Id="rId50" Type="http://schemas.openxmlformats.org/officeDocument/2006/relationships/externalLink" Target="externalLinks/externalLink25.xml"/><Relationship Id="rId55" Type="http://schemas.openxmlformats.org/officeDocument/2006/relationships/externalLink" Target="externalLinks/externalLink30.xml"/><Relationship Id="rId76" Type="http://schemas.openxmlformats.org/officeDocument/2006/relationships/externalLink" Target="externalLinks/externalLink51.xml"/><Relationship Id="rId97" Type="http://schemas.openxmlformats.org/officeDocument/2006/relationships/externalLink" Target="externalLinks/externalLink72.xml"/><Relationship Id="rId104" Type="http://schemas.openxmlformats.org/officeDocument/2006/relationships/externalLink" Target="externalLinks/externalLink79.xml"/><Relationship Id="rId120" Type="http://schemas.openxmlformats.org/officeDocument/2006/relationships/externalLink" Target="externalLinks/externalLink95.xml"/><Relationship Id="rId125" Type="http://schemas.openxmlformats.org/officeDocument/2006/relationships/externalLink" Target="externalLinks/externalLink100.xml"/><Relationship Id="rId7" Type="http://schemas.openxmlformats.org/officeDocument/2006/relationships/worksheet" Target="worksheets/sheet7.xml"/><Relationship Id="rId71" Type="http://schemas.openxmlformats.org/officeDocument/2006/relationships/externalLink" Target="externalLinks/externalLink46.xml"/><Relationship Id="rId92" Type="http://schemas.openxmlformats.org/officeDocument/2006/relationships/externalLink" Target="externalLinks/externalLink67.xml"/><Relationship Id="rId2" Type="http://schemas.openxmlformats.org/officeDocument/2006/relationships/worksheet" Target="worksheets/sheet2.xml"/><Relationship Id="rId29" Type="http://schemas.openxmlformats.org/officeDocument/2006/relationships/externalLink" Target="externalLinks/externalLink4.xml"/><Relationship Id="rId24" Type="http://schemas.openxmlformats.org/officeDocument/2006/relationships/worksheet" Target="worksheets/sheet24.xml"/><Relationship Id="rId40" Type="http://schemas.openxmlformats.org/officeDocument/2006/relationships/externalLink" Target="externalLinks/externalLink15.xml"/><Relationship Id="rId45" Type="http://schemas.openxmlformats.org/officeDocument/2006/relationships/externalLink" Target="externalLinks/externalLink20.xml"/><Relationship Id="rId66" Type="http://schemas.openxmlformats.org/officeDocument/2006/relationships/externalLink" Target="externalLinks/externalLink41.xml"/><Relationship Id="rId87" Type="http://schemas.openxmlformats.org/officeDocument/2006/relationships/externalLink" Target="externalLinks/externalLink62.xml"/><Relationship Id="rId110" Type="http://schemas.openxmlformats.org/officeDocument/2006/relationships/externalLink" Target="externalLinks/externalLink85.xml"/><Relationship Id="rId115" Type="http://schemas.openxmlformats.org/officeDocument/2006/relationships/externalLink" Target="externalLinks/externalLink90.xml"/><Relationship Id="rId131" Type="http://schemas.openxmlformats.org/officeDocument/2006/relationships/styles" Target="styles.xml"/><Relationship Id="rId61" Type="http://schemas.openxmlformats.org/officeDocument/2006/relationships/externalLink" Target="externalLinks/externalLink36.xml"/><Relationship Id="rId82" Type="http://schemas.openxmlformats.org/officeDocument/2006/relationships/externalLink" Target="externalLinks/externalLink57.xml"/><Relationship Id="rId19" Type="http://schemas.openxmlformats.org/officeDocument/2006/relationships/worksheet" Target="worksheets/sheet19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6-file-server\&#1087;&#1088;&#1086;\&#1054;&#1041;&#1066;&#1045;&#1050;&#1058;&#1067;\281%20&#1082;&#1084;%20&#1051;&#1080;&#1093;&#1072;&#1103;\2007\281%20&#1082;&#1084;%20-%20&#1057;&#1077;&#1085;&#1090;&#1103;&#1073;&#1088;&#1100;,%202007%20&#1075;%20&#1073;&#1077;&#1079;%20&#1072;&#1088;&#1077;&#1085;&#1076;&#1099;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28\c\&#1052;&#1086;&#1080;%20&#1076;&#1086;&#1082;&#1091;&#1084;&#1077;&#1085;&#1090;&#1099;\&#1057;&#1084;&#1077;&#1090;&#1099;\&#1057;&#1084;&#1077;&#1090;&#1099;2\Smeta%202001\SM117&#1072;.xls" TargetMode="External"/></Relationships>
</file>

<file path=xl/externalLinks/_rels/externalLink10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&#1052;&#1048;&#1055;-&#1057;&#1090;&#1088;&#1086;&#1081;%20&#8470;1\&#1057;&#1052;&#1045;&#1058;&#1053;&#1067;&#1049;%20&#1054;&#1058;&#1044;&#1045;&#1051;\&#1057;&#1091;&#1083;&#1080;&#1084;&#1072;\8%20&#1070;&#1047;%20&#1058;&#1055;&#1050;%20262-0619\&#1042;&#1099;&#1087;&#1086;&#1083;&#1085;&#1077;&#1085;&#1080;&#1077;\2020\11%20&#1044;&#1077;&#1082;&#1072;&#1073;&#1088;&#1100;\&#1050;&#1057;-3%20&#8470;16\&#1088;.16.8,%2048875-&#1058;&#1055;&#1050;-5-0707-&#1056;-&#1057;&#1057;&#1056;2-&#1080;&#1079;&#1084;.1.%20-%20&#8470;16.8,%20&#1054;&#1054;&#1054;%20&#1057;&#1052;202,%20&#1044;&#1077;&#1082;&#1072;&#1073;&#1088;&#1100;,%202020%20&#1075;..xlsx" TargetMode="External"/></Relationships>
</file>

<file path=xl/externalLinks/_rels/externalLink10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&#1052;&#1048;&#1055;-&#1057;&#1090;&#1088;&#1086;&#1081;%20&#8470;1\&#1057;&#1052;&#1045;&#1058;&#1053;&#1067;&#1049;%20&#1054;&#1058;&#1044;&#1045;&#1051;\&#1057;&#1091;&#1083;&#1080;&#1084;&#1072;\8%20&#1070;&#1047;%20&#1058;&#1055;&#1050;%20262-0619\&#1042;&#1099;&#1087;&#1086;&#1083;&#1085;&#1077;&#1085;&#1080;&#1077;\2020\11%20&#1044;&#1077;&#1082;&#1072;&#1073;&#1088;&#1100;\&#1050;&#1057;-3%20&#8470;16\&#1088;.16.9,%2012-4017-&#1051;-&#1056;-11.4.3.1-&#1054;&#1042;1.1-&#1057;&#1052;1%20-%2016.9,%20&#1054;&#1054;&#1054;%20&#1057;&#1052;2002,%20&#1044;&#1077;&#1082;&#1072;&#1073;&#1088;&#1100;,%202020%20&#1075;..xlsx" TargetMode="External"/></Relationships>
</file>

<file path=xl/externalLinks/_rels/externalLink10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&#1052;&#1048;&#1055;-&#1057;&#1090;&#1088;&#1086;&#1081;%20&#8470;1\&#1057;&#1052;&#1045;&#1058;&#1053;&#1067;&#1049;%20&#1054;&#1058;&#1044;&#1045;&#1051;\&#1057;&#1091;&#1083;&#1080;&#1084;&#1072;\8%20&#1070;&#1047;%20&#1058;&#1055;&#1050;%20262-0619\&#1042;&#1099;&#1087;&#1086;&#1083;&#1085;&#1077;&#1085;&#1080;&#1077;\2020\11%20&#1044;&#1077;&#1082;&#1072;&#1073;&#1088;&#1100;\&#1050;&#1057;-3%20&#8470;16\&#1088;.16.10,%2048875-&#1058;&#1055;&#1050;-5-0707-&#1056;-&#1057;&#1057;&#1056;2-&#1080;&#1079;&#1084;.1.%20-%2016.10,%20&#1054;&#1054;&#1054;%20&#1057;&#1052;2002,%20&#1044;&#1077;&#1082;&#1072;&#1073;&#1088;&#1100;,%202020%20&#1075;..xlsx" TargetMode="External"/></Relationships>
</file>

<file path=xl/externalLinks/_rels/externalLink10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&#1052;&#1048;&#1055;-&#1057;&#1090;&#1088;&#1086;&#1081;%20&#8470;1\&#1057;&#1052;&#1045;&#1058;&#1053;&#1067;&#1049;%20&#1054;&#1058;&#1044;&#1045;&#1051;\&#1057;&#1091;&#1083;&#1080;&#1084;&#1072;\8%20&#1070;&#1047;%20&#1058;&#1055;&#1050;%20262-0619\&#1042;&#1099;&#1087;&#1086;&#1083;&#1085;&#1077;&#1085;&#1080;&#1077;\2020\11%20&#1044;&#1077;&#1082;&#1072;&#1073;&#1088;&#1100;\&#1050;&#1057;-3%20&#8470;17.1%20(&#1057;&#1052;2002+&#1059;&#1057;&#1052;)\&#1088;.17.52%2048809-&#1058;&#1055;&#1050;_5-0673-&#1056;-&#1057;&#1057;&#1056;2-&#1080;&#1079;&#1084;%201.%20-%20&#1054;&#1054;&#1054;%20_&#1057;&#1058;&#1056;&#1054;&#1049;-&#1052;&#1054;&#1053;&#1058;&#1040;&#1046;%202002_,%20&#1044;&#1077;&#1082;&#1072;&#1073;&#1088;&#1100;,%202020%20&#1075;..xlsx" TargetMode="External"/></Relationships>
</file>

<file path=xl/externalLinks/_rels/externalLink104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55;&#1069;&#1054;/&#1057;&#1052;&#1045;&#1058;&#1053;&#1067;&#1049;%20&#1054;&#1058;&#1044;&#1045;&#1051;/&#1042;&#1067;&#1055;&#1054;&#1051;&#1053;&#1045;&#1053;&#1048;&#1045;%20&#1057;&#1052;&#1056;/4-%20%202020%20&#1075;&#1086;&#1076;/40%20&#1048;&#1102;&#1085;&#1100;%202020%20&#1075;/5-5%20&#1057;&#1052;2002-&#1052;&#1048;&#1055;1/779/NEW%20&#1050;&#1057;-2%20&#1050;&#1057;-3%20&#8470;1_6%20(&#1089;-&#1087;%20&#1048;&#1102;&#1085;&#1100;%20779)%20(&#1091;&#1090;&#1074;.)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98_3\c\&#1052;&#1086;&#1080;%20&#1076;&#1086;&#1082;&#1091;&#1084;&#1077;&#1085;&#1090;&#1099;\&#1057;&#1084;&#1077;&#1090;&#1099;\&#1057;&#1084;&#1077;&#1090;&#1099;2\SMETA\SM130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28\c\&#1052;&#1086;&#1080;%20&#1076;&#1086;&#1082;&#1091;&#1084;&#1077;&#1085;&#1090;&#1099;\&#1057;&#1084;&#1077;&#1090;&#1099;\216%20&#1052;&#1086;&#1089;&#1090;%20&#1074;%20&#1089;.%20&#1065;&#1091;&#1095;&#1100;&#1077;%20&#1082;&#1084;%202+400%20(&#1042;&#1086;&#1088;.%20&#1086;&#1073;&#1083;.)\&#1041;&#1072;&#1079;&#1072;%2091&#1065;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28\c\&#1052;&#1086;&#1080;%20&#1076;&#1086;&#1082;&#1091;&#1084;&#1077;&#1085;&#1090;&#1099;\&#1057;&#1084;&#1077;&#1090;&#1099;\208%20&#1052;&#1086;&#1089;&#1090;%20&#1050;&#1088;&#1072;&#1089;&#1085;&#1072;&#1103;%20&#1082;&#1084;%20567%20(&#1042;&#1086;&#1088;.&#1086;&#1073;&#1083;.)\&#1041;&#1072;&#1079;&#1072;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28\c\&#1052;&#1086;&#1080;%20&#1076;&#1086;&#1082;&#1091;&#1084;&#1077;&#1085;&#1090;&#1099;\&#1057;&#1084;&#1077;&#1090;&#1099;\181%20%20&#1056;&#1077;&#1084;&#1086;&#1085;&#1090;%2046&#1050;&#1052;(&#1082;&#1072;&#1090;&#1072;&#1083;&#1086;&#1075;%20&#1052;.&#1086;&#1073;&#1083;.)\SM110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6-file-server\&#1087;&#1088;&#1086;\Users\&#1050;&#1080;&#1095;&#1080;&#1075;&#1080;&#1085;&#1072;&#1045;\&#1052;&#1086;&#1080;%20&#1076;&#1086;&#1082;&#1091;&#1084;&#1077;&#1085;&#1090;&#1099;\&#1057;&#1084;&#1077;&#1090;&#1099;\273%20&#1057;&#1086;&#1076;.&#1084;&#1086;&#1089;&#1090;%20&#1088;.&#1057;.&#1044;&#1086;&#1085;&#1077;&#1094;\SM116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meta2\d\&#1057;&#1084;&#1077;&#1090;&#1099;2\SMETA\SM145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28\c\&#1052;&#1086;&#1080;%20&#1076;&#1086;&#1082;&#1091;&#1084;&#1077;&#1085;&#1090;&#1099;\&#1057;&#1084;&#1077;&#1090;&#1099;\&#1057;&#1084;&#1077;&#1090;&#1099;2\Smeta%202001\SM97%20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28\c\&#1052;&#1086;&#1080;%20&#1076;&#1086;&#1082;&#1091;&#1084;&#1077;&#1085;&#1090;&#1099;\&#1057;&#1084;&#1077;&#1090;&#1099;\200&#1056;&#1052;%20&#1052;&#1086;&#1089;&#1090;%20&#1055;&#1086;&#1075;&#1072;&#1088;&#1097;&#1080;&#1085;&#1072;%20&#1082;&#1084;%2037+146\&#1041;&#1072;&#1079;&#1072;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28\c\&#1052;&#1086;&#1080;%20&#1076;&#1086;&#1082;&#1091;&#1084;&#1077;&#1085;&#1090;&#1099;\&#1057;&#1084;&#1077;&#1090;&#1099;\&#1057;&#1084;&#1077;&#1090;&#1099;2\Smeta%202001\SM66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-02\users\&#1055;&#1069;&#1054;\&#1055;&#1088;&#1086;&#1095;&#1080;&#1077;%20&#1057;&#1058;&#1056;&#1054;&#1049;-&#1058;&#1056;&#1045;&#1057;&#1058;\&#1055;&#1088;&#1086;&#1095;&#1080;&#1077;%202011\&#1050;&#1057;-2%20&#1053;&#1054;&#1071;&#1041;&#1056;&#1068;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28\c\&#1052;&#1086;&#1080;%20&#1076;&#1086;&#1082;&#1091;&#1084;&#1077;&#1085;&#1090;&#1099;\&#1057;&#1084;&#1077;&#1090;&#1099;\208%20&#1052;&#1086;&#1089;&#1090;%20&#1050;&#1088;&#1072;&#1089;&#1085;&#1072;&#1103;%20&#1082;&#1084;%20567%20(&#1042;&#1086;&#1088;.&#1086;&#1073;&#1083;.)\&#1041;&#1072;&#1079;&#1072;%2091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SM68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meta2\d\EXCEL\SMETA\SM74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meta2\d\&#1057;&#1084;&#1077;&#1090;&#1099;2\SMETA\SM90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SM448&#1058;O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28\c\&#1052;&#1086;&#1080;%20&#1076;&#1086;&#1082;&#1091;&#1084;&#1077;&#1085;&#1090;&#1099;\&#1057;&#1084;&#1077;&#1090;&#1099;\188%20&#1052;&#1086;&#1089;&#1090;%20&#1058;&#1091;&#1088;&#1076;&#1077;&#1081;%20&#1082;&#1084;%20284&#1082;&#1084;%20(&#1058;&#1091;&#1083;.&#1086;&#1073;&#1083;.)\&#1073;&#1072;&#1079;84%20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SM59B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6-file-server\&#1087;&#1088;&#1086;\&#1052;&#1086;&#1080;%20&#1076;&#1086;&#1082;&#1091;&#1084;&#1077;&#1085;&#1090;&#1099;\&#1057;&#1084;&#1077;&#1090;&#1099;\222%20&#1052;&#1086;&#1089;&#1090;%20&#1063;&#1077;&#1088;&#1085;&#1072;&#1103;%20&#1050;&#1072;&#1083;&#1080;&#1090;&#1074;&#1072;%20&#1082;&#1084;%20209+780%20(&#1042;&#1086;&#1088;.&#1086;&#1073;&#1083;.)\1984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28\c\&#1052;&#1086;&#1080;%20&#1076;&#1086;&#1082;&#1091;&#1084;&#1077;&#1085;&#1090;&#1099;\&#1057;&#1084;&#1077;&#1090;&#1099;\205%20&#1052;&#1086;&#1089;&#1090;%20&#1055;&#1090;&#1072;&#1085;&#1100;%20&#1082;&#1084;%20123+100%20(&#1051;&#1080;&#1087;.&#1086;&#1073;&#1083;.)\&#1073;&#1072;&#1079;.91&#1072;&#1073;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28\c\&#1052;&#1086;&#1080;%20&#1076;&#1086;&#1082;&#1091;&#1084;&#1077;&#1085;&#1090;&#1099;\&#1057;&#1084;&#1077;&#1090;&#1099;\212%20&#1052;&#1086;&#1089;&#1090;%20&#1041;&#1077;&#1088;&#1077;&#1079;&#1086;&#1074;&#1082;&#1072;%20(&#1051;&#1080;&#1087;&#1077;&#1094;&#1082;&#1072;&#1103;%20&#1086;&#1073;&#1083;.)\&#1073;&#1072;&#1079;.91&#1041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ANDREEA%20CHITU\Bible%20prix\BASE%20DE%20DONNEES%20PRIX%20ANDREEA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28\c\&#1052;&#1086;&#1080;%20&#1076;&#1086;&#1082;&#1091;&#1084;&#1077;&#1085;&#1090;&#1099;\&#1057;&#1084;&#1077;&#1090;&#1099;\187%20&#1052;&#1086;&#1089;&#1090;%20&#1042;&#1086;&#1088;&#1086;&#1085;&#1077;&#1078;%20302+725%20(&#1051;&#1080;&#1087;.&#1086;&#1073;&#1083;.)\&#1073;&#1072;&#1079;.91&#1057;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SM750A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28\c\&#1052;&#1086;&#1080;%20&#1076;&#1086;&#1082;&#1091;&#1084;&#1077;&#1085;&#1090;&#1099;\&#1057;&#1084;&#1077;&#1090;&#1099;\181%20%20&#1056;&#1077;&#1084;&#1086;&#1085;&#1090;%2046&#1050;&#1052;(&#1082;&#1072;&#1090;&#1072;&#1083;&#1086;&#1075;%20&#1052;.&#1086;&#1073;&#1083;.)\SM130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28\c\&#1052;&#1086;&#1080;%20&#1076;&#1086;&#1082;&#1091;&#1084;&#1077;&#1085;&#1090;&#1099;\&#1057;&#1084;&#1077;&#1090;&#1099;\205%20&#1052;&#1086;&#1089;&#1090;%20&#1055;&#1090;&#1072;&#1085;&#1100;%20&#1082;&#1084;%20123+100%20(&#1051;&#1080;&#1087;.&#1086;&#1073;&#1083;.)\&#1058;&#1077;&#1082;&#1091;&#1097;.&#1076;&#1077;&#1082;&#1072;&#1073;&#1088;&#1100;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6-file-server\&#1087;&#1088;&#1086;\&#1057;&#1084;&#1077;&#1090;&#1099;\&#1057;&#1084;&#1077;&#1090;&#1099;%20&#1074;%20Excel\&#1040;&#1085;&#1076;&#1088;&#1077;&#1077;&#1074;%20&#1053;.&#1041;\300%20&#1082;&#1084;%20&#1055;&#1050;1%20&#1091;&#1095;-&#1082;&#1072;%20&#1041;&#1072;&#1083;&#1072;&#1096;&#1086;&#1074;-&#1048;&#1083;&#1100;&#1084;&#1077;&#1085;&#1100;%20(&#1042;&#1086;&#1083;&#1075;&#1086;&#1075;&#1088;&#1072;&#1076;&#1089;&#1082;&#1072;&#1103;%20&#1086;&#1073;&#1083;.)\&#1056;&#1072;&#1089;&#1095;&#1077;&#1090;&#1099;1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meta2\d\&#1057;&#1084;&#1077;&#1090;&#1099;%201\130-&#1084;.&#1087;.&#1054;&#1089;&#1082;&#1086;&#1083;%20-%20&#1072;.&#1076;.&#1063;&#1077;&#1088;&#1085;&#1103;&#1085;&#1082;&#1072;\&#1092;&#1086;&#1088;&#1084;&#1072;%203&#1084;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eretennikova_s\&#1089;&#1077;&#1090;&#1100;\Documents%20and%20Settings\&#1055;&#1088;&#1086;&#1080;&#1079;&#1074;&#1086;&#1076;&#1089;&#1090;.-&#1090;&#1077;&#1093;.%20&#1086;&#1090;&#1076;\&#1052;&#1086;&#1080;%20&#1076;&#1086;&#1082;&#1091;&#1084;&#1077;&#1085;&#1090;&#1099;\&#1042;&#1099;&#1087;&#1086;&#1083;&#1085;&#1077;&#1085;&#1080;&#1077;\2004%20&#1075;&#1086;&#1076;\&#1054;&#1082;&#1090;&#1103;&#1073;&#1088;&#1100;%202004%20&#1075;\&#1054;&#1082;&#1090;&#1103;&#1073;&#1088;&#1100;1\&#1050;&#1091;&#1081;&#1073;&#1099;&#1096;&#1077;&#1074;&#1089;&#1082;&#1072;&#1103;%20&#1078;&#1076;\2004%20&#1075;&#1086;&#1076;\&#1054;&#1082;&#1090;&#1103;&#1073;&#1088;&#1100;%202004%20&#1075;\561-562%20&#1082;&#1084;%20-2001%20&#1075;.%20-%20&#1057;&#1077;&#1085;&#1090;&#1103;&#1073;&#1088;&#1100;,%202004%20&#1075;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630ED5A1\1741-1742%20&#1050;&#1073;&#1096;.&#1078;.&#1076;.%20-%20&#1057;&#1077;&#1085;&#1090;&#1103;&#1073;&#1088;&#1100;,%202004%20&#1075;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eretennikova_s\&#1089;&#1077;&#1090;&#1100;\Documents%20and%20Settings\&#1055;&#1088;&#1086;&#1080;&#1079;&#1074;&#1086;&#1076;&#1089;&#1090;.-&#1090;&#1077;&#1093;.%20&#1086;&#1090;&#1076;\&#1052;&#1086;&#1080;%20&#1076;&#1086;&#1082;&#1091;&#1084;&#1077;&#1085;&#1090;&#1099;\&#1042;&#1099;&#1087;&#1086;&#1083;&#1085;&#1077;&#1085;&#1080;&#1077;\2004%20&#1075;&#1086;&#1076;\&#1054;&#1082;&#1090;&#1103;&#1073;&#1088;&#1100;%202004%20&#1075;\&#1054;&#1082;&#1090;&#1103;&#1073;&#1088;&#1100;1\&#1050;&#1091;&#1081;&#1073;&#1099;&#1096;&#1077;&#1074;&#1089;&#1082;&#1072;&#1103;%20&#1078;&#1076;\2004%20&#1075;&#1086;&#1076;\&#1054;&#1082;&#1090;&#1103;&#1073;&#1088;&#1100;%202004%20&#1075;\2004%20&#1075;&#1086;&#1076;\&#1057;&#1077;&#1085;&#1090;&#1103;&#1073;&#1088;&#1100;\1741-1742%20&#1050;&#1073;&#1096;.&#1078;.&#1076;.%20-%20&#1057;&#1077;&#1085;&#1090;&#1103;&#1073;&#1088;&#1100;,%202004%20&#1075;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meta2\d\&#1057;&#1084;&#1077;&#1090;&#1099;2\SMETA\SM14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udit-server\sp$\Documents%20and%20Settings\&#1045;&#1083;&#1077;&#1085;&#1072;\&#1056;&#1072;&#1073;&#1086;&#1095;&#1080;&#1081;%20&#1089;&#1090;&#1086;&#1083;\&#1042;&#1067;&#1055;&#1054;&#1051;&#1053;&#1045;&#1053;&#1048;&#1045;%20&#1053;&#1054;&#1071;&#1041;&#1056;&#1068;\&#1050;&#1057;-2%20&#1086;&#1082;&#1090;&#1103;&#1073;&#1088;&#1100;_&#1085;&#1086;&#1103;&#1073;&#1088;&#1100;_EXEL\&#1089;&#1074;&#1086;&#1076;&#1085;&#1099;&#1081;%20&#1050;&#1057;-2_&#1086;&#1082;&#1090;&#1103;&#1073;&#1088;&#1100;_&#1085;&#1086;&#1103;&#1073;&#1088;&#1100;_2&#1080;&#1089;&#1087;&#1088;.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meta2\d\&#1057;&#1084;&#1077;&#1090;&#1099;2\SMETA\SM161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meta2\d\&#1057;&#1084;&#1077;&#1090;&#1099;%201\130-&#1084;.&#1087;.&#1054;&#1089;&#1082;&#1086;&#1083;%20-%20&#1072;.&#1076;.&#1063;&#1077;&#1088;&#1085;&#1103;&#1085;&#1082;&#1072;\&#1052;&#1072;&#1088;&#1100;&#1077;&#1074;&#1082;&#1072;%20&#1101;&#1082;&#1089;.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ackup\economists\&#1054;&#1090;&#1076;&#1077;&#1083;%20&#1087;&#1086;%20&#1088;&#1072;&#1073;&#1086;&#1090;&#1077;%20&#1089;%20&#1047;%20&#1080;%20&#1055;\&#1042;&#1099;&#1093;&#1080;&#1085;&#1086;-&#1046;&#1091;&#1083;&#1077;&#1073;&#1080;&#1085;&#1086;\&#1055;&#1056;&#1054;&#1063;&#1048;&#1045;\&#1055;&#1056;&#1054;&#1063;&#1048;&#1045;%20&#1076;&#1083;&#1103;%20&#1052;&#1048;&#1055;\&#1070;&#1043;&#1057;&#1050;\&#1055;&#1088;&#1086;&#1077;&#1082;&#1090;%20&#1088;&#1072;&#1089;&#1095;&#1077;&#1090;&#1072;%20&#1042;&#1072;&#1093;&#1090;&#1086;&#1074;&#1086;&#1075;&#1086;%20&#1084;&#1077;&#1090;&#1086;&#1076;&#1072;%20(&#1072;&#1074;&#1075;&#1091;&#1089;&#1090;%202011-&#1084;&#1072;&#1081;%202012).xlsm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28\c\&#1052;&#1086;&#1080;%20&#1076;&#1086;&#1082;&#1091;&#1084;&#1077;&#1085;&#1090;&#1099;\&#1057;&#1084;&#1077;&#1090;&#1099;\188%20&#1052;&#1086;&#1089;&#1090;%20&#1058;&#1091;&#1088;&#1076;&#1077;&#1081;%20&#1082;&#1084;%20284&#1082;&#1084;%20(&#1058;&#1091;&#1083;.&#1086;&#1073;&#1083;.)\&#1042;&#1040;&#1061;&#1058;&#1040;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1057;&#1084;&#1077;&#1090;&#1072;%20&#1057;&#1052;&#1056;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meta2\d\&#1057;&#1084;&#1077;&#1090;&#1099;2\SMETA\SM171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meta2\d\&#1057;&#1084;&#1077;&#1090;&#1099;2\SMETA\SM155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microsoft.com/office/2006/relationships/xlExternalLinkPath/xlPathMissing" Target="92107%20&#1086;&#1089;&#1074;&#1077;&#1097;&#1077;&#1085;&#1080;&#1077;%20-%20&#1050;&#1057;-3%20(&#1057;&#1073;&#1086;&#1088;&#1082;&#1072;%20&#1087;&#1086;%20&#1050;&#1057;-2)1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to_natalia\&#1084;&#1086;&#1080;%20&#1076;&#1086;&#1082;&#1091;&#1084;&#1077;&#1085;&#1090;\EKK\P4_DY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28\c\&#1052;&#1086;&#1080;%20&#1076;&#1086;&#1082;&#1091;&#1084;&#1077;&#1085;&#1090;&#1099;\&#1057;&#1084;&#1077;&#1090;&#1099;\86&#1082;%20&#1056;&#1077;&#1084;&#1086;&#1085;&#1090;%20&#1051;&#1080;&#1087;&#1077;&#1094;&#1082;-10%20&#1096;&#1072;&#1093;&#1090;&#1072;\SM130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udit-server\sp$\Documents%20and%20Settings\&#1054;&#1083;&#1100;&#1075;&#1072;%20&#1056;\&#1056;&#1072;&#1073;&#1086;&#1095;&#1080;&#1081;%20&#1089;&#1090;&#1086;&#1083;\&#1079;&#1077;&#1084;&#1083;&#1077;&#1091;&#1089;&#1090;&#1088;&#1086;&#1081;&#1089;&#1090;&#1074;&#1086;\&#1089;&#1074;&#1086;&#1076;&#1085;&#1099;&#1081;%20&#1050;&#1057;-2_&#1086;&#1082;&#1090;&#1103;&#1073;&#1088;&#1100;_&#1085;&#1086;&#1103;&#1073;&#1088;&#1100;_2&#1080;&#1089;&#1087;&#1088;.1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PK\&#1054;&#1090;&#1076;&#1077;&#1083;%20&#1089;&#1090;&#1086;&#1080;&#1084;&#1086;&#1089;&#1090;&#1085;&#1086;&#1075;&#1086;%20&#1080;&#1085;&#1078;&#1080;&#1085;&#1080;&#1088;&#1080;&#1085;&#1075;&#1072;\&#1050;&#1086;&#1085;&#1090;&#1088;&#1072;&#1082;&#1090;%202\&#1040;&#1083;&#1084;&#1072;-&#1040;&#1090;&#1080;&#1085;&#1089;&#1082;&#1072;&#1103;\&#1056;&#1040;&#1057;&#1063;&#1045;&#1058;&#1067;\&#1055;&#1088;&#1086;&#1090;&#1086;&#1082;&#1086;&#1083;%20&#1044;&#1062;%20&#1089;%20&#1088;&#1072;&#1089;&#1095;&#1077;&#1090;&#1086;&#1084;%20(&#1056;&#1045;&#1047;&#1045;&#1056;&#1042;%20&#1044;&#1040;&#1063;&#1040;).xlsx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98_3\c\&#1052;&#1086;&#1080;%20&#1076;&#1086;&#1082;&#1091;&#1084;&#1077;&#1085;&#1090;&#1099;\&#1057;&#1084;&#1077;&#1090;&#1099;\&#1057;&#1084;&#1077;&#1090;&#1099;2\SMETA\SM161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28\c\&#1052;&#1086;&#1080;%20&#1076;&#1086;&#1082;&#1091;&#1084;&#1077;&#1085;&#1090;&#1099;\&#1057;&#1084;&#1077;&#1090;&#1099;\86&#1082;%20&#1056;&#1077;&#1084;&#1086;&#1085;&#1090;%20&#1051;&#1080;&#1087;&#1077;&#1094;&#1082;-10%20&#1096;&#1072;&#1093;&#1090;&#1072;\SM155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28\c\&#1052;&#1086;&#1080;%20&#1076;&#1086;&#1082;&#1091;&#1084;&#1077;&#1085;&#1090;&#1099;\&#1057;&#1084;&#1077;&#1090;&#1099;\97%20&#1043;&#1091;&#1073;&#1082;&#1080;&#1085;\SM97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meta2\d\EXCEL\SMETA\SM86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28\c\&#1052;&#1086;&#1080;%20&#1076;&#1086;&#1082;&#1091;&#1084;&#1077;&#1085;&#1090;&#1099;\&#1057;&#1084;&#1077;&#1090;&#1099;\226%20&#1052;&#1086;&#1089;&#1090;&#1086;&#1074;&#1086;&#1075;&#1086;%20&#1089;&#1086;&#1086;&#1088;&#1091;&#1078;.%20&#1082;&#1084;%20276+645%20(&#1042;&#1086;&#1088;.&#1086;&#1073;&#1083;.)\&#1073;&#1072;&#1079;.1991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meta2\d\&#1057;&#1084;&#1077;&#1090;&#1099;2\SMETA\SM97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1050;&#1057;-3%20(&#1057;&#1073;&#1086;&#1088;&#1085;&#1072;&#1103;%20&#1087;&#1086;%20&#1050;&#1057;-2)%20v6%20-%20&#1082;&#1086;&#1087;&#1080;&#1103;1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eretennikova_s\&#1089;&#1077;&#1090;&#1100;\Documents%20and%20Settings\&#1053;&#1072;&#1090;&#1072;\&#1052;&#1086;&#1080;%20&#1076;&#1086;&#1082;&#1091;&#1084;&#1077;&#1085;&#1090;&#1099;\2006%20&#1075;&#1086;&#1076;\1741-1742%20&#1050;&#1073;&#1096;%20&#1078;%20&#1076;%20%20-%20&#1071;&#1085;&#1074;&#1072;&#1088;&#1100;%20%202006%20&#1075;%20&#1057;%20&#1056;&#1045;&#1045;&#1057;&#1058;&#1056;&#1054;&#1052;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28\d\&#1057;&#1084;&#1077;&#1090;&#1099;2\SMETA\SM159&#1076;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98_3\c\&#1052;&#1086;&#1080;%20&#1076;&#1086;&#1082;&#1091;&#1084;&#1077;&#1085;&#1090;&#1099;\&#1057;&#1084;&#1077;&#1090;&#1099;\&#1057;&#1084;&#1077;&#1090;&#1099;2\SMETA\SM159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SM75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28\c\&#1052;&#1086;&#1080;%20&#1076;&#1086;&#1082;&#1091;&#1084;&#1077;&#1085;&#1090;&#1099;\&#1057;&#1084;&#1077;&#1090;&#1099;\200&#1056;&#1052;%20&#1052;&#1086;&#1089;&#1090;%20&#1055;&#1086;&#1075;&#1072;&#1088;&#1097;&#1080;&#1085;&#1072;%20&#1082;&#1084;%2037+146\SM171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28\c\&#1052;&#1086;&#1080;%20&#1076;&#1086;&#1082;&#1091;&#1084;&#1077;&#1085;&#1090;&#1099;\&#1057;&#1084;&#1077;&#1090;&#1099;\207%20&#1052;&#1086;&#1089;&#1090;%20&#1056;&#1077;&#1087;&#1077;&#1094;%20&#1082;&#1084;%20434(&#1051;&#1080;&#1087;.%20&#1086;&#1073;&#1083;.)\&#1073;&#1072;&#1079;.91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meta2\d\&#1057;&#1084;&#1077;&#1090;&#1099;2\SMETA\SM162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6-file-server\&#1087;&#1088;&#1086;\&#1052;&#1086;&#1080;%20&#1076;&#1086;&#1082;&#1091;&#1084;&#1077;&#1085;&#1090;&#1099;\&#1057;&#1084;&#1077;&#1090;&#1099;\259%20&#1052;&#1086;&#1089;&#1090;&#1086;&#1074;&#1086;&#1077;%20&#1089;&#1086;&#1086;&#1088;&#1091;&#1078;.%20&#1082;&#1084;296+242%20(&#1042;&#1086;&#1088;.&#1086;&#1073;&#1083;)\&#1073;&#1072;&#1079;.1991%20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28\c\&#1052;&#1086;&#1080;%20&#1076;&#1086;&#1082;&#1091;&#1084;&#1077;&#1085;&#1090;&#1099;\&#1057;&#1084;&#1077;&#1090;&#1099;\181%20%20&#1056;&#1077;&#1084;&#1086;&#1085;&#1090;%2046&#1050;&#1052;(&#1082;&#1072;&#1090;&#1072;&#1083;&#1086;&#1075;%20&#1052;.&#1086;&#1073;&#1083;.)\SM162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28\c\&#1052;&#1086;&#1080;%20&#1076;&#1086;&#1082;&#1091;&#1084;&#1077;&#1085;&#1090;&#1099;\&#1057;&#1084;&#1077;&#1090;&#1099;\&#1057;&#1084;&#1077;&#1090;&#1099;2\Smeta%202001\SM161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28\c\&#1052;&#1086;&#1080;%20&#1076;&#1086;&#1082;&#1091;&#1084;&#1077;&#1085;&#1090;&#1099;\&#1057;&#1084;&#1077;&#1090;&#1099;\175%20222&#1082;&#1084;\&#1058;&#1077;&#1082;&#1091;&#1097;.&#1094;&#1077;&#1085;&#1072;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28\c\&#1052;&#1086;&#1080;%20&#1076;&#1086;&#1082;&#1091;&#1084;&#1077;&#1085;&#1090;&#1099;\&#1057;&#1084;&#1077;&#1090;&#1099;\&#1057;&#1084;&#1077;&#1090;&#1099;2\Smeta%202001\SM%200428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eretennikova_s\&#1089;&#1077;&#1090;&#1100;\Documents%20and%20Settings\&#1055;&#1088;&#1086;&#1080;&#1079;&#1074;&#1086;&#1076;&#1089;&#1090;.-&#1090;&#1077;&#1093;.%20&#1086;&#1090;&#1076;\&#1052;&#1086;&#1080;%20&#1076;&#1086;&#1082;&#1091;&#1084;&#1077;&#1085;&#1090;&#1099;\&#1042;&#1099;&#1087;&#1086;&#1083;&#1085;&#1077;&#1085;&#1080;&#1077;\2004%20&#1075;&#1086;&#1076;\&#1054;&#1082;&#1090;&#1103;&#1073;&#1088;&#1100;%202004%20&#1075;\462%20&#1082;&#1084;%20%20&#1055;&#1050;3-&#1055;&#1050;6%20-%20&#1057;&#1077;&#1085;&#1090;&#1103;&#1073;&#1088;&#1100;,%202004%20&#1075;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28\c\&#1052;&#1086;&#1080;%20&#1076;&#1086;&#1082;&#1091;&#1084;&#1077;&#1085;&#1090;&#1099;\&#1057;&#1084;&#1077;&#1090;&#1099;\&#1057;&#1084;&#1077;&#1090;&#1099;2\SMETA\SM159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6-file-server\&#1087;&#1088;&#1086;\&#1052;&#1086;&#1080;%20&#1076;&#1086;&#1082;&#1091;&#1084;&#1077;&#1085;&#1090;&#1099;\&#1057;&#1084;&#1077;&#1090;&#1099;\290%20&#1040;&#1074;&#1090;&#1086;&#1076;&#1086;&#1088;&#1086;&#1075;&#1072;%20&#1042;&#1077;&#1089;&#1077;&#1083;&#1086;&#1074;&#1082;&#1072;(&#1056;&#1086;&#1089;&#1090;&#1086;&#1074;&#1089;&#1082;&#1072;&#1103;%20&#1086;&#1073;&#1083;)\&#1090;&#1077;&#1082;%202003&#1075;&#1044;.xls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6-file-server\&#1087;&#1088;&#1086;\Documents%20and%20Settings\&#1055;&#1088;&#1086;&#1080;&#1079;&#1074;&#1086;&#1076;&#1089;&#1090;.-&#1090;&#1077;&#1093;.%20&#1086;&#1090;&#1076;\&#1052;&#1086;&#1080;%20&#1076;&#1086;&#1082;&#1091;&#1084;&#1077;&#1085;&#1090;&#1099;\&#1042;&#1099;&#1087;&#1086;&#1083;&#1085;&#1077;&#1085;&#1080;&#1077;\2004%20&#1075;&#1086;&#1076;\&#1054;&#1082;&#1090;&#1103;&#1073;&#1088;&#1100;%202004%20&#1075;\&#1054;&#1082;&#1090;&#1103;&#1073;&#1088;&#1100;1\&#1055;&#1088;&#1080;&#1074;&#1086;&#1083;&#1078;&#1089;&#1082;&#1072;&#1103;%20&#1078;&#1076;\2004%20&#1075;&#1086;&#1076;\&#1054;&#1082;&#1090;&#1103;&#1073;&#1088;&#1100;%202004%20&#1075;\274%20&#1082;&#1084;-2001%20&#1075;.%20(&#1082;&#1086;&#1088;&#1088;&#1077;&#1082;&#1090;)%20(&#1050;&#1086;&#1087;&#1080;&#1103;)%20-%20&#1057;&#1077;&#1085;&#1090;&#1103;&#1073;&#1088;&#1100;,%202004%20&#1075;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28\c\&#1052;&#1086;&#1080;%20&#1076;&#1086;&#1082;&#1091;&#1084;&#1077;&#1085;&#1090;&#1099;\&#1057;&#1084;&#1077;&#1090;&#1099;\86&#1082;%20&#1056;&#1077;&#1084;&#1086;&#1085;&#1090;%20&#1051;&#1080;&#1087;&#1077;&#1094;&#1082;-10%20&#1096;&#1072;&#1093;&#1090;&#1072;\SM174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28\c\&#1052;&#1086;&#1080;%20&#1076;&#1086;&#1082;&#1091;&#1084;&#1077;&#1085;&#1090;&#1099;\&#1057;&#1084;&#1077;&#1090;&#1099;\210%20&#1052;&#1086;&#1089;&#1090;%20442%20&#1082;&#1084;%20(&#1051;&#1080;&#1087;&#1077;&#1094;&#1082;&#1072;&#1103;%20&#1086;&#1073;&#1083;.)\&#1073;&#1072;&#1079;.91.xls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6-file-server\&#1087;&#1088;&#1086;\Documents%20and%20Settings\&#1055;&#1088;&#1086;&#1080;&#1079;&#1074;&#1086;&#1076;&#1089;&#1090;.-&#1090;&#1077;&#1093;.%20&#1086;&#1090;&#1076;\&#1052;&#1086;&#1080;%20&#1076;&#1086;&#1082;&#1091;&#1084;&#1077;&#1085;&#1090;&#1099;\&#1042;&#1099;&#1087;&#1086;&#1083;&#1085;&#1077;&#1085;&#1080;&#1077;\2004%20&#1075;&#1086;&#1076;\&#1054;&#1082;&#1090;&#1103;&#1073;&#1088;&#1100;%202004%20&#1075;\&#1054;&#1082;&#1090;&#1103;&#1073;&#1088;&#1100;1\&#1055;&#1088;&#1080;&#1074;&#1086;&#1083;&#1078;&#1089;&#1082;&#1072;&#1103;%20&#1078;&#1076;\2004%20&#1075;&#1086;&#1076;\&#1054;&#1082;&#1090;&#1103;&#1073;&#1088;&#1100;%202004%20&#1075;\1069&#1082;&#1084;%20&#1055;&#1050;9-1070&#1082;&#1084;&#1055;&#1050;7%20-%20&#1057;&#1077;&#1085;&#1090;&#1103;&#1073;&#1088;&#1100;,%202004%20&#1075;.xls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28\c\&#1052;&#1086;&#1080;%20&#1076;&#1086;&#1082;&#1091;&#1084;&#1077;&#1085;&#1090;&#1099;\&#1057;&#1084;&#1077;&#1090;&#1099;\200&#1056;&#1052;%20&#1052;&#1086;&#1089;&#1090;%20&#1055;&#1086;&#1075;&#1072;&#1088;&#1097;&#1080;&#1085;&#1072;%20&#1082;&#1084;%2037+146\&#1050;&#1086;&#1087;&#1080;&#1103;%20&#1058;&#1077;&#1082;&#1091;&#1097;&#1072;&#1103;%20&#1094;&#1077;&#1085;&#1072;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28\c\&#1052;&#1086;&#1080;%20&#1076;&#1086;&#1082;&#1091;&#1084;&#1077;&#1085;&#1090;&#1099;\&#1057;&#1084;&#1077;&#1090;&#1099;\208%20&#1052;&#1086;&#1089;&#1090;%20&#1050;&#1088;&#1072;&#1089;&#1085;&#1072;&#1103;%20&#1082;&#1084;%20567%20(&#1042;&#1086;&#1088;.&#1086;&#1073;&#1083;.)\&#1090;&#1077;&#1082;%20&#1050;&#1088;&#1072;&#1089;&#1085;&#1072;&#1103;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6-file-server\&#1087;&#1072;&#1087;&#1082;&#1072;%20&#1086;&#1073;&#1084;&#1077;&#1085;&#1072;\Documents%20and%20Settings\&#1055;&#1080;&#1079;&#1080;&#1095;&#1040;&#1055;\Desktop\16&#1082;&#1084;%20&#1076;&#1083;&#1103;%20&#1055;&#1080;&#1079;&#1080;&#1095;&#1072;%20&#1040;\&#1057;&#1084;&#1077;&#1090;&#1099;%20&#1087;&#1086;%2016%20&#1082;&#1084;\&#1051;&#1086;&#1082;%20&#1089;&#1084;&#1077;&#1090;&#1072;%201-14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6-file-server\&#1087;&#1088;&#1086;\0.&#1042;%20&#1067;%20&#1055;%20&#1054;%20&#1051;%20&#1053;%20&#1045;%20&#1053;%20&#1048;%20&#1045;\2009%20&#1074;&#1099;&#1087;&#1086;&#1083;&#1085;&#1077;&#1085;&#1080;&#1077;\09.2009&#1075;\1.&#1044;&#1050;&#1056;&#1057;%20-%20&#1052;&#1086;&#1089;&#1082;&#1074;&#1072;\&#1043;&#1086;&#1088;&#1100;&#1082;&#1086;&#1074;&#1089;&#1082;&#1072;&#1103;%20&#1078;.&#1076;\06.2009&#1075;\1.&#1044;&#1050;&#1056;&#1057;%20-%20&#1052;&#1086;&#1089;&#1082;&#1074;&#1072;\&#1043;&#1086;&#1088;&#1100;&#1082;&#1086;&#1074;&#1089;&#1082;&#1072;&#1103;%20&#1078;.&#1076;\&#1087;&#1072;&#1087;&#1082;&#1072;%20&#1086;&#1073;&#1084;&#1077;&#1085;&#1072;\Documents%20and%20Settings\&#1055;&#1080;&#1079;&#1080;&#1095;&#1040;&#1055;\Desktop\16&#1082;&#1084;%20&#1076;&#1083;&#1103;%20&#1055;&#1080;&#1079;&#1080;&#1095;&#1072;%20&#1040;\&#1057;&#1084;&#1077;&#1090;&#1099;%20&#1087;&#1086;%2016%20&#1082;&#1084;\&#1051;&#1086;&#1082;%20&#1089;&#1084;&#1077;&#1090;&#1072;%201-14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2557F43\&#1051;&#1086;&#1082;%20&#1089;&#1084;&#1077;&#1090;&#1072;%201-14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28\c\&#1052;&#1086;&#1080;%20&#1076;&#1086;&#1082;&#1091;&#1084;&#1077;&#1085;&#1090;&#1099;\&#1057;&#1084;&#1077;&#1090;&#1099;\&#1057;&#1084;&#1077;&#1090;&#1099;2\Smeta%202001\SM120&#1072;.xls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&#1052;&#1048;&#1055;-&#1057;&#1090;&#1088;&#1086;&#1081;%20&#8470;1\&#1057;&#1052;&#1045;&#1058;&#1053;&#1067;&#1049;%20&#1054;&#1058;&#1044;&#1045;&#1051;\&#1057;&#1091;&#1083;&#1080;&#1084;&#1072;\8%20&#1070;&#1047;%20&#1058;&#1055;&#1050;%20262-0619\&#1042;&#1099;&#1087;&#1086;&#1083;&#1085;&#1077;&#1085;&#1080;&#1077;\2020\!&#1054;&#1073;&#1097;&#1072;&#1103;%20&#1050;&#1057;-3%20&#1087;&#1086;%20262-0619-&#1054;&#1050;-1_&#1053;.xlsx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.ognivov\Desktop\779%20&#1057;&#1077;&#1085;&#1090;&#1103;&#1073;&#1088;&#1100;%20(&#1069;&#1083;&#1077;&#1082;).xlsx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.ognivov\Desktop\&#1054;&#1075;&#1085;&#1080;&#1074;&#1086;&#1074;\4%20&#1040;&#1084;&#1080;&#1085;&#1100;&#1077;&#1074;&#1089;&#1082;&#1086;&#1077;%20&#1096;&#1086;&#1089;&#1089;&#1077;%20(&#1069;&#1083;&#1077;&#1082;&#1090;&#1088;&#1086;)\&#1040;&#1082;&#1090;&#1099;%20&#1089;%20&#1085;&#1072;&#1082;&#1083;&#1072;&#1076;&#1085;&#1099;&#1084;&#1080;%20&#1086;&#1090;%20&#1042;&#1077;&#1088;&#1099;\&#1072;&#1082;&#1090;&#1099;%20&#1076;&#1083;&#1103;%20&#1052;&#1048;&#1055;&#1072;\02.09.20%2012-4017-&#1051;-&#1056;-8.3.3-&#1069;&#1052;2-&#1057;&#1052;1&#1050;%20-%20&#1048;&#1102;&#1083;&#1100;,%202020%20(48964).xlsx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.ognivov\Desktop\&#1054;&#1075;&#1085;&#1080;&#1074;&#1086;&#1074;\4%20&#1040;&#1084;&#1080;&#1085;&#1100;&#1077;&#1074;&#1089;&#1082;&#1086;&#1077;%20&#1096;&#1086;&#1089;&#1089;&#1077;%20(&#1069;&#1083;&#1077;&#1082;&#1090;&#1088;&#1086;)\&#1040;&#1082;&#1090;&#1099;%20&#1089;%20&#1085;&#1072;&#1082;&#1083;&#1072;&#1076;&#1085;&#1099;&#1084;&#1080;%20&#1086;&#1090;%20&#1042;&#1077;&#1088;&#1099;\&#1072;&#1082;&#1090;&#1099;%20&#1076;&#1083;&#1103;%20&#1052;&#1048;&#1055;&#1072;\03.09.20%2012-4017-&#1051;-&#1056;-11.4.3.4-&#1069;&#1054;1-&#1057;&#1052;1%20-%20&#1048;&#1102;&#1083;&#1100;,%202020%20(50214).xlsx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.ognivov\Desktop\&#1054;&#1075;&#1085;&#1080;&#1074;&#1086;&#1074;\4%20&#1040;&#1084;&#1080;&#1085;&#1100;&#1077;&#1074;&#1089;&#1082;&#1086;&#1077;%20&#1096;&#1086;&#1089;&#1089;&#1077;%20(&#1069;&#1083;&#1077;&#1082;&#1090;&#1088;&#1086;)\&#1040;&#1082;&#1090;&#1099;%20&#1089;%20&#1085;&#1072;&#1082;&#1083;&#1072;&#1076;&#1085;&#1099;&#1084;&#1080;%20&#1086;&#1090;%20&#1042;&#1077;&#1088;&#1099;\&#1072;&#1082;&#1090;&#1099;%20&#1076;&#1083;&#1103;%20&#1052;&#1048;&#1055;&#1072;\04.09.20%2012-4017-&#1051;-&#1056;-11.3.3.4-&#1069;&#1054;1-&#1057;&#1052;1%20-%20&#1048;&#1102;&#1083;&#1100;,%202020%20(49814).xlsx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.ognivov\Downloads\_%2005.09.20%2012-4017-&#1051;-&#1056;-3.3.2-&#1069;&#1054;-&#1057;&#1052;1&#1050;1%20(50191)%20-%20&#1057;&#1077;&#1085;&#1090;&#1103;&#1073;&#1088;&#1100;,%202020%20&#1075;..xlsx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.ognivov\Desktop\&#1054;&#1075;&#1085;&#1080;&#1074;&#1086;&#1074;\4%20&#1040;&#1084;&#1080;&#1085;&#1100;&#1077;&#1074;&#1089;&#1082;&#1086;&#1077;%20&#1096;&#1086;&#1089;&#1089;&#1077;%20(&#1069;&#1083;&#1077;&#1082;&#1090;&#1088;&#1086;)\&#1086;&#1073;&#1098;&#1077;&#1084;&#1099;%2003%2009%2020%20&#1074;&#1088;&#1077;&#1084;&#1077;&#1085;&#1085;&#1072;&#1103;%20&#1087;&#1072;&#1087;&#1082;&#1072;\06.09.20%2012-4017-&#1051;-&#1056;-3.3.3-&#1069;&#1052;1-&#1057;&#1052;1&#1050;%20(49289)%20-%20&#1057;&#1077;&#1085;&#1090;&#1103;&#1073;&#1088;&#1100;,%202020%20&#1075;..xlsx" TargetMode="External"/></Relationships>
</file>

<file path=xl/externalLinks/_rels/externalLink8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.ognivov\Desktop\&#1054;&#1075;&#1085;&#1080;&#1074;&#1086;&#1074;\4%20&#1040;&#1084;&#1080;&#1085;&#1100;&#1077;&#1074;&#1089;&#1082;&#1086;&#1077;%20&#1096;&#1086;&#1089;&#1089;&#1077;%20(&#1069;&#1083;&#1077;&#1082;&#1090;&#1088;&#1086;)\&#1040;&#1082;&#1090;&#1099;%20&#1089;%20&#1085;&#1072;&#1082;&#1083;&#1072;&#1076;&#1085;&#1099;&#1084;&#1080;%20&#1086;&#1090;%20&#1042;&#1077;&#1088;&#1099;\&#1072;&#1082;&#1090;&#1099;%20&#1076;&#1083;&#1103;%20&#1052;&#1048;&#1055;&#1072;\06.09.20%2012-4017-&#1051;-&#1056;-3.3.3-&#1069;&#1052;1-&#1057;&#1052;1&#1050;%20(49289)%20-%20&#1057;&#1077;&#1085;&#1090;&#1103;&#1073;&#1088;&#1100;,%202020.xlsx" TargetMode="External"/></Relationships>
</file>

<file path=xl/externalLinks/_rels/externalLink8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.ognivov\Desktop\&#1054;&#1075;&#1085;&#1080;&#1074;&#1086;&#1074;\4%20&#1040;&#1084;&#1080;&#1085;&#1100;&#1077;&#1074;&#1089;&#1082;&#1086;&#1077;%20&#1096;&#1086;&#1089;&#1089;&#1077;%20(&#1069;&#1083;&#1077;&#1082;&#1090;&#1088;&#1086;)\&#1086;&#1073;&#1098;&#1077;&#1084;&#1099;%2003%2009%2020%20&#1074;&#1088;&#1077;&#1084;&#1077;&#1085;&#1085;&#1072;&#1103;%20&#1087;&#1072;&#1087;&#1082;&#1072;\07.09.20%2012-4017-&#1051;-&#1056;-11.4.3%20(49683)%20-%20&#1057;&#1077;&#1085;&#1090;&#1103;&#1073;&#1088;&#1100;,%202020%20&#1075;..xlsx" TargetMode="External"/></Relationships>
</file>

<file path=xl/externalLinks/_rels/externalLink8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.ognivov\Downloads\_-08.09.20%2012-4017-&#1051;-&#1056;-11.4.3.3-&#1069;&#1052;2-&#1057;&#1052;1%20-%20&#1057;&#1077;&#1085;&#1090;&#1103;&#1073;&#1088;&#1100;,%202020%20&#1075;.%20(49684)%20(&#1082;&#1086;&#1088;.)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98_3\c\&#1052;&#1086;&#1080;%20&#1076;&#1086;&#1082;&#1091;&#1084;&#1077;&#1085;&#1090;&#1099;\&#1057;&#1084;&#1077;&#1090;&#1099;\&#1057;&#1084;&#1077;&#1090;&#1099;2\SMETA\SM162.xls" TargetMode="External"/></Relationships>
</file>

<file path=xl/externalLinks/_rels/externalLink9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.ognivov\Desktop\&#1054;&#1075;&#1085;&#1080;&#1074;&#1086;&#1074;\4%20&#1040;&#1084;&#1080;&#1085;&#1100;&#1077;&#1074;&#1089;&#1082;&#1086;&#1077;%20&#1096;&#1086;&#1089;&#1089;&#1077;%20(&#1069;&#1083;&#1077;&#1082;&#1090;&#1088;&#1086;)\&#1040;&#1082;&#1090;&#1099;%20&#1089;%20&#1085;&#1072;&#1082;&#1083;&#1072;&#1076;&#1085;&#1099;&#1084;&#1080;%20&#1086;&#1090;%20&#1042;&#1077;&#1088;&#1099;\&#1072;&#1082;&#1090;&#1099;%20&#1076;&#1083;&#1103;%20&#1052;&#1048;&#1055;&#1072;\09.09.20%2012-4017-&#1051;-&#1056;-11.4.3.3-&#1069;&#1052;3-&#1057;&#1052;1&#1050;%20(49688)%20-%20&#1057;&#1077;&#1085;&#1090;&#1103;&#1073;&#1088;&#1100;,%202020.xlsx" TargetMode="External"/></Relationships>
</file>

<file path=xl/externalLinks/_rels/externalLink9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.ognivov\Desktop\&#1054;&#1075;&#1085;&#1080;&#1074;&#1086;&#1074;\4%20&#1040;&#1084;&#1080;&#1085;&#1100;&#1077;&#1074;&#1089;&#1082;&#1086;&#1077;%20&#1096;&#1086;&#1089;&#1089;&#1077;%20(&#1069;&#1083;&#1077;&#1082;&#1090;&#1088;&#1086;)\&#1040;&#1082;&#1090;&#1099;%20&#1089;%20&#1085;&#1072;&#1082;&#1083;&#1072;&#1076;&#1085;&#1099;&#1084;&#1080;%20&#1086;&#1090;%20&#1042;&#1077;&#1088;&#1099;\&#1072;&#1082;&#1090;&#1099;%20&#1076;&#1083;&#1103;%20&#1052;&#1048;&#1055;&#1072;\10.09.20%2012-4017-&#1051;-&#1056;-11.5.5.-&#1069;&#1055;1-&#1057;&#1052;1&#1050;%20(48878)%20-%20&#1057;&#1077;&#1085;&#1090;&#1103;&#1073;&#1088;&#1100;,%202020.xlsx" TargetMode="External"/></Relationships>
</file>

<file path=xl/externalLinks/_rels/externalLink9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1054;&#1073;&#1098;&#1077;&#1082;&#1090;&#1099;\&#1040;&#1084;&#1080;&#1085;&#1100;&#1077;&#1074;&#1089;&#1082;&#1086;&#1077;\&#1042;&#1099;&#1087;&#1086;&#1083;&#1085;&#1077;&#1085;&#1080;&#1077;%2014.05.2020\12-4017-&#1051;-&#1056;-8.3.1-&#1042;&#1050;-&#1057;&#1052;1%20&#1048;&#1085;&#1078;&#1077;&#1085;%20-%20&#1052;&#1072;&#1081;,%202020%20&#1075;..xlsx" TargetMode="External"/></Relationships>
</file>

<file path=xl/externalLinks/_rels/externalLink9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&#1052;&#1048;&#1055;-&#1057;&#1090;&#1088;&#1086;&#1081;%20&#8470;1\&#1057;&#1052;&#1045;&#1058;&#1053;&#1067;&#1049;%20&#1054;&#1058;&#1044;&#1045;&#1051;\&#1057;&#1091;&#1083;&#1080;&#1084;&#1072;\8%20&#1070;&#1047;%20&#1058;&#1055;&#1050;%20262-0619\&#1042;&#1099;&#1087;&#1086;&#1083;&#1085;&#1077;&#1085;&#1080;&#1077;\2020\11%20&#1044;&#1077;&#1082;&#1072;&#1073;&#1088;&#1100;\&#1050;&#1057;-3%20&#8470;16\&#1088;.16.1%2012-4017-&#1051;-&#1056;-12.3.1-&#1042;&#1050;-&#1057;&#1052;1%20(48824)+.xlsx" TargetMode="External"/></Relationships>
</file>

<file path=xl/externalLinks/_rels/externalLink9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&#1052;&#1048;&#1055;-&#1057;&#1090;&#1088;&#1086;&#1081;%20&#8470;1\&#1057;&#1052;&#1045;&#1058;&#1053;&#1067;&#1049;%20&#1054;&#1058;&#1044;&#1045;&#1051;\&#1057;&#1091;&#1083;&#1080;&#1084;&#1072;\8%20&#1070;&#1047;%20&#1058;&#1055;&#1050;%20262-0619\&#1042;&#1099;&#1087;&#1086;&#1083;&#1085;&#1077;&#1085;&#1080;&#1077;\2020\11%20&#1044;&#1077;&#1082;&#1072;&#1073;&#1088;&#1100;\&#1050;&#1057;-3%20&#8470;16\&#1088;.16.2%20.%2012-4017-&#1051;-&#1056;-11.4.3.1-&#1054;&#1042;1.1-&#1057;&#1052;1%20-%20&#1088;.%203%20&#1057;&#1052;2002,%20&#1044;&#1077;&#1082;&#1072;&#1073;&#1088;&#1100;,%202020%20&#1075;..xlsx" TargetMode="External"/></Relationships>
</file>

<file path=xl/externalLinks/_rels/externalLink9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&#1052;&#1048;&#1055;-&#1057;&#1090;&#1088;&#1086;&#1081;%20&#8470;1\&#1057;&#1052;&#1045;&#1058;&#1053;&#1067;&#1049;%20&#1054;&#1058;&#1044;&#1045;&#1051;\&#1057;&#1091;&#1083;&#1080;&#1084;&#1072;\8%20&#1070;&#1047;%20&#1058;&#1055;&#1050;%20262-0619\&#1042;&#1099;&#1087;&#1086;&#1083;&#1085;&#1077;&#1085;&#1080;&#1077;\2020\11%20&#1044;&#1077;&#1082;&#1072;&#1073;&#1088;&#1100;\&#1086;&#1090;%20&#1086;&#1082;&#1089;\+&#1088;.16.3%2012-4017-&#1051;-&#1056;-11.4.3.1-&#1054;&#1042;1.1-&#1057;&#1052;1%20-%20&#1088;.3%20&#1057;&#1052;2002,%20&#1044;&#1077;&#1082;&#1072;&#1073;&#1088;&#1100;,%202020%20&#1075;..xlsx" TargetMode="External"/></Relationships>
</file>

<file path=xl/externalLinks/_rels/externalLink9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&#1052;&#1048;&#1055;-&#1057;&#1090;&#1088;&#1086;&#1081;%20&#8470;1\&#1057;&#1052;&#1045;&#1058;&#1053;&#1067;&#1049;%20&#1054;&#1058;&#1044;&#1045;&#1051;\&#1057;&#1091;&#1083;&#1080;&#1084;&#1072;\8%20&#1070;&#1047;%20&#1058;&#1055;&#1050;%20262-0619\&#1042;&#1099;&#1087;&#1086;&#1083;&#1085;&#1077;&#1085;&#1080;&#1077;\2020\11%20&#1044;&#1077;&#1082;&#1072;&#1073;&#1088;&#1100;\&#1086;&#1090;%20&#1086;&#1082;&#1089;\+&#1088;.16.4%2048961-&#1058;&#1055;&#1050;_5-0786-&#1056;-&#1057;&#1057;&#1056;2%20&#1080;&#1079;&#1084;.%201%20-%20&#1088;.4,%20&#1054;&#1054;&#1054;%20_&#1057;&#1058;&#1056;&#1054;&#1049;-&#1052;&#1054;&#1053;&#1058;&#1040;&#1046;%202002_,%20&#1044;&#1077;&#1082;&#1072;&#1073;&#1088;&#1100;,%202020%20&#1075;..xlsx" TargetMode="External"/></Relationships>
</file>

<file path=xl/externalLinks/_rels/externalLink9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&#1052;&#1048;&#1055;-&#1057;&#1090;&#1088;&#1086;&#1081;%20&#8470;1\&#1057;&#1052;&#1045;&#1058;&#1053;&#1067;&#1049;%20&#1054;&#1058;&#1044;&#1045;&#1051;\&#1057;&#1091;&#1083;&#1080;&#1084;&#1072;\8%20&#1070;&#1047;%20&#1058;&#1055;&#1050;%20262-0619\&#1042;&#1099;&#1087;&#1086;&#1083;&#1085;&#1077;&#1085;&#1080;&#1077;\2020\11%20&#1044;&#1077;&#1082;&#1072;&#1073;&#1088;&#1100;\&#1086;&#1090;%20&#1086;&#1082;&#1089;\+&#1088;.16.5,%2048961-&#1058;&#1055;&#1050;_5-0786-&#1056;-&#1057;&#1057;&#1056;2%20&#1080;&#1079;&#1084;.%201%20-%20&#8470;16.5,%20&#1054;&#1054;&#1054;%20_&#1057;&#1058;&#1056;&#1054;&#1049;-&#1052;&#1054;&#1053;&#1058;&#1040;&#1046;%202002_,%20&#1044;&#1077;&#1082;&#1072;&#1073;&#1088;&#1100;,%202020%20&#1075;..xlsx" TargetMode="External"/></Relationships>
</file>

<file path=xl/externalLinks/_rels/externalLink9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&#1052;&#1048;&#1055;-&#1057;&#1090;&#1088;&#1086;&#1081;%20&#8470;1\&#1057;&#1052;&#1045;&#1058;&#1053;&#1067;&#1049;%20&#1054;&#1058;&#1044;&#1045;&#1051;\&#1057;&#1091;&#1083;&#1080;&#1084;&#1072;\8%20&#1070;&#1047;%20&#1058;&#1055;&#1050;%20262-0619\&#1042;&#1099;&#1087;&#1086;&#1083;&#1085;&#1077;&#1085;&#1080;&#1077;\2020\11%20&#1044;&#1077;&#1082;&#1072;&#1073;&#1088;&#1100;\&#1050;&#1057;-3%20&#8470;16\&#1088;.16.6,%2012-4017-&#1051;-&#1056;-11.4.3.1-&#1054;&#1042;1.1-&#1057;&#1052;1%20-%20&#1088;.16.6,%20&#1054;&#1054;&#1054;%20&#1057;&#1052;2002,%20&#1044;&#1077;&#1082;&#1072;&#1073;&#1088;&#1100;,%202020%20&#1075;..xlsx" TargetMode="External"/></Relationships>
</file>

<file path=xl/externalLinks/_rels/externalLink9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&#1052;&#1048;&#1055;-&#1057;&#1090;&#1088;&#1086;&#1081;%20&#8470;1\&#1057;&#1052;&#1045;&#1058;&#1053;&#1067;&#1049;%20&#1054;&#1058;&#1044;&#1045;&#1051;\&#1057;&#1091;&#1083;&#1080;&#1084;&#1072;\8%20&#1070;&#1047;%20&#1058;&#1055;&#1050;%20262-0619\&#1042;&#1099;&#1087;&#1086;&#1083;&#1085;&#1077;&#1085;&#1080;&#1077;\2020\11%20&#1044;&#1077;&#1082;&#1072;&#1073;&#1088;&#1100;\&#1050;&#1057;-3%20&#8470;16\&#1088;.16.7.48875-&#1058;&#1055;&#1050;-5-0707-&#1056;-&#1057;&#1057;&#1056;2-&#1080;&#1079;&#1084;.1.%20-%20_16.6,%20&#1054;&#1054;&#1054;%20&#1057;&#1052;2002,%20&#1044;&#1077;&#1082;&#1072;&#1073;&#1088;&#1100;,%202020%20&#1075;.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С-2"/>
      <sheetName val="Source"/>
      <sheetName val="реестр новый "/>
      <sheetName val="КС-3 "/>
      <sheetName val="ВПДМ Май 2019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матрын"/>
      <sheetName val="зп мост"/>
      <sheetName val="зпподходы"/>
      <sheetName val="К.С.М."/>
      <sheetName val="Тр."/>
      <sheetName val="ПИР"/>
      <sheetName val="C.с"/>
      <sheetName val="П.з"/>
      <sheetName val="зим,"/>
      <sheetName val="эл"/>
      <sheetName val="ком"/>
      <sheetName val="C.с (р)"/>
      <sheetName val="П.з (2)"/>
      <sheetName val="сод"/>
      <sheetName val="Тр.(ж.д.)"/>
      <sheetName val="ч. щ. 2"/>
    </sheetNames>
    <sheetDataSet>
      <sheetData sheetId="0"/>
      <sheetData sheetId="1"/>
      <sheetData sheetId="2"/>
      <sheetData sheetId="3"/>
      <sheetData sheetId="4">
        <row r="36">
          <cell r="H36">
            <v>1.83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</sheetDataSet>
  </externalBook>
</externalLink>
</file>

<file path=xl/externalLinks/externalLink10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Акт КС-2 по ТСН-2001"/>
      <sheetName val="Source"/>
      <sheetName val="SourceObSm"/>
      <sheetName val="SmtRes"/>
      <sheetName val="EtalonRes"/>
    </sheetNames>
    <sheetDataSet>
      <sheetData sheetId="0" refreshError="1"/>
      <sheetData sheetId="1">
        <row r="333">
          <cell r="G333" t="str">
            <v>П2-5, П2-5р</v>
          </cell>
        </row>
        <row r="354">
          <cell r="E354" t="str">
            <v>73</v>
          </cell>
          <cell r="F354" t="str">
            <v>3.29-1939-2</v>
          </cell>
          <cell r="H354" t="str">
            <v>1 М</v>
          </cell>
          <cell r="I354">
            <v>71.400000000000006</v>
          </cell>
          <cell r="P354">
            <v>2794.83</v>
          </cell>
          <cell r="Q354">
            <v>19.77</v>
          </cell>
          <cell r="S354">
            <v>26326.38</v>
          </cell>
          <cell r="U354">
            <v>53.328659999999999</v>
          </cell>
          <cell r="X354">
            <v>17901.939999999999</v>
          </cell>
          <cell r="Y354">
            <v>11320.34</v>
          </cell>
          <cell r="AC354">
            <v>15.11</v>
          </cell>
          <cell r="AE354">
            <v>0</v>
          </cell>
          <cell r="AF354">
            <v>14.261799999999999</v>
          </cell>
          <cell r="AL354">
            <v>15.11</v>
          </cell>
          <cell r="AM354">
            <v>7.0000000000000007E-2</v>
          </cell>
          <cell r="AO354">
            <v>8.5399999999999991</v>
          </cell>
          <cell r="AQ354">
            <v>0.7</v>
          </cell>
          <cell r="AV354">
            <v>1.0669999999999999</v>
          </cell>
          <cell r="AW354">
            <v>1.028</v>
          </cell>
          <cell r="BA354">
            <v>24.23</v>
          </cell>
          <cell r="BB354">
            <v>3.71</v>
          </cell>
          <cell r="BC354">
            <v>2.52</v>
          </cell>
          <cell r="BI354">
            <v>1</v>
          </cell>
          <cell r="BS354">
            <v>24.23</v>
          </cell>
          <cell r="BZ354">
            <v>68</v>
          </cell>
          <cell r="CA354">
            <v>43</v>
          </cell>
          <cell r="DD354"/>
          <cell r="DE354"/>
          <cell r="DG354" t="str">
            <v>)*1,67</v>
          </cell>
          <cell r="DI354"/>
          <cell r="DN354">
            <v>79</v>
          </cell>
          <cell r="DO354">
            <v>70</v>
          </cell>
          <cell r="ET354">
            <v>7.0000000000000007E-2</v>
          </cell>
          <cell r="EU354">
            <v>0</v>
          </cell>
        </row>
        <row r="356">
          <cell r="E356" t="str">
            <v>73,1</v>
          </cell>
          <cell r="F356" t="str">
            <v>1.12-7-187</v>
          </cell>
          <cell r="H356" t="str">
            <v>м</v>
          </cell>
          <cell r="I356">
            <v>71.400000000000006</v>
          </cell>
          <cell r="O356">
            <v>7841.19</v>
          </cell>
          <cell r="X356">
            <v>0</v>
          </cell>
          <cell r="Y356">
            <v>0</v>
          </cell>
          <cell r="AC356">
            <v>7.73</v>
          </cell>
          <cell r="AE356">
            <v>0</v>
          </cell>
          <cell r="AF356">
            <v>0</v>
          </cell>
          <cell r="AK356">
            <v>7.73</v>
          </cell>
          <cell r="AV356">
            <v>1</v>
          </cell>
          <cell r="AW356">
            <v>1.028</v>
          </cell>
          <cell r="BC356">
            <v>13.82</v>
          </cell>
          <cell r="BI356">
            <v>1</v>
          </cell>
          <cell r="BS356">
            <v>1</v>
          </cell>
          <cell r="DN356">
            <v>79</v>
          </cell>
          <cell r="DO356">
            <v>70</v>
          </cell>
          <cell r="ET356">
            <v>0</v>
          </cell>
          <cell r="EU356">
            <v>0</v>
          </cell>
        </row>
        <row r="358">
          <cell r="E358" t="str">
            <v>74</v>
          </cell>
          <cell r="F358" t="str">
            <v>3.29-1939-5</v>
          </cell>
          <cell r="H358" t="str">
            <v>1 М</v>
          </cell>
          <cell r="I358">
            <v>71.400000000000006</v>
          </cell>
          <cell r="P358">
            <v>2723.3</v>
          </cell>
          <cell r="Q358">
            <v>32.72</v>
          </cell>
          <cell r="S358">
            <v>30703.77</v>
          </cell>
          <cell r="U358">
            <v>62.470716000000003</v>
          </cell>
          <cell r="X358">
            <v>20878.560000000001</v>
          </cell>
          <cell r="Y358">
            <v>13202.62</v>
          </cell>
          <cell r="AC358">
            <v>14.55</v>
          </cell>
          <cell r="AE358">
            <v>0</v>
          </cell>
          <cell r="AF358">
            <v>16.633199999999999</v>
          </cell>
          <cell r="AL358">
            <v>14.55</v>
          </cell>
          <cell r="AM358">
            <v>0.12</v>
          </cell>
          <cell r="AO358">
            <v>9.9600000000000009</v>
          </cell>
          <cell r="AQ358">
            <v>0.82</v>
          </cell>
          <cell r="AV358">
            <v>1.0669999999999999</v>
          </cell>
          <cell r="AW358">
            <v>1.028</v>
          </cell>
          <cell r="BA358">
            <v>24.23</v>
          </cell>
          <cell r="BB358">
            <v>3.58</v>
          </cell>
          <cell r="BC358">
            <v>2.5499999999999998</v>
          </cell>
          <cell r="BI358">
            <v>1</v>
          </cell>
          <cell r="BS358">
            <v>24.23</v>
          </cell>
          <cell r="BZ358">
            <v>68</v>
          </cell>
          <cell r="CA358">
            <v>43</v>
          </cell>
          <cell r="DD358"/>
          <cell r="DE358"/>
          <cell r="DG358" t="str">
            <v>)*1,67</v>
          </cell>
          <cell r="DI358"/>
          <cell r="DN358">
            <v>79</v>
          </cell>
          <cell r="DO358">
            <v>70</v>
          </cell>
          <cell r="ET358">
            <v>0.12</v>
          </cell>
          <cell r="EU358">
            <v>0</v>
          </cell>
        </row>
        <row r="360">
          <cell r="E360" t="str">
            <v>74,1</v>
          </cell>
          <cell r="F360" t="str">
            <v>1.12-7-189</v>
          </cell>
          <cell r="H360" t="str">
            <v>м</v>
          </cell>
          <cell r="I360">
            <v>71.400000000000006</v>
          </cell>
          <cell r="O360">
            <v>19348.16</v>
          </cell>
          <cell r="X360">
            <v>0</v>
          </cell>
          <cell r="Y360">
            <v>0</v>
          </cell>
          <cell r="AC360">
            <v>17.55</v>
          </cell>
          <cell r="AE360">
            <v>0</v>
          </cell>
          <cell r="AF360">
            <v>0</v>
          </cell>
          <cell r="AK360">
            <v>17.55</v>
          </cell>
          <cell r="AV360">
            <v>1</v>
          </cell>
          <cell r="AW360">
            <v>1.028</v>
          </cell>
          <cell r="BC360">
            <v>15.02</v>
          </cell>
          <cell r="BI360">
            <v>1</v>
          </cell>
          <cell r="BS360">
            <v>1</v>
          </cell>
          <cell r="DN360">
            <v>79</v>
          </cell>
          <cell r="DO360">
            <v>70</v>
          </cell>
          <cell r="ET360">
            <v>0</v>
          </cell>
          <cell r="EU360">
            <v>0</v>
          </cell>
        </row>
        <row r="362">
          <cell r="E362" t="str">
            <v>75</v>
          </cell>
          <cell r="F362" t="str">
            <v>3.26-16-1</v>
          </cell>
          <cell r="H362" t="str">
            <v>10 м изоляции</v>
          </cell>
          <cell r="I362">
            <v>13.6</v>
          </cell>
          <cell r="P362">
            <v>16455.849999999999</v>
          </cell>
          <cell r="Q362">
            <v>2356.5</v>
          </cell>
          <cell r="R362">
            <v>1521.16</v>
          </cell>
          <cell r="S362">
            <v>16478.580000000002</v>
          </cell>
          <cell r="U362">
            <v>31.326239999999999</v>
          </cell>
          <cell r="X362">
            <v>13018.08</v>
          </cell>
          <cell r="Y362">
            <v>6756.22</v>
          </cell>
          <cell r="AC362">
            <v>59.82</v>
          </cell>
          <cell r="AE362">
            <v>4.4088000000000003</v>
          </cell>
          <cell r="AF362">
            <v>47.762</v>
          </cell>
          <cell r="AL362">
            <v>59.82</v>
          </cell>
          <cell r="AM362">
            <v>13.2</v>
          </cell>
          <cell r="AN362">
            <v>2.64</v>
          </cell>
          <cell r="AO362">
            <v>28.6</v>
          </cell>
          <cell r="AQ362">
            <v>2.2000000000000002</v>
          </cell>
          <cell r="AV362">
            <v>1.0469999999999999</v>
          </cell>
          <cell r="AW362">
            <v>1.0189999999999999</v>
          </cell>
          <cell r="BA362">
            <v>24.23</v>
          </cell>
          <cell r="BB362">
            <v>9.2899999999999991</v>
          </cell>
          <cell r="BC362">
            <v>19.850000000000001</v>
          </cell>
          <cell r="BI362">
            <v>1</v>
          </cell>
          <cell r="BS362">
            <v>24.23</v>
          </cell>
          <cell r="BZ362">
            <v>79</v>
          </cell>
          <cell r="CA362">
            <v>41</v>
          </cell>
          <cell r="DD362"/>
          <cell r="DE362"/>
          <cell r="DG362" t="str">
            <v>)*1,67</v>
          </cell>
          <cell r="DI362"/>
          <cell r="DN362">
            <v>98</v>
          </cell>
          <cell r="DO362">
            <v>73</v>
          </cell>
          <cell r="ET362">
            <v>13.2</v>
          </cell>
          <cell r="EU362">
            <v>2.64</v>
          </cell>
        </row>
        <row r="364">
          <cell r="E364" t="str">
            <v>76</v>
          </cell>
          <cell r="F364" t="str">
            <v>1.1-1-1289</v>
          </cell>
          <cell r="H364" t="str">
            <v>м</v>
          </cell>
          <cell r="I364">
            <v>71.400000000000006</v>
          </cell>
          <cell r="X364">
            <v>0</v>
          </cell>
          <cell r="Y364">
            <v>0</v>
          </cell>
          <cell r="AE364">
            <v>0</v>
          </cell>
          <cell r="AF364">
            <v>0</v>
          </cell>
          <cell r="AL364">
            <v>5.85</v>
          </cell>
          <cell r="AV364">
            <v>1</v>
          </cell>
          <cell r="AW364">
            <v>1.0189999999999999</v>
          </cell>
          <cell r="BI364">
            <v>1</v>
          </cell>
          <cell r="BS364">
            <v>1</v>
          </cell>
          <cell r="DD364"/>
          <cell r="DN364">
            <v>0</v>
          </cell>
          <cell r="DO364">
            <v>0</v>
          </cell>
        </row>
        <row r="366">
          <cell r="E366" t="str">
            <v>77</v>
          </cell>
          <cell r="F366" t="str">
            <v>1.1-1-1273</v>
          </cell>
          <cell r="H366" t="str">
            <v>м</v>
          </cell>
          <cell r="I366">
            <v>71.400000000000006</v>
          </cell>
          <cell r="X366">
            <v>0</v>
          </cell>
          <cell r="Y366">
            <v>0</v>
          </cell>
          <cell r="AE366">
            <v>0</v>
          </cell>
          <cell r="AF366">
            <v>0</v>
          </cell>
          <cell r="AL366">
            <v>10.38</v>
          </cell>
          <cell r="AV366">
            <v>1</v>
          </cell>
          <cell r="AW366">
            <v>1.0189999999999999</v>
          </cell>
          <cell r="BI366">
            <v>1</v>
          </cell>
          <cell r="BS366">
            <v>1</v>
          </cell>
          <cell r="DD366"/>
          <cell r="DN366">
            <v>0</v>
          </cell>
          <cell r="DO366">
            <v>0</v>
          </cell>
        </row>
        <row r="374">
          <cell r="G374" t="str">
            <v>П2-5, П2-5р</v>
          </cell>
        </row>
        <row r="580">
          <cell r="G580" t="str">
            <v>К2-10, К2-11р</v>
          </cell>
        </row>
        <row r="601">
          <cell r="E601" t="str">
            <v>123</v>
          </cell>
          <cell r="F601" t="str">
            <v>3.29-1939-2</v>
          </cell>
          <cell r="H601" t="str">
            <v>1 М</v>
          </cell>
          <cell r="I601">
            <v>22.64</v>
          </cell>
          <cell r="P601">
            <v>886.21</v>
          </cell>
          <cell r="Q601">
            <v>6.27</v>
          </cell>
          <cell r="S601">
            <v>8347.7199999999993</v>
          </cell>
          <cell r="U601">
            <v>16.909815999999999</v>
          </cell>
          <cell r="X601">
            <v>5676.45</v>
          </cell>
          <cell r="Y601">
            <v>3589.52</v>
          </cell>
          <cell r="AC601">
            <v>15.11</v>
          </cell>
          <cell r="AE601">
            <v>0</v>
          </cell>
          <cell r="AF601">
            <v>14.261799999999999</v>
          </cell>
          <cell r="AL601">
            <v>15.11</v>
          </cell>
          <cell r="AM601">
            <v>7.0000000000000007E-2</v>
          </cell>
          <cell r="AO601">
            <v>8.5399999999999991</v>
          </cell>
          <cell r="AQ601">
            <v>0.7</v>
          </cell>
          <cell r="AV601">
            <v>1.0669999999999999</v>
          </cell>
          <cell r="AW601">
            <v>1.028</v>
          </cell>
          <cell r="BA601">
            <v>24.23</v>
          </cell>
          <cell r="BB601">
            <v>3.71</v>
          </cell>
          <cell r="BC601">
            <v>2.52</v>
          </cell>
          <cell r="BI601">
            <v>1</v>
          </cell>
          <cell r="BS601">
            <v>24.23</v>
          </cell>
          <cell r="BZ601">
            <v>68</v>
          </cell>
          <cell r="CA601">
            <v>43</v>
          </cell>
          <cell r="DD601"/>
          <cell r="DE601"/>
          <cell r="DG601" t="str">
            <v>)*1,67</v>
          </cell>
          <cell r="DI601"/>
          <cell r="DN601">
            <v>79</v>
          </cell>
          <cell r="DO601">
            <v>70</v>
          </cell>
          <cell r="ET601">
            <v>7.0000000000000007E-2</v>
          </cell>
          <cell r="EU601">
            <v>0</v>
          </cell>
        </row>
        <row r="603">
          <cell r="E603" t="str">
            <v>123,1</v>
          </cell>
          <cell r="F603" t="str">
            <v>1.12-7-187</v>
          </cell>
          <cell r="H603" t="str">
            <v>м</v>
          </cell>
          <cell r="I603">
            <v>22.64</v>
          </cell>
          <cell r="O603">
            <v>2486.36</v>
          </cell>
          <cell r="X603">
            <v>0</v>
          </cell>
          <cell r="Y603">
            <v>0</v>
          </cell>
          <cell r="AC603">
            <v>7.73</v>
          </cell>
          <cell r="AE603">
            <v>0</v>
          </cell>
          <cell r="AF603">
            <v>0</v>
          </cell>
          <cell r="AK603">
            <v>7.73</v>
          </cell>
          <cell r="AV603">
            <v>1</v>
          </cell>
          <cell r="AW603">
            <v>1.028</v>
          </cell>
          <cell r="BC603">
            <v>13.82</v>
          </cell>
          <cell r="BI603">
            <v>1</v>
          </cell>
          <cell r="BS603">
            <v>1</v>
          </cell>
          <cell r="DN603">
            <v>79</v>
          </cell>
          <cell r="DO603">
            <v>70</v>
          </cell>
          <cell r="ET603">
            <v>0</v>
          </cell>
          <cell r="EU603">
            <v>0</v>
          </cell>
        </row>
        <row r="605">
          <cell r="E605" t="str">
            <v>124</v>
          </cell>
          <cell r="F605" t="str">
            <v>3.29-1939-5</v>
          </cell>
          <cell r="H605" t="str">
            <v>1 М</v>
          </cell>
          <cell r="I605">
            <v>22.64</v>
          </cell>
          <cell r="P605">
            <v>863.53</v>
          </cell>
          <cell r="Q605">
            <v>10.38</v>
          </cell>
          <cell r="S605">
            <v>9735.86</v>
          </cell>
          <cell r="U605">
            <v>19.808641599999998</v>
          </cell>
          <cell r="X605">
            <v>6620.38</v>
          </cell>
          <cell r="Y605">
            <v>4186.42</v>
          </cell>
          <cell r="AC605">
            <v>14.55</v>
          </cell>
          <cell r="AE605">
            <v>0</v>
          </cell>
          <cell r="AF605">
            <v>16.633199999999999</v>
          </cell>
          <cell r="AL605">
            <v>14.55</v>
          </cell>
          <cell r="AM605">
            <v>0.12</v>
          </cell>
          <cell r="AO605">
            <v>9.9600000000000009</v>
          </cell>
          <cell r="AQ605">
            <v>0.82</v>
          </cell>
          <cell r="AV605">
            <v>1.0669999999999999</v>
          </cell>
          <cell r="AW605">
            <v>1.028</v>
          </cell>
          <cell r="BA605">
            <v>24.23</v>
          </cell>
          <cell r="BB605">
            <v>3.58</v>
          </cell>
          <cell r="BC605">
            <v>2.5499999999999998</v>
          </cell>
          <cell r="BI605">
            <v>1</v>
          </cell>
          <cell r="BS605">
            <v>24.23</v>
          </cell>
          <cell r="BZ605">
            <v>68</v>
          </cell>
          <cell r="CA605">
            <v>43</v>
          </cell>
          <cell r="DD605"/>
          <cell r="DE605"/>
          <cell r="DG605" t="str">
            <v>)*1,67</v>
          </cell>
          <cell r="DI605"/>
          <cell r="DN605">
            <v>79</v>
          </cell>
          <cell r="DO605">
            <v>70</v>
          </cell>
          <cell r="ET605">
            <v>0.12</v>
          </cell>
          <cell r="EU605">
            <v>0</v>
          </cell>
        </row>
        <row r="607">
          <cell r="E607" t="str">
            <v>124,1</v>
          </cell>
          <cell r="F607" t="str">
            <v>1.12-7-189</v>
          </cell>
          <cell r="H607" t="str">
            <v>м</v>
          </cell>
          <cell r="I607">
            <v>22.64</v>
          </cell>
          <cell r="O607">
            <v>6135.07</v>
          </cell>
          <cell r="X607">
            <v>0</v>
          </cell>
          <cell r="Y607">
            <v>0</v>
          </cell>
          <cell r="AC607">
            <v>17.55</v>
          </cell>
          <cell r="AE607">
            <v>0</v>
          </cell>
          <cell r="AF607">
            <v>0</v>
          </cell>
          <cell r="AK607">
            <v>17.55</v>
          </cell>
          <cell r="AV607">
            <v>1</v>
          </cell>
          <cell r="AW607">
            <v>1.028</v>
          </cell>
          <cell r="BC607">
            <v>15.02</v>
          </cell>
          <cell r="BI607">
            <v>1</v>
          </cell>
          <cell r="BS607">
            <v>1</v>
          </cell>
          <cell r="DN607">
            <v>79</v>
          </cell>
          <cell r="DO607">
            <v>70</v>
          </cell>
          <cell r="ET607">
            <v>0</v>
          </cell>
          <cell r="EU607">
            <v>0</v>
          </cell>
        </row>
        <row r="609">
          <cell r="E609" t="str">
            <v>125</v>
          </cell>
          <cell r="F609" t="str">
            <v>3.26-16-1</v>
          </cell>
          <cell r="H609" t="str">
            <v>10 м изоляции</v>
          </cell>
          <cell r="I609">
            <v>4.3120000000000003</v>
          </cell>
          <cell r="P609">
            <v>5217.37</v>
          </cell>
          <cell r="Q609">
            <v>747.19</v>
          </cell>
          <cell r="R609">
            <v>482.18</v>
          </cell>
          <cell r="S609">
            <v>5224.71</v>
          </cell>
          <cell r="U609">
            <v>9.9322607999999999</v>
          </cell>
          <cell r="X609">
            <v>4127.5200000000004</v>
          </cell>
          <cell r="Y609">
            <v>2142.13</v>
          </cell>
          <cell r="AC609">
            <v>59.82</v>
          </cell>
          <cell r="AE609">
            <v>4.4088000000000003</v>
          </cell>
          <cell r="AF609">
            <v>47.762</v>
          </cell>
          <cell r="AL609">
            <v>59.82</v>
          </cell>
          <cell r="AM609">
            <v>13.2</v>
          </cell>
          <cell r="AN609">
            <v>2.64</v>
          </cell>
          <cell r="AO609">
            <v>28.6</v>
          </cell>
          <cell r="AQ609">
            <v>2.2000000000000002</v>
          </cell>
          <cell r="AV609">
            <v>1.0469999999999999</v>
          </cell>
          <cell r="AW609">
            <v>1.0189999999999999</v>
          </cell>
          <cell r="BA609">
            <v>24.23</v>
          </cell>
          <cell r="BB609">
            <v>9.2899999999999991</v>
          </cell>
          <cell r="BC609">
            <v>19.850000000000001</v>
          </cell>
          <cell r="BI609">
            <v>1</v>
          </cell>
          <cell r="BS609">
            <v>24.23</v>
          </cell>
          <cell r="BZ609">
            <v>79</v>
          </cell>
          <cell r="CA609">
            <v>41</v>
          </cell>
          <cell r="DD609"/>
          <cell r="DE609"/>
          <cell r="DG609" t="str">
            <v>)*1,67</v>
          </cell>
          <cell r="DI609"/>
          <cell r="DN609">
            <v>98</v>
          </cell>
          <cell r="DO609">
            <v>73</v>
          </cell>
          <cell r="ET609">
            <v>13.2</v>
          </cell>
          <cell r="EU609">
            <v>2.64</v>
          </cell>
        </row>
        <row r="611">
          <cell r="E611" t="str">
            <v>126</v>
          </cell>
          <cell r="F611" t="str">
            <v>1.1-1-1289</v>
          </cell>
          <cell r="H611" t="str">
            <v>м</v>
          </cell>
          <cell r="I611">
            <v>22.64</v>
          </cell>
          <cell r="X611">
            <v>0</v>
          </cell>
          <cell r="Y611">
            <v>0</v>
          </cell>
          <cell r="AE611">
            <v>0</v>
          </cell>
          <cell r="AF611">
            <v>0</v>
          </cell>
          <cell r="AL611">
            <v>5.85</v>
          </cell>
          <cell r="AV611">
            <v>1</v>
          </cell>
          <cell r="AW611">
            <v>1.0189999999999999</v>
          </cell>
          <cell r="BI611">
            <v>1</v>
          </cell>
          <cell r="BS611">
            <v>1</v>
          </cell>
          <cell r="DD611"/>
          <cell r="DN611">
            <v>0</v>
          </cell>
          <cell r="DO611">
            <v>0</v>
          </cell>
        </row>
        <row r="613">
          <cell r="E613" t="str">
            <v>127</v>
          </cell>
          <cell r="F613" t="str">
            <v>1.1-1-1273</v>
          </cell>
          <cell r="H613" t="str">
            <v>м</v>
          </cell>
          <cell r="I613">
            <v>22.64</v>
          </cell>
          <cell r="X613">
            <v>0</v>
          </cell>
          <cell r="Y613">
            <v>0</v>
          </cell>
          <cell r="AE613">
            <v>0</v>
          </cell>
          <cell r="AF613">
            <v>0</v>
          </cell>
          <cell r="AL613">
            <v>10.38</v>
          </cell>
          <cell r="AV613">
            <v>1</v>
          </cell>
          <cell r="AW613">
            <v>1.0189999999999999</v>
          </cell>
          <cell r="BI613">
            <v>1</v>
          </cell>
          <cell r="BS613">
            <v>1</v>
          </cell>
          <cell r="DD613"/>
          <cell r="DN613">
            <v>0</v>
          </cell>
          <cell r="DO613">
            <v>0</v>
          </cell>
        </row>
        <row r="621">
          <cell r="G621" t="str">
            <v>К2-10, К2-11р</v>
          </cell>
        </row>
        <row r="651">
          <cell r="G651" t="str">
            <v>К2-12, К2-13р</v>
          </cell>
        </row>
        <row r="670">
          <cell r="E670" t="str">
            <v>136</v>
          </cell>
          <cell r="F670" t="str">
            <v>3.29-1939-2</v>
          </cell>
          <cell r="H670" t="str">
            <v>1 М</v>
          </cell>
          <cell r="I670">
            <v>27.8</v>
          </cell>
          <cell r="P670">
            <v>1088.19</v>
          </cell>
          <cell r="Q670">
            <v>7.72</v>
          </cell>
          <cell r="S670">
            <v>10250.26</v>
          </cell>
          <cell r="U670">
            <v>20.763819999999999</v>
          </cell>
          <cell r="X670">
            <v>6970.18</v>
          </cell>
          <cell r="Y670">
            <v>4407.6099999999997</v>
          </cell>
          <cell r="AC670">
            <v>15.11</v>
          </cell>
          <cell r="AE670">
            <v>0</v>
          </cell>
          <cell r="AF670">
            <v>14.261799999999999</v>
          </cell>
          <cell r="AL670">
            <v>15.11</v>
          </cell>
          <cell r="AM670">
            <v>7.0000000000000007E-2</v>
          </cell>
          <cell r="AO670">
            <v>8.5399999999999991</v>
          </cell>
          <cell r="AQ670">
            <v>0.7</v>
          </cell>
          <cell r="AV670">
            <v>1.0669999999999999</v>
          </cell>
          <cell r="AW670">
            <v>1.028</v>
          </cell>
          <cell r="BA670">
            <v>24.23</v>
          </cell>
          <cell r="BB670">
            <v>3.71</v>
          </cell>
          <cell r="BC670">
            <v>2.52</v>
          </cell>
          <cell r="BI670">
            <v>1</v>
          </cell>
          <cell r="BS670">
            <v>24.23</v>
          </cell>
          <cell r="BZ670">
            <v>68</v>
          </cell>
          <cell r="CA670">
            <v>43</v>
          </cell>
          <cell r="DD670"/>
          <cell r="DE670"/>
          <cell r="DG670" t="str">
            <v>)*1,67</v>
          </cell>
          <cell r="DI670"/>
          <cell r="DN670">
            <v>79</v>
          </cell>
          <cell r="DO670">
            <v>70</v>
          </cell>
          <cell r="ET670">
            <v>7.0000000000000007E-2</v>
          </cell>
          <cell r="EU670">
            <v>0</v>
          </cell>
        </row>
        <row r="672">
          <cell r="E672" t="str">
            <v>136,1</v>
          </cell>
          <cell r="F672" t="str">
            <v>1.12-7-187</v>
          </cell>
          <cell r="H672" t="str">
            <v>м</v>
          </cell>
          <cell r="I672">
            <v>27.8</v>
          </cell>
          <cell r="O672">
            <v>3052.98</v>
          </cell>
          <cell r="X672">
            <v>0</v>
          </cell>
          <cell r="Y672">
            <v>0</v>
          </cell>
          <cell r="AC672">
            <v>7.73</v>
          </cell>
          <cell r="AE672">
            <v>0</v>
          </cell>
          <cell r="AF672">
            <v>0</v>
          </cell>
          <cell r="AK672">
            <v>7.73</v>
          </cell>
          <cell r="AV672">
            <v>1</v>
          </cell>
          <cell r="AW672">
            <v>1.028</v>
          </cell>
          <cell r="BC672">
            <v>13.82</v>
          </cell>
          <cell r="BI672">
            <v>1</v>
          </cell>
          <cell r="BS672">
            <v>1</v>
          </cell>
          <cell r="DN672">
            <v>79</v>
          </cell>
          <cell r="DO672">
            <v>70</v>
          </cell>
          <cell r="ET672">
            <v>0</v>
          </cell>
          <cell r="EU672">
            <v>0</v>
          </cell>
        </row>
        <row r="674">
          <cell r="E674" t="str">
            <v>137</v>
          </cell>
          <cell r="F674" t="str">
            <v>3.29-1939-4</v>
          </cell>
          <cell r="H674" t="str">
            <v>1 М</v>
          </cell>
          <cell r="I674">
            <v>27.8</v>
          </cell>
          <cell r="P674">
            <v>1108.42</v>
          </cell>
          <cell r="Q674">
            <v>7.72</v>
          </cell>
          <cell r="S674">
            <v>10694.4</v>
          </cell>
          <cell r="U674">
            <v>21.653697999999999</v>
          </cell>
          <cell r="X674">
            <v>7272.19</v>
          </cell>
          <cell r="Y674">
            <v>4598.59</v>
          </cell>
          <cell r="AC674">
            <v>15.33</v>
          </cell>
          <cell r="AE674">
            <v>0</v>
          </cell>
          <cell r="AF674">
            <v>14.8797</v>
          </cell>
          <cell r="AL674">
            <v>15.33</v>
          </cell>
          <cell r="AM674">
            <v>7.0000000000000007E-2</v>
          </cell>
          <cell r="AO674">
            <v>8.91</v>
          </cell>
          <cell r="AQ674">
            <v>0.73</v>
          </cell>
          <cell r="AV674">
            <v>1.0669999999999999</v>
          </cell>
          <cell r="AW674">
            <v>1.028</v>
          </cell>
          <cell r="BA674">
            <v>24.23</v>
          </cell>
          <cell r="BB674">
            <v>3.71</v>
          </cell>
          <cell r="BC674">
            <v>2.5299999999999998</v>
          </cell>
          <cell r="BI674">
            <v>1</v>
          </cell>
          <cell r="BS674">
            <v>24.23</v>
          </cell>
          <cell r="BZ674">
            <v>68</v>
          </cell>
          <cell r="CA674">
            <v>43</v>
          </cell>
          <cell r="DD674"/>
          <cell r="DE674"/>
          <cell r="DG674" t="str">
            <v>)*1,67</v>
          </cell>
          <cell r="DI674"/>
          <cell r="DN674">
            <v>79</v>
          </cell>
          <cell r="DO674">
            <v>70</v>
          </cell>
          <cell r="ET674">
            <v>7.0000000000000007E-2</v>
          </cell>
          <cell r="EU674">
            <v>0</v>
          </cell>
        </row>
        <row r="676">
          <cell r="E676" t="str">
            <v>137,1</v>
          </cell>
          <cell r="F676" t="str">
            <v>1.12-7-192</v>
          </cell>
          <cell r="H676" t="str">
            <v>м</v>
          </cell>
          <cell r="I676">
            <v>27.8</v>
          </cell>
          <cell r="O676">
            <v>6861.33</v>
          </cell>
          <cell r="X676">
            <v>0</v>
          </cell>
          <cell r="Y676">
            <v>0</v>
          </cell>
          <cell r="AC676">
            <v>15.1</v>
          </cell>
          <cell r="AE676">
            <v>0</v>
          </cell>
          <cell r="AF676">
            <v>0</v>
          </cell>
          <cell r="AK676">
            <v>15.1</v>
          </cell>
          <cell r="AV676">
            <v>1</v>
          </cell>
          <cell r="AW676">
            <v>1.028</v>
          </cell>
          <cell r="BC676">
            <v>15.9</v>
          </cell>
          <cell r="BI676">
            <v>1</v>
          </cell>
          <cell r="BS676">
            <v>1</v>
          </cell>
          <cell r="DN676">
            <v>79</v>
          </cell>
          <cell r="DO676">
            <v>70</v>
          </cell>
          <cell r="ET676">
            <v>0</v>
          </cell>
          <cell r="EU676">
            <v>0</v>
          </cell>
        </row>
        <row r="698">
          <cell r="G698" t="str">
            <v>К2-12, К2-13р</v>
          </cell>
        </row>
        <row r="728">
          <cell r="G728" t="str">
            <v>К2-21</v>
          </cell>
        </row>
        <row r="813">
          <cell r="E813" t="str">
            <v>175</v>
          </cell>
          <cell r="F813" t="str">
            <v>4.8-158-1</v>
          </cell>
          <cell r="H813" t="str">
            <v>1 Т</v>
          </cell>
          <cell r="I813">
            <v>8.7017700000000003E-2</v>
          </cell>
          <cell r="P813">
            <v>47.26</v>
          </cell>
          <cell r="Q813">
            <v>495.17</v>
          </cell>
          <cell r="R813">
            <v>215.4</v>
          </cell>
          <cell r="S813">
            <v>2668.21</v>
          </cell>
          <cell r="U813">
            <v>5.3480121225300001</v>
          </cell>
          <cell r="X813">
            <v>2401.39</v>
          </cell>
          <cell r="Y813">
            <v>1147.33</v>
          </cell>
          <cell r="AC813">
            <v>97.3</v>
          </cell>
          <cell r="AE813">
            <v>97.528000000000006</v>
          </cell>
          <cell r="AF813">
            <v>1208.6958999999999</v>
          </cell>
          <cell r="AL813">
            <v>97.3</v>
          </cell>
          <cell r="AM813">
            <v>611.48</v>
          </cell>
          <cell r="AN813">
            <v>58.4</v>
          </cell>
          <cell r="AO813">
            <v>723.77</v>
          </cell>
          <cell r="AQ813">
            <v>58.7</v>
          </cell>
          <cell r="AV813">
            <v>1.0469999999999999</v>
          </cell>
          <cell r="AW813">
            <v>1</v>
          </cell>
          <cell r="BA813">
            <v>24.23</v>
          </cell>
          <cell r="BB813">
            <v>7.34</v>
          </cell>
          <cell r="BC813">
            <v>5.58</v>
          </cell>
          <cell r="BI813">
            <v>2</v>
          </cell>
          <cell r="BS813">
            <v>24.23</v>
          </cell>
          <cell r="BZ813">
            <v>90</v>
          </cell>
          <cell r="CA813">
            <v>43</v>
          </cell>
          <cell r="DD813"/>
          <cell r="DE813"/>
          <cell r="DG813" t="str">
            <v>)*1,67</v>
          </cell>
          <cell r="DI813"/>
          <cell r="DN813">
            <v>112</v>
          </cell>
          <cell r="DO813">
            <v>70</v>
          </cell>
          <cell r="ET813">
            <v>611.48</v>
          </cell>
          <cell r="EU813">
            <v>58.4</v>
          </cell>
        </row>
        <row r="815">
          <cell r="E815" t="str">
            <v>176</v>
          </cell>
          <cell r="F815" t="str">
            <v>МКЭ-33-1475/7-1 от 09.08.2017г.</v>
          </cell>
          <cell r="H815" t="str">
            <v>м</v>
          </cell>
          <cell r="I815">
            <v>56.5</v>
          </cell>
          <cell r="X815">
            <v>0</v>
          </cell>
          <cell r="Y815">
            <v>0</v>
          </cell>
          <cell r="AE815">
            <v>0</v>
          </cell>
          <cell r="AF815">
            <v>0</v>
          </cell>
          <cell r="AV815">
            <v>1</v>
          </cell>
          <cell r="AW815">
            <v>1</v>
          </cell>
          <cell r="BI815">
            <v>1</v>
          </cell>
          <cell r="BS815">
            <v>1</v>
          </cell>
          <cell r="DN815">
            <v>0</v>
          </cell>
          <cell r="DO815">
            <v>0</v>
          </cell>
        </row>
        <row r="821">
          <cell r="E821" t="str">
            <v>179</v>
          </cell>
          <cell r="F821" t="str">
            <v>4.8-83-7</v>
          </cell>
          <cell r="H821" t="str">
            <v>100 шт.</v>
          </cell>
          <cell r="I821">
            <v>0.48</v>
          </cell>
          <cell r="P821">
            <v>3.18</v>
          </cell>
          <cell r="Q821">
            <v>60.48</v>
          </cell>
          <cell r="R821">
            <v>41.68</v>
          </cell>
          <cell r="S821">
            <v>536.21</v>
          </cell>
          <cell r="U821">
            <v>1.0748256</v>
          </cell>
          <cell r="X821">
            <v>482.59</v>
          </cell>
          <cell r="Y821">
            <v>230.57</v>
          </cell>
          <cell r="AC821">
            <v>1.19</v>
          </cell>
          <cell r="AE821">
            <v>3.2898999999999998</v>
          </cell>
          <cell r="AF821">
            <v>42.417999999999999</v>
          </cell>
          <cell r="AL821">
            <v>1.19</v>
          </cell>
          <cell r="AM821">
            <v>8.4700000000000006</v>
          </cell>
          <cell r="AN821">
            <v>1.97</v>
          </cell>
          <cell r="AO821">
            <v>25.4</v>
          </cell>
          <cell r="AQ821">
            <v>2.06</v>
          </cell>
          <cell r="AV821">
            <v>1.087</v>
          </cell>
          <cell r="AW821">
            <v>1</v>
          </cell>
          <cell r="BA821">
            <v>24.23</v>
          </cell>
          <cell r="BB821">
            <v>9.9</v>
          </cell>
          <cell r="BC821">
            <v>5.58</v>
          </cell>
          <cell r="BI821">
            <v>2</v>
          </cell>
          <cell r="BS821">
            <v>24.23</v>
          </cell>
          <cell r="BZ821">
            <v>90</v>
          </cell>
          <cell r="CA821">
            <v>43</v>
          </cell>
          <cell r="DD821"/>
          <cell r="DE821"/>
          <cell r="DG821" t="str">
            <v>)*1,67</v>
          </cell>
          <cell r="DI821"/>
          <cell r="DN821">
            <v>112</v>
          </cell>
          <cell r="DO821">
            <v>70</v>
          </cell>
          <cell r="ET821">
            <v>8.4700000000000006</v>
          </cell>
          <cell r="EU821">
            <v>1.97</v>
          </cell>
        </row>
        <row r="823">
          <cell r="E823" t="str">
            <v>180</v>
          </cell>
          <cell r="F823" t="str">
            <v>1.21-5-563</v>
          </cell>
          <cell r="H823" t="str">
            <v>шт.</v>
          </cell>
          <cell r="I823">
            <v>48</v>
          </cell>
          <cell r="P823">
            <v>2932.3</v>
          </cell>
          <cell r="X823">
            <v>0</v>
          </cell>
          <cell r="Y823">
            <v>0</v>
          </cell>
          <cell r="AC823">
            <v>69.42</v>
          </cell>
          <cell r="AE823">
            <v>0</v>
          </cell>
          <cell r="AF823">
            <v>0</v>
          </cell>
          <cell r="AL823">
            <v>69.42</v>
          </cell>
          <cell r="AV823">
            <v>1</v>
          </cell>
          <cell r="AW823">
            <v>1</v>
          </cell>
          <cell r="BC823">
            <v>0.88</v>
          </cell>
          <cell r="BI823">
            <v>2</v>
          </cell>
          <cell r="BS823">
            <v>1</v>
          </cell>
          <cell r="DD823"/>
          <cell r="DN823">
            <v>0</v>
          </cell>
          <cell r="DO823">
            <v>0</v>
          </cell>
        </row>
        <row r="825">
          <cell r="E825" t="str">
            <v>181</v>
          </cell>
          <cell r="F825" t="str">
            <v>1.1-1-3627</v>
          </cell>
          <cell r="H825" t="str">
            <v>шт.</v>
          </cell>
          <cell r="I825">
            <v>40</v>
          </cell>
          <cell r="P825">
            <v>5317.25</v>
          </cell>
          <cell r="X825">
            <v>0</v>
          </cell>
          <cell r="Y825">
            <v>0</v>
          </cell>
          <cell r="AC825">
            <v>36.32</v>
          </cell>
          <cell r="AE825">
            <v>0</v>
          </cell>
          <cell r="AF825">
            <v>0</v>
          </cell>
          <cell r="AL825">
            <v>36.32</v>
          </cell>
          <cell r="AV825">
            <v>1</v>
          </cell>
          <cell r="AW825">
            <v>1</v>
          </cell>
          <cell r="BC825">
            <v>3.66</v>
          </cell>
          <cell r="BI825">
            <v>1</v>
          </cell>
          <cell r="BS825">
            <v>1</v>
          </cell>
          <cell r="DD825"/>
          <cell r="DN825">
            <v>0</v>
          </cell>
          <cell r="DO825">
            <v>0</v>
          </cell>
        </row>
        <row r="827">
          <cell r="E827" t="str">
            <v>182</v>
          </cell>
          <cell r="F827" t="str">
            <v>4.8-83-4</v>
          </cell>
          <cell r="H827" t="str">
            <v>100 шт.</v>
          </cell>
          <cell r="I827">
            <v>9.7500000000000003E-2</v>
          </cell>
          <cell r="P827">
            <v>71.2</v>
          </cell>
          <cell r="Q827">
            <v>719.61999999999989</v>
          </cell>
          <cell r="R827">
            <v>249.57</v>
          </cell>
          <cell r="S827">
            <v>1306</v>
          </cell>
          <cell r="U827">
            <v>2.6177677499999996</v>
          </cell>
          <cell r="X827">
            <v>1175.4000000000001</v>
          </cell>
          <cell r="Y827">
            <v>561.58000000000004</v>
          </cell>
          <cell r="AC827">
            <v>130.9</v>
          </cell>
          <cell r="AE827">
            <v>97.177300000000002</v>
          </cell>
          <cell r="AF827">
            <v>508.5985</v>
          </cell>
          <cell r="AL827">
            <v>130.9</v>
          </cell>
          <cell r="AM827">
            <v>855.92</v>
          </cell>
          <cell r="AN827">
            <v>58.19</v>
          </cell>
          <cell r="AO827">
            <v>304.55</v>
          </cell>
          <cell r="AQ827">
            <v>24.7</v>
          </cell>
          <cell r="AV827">
            <v>1.087</v>
          </cell>
          <cell r="AW827">
            <v>1</v>
          </cell>
          <cell r="BA827">
            <v>24.23</v>
          </cell>
          <cell r="BB827">
            <v>6.83</v>
          </cell>
          <cell r="BC827">
            <v>5.58</v>
          </cell>
          <cell r="BI827">
            <v>2</v>
          </cell>
          <cell r="BS827">
            <v>24.23</v>
          </cell>
          <cell r="BZ827">
            <v>90</v>
          </cell>
          <cell r="CA827">
            <v>43</v>
          </cell>
          <cell r="DD827"/>
          <cell r="DE827"/>
          <cell r="DG827" t="str">
            <v>)*1,67</v>
          </cell>
          <cell r="DI827"/>
          <cell r="DN827">
            <v>112</v>
          </cell>
          <cell r="DO827">
            <v>70</v>
          </cell>
          <cell r="ET827">
            <v>855.92</v>
          </cell>
          <cell r="EU827">
            <v>58.19</v>
          </cell>
        </row>
        <row r="829">
          <cell r="E829" t="str">
            <v>183</v>
          </cell>
          <cell r="F829" t="str">
            <v>1.7-5-261</v>
          </cell>
          <cell r="H829" t="str">
            <v>100 шт.</v>
          </cell>
          <cell r="I829">
            <v>0.16</v>
          </cell>
          <cell r="P829">
            <v>215.46</v>
          </cell>
          <cell r="X829">
            <v>0</v>
          </cell>
          <cell r="Y829">
            <v>0</v>
          </cell>
          <cell r="AC829">
            <v>126.58</v>
          </cell>
          <cell r="AE829">
            <v>0</v>
          </cell>
          <cell r="AF829">
            <v>0</v>
          </cell>
          <cell r="AL829">
            <v>126.58</v>
          </cell>
          <cell r="AV829">
            <v>1</v>
          </cell>
          <cell r="AW829">
            <v>1</v>
          </cell>
          <cell r="BC829">
            <v>10.64</v>
          </cell>
          <cell r="BI829">
            <v>1</v>
          </cell>
          <cell r="BS829">
            <v>1</v>
          </cell>
          <cell r="DD829"/>
          <cell r="DN829">
            <v>0</v>
          </cell>
          <cell r="DO829">
            <v>0</v>
          </cell>
        </row>
        <row r="831">
          <cell r="E831" t="str">
            <v>184</v>
          </cell>
          <cell r="F831" t="str">
            <v>МКЭ-33-257/9-3 от 01.04.2019г.</v>
          </cell>
          <cell r="H831" t="str">
            <v>м</v>
          </cell>
          <cell r="I831">
            <v>19.5</v>
          </cell>
          <cell r="X831">
            <v>0</v>
          </cell>
          <cell r="Y831">
            <v>0</v>
          </cell>
          <cell r="AE831">
            <v>0</v>
          </cell>
          <cell r="AF831">
            <v>0</v>
          </cell>
          <cell r="AV831">
            <v>1</v>
          </cell>
          <cell r="BI831">
            <v>1</v>
          </cell>
          <cell r="BS831">
            <v>1</v>
          </cell>
          <cell r="DN831">
            <v>0</v>
          </cell>
          <cell r="DO831">
            <v>0</v>
          </cell>
        </row>
        <row r="837">
          <cell r="G837" t="str">
            <v>К2-21</v>
          </cell>
        </row>
        <row r="927">
          <cell r="G927" t="str">
            <v>48875-ТПК-5-0707-Р-ССР2-изм.1.1-доп.1_12-4017-Л-Р-11.4.3.1-ОВ1.2-СМ1К (взамен локальной сметы №12-4017-Л-Р-11.4.3.1-ОВ1.2-СМ1)</v>
          </cell>
        </row>
      </sheetData>
      <sheetData sheetId="2" refreshError="1"/>
      <sheetData sheetId="3" refreshError="1"/>
      <sheetData sheetId="4" refreshError="1"/>
    </sheetDataSet>
  </externalBook>
</externalLink>
</file>

<file path=xl/externalLinks/externalLink10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Акт КС-2 по ТСН-2001"/>
      <sheetName val="Source"/>
      <sheetName val="SourceObSm"/>
      <sheetName val="SmtRes"/>
      <sheetName val="EtalonRes"/>
    </sheetNames>
    <sheetDataSet>
      <sheetData sheetId="0" refreshError="1"/>
      <sheetData sheetId="1">
        <row r="1">
          <cell r="B1" t="str">
            <v>Smeta.RU  (495) 974-1589</v>
          </cell>
        </row>
        <row r="71">
          <cell r="G71" t="str">
            <v>П2-10</v>
          </cell>
        </row>
        <row r="80">
          <cell r="E80" t="str">
            <v>5</v>
          </cell>
          <cell r="F80" t="str">
            <v>3.20-24-1</v>
          </cell>
          <cell r="H80" t="str">
            <v>1  ШТ.</v>
          </cell>
          <cell r="I80">
            <v>1</v>
          </cell>
          <cell r="P80">
            <v>34.76</v>
          </cell>
          <cell r="Q80">
            <v>21.88</v>
          </cell>
          <cell r="R80">
            <v>15.02</v>
          </cell>
          <cell r="S80">
            <v>539.6</v>
          </cell>
          <cell r="U80">
            <v>1.16303</v>
          </cell>
          <cell r="X80">
            <v>539.6</v>
          </cell>
          <cell r="Y80">
            <v>242.82</v>
          </cell>
          <cell r="AC80">
            <v>6.23</v>
          </cell>
          <cell r="AE80">
            <v>0.58450000000000002</v>
          </cell>
          <cell r="AF80">
            <v>20.875</v>
          </cell>
          <cell r="AL80">
            <v>6.23</v>
          </cell>
          <cell r="AM80">
            <v>1.49</v>
          </cell>
          <cell r="AN80">
            <v>0.35</v>
          </cell>
          <cell r="AO80">
            <v>12.5</v>
          </cell>
          <cell r="AQ80">
            <v>1.0900000000000001</v>
          </cell>
          <cell r="AV80">
            <v>1.0669999999999999</v>
          </cell>
          <cell r="AW80">
            <v>1</v>
          </cell>
          <cell r="BA80">
            <v>24.23</v>
          </cell>
          <cell r="BB80">
            <v>9.9499999999999993</v>
          </cell>
          <cell r="BC80">
            <v>5.58</v>
          </cell>
          <cell r="BI80">
            <v>1</v>
          </cell>
          <cell r="BS80">
            <v>24.23</v>
          </cell>
          <cell r="BZ80">
            <v>100</v>
          </cell>
          <cell r="CA80">
            <v>45</v>
          </cell>
          <cell r="DD80"/>
          <cell r="DE80"/>
          <cell r="DG80" t="str">
            <v>)*1,67</v>
          </cell>
          <cell r="DI80"/>
          <cell r="DN80">
            <v>125</v>
          </cell>
          <cell r="DO80">
            <v>94</v>
          </cell>
          <cell r="ET80">
            <v>1.49</v>
          </cell>
          <cell r="EU80">
            <v>0.35</v>
          </cell>
        </row>
        <row r="82">
          <cell r="E82" t="str">
            <v>5,1</v>
          </cell>
          <cell r="F82" t="str">
            <v>1.19-11-13</v>
          </cell>
          <cell r="H82" t="str">
            <v>шт.</v>
          </cell>
          <cell r="I82">
            <v>1</v>
          </cell>
          <cell r="O82">
            <v>2530.36</v>
          </cell>
          <cell r="X82">
            <v>0</v>
          </cell>
          <cell r="Y82">
            <v>0</v>
          </cell>
          <cell r="AC82">
            <v>1076.75</v>
          </cell>
          <cell r="AE82">
            <v>0</v>
          </cell>
          <cell r="AF82">
            <v>0</v>
          </cell>
          <cell r="AK82">
            <v>1076.75</v>
          </cell>
          <cell r="AV82">
            <v>1</v>
          </cell>
          <cell r="AW82">
            <v>1</v>
          </cell>
          <cell r="BC82">
            <v>2.35</v>
          </cell>
          <cell r="BI82">
            <v>1</v>
          </cell>
          <cell r="BS82">
            <v>1</v>
          </cell>
          <cell r="DN82">
            <v>125</v>
          </cell>
          <cell r="DO82">
            <v>94</v>
          </cell>
          <cell r="ET82">
            <v>0</v>
          </cell>
          <cell r="EU82">
            <v>0</v>
          </cell>
        </row>
        <row r="84">
          <cell r="G84" t="str">
            <v>П2-10</v>
          </cell>
        </row>
        <row r="2454">
          <cell r="G2454" t="str">
            <v>Дополнительные материалы и оборудование</v>
          </cell>
        </row>
        <row r="2509">
          <cell r="E2509" t="str">
            <v>339</v>
          </cell>
          <cell r="F2509" t="str">
            <v>3.20-11-15</v>
          </cell>
          <cell r="H2509" t="str">
            <v>1 клапан</v>
          </cell>
          <cell r="I2509">
            <v>9</v>
          </cell>
          <cell r="P2509">
            <v>1163.5</v>
          </cell>
          <cell r="Q2509">
            <v>206.63</v>
          </cell>
          <cell r="R2509">
            <v>142.71</v>
          </cell>
          <cell r="S2509">
            <v>19290.47</v>
          </cell>
          <cell r="U2509">
            <v>40.534263000000003</v>
          </cell>
          <cell r="X2509">
            <v>19290.47</v>
          </cell>
          <cell r="Y2509">
            <v>8680.7099999999991</v>
          </cell>
          <cell r="AC2509">
            <v>15.67</v>
          </cell>
          <cell r="AE2509">
            <v>0.61372499999999997</v>
          </cell>
          <cell r="AF2509">
            <v>82.905479999999997</v>
          </cell>
          <cell r="AL2509">
            <v>15.67</v>
          </cell>
          <cell r="AM2509">
            <v>1.49</v>
          </cell>
          <cell r="AN2509">
            <v>0.35</v>
          </cell>
          <cell r="AO2509">
            <v>47.28</v>
          </cell>
          <cell r="AQ2509">
            <v>4.0199999999999996</v>
          </cell>
          <cell r="AV2509">
            <v>1.0669999999999999</v>
          </cell>
          <cell r="AW2509">
            <v>1</v>
          </cell>
          <cell r="BA2509">
            <v>24.23</v>
          </cell>
          <cell r="BB2509">
            <v>9.9499999999999993</v>
          </cell>
          <cell r="BC2509">
            <v>8.25</v>
          </cell>
          <cell r="BI2509">
            <v>1</v>
          </cell>
          <cell r="BS2509">
            <v>24.23</v>
          </cell>
          <cell r="BZ2509">
            <v>100</v>
          </cell>
          <cell r="CA2509">
            <v>45</v>
          </cell>
          <cell r="DD2509"/>
          <cell r="DE2509" t="str">
            <v>)*1,05</v>
          </cell>
          <cell r="DG2509" t="str">
            <v>)*1,05)*1,67</v>
          </cell>
          <cell r="DI2509" t="str">
            <v>)*1,05</v>
          </cell>
          <cell r="DN2509">
            <v>125</v>
          </cell>
          <cell r="DO2509">
            <v>94</v>
          </cell>
          <cell r="ET2509">
            <v>1.49</v>
          </cell>
          <cell r="EU2509">
            <v>0.35</v>
          </cell>
        </row>
        <row r="2513">
          <cell r="E2513" t="str">
            <v>341</v>
          </cell>
          <cell r="F2513" t="str">
            <v>МКЭ-33-1005/8-1 от 26.07.2018г.</v>
          </cell>
          <cell r="H2513" t="str">
            <v>шт.</v>
          </cell>
          <cell r="I2513">
            <v>2</v>
          </cell>
          <cell r="X2513">
            <v>0</v>
          </cell>
          <cell r="Y2513">
            <v>0</v>
          </cell>
          <cell r="AE2513">
            <v>0</v>
          </cell>
          <cell r="AF2513">
            <v>0</v>
          </cell>
          <cell r="AV2513">
            <v>1</v>
          </cell>
          <cell r="BI2513">
            <v>1</v>
          </cell>
          <cell r="BS2513">
            <v>1</v>
          </cell>
          <cell r="DN2513">
            <v>0</v>
          </cell>
          <cell r="DO2513">
            <v>0</v>
          </cell>
        </row>
        <row r="2517">
          <cell r="E2517" t="str">
            <v>343</v>
          </cell>
          <cell r="F2517" t="str">
            <v>МКЭ-33-1005/8-1 от 26.07.2018г.</v>
          </cell>
          <cell r="H2517" t="str">
            <v>шт.</v>
          </cell>
          <cell r="I2517">
            <v>3</v>
          </cell>
          <cell r="X2517">
            <v>0</v>
          </cell>
          <cell r="Y2517">
            <v>0</v>
          </cell>
          <cell r="AE2517">
            <v>0</v>
          </cell>
          <cell r="AF2517">
            <v>0</v>
          </cell>
          <cell r="AV2517">
            <v>1</v>
          </cell>
          <cell r="BI2517">
            <v>1</v>
          </cell>
          <cell r="BS2517">
            <v>1</v>
          </cell>
          <cell r="DN2517">
            <v>0</v>
          </cell>
          <cell r="DO2517">
            <v>0</v>
          </cell>
        </row>
        <row r="2521">
          <cell r="E2521" t="str">
            <v>345</v>
          </cell>
          <cell r="F2521" t="str">
            <v>МКЭ-33-1714/7-1 от 14.09.2017г.</v>
          </cell>
          <cell r="H2521" t="str">
            <v>шт.</v>
          </cell>
          <cell r="I2521">
            <v>3</v>
          </cell>
          <cell r="X2521">
            <v>0</v>
          </cell>
          <cell r="Y2521">
            <v>0</v>
          </cell>
          <cell r="AE2521">
            <v>0</v>
          </cell>
          <cell r="AF2521">
            <v>0</v>
          </cell>
          <cell r="AV2521">
            <v>1</v>
          </cell>
          <cell r="BI2521">
            <v>1</v>
          </cell>
          <cell r="BS2521">
            <v>1</v>
          </cell>
          <cell r="DN2521">
            <v>0</v>
          </cell>
          <cell r="DO2521">
            <v>0</v>
          </cell>
        </row>
        <row r="2543">
          <cell r="E2543" t="str">
            <v>356</v>
          </cell>
          <cell r="F2543" t="str">
            <v>МКЭ-33-1005/8-1 от 26.07.2018г.</v>
          </cell>
          <cell r="H2543" t="str">
            <v>шт.</v>
          </cell>
          <cell r="I2543">
            <v>1</v>
          </cell>
          <cell r="X2543">
            <v>0</v>
          </cell>
          <cell r="Y2543">
            <v>0</v>
          </cell>
          <cell r="AE2543">
            <v>0</v>
          </cell>
          <cell r="AF2543">
            <v>0</v>
          </cell>
          <cell r="AV2543">
            <v>1</v>
          </cell>
          <cell r="BI2543">
            <v>1</v>
          </cell>
          <cell r="BS2543">
            <v>1</v>
          </cell>
          <cell r="DN2543">
            <v>0</v>
          </cell>
          <cell r="DO2543">
            <v>0</v>
          </cell>
        </row>
        <row r="2689">
          <cell r="E2689" t="str">
            <v>424</v>
          </cell>
          <cell r="F2689" t="str">
            <v>1.19-10-1</v>
          </cell>
          <cell r="H2689" t="str">
            <v>шт.</v>
          </cell>
          <cell r="I2689">
            <v>1</v>
          </cell>
          <cell r="P2689">
            <v>696.9</v>
          </cell>
          <cell r="X2689">
            <v>0</v>
          </cell>
          <cell r="Y2689">
            <v>0</v>
          </cell>
          <cell r="AC2689">
            <v>351.97</v>
          </cell>
          <cell r="AE2689">
            <v>0</v>
          </cell>
          <cell r="AF2689">
            <v>0</v>
          </cell>
          <cell r="AL2689">
            <v>351.97</v>
          </cell>
          <cell r="AV2689">
            <v>1</v>
          </cell>
          <cell r="AW2689">
            <v>1</v>
          </cell>
          <cell r="BC2689">
            <v>1.98</v>
          </cell>
          <cell r="BI2689">
            <v>1</v>
          </cell>
          <cell r="BS2689">
            <v>1</v>
          </cell>
          <cell r="DD2689"/>
          <cell r="DN2689">
            <v>0</v>
          </cell>
          <cell r="DO2689">
            <v>0</v>
          </cell>
        </row>
        <row r="2695">
          <cell r="E2695" t="str">
            <v>427</v>
          </cell>
          <cell r="F2695" t="str">
            <v>1.19-10-7</v>
          </cell>
          <cell r="H2695" t="str">
            <v>шт.</v>
          </cell>
          <cell r="I2695">
            <v>10</v>
          </cell>
          <cell r="P2695">
            <v>13799.07</v>
          </cell>
          <cell r="X2695">
            <v>0</v>
          </cell>
          <cell r="Y2695">
            <v>0</v>
          </cell>
          <cell r="AC2695">
            <v>443.7</v>
          </cell>
          <cell r="AE2695">
            <v>0</v>
          </cell>
          <cell r="AF2695">
            <v>0</v>
          </cell>
          <cell r="AL2695">
            <v>443.7</v>
          </cell>
          <cell r="AV2695">
            <v>1</v>
          </cell>
          <cell r="AW2695">
            <v>1</v>
          </cell>
          <cell r="BC2695">
            <v>3.11</v>
          </cell>
          <cell r="BI2695">
            <v>1</v>
          </cell>
          <cell r="BS2695">
            <v>1</v>
          </cell>
          <cell r="DD2695"/>
          <cell r="DN2695">
            <v>0</v>
          </cell>
          <cell r="DO2695">
            <v>0</v>
          </cell>
        </row>
        <row r="2697">
          <cell r="E2697" t="str">
            <v>428</v>
          </cell>
          <cell r="F2697" t="str">
            <v>1.19-10-8</v>
          </cell>
          <cell r="H2697" t="str">
            <v>шт.</v>
          </cell>
          <cell r="I2697">
            <v>3</v>
          </cell>
          <cell r="P2697">
            <v>4792.99</v>
          </cell>
          <cell r="X2697">
            <v>0</v>
          </cell>
          <cell r="Y2697">
            <v>0</v>
          </cell>
          <cell r="AC2697">
            <v>654.78</v>
          </cell>
          <cell r="AE2697">
            <v>0</v>
          </cell>
          <cell r="AF2697">
            <v>0</v>
          </cell>
          <cell r="AL2697">
            <v>654.78</v>
          </cell>
          <cell r="AV2697">
            <v>1</v>
          </cell>
          <cell r="AW2697">
            <v>1</v>
          </cell>
          <cell r="BC2697">
            <v>2.44</v>
          </cell>
          <cell r="BI2697">
            <v>1</v>
          </cell>
          <cell r="BS2697">
            <v>1</v>
          </cell>
          <cell r="DD2697"/>
          <cell r="DN2697">
            <v>0</v>
          </cell>
          <cell r="DO2697">
            <v>0</v>
          </cell>
        </row>
        <row r="2701">
          <cell r="E2701" t="str">
            <v>430</v>
          </cell>
          <cell r="F2701" t="str">
            <v>1.19-10-10</v>
          </cell>
          <cell r="H2701" t="str">
            <v>шт.</v>
          </cell>
          <cell r="I2701">
            <v>2</v>
          </cell>
          <cell r="P2701">
            <v>6182.47</v>
          </cell>
          <cell r="X2701">
            <v>0</v>
          </cell>
          <cell r="Y2701">
            <v>0</v>
          </cell>
          <cell r="AC2701">
            <v>1051.44</v>
          </cell>
          <cell r="AE2701">
            <v>0</v>
          </cell>
          <cell r="AF2701">
            <v>0</v>
          </cell>
          <cell r="AL2701">
            <v>1051.44</v>
          </cell>
          <cell r="AV2701">
            <v>1</v>
          </cell>
          <cell r="AW2701">
            <v>1</v>
          </cell>
          <cell r="BC2701">
            <v>2.94</v>
          </cell>
          <cell r="BI2701">
            <v>1</v>
          </cell>
          <cell r="BS2701">
            <v>1</v>
          </cell>
          <cell r="DD2701"/>
          <cell r="DN2701">
            <v>0</v>
          </cell>
          <cell r="DO2701">
            <v>0</v>
          </cell>
        </row>
        <row r="2711">
          <cell r="E2711" t="str">
            <v>433</v>
          </cell>
          <cell r="F2711" t="str">
            <v>3.20-1-2</v>
          </cell>
          <cell r="H2711" t="str">
            <v>100 м2 поверхности воздуховодов</v>
          </cell>
          <cell r="I2711">
            <v>8.0600000000000005E-2</v>
          </cell>
          <cell r="P2711">
            <v>147.35</v>
          </cell>
          <cell r="Q2711">
            <v>144.34</v>
          </cell>
          <cell r="R2711">
            <v>68.09</v>
          </cell>
          <cell r="S2711">
            <v>6066.47</v>
          </cell>
          <cell r="U2711">
            <v>13.244030799999999</v>
          </cell>
          <cell r="X2711">
            <v>6066.47</v>
          </cell>
          <cell r="Y2711">
            <v>2729.91</v>
          </cell>
          <cell r="AC2711">
            <v>499.52</v>
          </cell>
          <cell r="AE2711">
            <v>32.698599999999999</v>
          </cell>
          <cell r="AF2711">
            <v>2911.2775999999999</v>
          </cell>
          <cell r="AL2711">
            <v>499.52</v>
          </cell>
          <cell r="AM2711">
            <v>158.18</v>
          </cell>
          <cell r="AN2711">
            <v>19.579999999999998</v>
          </cell>
          <cell r="AO2711">
            <v>1743.28</v>
          </cell>
          <cell r="AQ2711">
            <v>154</v>
          </cell>
          <cell r="AV2711">
            <v>1.0669999999999999</v>
          </cell>
          <cell r="AW2711">
            <v>1</v>
          </cell>
          <cell r="BA2711">
            <v>24.23</v>
          </cell>
          <cell r="BB2711">
            <v>8.6</v>
          </cell>
          <cell r="BC2711">
            <v>3.66</v>
          </cell>
          <cell r="BI2711">
            <v>1</v>
          </cell>
          <cell r="BS2711">
            <v>24.23</v>
          </cell>
          <cell r="BZ2711">
            <v>100</v>
          </cell>
          <cell r="CA2711">
            <v>45</v>
          </cell>
          <cell r="DD2711"/>
          <cell r="DE2711"/>
          <cell r="DG2711" t="str">
            <v>)*1,67</v>
          </cell>
          <cell r="DI2711"/>
          <cell r="DN2711">
            <v>125</v>
          </cell>
          <cell r="DO2711">
            <v>94</v>
          </cell>
          <cell r="ET2711">
            <v>158.18</v>
          </cell>
          <cell r="EU2711">
            <v>19.579999999999998</v>
          </cell>
        </row>
        <row r="2713">
          <cell r="E2713" t="str">
            <v>433,1</v>
          </cell>
          <cell r="F2713" t="str">
            <v>1.19-3-12</v>
          </cell>
          <cell r="H2713" t="str">
            <v>м2</v>
          </cell>
          <cell r="I2713">
            <v>8.06</v>
          </cell>
          <cell r="O2713">
            <v>3888.61</v>
          </cell>
          <cell r="X2713">
            <v>0</v>
          </cell>
          <cell r="Y2713">
            <v>0</v>
          </cell>
          <cell r="AC2713">
            <v>125.64</v>
          </cell>
          <cell r="AE2713">
            <v>0</v>
          </cell>
          <cell r="AF2713">
            <v>0</v>
          </cell>
          <cell r="AK2713">
            <v>125.64</v>
          </cell>
          <cell r="AV2713">
            <v>1</v>
          </cell>
          <cell r="AW2713">
            <v>1</v>
          </cell>
          <cell r="BC2713">
            <v>3.84</v>
          </cell>
          <cell r="BI2713">
            <v>1</v>
          </cell>
          <cell r="BS2713">
            <v>1</v>
          </cell>
          <cell r="DN2713">
            <v>125</v>
          </cell>
          <cell r="DO2713">
            <v>94</v>
          </cell>
          <cell r="ET2713">
            <v>0</v>
          </cell>
          <cell r="EU2713">
            <v>0</v>
          </cell>
        </row>
        <row r="2715">
          <cell r="E2715" t="str">
            <v>434</v>
          </cell>
          <cell r="F2715" t="str">
            <v>3.20-1-3</v>
          </cell>
          <cell r="H2715" t="str">
            <v>100 м2 поверхности воздуховодов</v>
          </cell>
          <cell r="I2715">
            <v>7.3899999999999993E-2</v>
          </cell>
          <cell r="P2715">
            <v>134.65</v>
          </cell>
          <cell r="Q2715">
            <v>105.17</v>
          </cell>
          <cell r="R2715">
            <v>49.19</v>
          </cell>
          <cell r="S2715">
            <v>5092.66</v>
          </cell>
          <cell r="U2715">
            <v>11.118033299999999</v>
          </cell>
          <cell r="X2715">
            <v>5092.66</v>
          </cell>
          <cell r="Y2715">
            <v>2291.6999999999998</v>
          </cell>
          <cell r="AC2715">
            <v>499.17</v>
          </cell>
          <cell r="AE2715">
            <v>25.7681</v>
          </cell>
          <cell r="AF2715">
            <v>2665.5203999999999</v>
          </cell>
          <cell r="AL2715">
            <v>499.17</v>
          </cell>
          <cell r="AM2715">
            <v>125.93</v>
          </cell>
          <cell r="AN2715">
            <v>15.43</v>
          </cell>
          <cell r="AO2715">
            <v>1596.12</v>
          </cell>
          <cell r="AQ2715">
            <v>141</v>
          </cell>
          <cell r="AV2715">
            <v>1.0669999999999999</v>
          </cell>
          <cell r="AW2715">
            <v>1</v>
          </cell>
          <cell r="BA2715">
            <v>24.23</v>
          </cell>
          <cell r="BB2715">
            <v>8.59</v>
          </cell>
          <cell r="BC2715">
            <v>3.65</v>
          </cell>
          <cell r="BI2715">
            <v>1</v>
          </cell>
          <cell r="BS2715">
            <v>24.23</v>
          </cell>
          <cell r="BZ2715">
            <v>100</v>
          </cell>
          <cell r="CA2715">
            <v>45</v>
          </cell>
          <cell r="DD2715"/>
          <cell r="DE2715"/>
          <cell r="DG2715" t="str">
            <v>)*1,67</v>
          </cell>
          <cell r="DI2715"/>
          <cell r="DN2715">
            <v>125</v>
          </cell>
          <cell r="DO2715">
            <v>94</v>
          </cell>
          <cell r="ET2715">
            <v>125.93</v>
          </cell>
          <cell r="EU2715">
            <v>15.43</v>
          </cell>
        </row>
        <row r="2717">
          <cell r="E2717" t="str">
            <v>434,1</v>
          </cell>
          <cell r="F2717" t="str">
            <v>1.19-3-12</v>
          </cell>
          <cell r="H2717" t="str">
            <v>м2</v>
          </cell>
          <cell r="I2717">
            <v>7.39</v>
          </cell>
          <cell r="O2717">
            <v>3565.36</v>
          </cell>
          <cell r="X2717">
            <v>0</v>
          </cell>
          <cell r="Y2717">
            <v>0</v>
          </cell>
          <cell r="AC2717">
            <v>125.64</v>
          </cell>
          <cell r="AE2717">
            <v>0</v>
          </cell>
          <cell r="AF2717">
            <v>0</v>
          </cell>
          <cell r="AK2717">
            <v>125.64</v>
          </cell>
          <cell r="AV2717">
            <v>1</v>
          </cell>
          <cell r="AW2717">
            <v>1</v>
          </cell>
          <cell r="BC2717">
            <v>3.84</v>
          </cell>
          <cell r="BI2717">
            <v>1</v>
          </cell>
          <cell r="BS2717">
            <v>1</v>
          </cell>
          <cell r="DN2717">
            <v>125</v>
          </cell>
          <cell r="DO2717">
            <v>94</v>
          </cell>
          <cell r="ET2717">
            <v>0</v>
          </cell>
          <cell r="EU2717">
            <v>0</v>
          </cell>
        </row>
        <row r="2735">
          <cell r="E2735" t="str">
            <v>439</v>
          </cell>
          <cell r="F2735" t="str">
            <v>3.20-1-10</v>
          </cell>
          <cell r="H2735" t="str">
            <v>100 м2 поверхности воздуховодов</v>
          </cell>
          <cell r="I2735">
            <v>0.13109999999999999</v>
          </cell>
          <cell r="P2735">
            <v>328.63</v>
          </cell>
          <cell r="Q2735">
            <v>172.66</v>
          </cell>
          <cell r="R2735">
            <v>80.930000000000007</v>
          </cell>
          <cell r="S2735">
            <v>7817.08</v>
          </cell>
          <cell r="U2735">
            <v>17.065811400000001</v>
          </cell>
          <cell r="X2735">
            <v>7817.08</v>
          </cell>
          <cell r="Y2735">
            <v>3517.69</v>
          </cell>
          <cell r="AC2735">
            <v>599.72</v>
          </cell>
          <cell r="AE2735">
            <v>23.8643</v>
          </cell>
          <cell r="AF2735">
            <v>2306.3368</v>
          </cell>
          <cell r="AL2735">
            <v>599.72</v>
          </cell>
          <cell r="AM2735">
            <v>116.7</v>
          </cell>
          <cell r="AN2735">
            <v>14.29</v>
          </cell>
          <cell r="AO2735">
            <v>1381.04</v>
          </cell>
          <cell r="AQ2735">
            <v>122</v>
          </cell>
          <cell r="AV2735">
            <v>1.0669999999999999</v>
          </cell>
          <cell r="AW2735">
            <v>1</v>
          </cell>
          <cell r="BA2735">
            <v>24.23</v>
          </cell>
          <cell r="BB2735">
            <v>8.59</v>
          </cell>
          <cell r="BC2735">
            <v>4.18</v>
          </cell>
          <cell r="BI2735">
            <v>1</v>
          </cell>
          <cell r="BS2735">
            <v>24.23</v>
          </cell>
          <cell r="BZ2735">
            <v>100</v>
          </cell>
          <cell r="CA2735">
            <v>45</v>
          </cell>
          <cell r="DD2735"/>
          <cell r="DE2735"/>
          <cell r="DG2735" t="str">
            <v>)*1,67</v>
          </cell>
          <cell r="DI2735"/>
          <cell r="DN2735">
            <v>125</v>
          </cell>
          <cell r="DO2735">
            <v>94</v>
          </cell>
          <cell r="ET2735">
            <v>116.7</v>
          </cell>
          <cell r="EU2735">
            <v>14.29</v>
          </cell>
        </row>
        <row r="2737">
          <cell r="E2737" t="str">
            <v>440</v>
          </cell>
          <cell r="F2737" t="str">
            <v>1.19-3-12</v>
          </cell>
          <cell r="H2737" t="str">
            <v>м2</v>
          </cell>
          <cell r="I2737">
            <v>4.01</v>
          </cell>
          <cell r="P2737">
            <v>1934.67</v>
          </cell>
          <cell r="X2737">
            <v>0</v>
          </cell>
          <cell r="Y2737">
            <v>0</v>
          </cell>
          <cell r="AC2737">
            <v>125.64</v>
          </cell>
          <cell r="AE2737">
            <v>0</v>
          </cell>
          <cell r="AF2737">
            <v>0</v>
          </cell>
          <cell r="AL2737">
            <v>125.64</v>
          </cell>
          <cell r="AV2737">
            <v>1</v>
          </cell>
          <cell r="AW2737">
            <v>1</v>
          </cell>
          <cell r="BC2737">
            <v>3.84</v>
          </cell>
          <cell r="BI2737">
            <v>1</v>
          </cell>
          <cell r="BS2737">
            <v>1</v>
          </cell>
          <cell r="DD2737"/>
          <cell r="DN2737">
            <v>0</v>
          </cell>
          <cell r="DO2737">
            <v>0</v>
          </cell>
        </row>
        <row r="2739">
          <cell r="E2739" t="str">
            <v>441</v>
          </cell>
          <cell r="F2739" t="str">
            <v>1.19-3-13</v>
          </cell>
          <cell r="H2739" t="str">
            <v>м2</v>
          </cell>
          <cell r="I2739">
            <v>9.1</v>
          </cell>
          <cell r="P2739">
            <v>4401.18</v>
          </cell>
          <cell r="X2739">
            <v>0</v>
          </cell>
          <cell r="Y2739">
            <v>0</v>
          </cell>
          <cell r="AC2739">
            <v>157.54</v>
          </cell>
          <cell r="AE2739">
            <v>0</v>
          </cell>
          <cell r="AF2739">
            <v>0</v>
          </cell>
          <cell r="AL2739">
            <v>157.54</v>
          </cell>
          <cell r="AV2739">
            <v>1</v>
          </cell>
          <cell r="AW2739">
            <v>1</v>
          </cell>
          <cell r="BC2739">
            <v>3.07</v>
          </cell>
          <cell r="BI2739">
            <v>1</v>
          </cell>
          <cell r="BS2739">
            <v>1</v>
          </cell>
          <cell r="DD2739"/>
          <cell r="DN2739">
            <v>0</v>
          </cell>
          <cell r="DO2739">
            <v>0</v>
          </cell>
        </row>
        <row r="2741">
          <cell r="E2741" t="str">
            <v>442</v>
          </cell>
          <cell r="F2741" t="str">
            <v>3.20-1-11</v>
          </cell>
          <cell r="H2741" t="str">
            <v>100 м2 поверхности воздуховодов</v>
          </cell>
          <cell r="I2741">
            <v>3.9199999999999999E-2</v>
          </cell>
          <cell r="P2741">
            <v>53.16</v>
          </cell>
          <cell r="Q2741">
            <v>38.75</v>
          </cell>
          <cell r="R2741">
            <v>18.170000000000002</v>
          </cell>
          <cell r="S2741">
            <v>1758.86</v>
          </cell>
          <cell r="U2741">
            <v>3.8396635199999998</v>
          </cell>
          <cell r="X2741">
            <v>1758.86</v>
          </cell>
          <cell r="Y2741">
            <v>791.49</v>
          </cell>
          <cell r="AC2741">
            <v>409.71</v>
          </cell>
          <cell r="AE2741">
            <v>17.8523</v>
          </cell>
          <cell r="AF2741">
            <v>1735.4305999999999</v>
          </cell>
          <cell r="AL2741">
            <v>409.71</v>
          </cell>
          <cell r="AM2741">
            <v>87.46</v>
          </cell>
          <cell r="AN2741">
            <v>10.69</v>
          </cell>
          <cell r="AO2741">
            <v>1039.18</v>
          </cell>
          <cell r="AQ2741">
            <v>91.8</v>
          </cell>
          <cell r="AV2741">
            <v>1.0669999999999999</v>
          </cell>
          <cell r="AW2741">
            <v>1</v>
          </cell>
          <cell r="BA2741">
            <v>24.23</v>
          </cell>
          <cell r="BB2741">
            <v>8.6</v>
          </cell>
          <cell r="BC2741">
            <v>3.31</v>
          </cell>
          <cell r="BI2741">
            <v>1</v>
          </cell>
          <cell r="BS2741">
            <v>24.23</v>
          </cell>
          <cell r="BZ2741">
            <v>100</v>
          </cell>
          <cell r="CA2741">
            <v>45</v>
          </cell>
          <cell r="DD2741"/>
          <cell r="DE2741"/>
          <cell r="DG2741" t="str">
            <v>)*1,67</v>
          </cell>
          <cell r="DI2741"/>
          <cell r="DN2741">
            <v>125</v>
          </cell>
          <cell r="DO2741">
            <v>94</v>
          </cell>
          <cell r="ET2741">
            <v>87.46</v>
          </cell>
          <cell r="EU2741">
            <v>10.69</v>
          </cell>
        </row>
        <row r="2743">
          <cell r="E2743" t="str">
            <v>442,1</v>
          </cell>
          <cell r="F2743" t="str">
            <v>1.19-3-13</v>
          </cell>
          <cell r="H2743" t="str">
            <v>м2</v>
          </cell>
          <cell r="I2743">
            <v>3.92</v>
          </cell>
          <cell r="O2743">
            <v>1895.91</v>
          </cell>
          <cell r="X2743">
            <v>0</v>
          </cell>
          <cell r="Y2743">
            <v>0</v>
          </cell>
          <cell r="AC2743">
            <v>157.54</v>
          </cell>
          <cell r="AE2743">
            <v>0</v>
          </cell>
          <cell r="AF2743">
            <v>0</v>
          </cell>
          <cell r="AK2743">
            <v>157.54</v>
          </cell>
          <cell r="AV2743">
            <v>1</v>
          </cell>
          <cell r="AW2743">
            <v>1</v>
          </cell>
          <cell r="BC2743">
            <v>3.07</v>
          </cell>
          <cell r="BI2743">
            <v>1</v>
          </cell>
          <cell r="BS2743">
            <v>1</v>
          </cell>
          <cell r="DN2743">
            <v>125</v>
          </cell>
          <cell r="DO2743">
            <v>94</v>
          </cell>
          <cell r="ET2743">
            <v>0</v>
          </cell>
          <cell r="EU2743">
            <v>0</v>
          </cell>
        </row>
        <row r="2765">
          <cell r="E2765" t="str">
            <v>448</v>
          </cell>
          <cell r="F2765" t="str">
            <v>3.20-1-10</v>
          </cell>
          <cell r="H2765" t="str">
            <v>100 м2 поверхности воздуховодов</v>
          </cell>
          <cell r="I2765">
            <v>0.21199999999999999</v>
          </cell>
          <cell r="P2765">
            <v>531.45000000000005</v>
          </cell>
          <cell r="Q2765">
            <v>279.36</v>
          </cell>
          <cell r="R2765">
            <v>130.84</v>
          </cell>
          <cell r="S2765">
            <v>12640.79</v>
          </cell>
          <cell r="U2765">
            <v>27.596888</v>
          </cell>
          <cell r="X2765">
            <v>12640.79</v>
          </cell>
          <cell r="Y2765">
            <v>5688.36</v>
          </cell>
          <cell r="AC2765">
            <v>599.72</v>
          </cell>
          <cell r="AE2765">
            <v>23.8643</v>
          </cell>
          <cell r="AF2765">
            <v>2306.3368</v>
          </cell>
          <cell r="AL2765">
            <v>599.72</v>
          </cell>
          <cell r="AM2765">
            <v>116.7</v>
          </cell>
          <cell r="AN2765">
            <v>14.29</v>
          </cell>
          <cell r="AO2765">
            <v>1381.04</v>
          </cell>
          <cell r="AQ2765">
            <v>122</v>
          </cell>
          <cell r="AV2765">
            <v>1.0669999999999999</v>
          </cell>
          <cell r="AW2765">
            <v>1</v>
          </cell>
          <cell r="BA2765">
            <v>24.23</v>
          </cell>
          <cell r="BB2765">
            <v>8.59</v>
          </cell>
          <cell r="BC2765">
            <v>4.18</v>
          </cell>
          <cell r="BI2765">
            <v>1</v>
          </cell>
          <cell r="BS2765">
            <v>24.23</v>
          </cell>
          <cell r="BZ2765">
            <v>100</v>
          </cell>
          <cell r="CA2765">
            <v>45</v>
          </cell>
          <cell r="DD2765"/>
          <cell r="DE2765"/>
          <cell r="DG2765" t="str">
            <v>)*1,67</v>
          </cell>
          <cell r="DI2765"/>
          <cell r="DN2765">
            <v>125</v>
          </cell>
          <cell r="DO2765">
            <v>94</v>
          </cell>
          <cell r="ET2765">
            <v>116.7</v>
          </cell>
          <cell r="EU2765">
            <v>14.29</v>
          </cell>
        </row>
        <row r="2767">
          <cell r="E2767" t="str">
            <v>449</v>
          </cell>
          <cell r="F2767" t="str">
            <v>1.19-3-12</v>
          </cell>
          <cell r="H2767" t="str">
            <v>м2</v>
          </cell>
          <cell r="I2767">
            <v>16.95</v>
          </cell>
          <cell r="P2767">
            <v>8177.66</v>
          </cell>
          <cell r="X2767">
            <v>0</v>
          </cell>
          <cell r="Y2767">
            <v>0</v>
          </cell>
          <cell r="AC2767">
            <v>125.64</v>
          </cell>
          <cell r="AE2767">
            <v>0</v>
          </cell>
          <cell r="AF2767">
            <v>0</v>
          </cell>
          <cell r="AL2767">
            <v>125.64</v>
          </cell>
          <cell r="AV2767">
            <v>1</v>
          </cell>
          <cell r="AW2767">
            <v>1</v>
          </cell>
          <cell r="BC2767">
            <v>3.84</v>
          </cell>
          <cell r="BI2767">
            <v>1</v>
          </cell>
          <cell r="BS2767">
            <v>1</v>
          </cell>
          <cell r="DD2767"/>
          <cell r="DN2767">
            <v>0</v>
          </cell>
          <cell r="DO2767">
            <v>0</v>
          </cell>
        </row>
        <row r="2769">
          <cell r="E2769" t="str">
            <v>450</v>
          </cell>
          <cell r="F2769" t="str">
            <v>1.19-3-13</v>
          </cell>
          <cell r="H2769" t="str">
            <v>м2</v>
          </cell>
          <cell r="I2769">
            <v>4.25</v>
          </cell>
          <cell r="P2769">
            <v>2055.52</v>
          </cell>
          <cell r="X2769">
            <v>0</v>
          </cell>
          <cell r="Y2769">
            <v>0</v>
          </cell>
          <cell r="AC2769">
            <v>157.54</v>
          </cell>
          <cell r="AE2769">
            <v>0</v>
          </cell>
          <cell r="AF2769">
            <v>0</v>
          </cell>
          <cell r="AL2769">
            <v>157.54</v>
          </cell>
          <cell r="AV2769">
            <v>1</v>
          </cell>
          <cell r="AW2769">
            <v>1</v>
          </cell>
          <cell r="BC2769">
            <v>3.07</v>
          </cell>
          <cell r="BI2769">
            <v>1</v>
          </cell>
          <cell r="BS2769">
            <v>1</v>
          </cell>
          <cell r="DD2769"/>
          <cell r="DN2769">
            <v>0</v>
          </cell>
          <cell r="DO2769">
            <v>0</v>
          </cell>
        </row>
        <row r="2839">
          <cell r="E2839" t="str">
            <v>475</v>
          </cell>
          <cell r="F2839" t="str">
            <v>3.26-38-1</v>
          </cell>
          <cell r="H2839" t="str">
            <v>1 м2 поверхности</v>
          </cell>
          <cell r="I2839">
            <v>24</v>
          </cell>
          <cell r="P2839">
            <v>16.350000000000001</v>
          </cell>
          <cell r="Q2839">
            <v>143.41</v>
          </cell>
          <cell r="R2839">
            <v>91.59</v>
          </cell>
          <cell r="S2839">
            <v>5815.93</v>
          </cell>
          <cell r="U2839">
            <v>11.056319999999999</v>
          </cell>
          <cell r="X2839">
            <v>4594.58</v>
          </cell>
          <cell r="Y2839">
            <v>2384.5300000000002</v>
          </cell>
          <cell r="AC2839">
            <v>0.12</v>
          </cell>
          <cell r="AE2839">
            <v>0.15029999999999999</v>
          </cell>
          <cell r="AF2839">
            <v>9.5524000000000004</v>
          </cell>
          <cell r="AL2839">
            <v>0.12</v>
          </cell>
          <cell r="AM2839">
            <v>0.46</v>
          </cell>
          <cell r="AN2839">
            <v>0.09</v>
          </cell>
          <cell r="AO2839">
            <v>5.72</v>
          </cell>
          <cell r="AQ2839">
            <v>0.44</v>
          </cell>
          <cell r="AV2839">
            <v>1.0469999999999999</v>
          </cell>
          <cell r="AW2839">
            <v>1.0189999999999999</v>
          </cell>
          <cell r="BA2839">
            <v>24.23</v>
          </cell>
          <cell r="BB2839">
            <v>9.2200000000000006</v>
          </cell>
          <cell r="BC2839">
            <v>5.58</v>
          </cell>
          <cell r="BI2839">
            <v>1</v>
          </cell>
          <cell r="BS2839">
            <v>24.23</v>
          </cell>
          <cell r="BZ2839">
            <v>79</v>
          </cell>
          <cell r="CA2839">
            <v>41</v>
          </cell>
          <cell r="DD2839"/>
          <cell r="DE2839"/>
          <cell r="DG2839" t="str">
            <v>)*1,67</v>
          </cell>
          <cell r="DI2839"/>
          <cell r="DN2839">
            <v>98</v>
          </cell>
          <cell r="DO2839">
            <v>73</v>
          </cell>
          <cell r="ET2839">
            <v>0.46</v>
          </cell>
          <cell r="EU2839">
            <v>0.09</v>
          </cell>
        </row>
        <row r="2841">
          <cell r="E2841" t="str">
            <v>476</v>
          </cell>
          <cell r="F2841" t="str">
            <v>МКЭ-33-90/7-1 от 03.02.2017г.</v>
          </cell>
          <cell r="H2841" t="str">
            <v>м2</v>
          </cell>
          <cell r="I2841">
            <v>24</v>
          </cell>
          <cell r="X2841">
            <v>0</v>
          </cell>
          <cell r="Y2841">
            <v>0</v>
          </cell>
          <cell r="AE2841">
            <v>0</v>
          </cell>
          <cell r="AF2841">
            <v>0</v>
          </cell>
          <cell r="AV2841">
            <v>1</v>
          </cell>
          <cell r="BI2841">
            <v>1</v>
          </cell>
          <cell r="BS2841">
            <v>1</v>
          </cell>
          <cell r="DN2841">
            <v>0</v>
          </cell>
          <cell r="DO2841">
            <v>0</v>
          </cell>
        </row>
        <row r="2891">
          <cell r="G2891" t="str">
            <v>Дополнительные материалы и оборудование</v>
          </cell>
        </row>
      </sheetData>
      <sheetData sheetId="2" refreshError="1"/>
      <sheetData sheetId="3" refreshError="1"/>
      <sheetData sheetId="4" refreshError="1"/>
    </sheetDataSet>
  </externalBook>
</externalLink>
</file>

<file path=xl/externalLinks/externalLink10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Акт КС-2 по ТСН-2001"/>
      <sheetName val="Source"/>
      <sheetName val="SourceObSm"/>
      <sheetName val="SmtRes"/>
      <sheetName val="EtalonRes"/>
    </sheetNames>
    <sheetDataSet>
      <sheetData sheetId="0" refreshError="1"/>
      <sheetData sheetId="1">
        <row r="1">
          <cell r="B1" t="str">
            <v>Smeta.RU  (495) 974-1589</v>
          </cell>
        </row>
        <row r="404">
          <cell r="G404" t="str">
            <v>К2-6, К2-7р</v>
          </cell>
        </row>
        <row r="423">
          <cell r="E423" t="str">
            <v>87</v>
          </cell>
          <cell r="F423" t="str">
            <v>МКЭ-28-1837/5-1 от 12.01.2016</v>
          </cell>
          <cell r="H423" t="str">
            <v>шт.</v>
          </cell>
          <cell r="I423">
            <v>2</v>
          </cell>
          <cell r="X423">
            <v>0</v>
          </cell>
          <cell r="Y423">
            <v>0</v>
          </cell>
          <cell r="AE423">
            <v>0</v>
          </cell>
          <cell r="AF423">
            <v>0</v>
          </cell>
          <cell r="AV423">
            <v>1</v>
          </cell>
          <cell r="BI423">
            <v>1</v>
          </cell>
          <cell r="BS423">
            <v>1</v>
          </cell>
          <cell r="DN423">
            <v>0</v>
          </cell>
          <cell r="DO423">
            <v>0</v>
          </cell>
        </row>
        <row r="435">
          <cell r="E435" t="str">
            <v>92</v>
          </cell>
          <cell r="F435" t="str">
            <v>3.29-1939-2</v>
          </cell>
          <cell r="H435" t="str">
            <v>1 М</v>
          </cell>
          <cell r="I435">
            <v>53.64</v>
          </cell>
          <cell r="P435">
            <v>2099.64</v>
          </cell>
          <cell r="Q435">
            <v>14.88</v>
          </cell>
          <cell r="S435">
            <v>19777.98</v>
          </cell>
          <cell r="U435">
            <v>40.063715999999992</v>
          </cell>
          <cell r="X435">
            <v>13449.03</v>
          </cell>
          <cell r="Y435">
            <v>8504.5300000000007</v>
          </cell>
          <cell r="AC435">
            <v>15.11</v>
          </cell>
          <cell r="AE435">
            <v>0</v>
          </cell>
          <cell r="AF435">
            <v>14.261799999999999</v>
          </cell>
          <cell r="AL435">
            <v>15.11</v>
          </cell>
          <cell r="AM435">
            <v>7.0000000000000007E-2</v>
          </cell>
          <cell r="AO435">
            <v>8.5399999999999991</v>
          </cell>
          <cell r="AQ435">
            <v>0.7</v>
          </cell>
          <cell r="AV435">
            <v>1.0669999999999999</v>
          </cell>
          <cell r="AW435">
            <v>1.028</v>
          </cell>
          <cell r="BA435">
            <v>24.23</v>
          </cell>
          <cell r="BB435">
            <v>3.71</v>
          </cell>
          <cell r="BC435">
            <v>2.52</v>
          </cell>
          <cell r="BI435">
            <v>1</v>
          </cell>
          <cell r="BS435">
            <v>24.23</v>
          </cell>
          <cell r="BZ435">
            <v>68</v>
          </cell>
          <cell r="CA435">
            <v>43</v>
          </cell>
          <cell r="DD435"/>
          <cell r="DE435"/>
          <cell r="DG435" t="str">
            <v>)*1,67</v>
          </cell>
          <cell r="DI435"/>
          <cell r="DN435">
            <v>79</v>
          </cell>
          <cell r="DO435">
            <v>70</v>
          </cell>
          <cell r="ET435">
            <v>7.0000000000000007E-2</v>
          </cell>
          <cell r="EU435">
            <v>0</v>
          </cell>
        </row>
        <row r="437">
          <cell r="E437" t="str">
            <v>92,1</v>
          </cell>
          <cell r="F437" t="str">
            <v>1.12-7-187</v>
          </cell>
          <cell r="H437" t="str">
            <v>м</v>
          </cell>
          <cell r="I437">
            <v>53.64</v>
          </cell>
          <cell r="O437">
            <v>5890.78</v>
          </cell>
          <cell r="X437">
            <v>0</v>
          </cell>
          <cell r="Y437">
            <v>0</v>
          </cell>
          <cell r="AC437">
            <v>7.73</v>
          </cell>
          <cell r="AE437">
            <v>0</v>
          </cell>
          <cell r="AF437">
            <v>0</v>
          </cell>
          <cell r="AK437">
            <v>7.73</v>
          </cell>
          <cell r="AV437">
            <v>1</v>
          </cell>
          <cell r="AW437">
            <v>1.028</v>
          </cell>
          <cell r="BC437">
            <v>13.82</v>
          </cell>
          <cell r="BI437">
            <v>1</v>
          </cell>
          <cell r="BS437">
            <v>1</v>
          </cell>
          <cell r="DN437">
            <v>79</v>
          </cell>
          <cell r="DO437">
            <v>70</v>
          </cell>
          <cell r="ET437">
            <v>0</v>
          </cell>
          <cell r="EU437">
            <v>0</v>
          </cell>
        </row>
        <row r="443">
          <cell r="E443" t="str">
            <v>94</v>
          </cell>
          <cell r="F443" t="str">
            <v>3.29-1939-4</v>
          </cell>
          <cell r="H443" t="str">
            <v>1 М</v>
          </cell>
          <cell r="I443">
            <v>21.7</v>
          </cell>
          <cell r="P443">
            <v>865.21</v>
          </cell>
          <cell r="Q443">
            <v>6.01</v>
          </cell>
          <cell r="S443">
            <v>8347.7199999999993</v>
          </cell>
          <cell r="U443">
            <v>16.902346999999999</v>
          </cell>
          <cell r="X443">
            <v>5676.45</v>
          </cell>
          <cell r="Y443">
            <v>3589.52</v>
          </cell>
          <cell r="AC443">
            <v>15.33</v>
          </cell>
          <cell r="AE443">
            <v>0</v>
          </cell>
          <cell r="AF443">
            <v>14.8797</v>
          </cell>
          <cell r="AL443">
            <v>15.33</v>
          </cell>
          <cell r="AM443">
            <v>7.0000000000000007E-2</v>
          </cell>
          <cell r="AO443">
            <v>8.91</v>
          </cell>
          <cell r="AQ443">
            <v>0.73</v>
          </cell>
          <cell r="AV443">
            <v>1.0669999999999999</v>
          </cell>
          <cell r="AW443">
            <v>1.028</v>
          </cell>
          <cell r="BA443">
            <v>24.23</v>
          </cell>
          <cell r="BB443">
            <v>3.71</v>
          </cell>
          <cell r="BC443">
            <v>2.5299999999999998</v>
          </cell>
          <cell r="BI443">
            <v>1</v>
          </cell>
          <cell r="BS443">
            <v>24.23</v>
          </cell>
          <cell r="BZ443">
            <v>68</v>
          </cell>
          <cell r="CA443">
            <v>43</v>
          </cell>
          <cell r="DD443"/>
          <cell r="DE443"/>
          <cell r="DG443" t="str">
            <v>)*1,67</v>
          </cell>
          <cell r="DI443"/>
          <cell r="DN443">
            <v>79</v>
          </cell>
          <cell r="DO443">
            <v>70</v>
          </cell>
          <cell r="ET443">
            <v>7.0000000000000007E-2</v>
          </cell>
          <cell r="EU443">
            <v>0</v>
          </cell>
        </row>
        <row r="445">
          <cell r="E445" t="str">
            <v>94,1</v>
          </cell>
          <cell r="F445" t="str">
            <v>1.12-7-192</v>
          </cell>
          <cell r="H445" t="str">
            <v>м</v>
          </cell>
          <cell r="I445">
            <v>21.7</v>
          </cell>
          <cell r="O445">
            <v>5355.76</v>
          </cell>
          <cell r="X445">
            <v>0</v>
          </cell>
          <cell r="Y445">
            <v>0</v>
          </cell>
          <cell r="AC445">
            <v>15.1</v>
          </cell>
          <cell r="AE445">
            <v>0</v>
          </cell>
          <cell r="AF445">
            <v>0</v>
          </cell>
          <cell r="AK445">
            <v>15.1</v>
          </cell>
          <cell r="AV445">
            <v>1</v>
          </cell>
          <cell r="AW445">
            <v>1.028</v>
          </cell>
          <cell r="BC445">
            <v>15.9</v>
          </cell>
          <cell r="BI445">
            <v>1</v>
          </cell>
          <cell r="BS445">
            <v>1</v>
          </cell>
          <cell r="DN445">
            <v>79</v>
          </cell>
          <cell r="DO445">
            <v>70</v>
          </cell>
          <cell r="ET445">
            <v>0</v>
          </cell>
          <cell r="EU445">
            <v>0</v>
          </cell>
        </row>
        <row r="447">
          <cell r="E447" t="str">
            <v>95</v>
          </cell>
          <cell r="F447" t="str">
            <v>3.29-1939-5</v>
          </cell>
          <cell r="H447" t="str">
            <v>1 М</v>
          </cell>
          <cell r="I447">
            <v>31.94</v>
          </cell>
          <cell r="P447">
            <v>1218.24</v>
          </cell>
          <cell r="Q447">
            <v>14.64</v>
          </cell>
          <cell r="S447">
            <v>13735.02</v>
          </cell>
          <cell r="U447">
            <v>27.945583599999999</v>
          </cell>
          <cell r="X447">
            <v>9339.81</v>
          </cell>
          <cell r="Y447">
            <v>5906.06</v>
          </cell>
          <cell r="AC447">
            <v>14.55</v>
          </cell>
          <cell r="AE447">
            <v>0</v>
          </cell>
          <cell r="AF447">
            <v>16.633199999999999</v>
          </cell>
          <cell r="AL447">
            <v>14.55</v>
          </cell>
          <cell r="AM447">
            <v>0.12</v>
          </cell>
          <cell r="AO447">
            <v>9.9600000000000009</v>
          </cell>
          <cell r="AQ447">
            <v>0.82</v>
          </cell>
          <cell r="AV447">
            <v>1.0669999999999999</v>
          </cell>
          <cell r="AW447">
            <v>1.028</v>
          </cell>
          <cell r="BA447">
            <v>24.23</v>
          </cell>
          <cell r="BB447">
            <v>3.58</v>
          </cell>
          <cell r="BC447">
            <v>2.5499999999999998</v>
          </cell>
          <cell r="BI447">
            <v>1</v>
          </cell>
          <cell r="BS447">
            <v>24.23</v>
          </cell>
          <cell r="BZ447">
            <v>68</v>
          </cell>
          <cell r="CA447">
            <v>43</v>
          </cell>
          <cell r="DD447"/>
          <cell r="DE447"/>
          <cell r="DG447" t="str">
            <v>)*1,67</v>
          </cell>
          <cell r="DI447"/>
          <cell r="DN447">
            <v>79</v>
          </cell>
          <cell r="DO447">
            <v>70</v>
          </cell>
          <cell r="ET447">
            <v>0.12</v>
          </cell>
          <cell r="EU447">
            <v>0</v>
          </cell>
        </row>
        <row r="449">
          <cell r="E449" t="str">
            <v>95,1</v>
          </cell>
          <cell r="F449" t="str">
            <v>1.12-7-189</v>
          </cell>
          <cell r="H449" t="str">
            <v>м</v>
          </cell>
          <cell r="I449">
            <v>31.94</v>
          </cell>
          <cell r="O449">
            <v>8655.1200000000008</v>
          </cell>
          <cell r="X449">
            <v>0</v>
          </cell>
          <cell r="Y449">
            <v>0</v>
          </cell>
          <cell r="AC449">
            <v>17.55</v>
          </cell>
          <cell r="AE449">
            <v>0</v>
          </cell>
          <cell r="AF449">
            <v>0</v>
          </cell>
          <cell r="AK449">
            <v>17.55</v>
          </cell>
          <cell r="AV449">
            <v>1</v>
          </cell>
          <cell r="AW449">
            <v>1.028</v>
          </cell>
          <cell r="BC449">
            <v>15.02</v>
          </cell>
          <cell r="BI449">
            <v>1</v>
          </cell>
          <cell r="BS449">
            <v>1</v>
          </cell>
          <cell r="DN449">
            <v>79</v>
          </cell>
          <cell r="DO449">
            <v>70</v>
          </cell>
          <cell r="ET449">
            <v>0</v>
          </cell>
          <cell r="EU449">
            <v>0</v>
          </cell>
        </row>
        <row r="451">
          <cell r="E451" t="str">
            <v>96</v>
          </cell>
          <cell r="F451" t="str">
            <v>3.26-16-1</v>
          </cell>
          <cell r="H451" t="str">
            <v>10 м изоляции</v>
          </cell>
          <cell r="I451">
            <v>10.728</v>
          </cell>
          <cell r="P451">
            <v>12980.71</v>
          </cell>
          <cell r="Q451">
            <v>1858.88</v>
          </cell>
          <cell r="R451">
            <v>1199.8699999999999</v>
          </cell>
          <cell r="S451">
            <v>12998.67</v>
          </cell>
          <cell r="U451">
            <v>24.710875199999997</v>
          </cell>
          <cell r="X451">
            <v>10268.950000000001</v>
          </cell>
          <cell r="Y451">
            <v>5329.45</v>
          </cell>
          <cell r="AC451">
            <v>59.82</v>
          </cell>
          <cell r="AE451">
            <v>4.4088000000000003</v>
          </cell>
          <cell r="AF451">
            <v>47.762</v>
          </cell>
          <cell r="AL451">
            <v>59.82</v>
          </cell>
          <cell r="AM451">
            <v>13.2</v>
          </cell>
          <cell r="AN451">
            <v>2.64</v>
          </cell>
          <cell r="AO451">
            <v>28.6</v>
          </cell>
          <cell r="AQ451">
            <v>2.2000000000000002</v>
          </cell>
          <cell r="AV451">
            <v>1.0469999999999999</v>
          </cell>
          <cell r="AW451">
            <v>1.0189999999999999</v>
          </cell>
          <cell r="BA451">
            <v>24.23</v>
          </cell>
          <cell r="BB451">
            <v>9.2899999999999991</v>
          </cell>
          <cell r="BC451">
            <v>19.850000000000001</v>
          </cell>
          <cell r="BI451">
            <v>1</v>
          </cell>
          <cell r="BS451">
            <v>24.23</v>
          </cell>
          <cell r="BZ451">
            <v>79</v>
          </cell>
          <cell r="CA451">
            <v>41</v>
          </cell>
          <cell r="DD451"/>
          <cell r="DE451"/>
          <cell r="DG451" t="str">
            <v>)*1,67</v>
          </cell>
          <cell r="DI451"/>
          <cell r="DN451">
            <v>98</v>
          </cell>
          <cell r="DO451">
            <v>73</v>
          </cell>
          <cell r="ET451">
            <v>13.2</v>
          </cell>
          <cell r="EU451">
            <v>2.64</v>
          </cell>
        </row>
        <row r="453">
          <cell r="E453" t="str">
            <v>96,1</v>
          </cell>
          <cell r="F453" t="str">
            <v>1.1-1-1282</v>
          </cell>
          <cell r="H453" t="str">
            <v>м</v>
          </cell>
          <cell r="I453">
            <v>11.768777</v>
          </cell>
          <cell r="X453">
            <v>0</v>
          </cell>
          <cell r="Y453">
            <v>0</v>
          </cell>
          <cell r="AE453">
            <v>0</v>
          </cell>
          <cell r="AF453">
            <v>0</v>
          </cell>
          <cell r="AK453">
            <v>15.4</v>
          </cell>
          <cell r="AV453">
            <v>1</v>
          </cell>
          <cell r="AW453">
            <v>1.0189999999999999</v>
          </cell>
          <cell r="BC453">
            <v>11.24</v>
          </cell>
          <cell r="BI453">
            <v>1</v>
          </cell>
          <cell r="BS453">
            <v>1</v>
          </cell>
          <cell r="DN453">
            <v>98</v>
          </cell>
          <cell r="DO453">
            <v>73</v>
          </cell>
        </row>
        <row r="455">
          <cell r="E455" t="str">
            <v>97</v>
          </cell>
          <cell r="F455" t="str">
            <v>1.1-1-1289</v>
          </cell>
          <cell r="H455" t="str">
            <v>м</v>
          </cell>
          <cell r="I455">
            <v>75.34</v>
          </cell>
          <cell r="X455">
            <v>0</v>
          </cell>
          <cell r="Y455">
            <v>0</v>
          </cell>
          <cell r="AE455">
            <v>0</v>
          </cell>
          <cell r="AF455">
            <v>0</v>
          </cell>
          <cell r="AL455">
            <v>5.85</v>
          </cell>
          <cell r="AV455">
            <v>1</v>
          </cell>
          <cell r="AW455">
            <v>1.0189999999999999</v>
          </cell>
          <cell r="BI455">
            <v>1</v>
          </cell>
          <cell r="BS455">
            <v>1</v>
          </cell>
          <cell r="DD455"/>
          <cell r="DN455">
            <v>0</v>
          </cell>
          <cell r="DO455">
            <v>0</v>
          </cell>
        </row>
        <row r="457">
          <cell r="E457" t="str">
            <v>98</v>
          </cell>
          <cell r="F457" t="str">
            <v>1.1-1-1273</v>
          </cell>
          <cell r="H457" t="str">
            <v>м</v>
          </cell>
          <cell r="I457">
            <v>31.94</v>
          </cell>
          <cell r="X457">
            <v>0</v>
          </cell>
          <cell r="Y457">
            <v>0</v>
          </cell>
          <cell r="AE457">
            <v>0</v>
          </cell>
          <cell r="AF457">
            <v>0</v>
          </cell>
          <cell r="AL457">
            <v>10.38</v>
          </cell>
          <cell r="AV457">
            <v>1</v>
          </cell>
          <cell r="AW457">
            <v>1.0189999999999999</v>
          </cell>
          <cell r="BI457">
            <v>1</v>
          </cell>
          <cell r="BS457">
            <v>1</v>
          </cell>
          <cell r="DD457"/>
          <cell r="DN457">
            <v>0</v>
          </cell>
          <cell r="DO457">
            <v>0</v>
          </cell>
        </row>
        <row r="471">
          <cell r="G471" t="str">
            <v>К2-6, К2-7р</v>
          </cell>
        </row>
        <row r="728">
          <cell r="G728" t="str">
            <v>К2-21</v>
          </cell>
        </row>
        <row r="813">
          <cell r="E813" t="str">
            <v>175</v>
          </cell>
          <cell r="F813" t="str">
            <v>4.8-158-1</v>
          </cell>
          <cell r="H813" t="str">
            <v>1 Т</v>
          </cell>
          <cell r="I813">
            <v>4.1300000000000003E-2</v>
          </cell>
          <cell r="P813">
            <v>22.43</v>
          </cell>
          <cell r="Q813">
            <v>235.01999999999998</v>
          </cell>
          <cell r="R813">
            <v>102.25</v>
          </cell>
          <cell r="S813">
            <v>1266.5</v>
          </cell>
          <cell r="U813">
            <v>2.53825257</v>
          </cell>
          <cell r="X813">
            <v>1139.8499999999999</v>
          </cell>
          <cell r="Y813">
            <v>544.6</v>
          </cell>
          <cell r="AC813">
            <v>97.3</v>
          </cell>
          <cell r="AE813">
            <v>97.528000000000006</v>
          </cell>
          <cell r="AF813">
            <v>1208.6958999999999</v>
          </cell>
          <cell r="AL813">
            <v>97.3</v>
          </cell>
          <cell r="AM813">
            <v>611.48</v>
          </cell>
          <cell r="AN813">
            <v>58.4</v>
          </cell>
          <cell r="AO813">
            <v>723.77</v>
          </cell>
          <cell r="AQ813">
            <v>58.7</v>
          </cell>
          <cell r="AV813">
            <v>1.0469999999999999</v>
          </cell>
          <cell r="AW813">
            <v>1</v>
          </cell>
          <cell r="BA813">
            <v>24.23</v>
          </cell>
          <cell r="BB813">
            <v>7.34</v>
          </cell>
          <cell r="BC813">
            <v>5.58</v>
          </cell>
          <cell r="BI813">
            <v>2</v>
          </cell>
          <cell r="BS813">
            <v>24.23</v>
          </cell>
          <cell r="BZ813">
            <v>90</v>
          </cell>
          <cell r="CA813">
            <v>43</v>
          </cell>
          <cell r="DD813"/>
          <cell r="DE813"/>
          <cell r="DG813" t="str">
            <v>)*1,67</v>
          </cell>
          <cell r="DI813"/>
          <cell r="DN813">
            <v>112</v>
          </cell>
          <cell r="DO813">
            <v>70</v>
          </cell>
          <cell r="ET813">
            <v>611.48</v>
          </cell>
          <cell r="EU813">
            <v>58.4</v>
          </cell>
        </row>
        <row r="815">
          <cell r="E815" t="str">
            <v>176</v>
          </cell>
          <cell r="F815" t="str">
            <v>МКЭ-33-1475/7-1 от 09.08.2017г.</v>
          </cell>
          <cell r="H815" t="str">
            <v>м</v>
          </cell>
          <cell r="I815">
            <v>26.82</v>
          </cell>
          <cell r="X815">
            <v>0</v>
          </cell>
          <cell r="Y815">
            <v>0</v>
          </cell>
          <cell r="AE815">
            <v>0</v>
          </cell>
          <cell r="AF815">
            <v>0</v>
          </cell>
          <cell r="AV815">
            <v>1</v>
          </cell>
          <cell r="BI815">
            <v>1</v>
          </cell>
          <cell r="BS815">
            <v>1</v>
          </cell>
          <cell r="DN815">
            <v>0</v>
          </cell>
          <cell r="DO815">
            <v>0</v>
          </cell>
        </row>
        <row r="821">
          <cell r="E821" t="str">
            <v>179</v>
          </cell>
          <cell r="F821" t="str">
            <v>4.8-83-7</v>
          </cell>
          <cell r="H821" t="str">
            <v>100 шт.</v>
          </cell>
          <cell r="I821">
            <v>0.25</v>
          </cell>
          <cell r="P821">
            <v>1.67</v>
          </cell>
          <cell r="Q821">
            <v>31.490000000000002</v>
          </cell>
          <cell r="R821">
            <v>21.56</v>
          </cell>
          <cell r="S821">
            <v>279.37</v>
          </cell>
          <cell r="U821">
            <v>0.559805</v>
          </cell>
          <cell r="X821">
            <v>251.43</v>
          </cell>
          <cell r="Y821">
            <v>120.13</v>
          </cell>
          <cell r="AC821">
            <v>1.19</v>
          </cell>
          <cell r="AE821">
            <v>3.2898999999999998</v>
          </cell>
          <cell r="AF821">
            <v>42.417999999999999</v>
          </cell>
          <cell r="AL821">
            <v>1.19</v>
          </cell>
          <cell r="AM821">
            <v>8.4700000000000006</v>
          </cell>
          <cell r="AN821">
            <v>1.97</v>
          </cell>
          <cell r="AO821">
            <v>25.4</v>
          </cell>
          <cell r="AQ821">
            <v>2.06</v>
          </cell>
          <cell r="AV821">
            <v>1.087</v>
          </cell>
          <cell r="AW821">
            <v>1</v>
          </cell>
          <cell r="BA821">
            <v>24.23</v>
          </cell>
          <cell r="BB821">
            <v>9.9</v>
          </cell>
          <cell r="BC821">
            <v>5.58</v>
          </cell>
          <cell r="BI821">
            <v>2</v>
          </cell>
          <cell r="BS821">
            <v>24.23</v>
          </cell>
          <cell r="BZ821">
            <v>90</v>
          </cell>
          <cell r="CA821">
            <v>43</v>
          </cell>
          <cell r="DD821"/>
          <cell r="DE821"/>
          <cell r="DG821" t="str">
            <v>)*1,67</v>
          </cell>
          <cell r="DI821"/>
          <cell r="DN821">
            <v>112</v>
          </cell>
          <cell r="DO821">
            <v>70</v>
          </cell>
          <cell r="ET821">
            <v>8.4700000000000006</v>
          </cell>
          <cell r="EU821">
            <v>1.97</v>
          </cell>
        </row>
        <row r="823">
          <cell r="E823" t="str">
            <v>180</v>
          </cell>
          <cell r="F823" t="str">
            <v>1.21-5-563</v>
          </cell>
          <cell r="H823" t="str">
            <v>шт.</v>
          </cell>
          <cell r="I823">
            <v>25</v>
          </cell>
          <cell r="P823">
            <v>1527.24</v>
          </cell>
          <cell r="X823">
            <v>0</v>
          </cell>
          <cell r="Y823">
            <v>0</v>
          </cell>
          <cell r="AC823">
            <v>69.42</v>
          </cell>
          <cell r="AE823">
            <v>0</v>
          </cell>
          <cell r="AF823">
            <v>0</v>
          </cell>
          <cell r="AL823">
            <v>69.42</v>
          </cell>
          <cell r="AV823">
            <v>1</v>
          </cell>
          <cell r="AW823">
            <v>1</v>
          </cell>
          <cell r="BC823">
            <v>0.88</v>
          </cell>
          <cell r="BI823">
            <v>2</v>
          </cell>
          <cell r="BS823">
            <v>1</v>
          </cell>
          <cell r="DD823"/>
          <cell r="DN823">
            <v>0</v>
          </cell>
          <cell r="DO823">
            <v>0</v>
          </cell>
        </row>
        <row r="837">
          <cell r="G837" t="str">
            <v>К2-21</v>
          </cell>
        </row>
        <row r="927">
          <cell r="G927" t="str">
            <v>48875-ТПК-5-0707-Р-ССР2-изм.1.1-доп.1_12-4017-Л-Р-11.4.3.1-ОВ1.2-СМ1К (взамен локальной сметы №12-4017-Л-Р-11.4.3.1-ОВ1.2-СМ1)</v>
          </cell>
        </row>
      </sheetData>
      <sheetData sheetId="2" refreshError="1"/>
      <sheetData sheetId="3" refreshError="1"/>
      <sheetData sheetId="4" refreshError="1"/>
    </sheetDataSet>
  </externalBook>
</externalLink>
</file>

<file path=xl/externalLinks/externalLink10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Акт КС-2 по ТСН-2001"/>
      <sheetName val="Source"/>
      <sheetName val="SourceObSm"/>
      <sheetName val="SmtRes"/>
      <sheetName val="EtalonRes"/>
    </sheetNames>
    <sheetDataSet>
      <sheetData sheetId="0" refreshError="1"/>
      <sheetData sheetId="1">
        <row r="15">
          <cell r="AN15" t="str">
            <v>ООО "СТРОЙ-МОНТАЖ 2002"</v>
          </cell>
        </row>
        <row r="26">
          <cell r="G26" t="str">
            <v>Хозяйственно-питьевой, производственный и противопожарный водопровод (В1)</v>
          </cell>
        </row>
        <row r="70">
          <cell r="G70" t="str">
            <v>УСТАНОВКА КРАНОВ УЧТЕНА В СОСТАВЕ РАБОТ НА ПРОКЛАДКУ ВОДОГАЗОПРОВОДНЫХ ТРУБ. ТЧ п. 1.6</v>
          </cell>
        </row>
        <row r="222">
          <cell r="G222" t="str">
            <v>Хозяйственно-питьевой, производственный и противопожарный водопровод (В1)</v>
          </cell>
        </row>
        <row r="252">
          <cell r="G252" t="str">
            <v>Горячее водоснабжение (Т3)</v>
          </cell>
        </row>
        <row r="317">
          <cell r="G317" t="str">
            <v>Горячее водоснабжение (Т3)</v>
          </cell>
        </row>
        <row r="347">
          <cell r="G347" t="str">
            <v>Бытовая канализация. Самотечная сеть (К1)</v>
          </cell>
        </row>
        <row r="428">
          <cell r="G428" t="str">
            <v>Бытовая канализация. Самотечная сеть (К1)</v>
          </cell>
        </row>
        <row r="458">
          <cell r="G458" t="str">
            <v>Бытовая канализация. Напорная сеть (К1Н)</v>
          </cell>
        </row>
        <row r="527">
          <cell r="G527" t="str">
            <v>ОБОРУДОВАНИЕ</v>
          </cell>
        </row>
        <row r="538">
          <cell r="G538" t="str">
            <v>ОБОРУДОВАНИЕ</v>
          </cell>
        </row>
        <row r="568">
          <cell r="G568" t="str">
            <v>Бытовая канализация. Напорная сеть (К1Н)</v>
          </cell>
        </row>
        <row r="598">
          <cell r="G598" t="str">
            <v>Водоотвод самотечный (К2)</v>
          </cell>
        </row>
        <row r="639">
          <cell r="G639" t="str">
            <v>ОБОРУДОВАНИЕ</v>
          </cell>
        </row>
        <row r="646">
          <cell r="G646" t="str">
            <v>ОБОРУДОВАНИЕ</v>
          </cell>
        </row>
        <row r="676">
          <cell r="G676" t="str">
            <v>Водоотвод самотечный (К2)</v>
          </cell>
        </row>
        <row r="706">
          <cell r="G706" t="str">
            <v>Водоотвод напорный (К2Н)</v>
          </cell>
        </row>
        <row r="716">
          <cell r="E716" t="str">
            <v>221</v>
          </cell>
          <cell r="H716" t="str">
            <v>100 м трубопровода</v>
          </cell>
          <cell r="I716">
            <v>0.82</v>
          </cell>
          <cell r="P716">
            <v>96.09</v>
          </cell>
          <cell r="Q716">
            <v>317.15000000000003</v>
          </cell>
          <cell r="R716">
            <v>78.98</v>
          </cell>
          <cell r="S716">
            <v>1873.66</v>
          </cell>
          <cell r="U716">
            <v>90.99375999999998</v>
          </cell>
          <cell r="X716">
            <v>2342.08</v>
          </cell>
          <cell r="Y716">
            <v>1761.24</v>
          </cell>
          <cell r="AL716">
            <v>117.18</v>
          </cell>
          <cell r="AM716">
            <v>326.27</v>
          </cell>
          <cell r="AN716">
            <v>54.05</v>
          </cell>
          <cell r="AO716">
            <v>1282.32</v>
          </cell>
          <cell r="AQ716">
            <v>104</v>
          </cell>
          <cell r="DD716"/>
          <cell r="DE716"/>
          <cell r="DG716" t="str">
            <v>)*1,67</v>
          </cell>
          <cell r="DI716"/>
        </row>
        <row r="717">
          <cell r="P717">
            <v>536.17999999999995</v>
          </cell>
          <cell r="Q717">
            <v>3236.9300000000003</v>
          </cell>
          <cell r="R717">
            <v>1913.69</v>
          </cell>
          <cell r="S717">
            <v>45398.78</v>
          </cell>
          <cell r="X717">
            <v>45398.78</v>
          </cell>
          <cell r="Y717">
            <v>20429.45</v>
          </cell>
          <cell r="AV717">
            <v>1.0669999999999999</v>
          </cell>
          <cell r="AW717">
            <v>1</v>
          </cell>
          <cell r="BA717">
            <v>24.23</v>
          </cell>
          <cell r="BB717">
            <v>8.65</v>
          </cell>
          <cell r="BC717">
            <v>5.58</v>
          </cell>
          <cell r="BS717">
            <v>24.23</v>
          </cell>
          <cell r="BZ717">
            <v>100</v>
          </cell>
          <cell r="CA717">
            <v>45</v>
          </cell>
          <cell r="DN717">
            <v>125</v>
          </cell>
          <cell r="DO717">
            <v>94</v>
          </cell>
        </row>
        <row r="718">
          <cell r="E718" t="str">
            <v>222</v>
          </cell>
          <cell r="F718" t="str">
            <v>1.12-6-206</v>
          </cell>
          <cell r="H718" t="str">
            <v>м</v>
          </cell>
          <cell r="I718">
            <v>82</v>
          </cell>
          <cell r="O718">
            <v>11472.62</v>
          </cell>
          <cell r="R718">
            <v>0</v>
          </cell>
          <cell r="X718">
            <v>0</v>
          </cell>
          <cell r="Y718">
            <v>0</v>
          </cell>
          <cell r="AK718">
            <v>139.91</v>
          </cell>
        </row>
        <row r="719">
          <cell r="O719">
            <v>96484.73</v>
          </cell>
          <cell r="R719">
            <v>0</v>
          </cell>
          <cell r="X719">
            <v>0</v>
          </cell>
          <cell r="Y719">
            <v>0</v>
          </cell>
          <cell r="AW719">
            <v>1</v>
          </cell>
          <cell r="BC719">
            <v>8.41</v>
          </cell>
        </row>
        <row r="728">
          <cell r="E728" t="str">
            <v>227</v>
          </cell>
          <cell r="F728" t="str">
            <v>1.12-11-9</v>
          </cell>
          <cell r="H728" t="str">
            <v>шт.</v>
          </cell>
          <cell r="I728">
            <v>29</v>
          </cell>
          <cell r="P728">
            <v>5046</v>
          </cell>
          <cell r="R728">
            <v>0</v>
          </cell>
          <cell r="X728">
            <v>0</v>
          </cell>
          <cell r="Y728">
            <v>0</v>
          </cell>
          <cell r="AL728">
            <v>174</v>
          </cell>
          <cell r="DD728"/>
        </row>
        <row r="729">
          <cell r="P729">
            <v>17661</v>
          </cell>
          <cell r="R729">
            <v>0</v>
          </cell>
          <cell r="X729">
            <v>0</v>
          </cell>
          <cell r="Y729">
            <v>0</v>
          </cell>
          <cell r="AW729">
            <v>1</v>
          </cell>
          <cell r="BC729">
            <v>3.5</v>
          </cell>
        </row>
        <row r="730">
          <cell r="E730" t="str">
            <v>228</v>
          </cell>
          <cell r="F730" t="str">
            <v>1.6-1-295</v>
          </cell>
          <cell r="H730" t="str">
            <v>т</v>
          </cell>
          <cell r="I730">
            <v>0.1012</v>
          </cell>
          <cell r="P730">
            <v>1599.8</v>
          </cell>
          <cell r="R730">
            <v>0</v>
          </cell>
          <cell r="X730">
            <v>0</v>
          </cell>
          <cell r="Y730">
            <v>0</v>
          </cell>
          <cell r="AL730">
            <v>15808.26</v>
          </cell>
          <cell r="DD730"/>
        </row>
        <row r="731">
          <cell r="P731">
            <v>6431.2</v>
          </cell>
          <cell r="R731">
            <v>0</v>
          </cell>
          <cell r="X731">
            <v>0</v>
          </cell>
          <cell r="Y731">
            <v>0</v>
          </cell>
          <cell r="AW731">
            <v>1</v>
          </cell>
          <cell r="BC731">
            <v>4.0199999999999996</v>
          </cell>
        </row>
        <row r="732">
          <cell r="E732" t="str">
            <v>229</v>
          </cell>
          <cell r="H732" t="str">
            <v>100 м2 окрашиваемой поверхности</v>
          </cell>
          <cell r="I732">
            <v>0.32719999999999999</v>
          </cell>
          <cell r="P732">
            <v>0.55000000000000004</v>
          </cell>
          <cell r="Q732">
            <v>0.28999999999999998</v>
          </cell>
          <cell r="R732">
            <v>0.1</v>
          </cell>
          <cell r="S732">
            <v>239.95</v>
          </cell>
          <cell r="U732">
            <v>12.375521999999998</v>
          </cell>
          <cell r="X732">
            <v>287.94</v>
          </cell>
          <cell r="Y732">
            <v>201.56</v>
          </cell>
          <cell r="AL732">
            <v>1.68</v>
          </cell>
          <cell r="AM732">
            <v>0.74</v>
          </cell>
          <cell r="AN732">
            <v>0.18</v>
          </cell>
          <cell r="AO732">
            <v>428.41</v>
          </cell>
          <cell r="AQ732">
            <v>36.9</v>
          </cell>
          <cell r="DD732"/>
          <cell r="DE732"/>
          <cell r="DG732" t="str">
            <v>)*1,67</v>
          </cell>
          <cell r="DI732"/>
        </row>
        <row r="733">
          <cell r="P733">
            <v>3.07</v>
          </cell>
          <cell r="Q733">
            <v>3.5</v>
          </cell>
          <cell r="R733">
            <v>2.42</v>
          </cell>
          <cell r="S733">
            <v>5813.99</v>
          </cell>
          <cell r="X733">
            <v>5116.3100000000004</v>
          </cell>
          <cell r="Y733">
            <v>2441.88</v>
          </cell>
          <cell r="AV733">
            <v>1.0249999999999999</v>
          </cell>
          <cell r="AW733">
            <v>1</v>
          </cell>
          <cell r="BA733">
            <v>24.23</v>
          </cell>
          <cell r="BB733">
            <v>10.11</v>
          </cell>
          <cell r="BC733">
            <v>5.58</v>
          </cell>
          <cell r="BS733">
            <v>24.23</v>
          </cell>
          <cell r="BZ733">
            <v>88</v>
          </cell>
          <cell r="CA733">
            <v>42</v>
          </cell>
          <cell r="DN733">
            <v>120</v>
          </cell>
          <cell r="DO733">
            <v>84</v>
          </cell>
        </row>
        <row r="734">
          <cell r="E734" t="str">
            <v>230</v>
          </cell>
          <cell r="F734" t="str">
            <v>1.1-1-455</v>
          </cell>
          <cell r="H734" t="str">
            <v>т</v>
          </cell>
          <cell r="I734">
            <v>8.0490000000000006E-3</v>
          </cell>
          <cell r="O734">
            <v>83.2</v>
          </cell>
          <cell r="R734">
            <v>0</v>
          </cell>
          <cell r="X734">
            <v>0</v>
          </cell>
          <cell r="Y734">
            <v>0</v>
          </cell>
          <cell r="AK734">
            <v>10337.290000000001</v>
          </cell>
        </row>
        <row r="735">
          <cell r="O735">
            <v>744.64</v>
          </cell>
          <cell r="R735">
            <v>0</v>
          </cell>
          <cell r="X735">
            <v>0</v>
          </cell>
          <cell r="Y735">
            <v>0</v>
          </cell>
          <cell r="AW735">
            <v>1</v>
          </cell>
          <cell r="BC735">
            <v>8.9499999999999993</v>
          </cell>
        </row>
        <row r="736">
          <cell r="E736" t="str">
            <v>231</v>
          </cell>
          <cell r="H736" t="str">
            <v>100 м2</v>
          </cell>
          <cell r="I736">
            <v>2.8000000000000001E-2</v>
          </cell>
          <cell r="P736">
            <v>1.1299999999999999</v>
          </cell>
          <cell r="Q736">
            <v>1.4000000000000001</v>
          </cell>
          <cell r="R736">
            <v>0.22</v>
          </cell>
          <cell r="S736">
            <v>2.96</v>
          </cell>
          <cell r="U736">
            <v>0.14892528000000002</v>
          </cell>
          <cell r="X736">
            <v>3.11</v>
          </cell>
          <cell r="Y736">
            <v>2.2799999999999998</v>
          </cell>
          <cell r="AL736">
            <v>20.16</v>
          </cell>
          <cell r="AM736">
            <v>22.38</v>
          </cell>
          <cell r="AN736">
            <v>2.2200000000000002</v>
          </cell>
          <cell r="AO736">
            <v>30.23</v>
          </cell>
          <cell r="AQ736">
            <v>2.54</v>
          </cell>
          <cell r="DD736" t="str">
            <v>)*2</v>
          </cell>
          <cell r="DE736" t="str">
            <v>)*2</v>
          </cell>
          <cell r="DG736" t="str">
            <v>)*1,67)*2</v>
          </cell>
          <cell r="DI736" t="str">
            <v>)*2</v>
          </cell>
        </row>
        <row r="737">
          <cell r="P737">
            <v>8.8800000000000008</v>
          </cell>
          <cell r="Q737">
            <v>10.59</v>
          </cell>
          <cell r="R737">
            <v>5.33</v>
          </cell>
          <cell r="S737">
            <v>71.72</v>
          </cell>
          <cell r="X737">
            <v>60.96</v>
          </cell>
          <cell r="Y737">
            <v>29.41</v>
          </cell>
          <cell r="AV737">
            <v>1.0469999999999999</v>
          </cell>
          <cell r="AW737">
            <v>1</v>
          </cell>
          <cell r="BA737">
            <v>24.23</v>
          </cell>
          <cell r="BB737">
            <v>6.42</v>
          </cell>
          <cell r="BC737">
            <v>7.86</v>
          </cell>
          <cell r="BS737">
            <v>24.23</v>
          </cell>
          <cell r="BZ737">
            <v>85</v>
          </cell>
          <cell r="CA737">
            <v>41</v>
          </cell>
          <cell r="DN737">
            <v>105</v>
          </cell>
          <cell r="DO737">
            <v>77</v>
          </cell>
        </row>
        <row r="738">
          <cell r="E738" t="str">
            <v>232</v>
          </cell>
          <cell r="F738" t="str">
            <v>1.1-1-413</v>
          </cell>
          <cell r="H738" t="str">
            <v>кг</v>
          </cell>
          <cell r="I738">
            <v>1.008</v>
          </cell>
          <cell r="O738">
            <v>48.28</v>
          </cell>
          <cell r="R738">
            <v>0</v>
          </cell>
          <cell r="X738">
            <v>0</v>
          </cell>
          <cell r="Y738">
            <v>0</v>
          </cell>
          <cell r="AK738">
            <v>47.9</v>
          </cell>
        </row>
        <row r="739">
          <cell r="O739">
            <v>128.41999999999999</v>
          </cell>
          <cell r="R739">
            <v>0</v>
          </cell>
          <cell r="X739">
            <v>0</v>
          </cell>
          <cell r="Y739">
            <v>0</v>
          </cell>
          <cell r="AW739">
            <v>1</v>
          </cell>
          <cell r="BC739">
            <v>2.66</v>
          </cell>
        </row>
        <row r="742">
          <cell r="E742" t="str">
            <v>234</v>
          </cell>
          <cell r="F742" t="str">
            <v>1.7-5-155</v>
          </cell>
          <cell r="H742" t="str">
            <v>шт.</v>
          </cell>
          <cell r="I742">
            <v>60</v>
          </cell>
          <cell r="P742">
            <v>1519.8</v>
          </cell>
          <cell r="R742">
            <v>0</v>
          </cell>
          <cell r="X742">
            <v>0</v>
          </cell>
          <cell r="Y742">
            <v>0</v>
          </cell>
          <cell r="AL742">
            <v>25.33</v>
          </cell>
          <cell r="DD742"/>
        </row>
        <row r="743">
          <cell r="P743">
            <v>8647.66</v>
          </cell>
          <cell r="R743">
            <v>0</v>
          </cell>
          <cell r="X743">
            <v>0</v>
          </cell>
          <cell r="Y743">
            <v>0</v>
          </cell>
          <cell r="AW743">
            <v>1</v>
          </cell>
          <cell r="BC743">
            <v>5.69</v>
          </cell>
        </row>
        <row r="744">
          <cell r="E744" t="str">
            <v>235</v>
          </cell>
          <cell r="F744" t="str">
            <v>1.7-5-240</v>
          </cell>
          <cell r="H744" t="str">
            <v>100 шт.</v>
          </cell>
          <cell r="I744">
            <v>0.06</v>
          </cell>
          <cell r="P744">
            <v>37.020000000000003</v>
          </cell>
          <cell r="R744">
            <v>0</v>
          </cell>
          <cell r="X744">
            <v>0</v>
          </cell>
          <cell r="Y744">
            <v>0</v>
          </cell>
          <cell r="AL744">
            <v>617.04</v>
          </cell>
          <cell r="DD744"/>
        </row>
        <row r="745">
          <cell r="P745">
            <v>274.69</v>
          </cell>
          <cell r="R745">
            <v>0</v>
          </cell>
          <cell r="X745">
            <v>0</v>
          </cell>
          <cell r="Y745">
            <v>0</v>
          </cell>
          <cell r="AW745">
            <v>1</v>
          </cell>
          <cell r="BC745">
            <v>7.42</v>
          </cell>
        </row>
        <row r="747">
          <cell r="G747" t="str">
            <v>ОБОРУДОВАНИЕ</v>
          </cell>
        </row>
        <row r="754">
          <cell r="G754" t="str">
            <v>ОБОРУДОВАНИЕ</v>
          </cell>
        </row>
        <row r="784">
          <cell r="G784" t="str">
            <v>Водоотвод напорный (К2Н)</v>
          </cell>
        </row>
        <row r="814">
          <cell r="G814" t="str">
            <v>Вестибюль №2. Внутренние инженерные системы. Водоснабжение и водоотведение</v>
          </cell>
        </row>
        <row r="844">
          <cell r="G844" t="str">
            <v>48809-ТПК_5-0673-Р-ССР2-изм 1.1 12-4017-Л-Р-11.4.3.2-ВК-СМ1К</v>
          </cell>
        </row>
        <row r="872">
          <cell r="P872">
            <v>261949.43</v>
          </cell>
        </row>
        <row r="873">
          <cell r="F873">
            <v>19904.490000000002</v>
          </cell>
          <cell r="H873" t="str">
            <v>Стоимость материалов (всего)</v>
          </cell>
          <cell r="P873">
            <v>130920.47</v>
          </cell>
        </row>
        <row r="874">
          <cell r="F874">
            <v>79.3</v>
          </cell>
          <cell r="H874" t="str">
            <v>ЗП машинистов</v>
          </cell>
          <cell r="P874">
            <v>1921.44</v>
          </cell>
        </row>
        <row r="875">
          <cell r="F875">
            <v>2116.5700000000002</v>
          </cell>
          <cell r="H875" t="str">
            <v>Основная ЗП рабочих</v>
          </cell>
          <cell r="P875">
            <v>51284.49</v>
          </cell>
        </row>
      </sheetData>
      <sheetData sheetId="2" refreshError="1"/>
      <sheetData sheetId="3" refreshError="1"/>
      <sheetData sheetId="4" refreshError="1"/>
    </sheetDataSet>
  </externalBook>
</externalLink>
</file>

<file path=xl/externalLinks/externalLink10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Реестр (2)"/>
      <sheetName val="Реестр"/>
      <sheetName val="КС-3"/>
      <sheetName val="1_6.1"/>
      <sheetName val="2_6.2"/>
      <sheetName val="3_6.4"/>
      <sheetName val="4_6.5"/>
      <sheetName val="5_6.6"/>
      <sheetName val="6_6.7"/>
      <sheetName val="7_6.8"/>
      <sheetName val="8_6.9"/>
      <sheetName val="Лист1"/>
    </sheetNames>
    <sheetDataSet>
      <sheetData sheetId="0"/>
      <sheetData sheetId="1"/>
      <sheetData sheetId="2"/>
      <sheetData sheetId="3">
        <row r="94">
          <cell r="J94">
            <v>0.6</v>
          </cell>
        </row>
        <row r="155">
          <cell r="J155">
            <v>0</v>
          </cell>
        </row>
      </sheetData>
      <sheetData sheetId="4">
        <row r="77">
          <cell r="J77">
            <v>6.72</v>
          </cell>
        </row>
        <row r="138">
          <cell r="J138">
            <v>0</v>
          </cell>
        </row>
        <row r="139">
          <cell r="J139">
            <v>3582.01</v>
          </cell>
        </row>
      </sheetData>
      <sheetData sheetId="5">
        <row r="61">
          <cell r="J61">
            <v>14.99</v>
          </cell>
        </row>
        <row r="122">
          <cell r="J122">
            <v>0</v>
          </cell>
        </row>
      </sheetData>
      <sheetData sheetId="6">
        <row r="37">
          <cell r="L37">
            <v>2380413.42</v>
          </cell>
        </row>
      </sheetData>
      <sheetData sheetId="7">
        <row r="65">
          <cell r="J65">
            <v>71186.33</v>
          </cell>
        </row>
      </sheetData>
      <sheetData sheetId="8">
        <row r="85">
          <cell r="J85">
            <v>444.85</v>
          </cell>
        </row>
        <row r="146">
          <cell r="J146">
            <v>0</v>
          </cell>
        </row>
      </sheetData>
      <sheetData sheetId="9">
        <row r="414">
          <cell r="J414">
            <v>0</v>
          </cell>
        </row>
        <row r="475">
          <cell r="J475">
            <v>0</v>
          </cell>
        </row>
      </sheetData>
      <sheetData sheetId="10">
        <row r="131">
          <cell r="J131">
            <v>16.440000000000001</v>
          </cell>
        </row>
        <row r="161">
          <cell r="J161">
            <v>0</v>
          </cell>
        </row>
      </sheetData>
      <sheetData sheetId="11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"/>
      <sheetName val="Ф"/>
      <sheetName val="К.С.М.(дор.+мост)"/>
      <sheetName val="Тр.(дор.)"/>
      <sheetName val="Тр.  (мост)"/>
      <sheetName val="Сод.л.см"/>
      <sheetName val="Сод.р.в."/>
      <sheetName val="П.з.р.в"/>
      <sheetName val="П.з.л.см"/>
      <sheetName val="C.с"/>
      <sheetName val="В.ст.дор"/>
      <sheetName val="В.ст.мост"/>
      <sheetName val="Вр"/>
      <sheetName val="зим"/>
      <sheetName val="эл"/>
      <sheetName val="ПИРб"/>
      <sheetName val="ПИРт"/>
      <sheetName val="Тр."/>
      <sheetName val="FS_05"/>
      <sheetName val="2012(КСЛ) (2)"/>
      <sheetName val="12"/>
      <sheetName val="Тр.(ж.д.)"/>
      <sheetName val="ч. щ. 2"/>
    </sheetNames>
    <sheetDataSet>
      <sheetData sheetId="0"/>
      <sheetData sheetId="1">
        <row r="77">
          <cell r="H77">
            <v>497.25</v>
          </cell>
        </row>
      </sheetData>
      <sheetData sheetId="2"/>
      <sheetData sheetId="3"/>
      <sheetData sheetId="4">
        <row r="30">
          <cell r="P30">
            <v>10.14</v>
          </cell>
        </row>
      </sheetData>
      <sheetData sheetId="5"/>
      <sheetData sheetId="6"/>
      <sheetData sheetId="7"/>
      <sheetData sheetId="8"/>
      <sheetData sheetId="9">
        <row r="39">
          <cell r="D39">
            <v>6.12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"/>
      <sheetName val="Ф"/>
      <sheetName val="К.С.М."/>
      <sheetName val="тр "/>
      <sheetName val="зимБ"/>
      <sheetName val="C.с  Б"/>
      <sheetName val="вахта Б"/>
      <sheetName val="ПИР"/>
      <sheetName val="сод.л.см."/>
      <sheetName val="ч. щ. 1"/>
      <sheetName val="ч. щ. 2"/>
      <sheetName val="П.з"/>
      <sheetName val="Тр.  (мост)"/>
      <sheetName val="Тр."/>
    </sheetNames>
    <sheetDataSet>
      <sheetData sheetId="0" refreshError="1"/>
      <sheetData sheetId="1"/>
      <sheetData sheetId="2"/>
      <sheetData sheetId="3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"/>
      <sheetName val="Ф"/>
      <sheetName val="К.С.М."/>
      <sheetName val="тр "/>
      <sheetName val="C.с баз"/>
      <sheetName val="зим"/>
      <sheetName val="П.з"/>
      <sheetName val="сод.л.см."/>
      <sheetName val="ПИР"/>
      <sheetName val="об.смДБаз."/>
      <sheetName val="зимДБаз."/>
      <sheetName val="об.см.ДБаз.(1э)"/>
      <sheetName val="зим ДБаз.(1э)"/>
      <sheetName val="об.см.ДТек (1э)"/>
      <sheetName val="об.смДТек"/>
      <sheetName val="зим ДТек"/>
      <sheetName val="зимДТек(1э)"/>
      <sheetName val="Сод. к л.см.(1э)"/>
      <sheetName val="Сод. к л.см."/>
      <sheetName val="вах"/>
      <sheetName val="вр"/>
      <sheetName val="C.с"/>
      <sheetName val="Тр.  (мост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"/>
      <sheetName val="Ф"/>
      <sheetName val="К.С.М."/>
      <sheetName val="К.С.М. (2)"/>
      <sheetName val="Тр. "/>
      <sheetName val="вск1"/>
      <sheetName val="Р1"/>
      <sheetName val="ПИР"/>
      <sheetName val="П.з "/>
      <sheetName val="зим"/>
      <sheetName val="C.с"/>
      <sheetName val="C.с1п"/>
      <sheetName val="зим 1п"/>
      <sheetName val="Сод.р.в."/>
      <sheetName val="П.з.р.в."/>
      <sheetName val="тр 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"/>
      <sheetName val="Ф"/>
      <sheetName val="К.С.М."/>
      <sheetName val="К.С.М. (2)"/>
      <sheetName val="Тр. "/>
      <sheetName val="вск1"/>
      <sheetName val="Р1"/>
      <sheetName val="ПИР"/>
      <sheetName val="П.з "/>
      <sheetName val="C.с"/>
      <sheetName val="зим"/>
    </sheetNames>
    <sheetDataSet>
      <sheetData sheetId="0"/>
      <sheetData sheetId="1"/>
      <sheetData sheetId="2"/>
      <sheetData sheetId="3">
        <row r="49">
          <cell r="P49">
            <v>33.584000000000003</v>
          </cell>
        </row>
      </sheetData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Ф"/>
      <sheetName val="К"/>
      <sheetName val="ч. щ. 1"/>
      <sheetName val="ч. щ. 2"/>
      <sheetName val="К.С.М."/>
      <sheetName val="Тр."/>
      <sheetName val="зим."/>
      <sheetName val="вах"/>
      <sheetName val="вр"/>
      <sheetName val="C.с"/>
      <sheetName val="П.з.л.см"/>
      <sheetName val="П.з.р.в"/>
      <sheetName val="Сод.л.см"/>
      <sheetName val="Сод.р.в."/>
      <sheetName val="К.С.М. (2)"/>
      <sheetName val="Приложение 15"/>
    </sheetNames>
    <sheetDataSet>
      <sheetData sheetId="0"/>
      <sheetData sheetId="1"/>
      <sheetData sheetId="2"/>
      <sheetData sheetId="3"/>
      <sheetData sheetId="4"/>
      <sheetData sheetId="5"/>
      <sheetData sheetId="6" refreshError="1"/>
      <sheetData sheetId="7" refreshError="1">
        <row r="17">
          <cell r="F17">
            <v>23154</v>
          </cell>
        </row>
      </sheetData>
      <sheetData sheetId="8" refreshError="1">
        <row r="33">
          <cell r="G33">
            <v>60.84</v>
          </cell>
        </row>
      </sheetData>
      <sheetData sheetId="9" refreshError="1">
        <row r="28">
          <cell r="I28">
            <v>3.23</v>
          </cell>
        </row>
        <row r="58">
          <cell r="E58">
            <v>3.96</v>
          </cell>
        </row>
      </sheetData>
      <sheetData sheetId="10"/>
      <sheetData sheetId="11"/>
      <sheetData sheetId="12"/>
      <sheetData sheetId="13"/>
      <sheetData sheetId="14" refreshError="1"/>
      <sheetData sheetId="15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"/>
      <sheetName val="Ф"/>
      <sheetName val="К.С.М."/>
      <sheetName val="Тр."/>
      <sheetName val="Тр. (2)"/>
      <sheetName val="C.с "/>
      <sheetName val="C.с  (2)"/>
      <sheetName val="C.сбаз.и"/>
      <sheetName val="Р1 (2)"/>
      <sheetName val="Р1 (И)"/>
      <sheetName val="П.з "/>
      <sheetName val="сод"/>
      <sheetName val="сод (2)"/>
      <sheetName val="сод р.в."/>
      <sheetName val="П.з  (2)"/>
      <sheetName val="П.з  (3)"/>
      <sheetName val="К.С.М. (2)"/>
      <sheetName val="C.с"/>
      <sheetName val="вах"/>
      <sheetName val="вр"/>
      <sheetName val="зим."/>
      <sheetName val="mutual"/>
    </sheetNames>
    <sheetDataSet>
      <sheetData sheetId="0"/>
      <sheetData sheetId="1"/>
      <sheetData sheetId="2">
        <row r="42">
          <cell r="P42">
            <v>15.75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"/>
      <sheetName val="Ф"/>
      <sheetName val="К.С.М."/>
      <sheetName val="тр "/>
      <sheetName val="об.смДБаз."/>
      <sheetName val="зимДБаз."/>
      <sheetName val="об.см.ДБаз.(1э)"/>
      <sheetName val="зим ДБаз.(1э)"/>
      <sheetName val="об.см.ДТек (1э)"/>
      <sheetName val="об.смДТек"/>
      <sheetName val="зим ДТек"/>
      <sheetName val="зимДТек(1э)"/>
      <sheetName val="Сод. к л.см.(1э)"/>
      <sheetName val="Сод. к л.см."/>
      <sheetName val="вах"/>
      <sheetName val="вр"/>
      <sheetName val="C.с"/>
      <sheetName val="зим.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"/>
      <sheetName val="Ф"/>
      <sheetName val="К.С.М."/>
      <sheetName val="ТР"/>
      <sheetName val="вск1"/>
      <sheetName val="Р1"/>
      <sheetName val="ПИР"/>
      <sheetName val="П.з "/>
      <sheetName val="C.с"/>
      <sheetName val="C.с (3)"/>
      <sheetName val="C.с (2)"/>
      <sheetName val="зим"/>
      <sheetName val="Рокно"/>
      <sheetName val="П.з  (2)"/>
      <sheetName val="C.с (4)"/>
      <sheetName val="вр"/>
      <sheetName val="Lots1127"/>
    </sheetNames>
    <sheetDataSet>
      <sheetData sheetId="0"/>
      <sheetData sheetId="1"/>
      <sheetData sheetId="2">
        <row r="18">
          <cell r="P18">
            <v>15.080000000000002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Эл.энергия"/>
      <sheetName val="аренда флота"/>
      <sheetName val="Эл.энергия без 100 кВт"/>
    </sheetNames>
    <sheetDataSet>
      <sheetData sheetId="0"/>
      <sheetData sheetId="1"/>
      <sheetData sheetId="2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"/>
      <sheetName val="Ф"/>
      <sheetName val="К.С.М."/>
      <sheetName val="тр "/>
      <sheetName val="C.с баз"/>
      <sheetName val="зим"/>
      <sheetName val="П.з"/>
      <sheetName val="сод.л.см."/>
      <sheetName val="ПИР"/>
      <sheetName val="Фрез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.С.М."/>
      <sheetName val="Ф"/>
      <sheetName val="Bendra"/>
    </sheetNames>
    <sheetDataSet>
      <sheetData sheetId="0">
        <row r="113">
          <cell r="P113">
            <v>24.96</v>
          </cell>
        </row>
      </sheetData>
      <sheetData sheetId="1" refreshError="1"/>
      <sheetData sheetId="2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Ер"/>
      <sheetName val="К"/>
      <sheetName val="Ф"/>
      <sheetName val="К.С.М."/>
      <sheetName val="Тр."/>
      <sheetName val="Тр. (2)"/>
      <sheetName val="а.б. 1 м"/>
      <sheetName val="битум"/>
      <sheetName val="Р1 "/>
      <sheetName val="ПИР"/>
      <sheetName val="C.с "/>
      <sheetName val="Р2"/>
      <sheetName val="П.з "/>
      <sheetName val="C.с  (2)"/>
      <sheetName val="C.с  (4)"/>
      <sheetName val="К.С.М. (2)"/>
    </sheetNames>
    <sheetDataSet>
      <sheetData sheetId="0"/>
      <sheetData sheetId="1"/>
      <sheetData sheetId="2"/>
      <sheetData sheetId="3">
        <row r="192">
          <cell r="P192">
            <v>26.808000000000003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Е.р."/>
      <sheetName val="К"/>
      <sheetName val="Ф"/>
      <sheetName val="К.С.М."/>
      <sheetName val="Тр."/>
      <sheetName val="ПИР"/>
      <sheetName val="C.с"/>
      <sheetName val="Р1"/>
      <sheetName val="Р2"/>
      <sheetName val="Р2 (2)"/>
      <sheetName val="Р3"/>
      <sheetName val="C.с (2)"/>
      <sheetName val="C.с (3)"/>
      <sheetName val="П.з"/>
      <sheetName val="сод"/>
    </sheetNames>
    <sheetDataSet>
      <sheetData sheetId="0" refreshError="1"/>
      <sheetData sheetId="1" refreshError="1"/>
      <sheetData sheetId="2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/>
      <sheetData sheetId="12"/>
      <sheetData sheetId="13" refreshError="1"/>
      <sheetData sheetId="14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2"/>
      <sheetName val="3"/>
      <sheetName val="С.с"/>
      <sheetName val="С.с (2)"/>
      <sheetName val="Р1"/>
      <sheetName val="Р2"/>
      <sheetName val="П.з"/>
      <sheetName val="ПИР"/>
      <sheetName val="об"/>
      <sheetName val="мат"/>
      <sheetName val="К.С.М."/>
      <sheetName val="Ф"/>
    </sheetNames>
    <sheetDataSet>
      <sheetData sheetId="0"/>
      <sheetData sheetId="1"/>
      <sheetData sheetId="2">
        <row r="155">
          <cell r="K155">
            <v>585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"/>
      <sheetName val="Ф"/>
      <sheetName val="К.С.М."/>
      <sheetName val="Тр."/>
      <sheetName val="Тр.ж.д."/>
      <sheetName val="Тр.ж.д. (1)"/>
      <sheetName val="ПИР"/>
      <sheetName val="C.с баз"/>
      <sheetName val="зим Б"/>
      <sheetName val="вах"/>
      <sheetName val="эл"/>
      <sheetName val="П.з"/>
      <sheetName val="сод"/>
      <sheetName val="сод.л.см."/>
      <sheetName val="сод.л.р.в."/>
      <sheetName val="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Ф"/>
      <sheetName val="КС-2"/>
      <sheetName val="3"/>
      <sheetName val="Inf"/>
    </sheetNames>
    <sheetDataSet>
      <sheetData sheetId="0">
        <row r="48">
          <cell r="H48">
            <v>65.84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"/>
      <sheetName val="Ф"/>
      <sheetName val="К.С.М."/>
      <sheetName val="Тр. ж.д."/>
      <sheetName val="сод"/>
      <sheetName val="ПИРБ"/>
      <sheetName val="C.с  Б"/>
      <sheetName val="зимБ"/>
      <sheetName val="вах"/>
      <sheetName val="Тр.(пут)"/>
      <sheetName val="Фм"/>
      <sheetName val="К.С.М. (ПУТ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  <sheetData sheetId="11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"/>
      <sheetName val="Ф"/>
      <sheetName val="К.С.М."/>
      <sheetName val="C.с баз"/>
      <sheetName val="Тр."/>
      <sheetName val="зим Б"/>
      <sheetName val="сод.л.см."/>
      <sheetName val="П.з"/>
      <sheetName val="Об.см."/>
      <sheetName val="вах"/>
      <sheetName val="ПИР"/>
      <sheetName val="Тр.(пут)"/>
    </sheetNames>
    <sheetDataSet>
      <sheetData sheetId="0" refreshError="1"/>
      <sheetData sheetId="1"/>
      <sheetData sheetId="2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"/>
      <sheetName val="Ф"/>
      <sheetName val="К.С.М."/>
      <sheetName val="Тр."/>
      <sheetName val="C.с баз"/>
      <sheetName val="зим Б"/>
      <sheetName val="сод.л.см."/>
      <sheetName val="П.з"/>
      <sheetName val="ПИР"/>
      <sheetName val="вах"/>
      <sheetName val="Об.см."/>
      <sheetName val="ТрМ. "/>
      <sheetName val="К.С.М. м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urnisseurs"/>
      <sheetName val="Catégories"/>
      <sheetName val="Diffuseurs"/>
      <sheetName val="Terminaux clim"/>
      <sheetName val="AERAULIQUE"/>
      <sheetName val="HYDRAULIQUE"/>
      <sheetName val="Source"/>
    </sheetNames>
    <sheetDataSet>
      <sheetData sheetId="0" refreshError="1"/>
      <sheetData sheetId="1">
        <row r="5">
          <cell r="B5" t="str">
            <v>Diffuseurs filtres</v>
          </cell>
        </row>
        <row r="6">
          <cell r="B6" t="str">
            <v>Diffuseurs petit débit</v>
          </cell>
        </row>
        <row r="7">
          <cell r="B7" t="str">
            <v>Diffuseurs à induction interne</v>
          </cell>
        </row>
        <row r="8">
          <cell r="B8" t="str">
            <v>Diffuseurs plafonniers perforés</v>
          </cell>
        </row>
        <row r="9">
          <cell r="B9" t="str">
            <v>Diffuseurs longue portée</v>
          </cell>
        </row>
        <row r="10">
          <cell r="B10" t="str">
            <v>Diffuseurs de sol/contre marche pour salle de spectacle</v>
          </cell>
        </row>
        <row r="11">
          <cell r="B11" t="str">
            <v>Buses de soufflages</v>
          </cell>
        </row>
        <row r="12">
          <cell r="B12" t="str">
            <v>Diffuseurs circulaires</v>
          </cell>
        </row>
        <row r="13">
          <cell r="B13" t="str">
            <v>Diffuseurs architecturaux</v>
          </cell>
        </row>
        <row r="14">
          <cell r="B14" t="str">
            <v>Diffuseurs à jets rotatif</v>
          </cell>
        </row>
        <row r="15">
          <cell r="B15" t="str">
            <v>Diffuseurs linéaires</v>
          </cell>
        </row>
        <row r="16">
          <cell r="B16" t="str">
            <v>Diffuseurs pour locaux de grandes hauteur</v>
          </cell>
        </row>
        <row r="17">
          <cell r="B17" t="str">
            <v>Diffuseurs à déplacements</v>
          </cell>
        </row>
        <row r="20">
          <cell r="B20" t="str">
            <v>Catégories de pompes</v>
          </cell>
        </row>
        <row r="22">
          <cell r="B22" t="str">
            <v>Pompes simples</v>
          </cell>
        </row>
        <row r="23">
          <cell r="B23" t="str">
            <v>Pompes doubles</v>
          </cell>
        </row>
        <row r="27">
          <cell r="B27" t="str">
            <v>Catégories de splits</v>
          </cell>
        </row>
        <row r="28">
          <cell r="B28" t="str">
            <v>Monosplit</v>
          </cell>
        </row>
        <row r="29">
          <cell r="B29" t="str">
            <v>Multisplit</v>
          </cell>
        </row>
        <row r="32">
          <cell r="B32" t="str">
            <v>Catégories d'échangeurs à plaques</v>
          </cell>
        </row>
        <row r="33">
          <cell r="B33" t="str">
            <v>465kW</v>
          </cell>
        </row>
        <row r="34">
          <cell r="B34" t="str">
            <v>950kW</v>
          </cell>
        </row>
        <row r="36">
          <cell r="B36" t="str">
            <v>Catégories de ventilo-convecteurs (VC)</v>
          </cell>
        </row>
        <row r="37">
          <cell r="B37" t="str">
            <v>2 tuyaux</v>
          </cell>
        </row>
        <row r="38">
          <cell r="B38" t="str">
            <v>4 tuyaux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"/>
      <sheetName val="Ф"/>
      <sheetName val="К.С.М."/>
      <sheetName val="Тр."/>
      <sheetName val="C.с баз"/>
      <sheetName val="зим Б"/>
      <sheetName val="ПИР б"/>
      <sheetName val="сод.л.см."/>
      <sheetName val="П.з"/>
      <sheetName val="Тр.(ж.д.)"/>
      <sheetName val="ч. щ. 2"/>
      <sheetName val="BDR02"/>
    </sheetNames>
    <sheetDataSet>
      <sheetData sheetId="0" refreshError="1"/>
      <sheetData sheetId="1">
        <row r="97">
          <cell r="H97">
            <v>6.27</v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Ф"/>
      <sheetName val="Тр."/>
      <sheetName val="3"/>
    </sheetNames>
    <sheetDataSet>
      <sheetData sheetId="0">
        <row r="28">
          <cell r="H28">
            <v>238.77899999999997</v>
          </cell>
        </row>
      </sheetData>
      <sheetData sheetId="1" refreshError="1"/>
      <sheetData sheetId="2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"/>
      <sheetName val="Ф"/>
      <sheetName val="К.С.М.(дор.+мост)"/>
      <sheetName val="Тр.(дор.)"/>
      <sheetName val="Тр.  (мост)"/>
      <sheetName val="Сод.л.см"/>
      <sheetName val="Сод.р.в."/>
      <sheetName val="П.з.р.в"/>
      <sheetName val="П.з.л.см"/>
      <sheetName val="C.с"/>
      <sheetName val="В.ст.дор"/>
      <sheetName val="В.ст.мост"/>
      <sheetName val="Вр"/>
      <sheetName val="зим"/>
      <sheetName val="эл"/>
      <sheetName val="ПИРб"/>
      <sheetName val="ПИРт"/>
      <sheetName val="FS_05"/>
    </sheetNames>
    <sheetDataSet>
      <sheetData sheetId="0"/>
      <sheetData sheetId="1">
        <row r="77">
          <cell r="H77">
            <v>497.25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ф2"/>
      <sheetName val="сод.т.ц."/>
      <sheetName val="Возврат"/>
      <sheetName val="C.с "/>
      <sheetName val="зим "/>
      <sheetName val="эл т"/>
      <sheetName val="Об.см."/>
      <sheetName val="ПИР"/>
      <sheetName val="тр "/>
      <sheetName val="К.С.М."/>
      <sheetName val="Ф"/>
    </sheetNames>
    <sheetDataSet>
      <sheetData sheetId="0" refreshError="1"/>
      <sheetData sheetId="1" refreshError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зим "/>
      <sheetName val="эл"/>
      <sheetName val="экспертиза"/>
      <sheetName val="содт"/>
      <sheetName val="июнь ТО-45"/>
      <sheetName val="Ф"/>
    </sheetNames>
    <sheetDataSet>
      <sheetData sheetId="0">
        <row r="31">
          <cell r="F31">
            <v>61643.700000000004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Зима"/>
      <sheetName val="Зима тек."/>
      <sheetName val="ф3"/>
      <sheetName val="ф3д"/>
      <sheetName val="ф3м"/>
      <sheetName val="Вр"/>
      <sheetName val="Вр тек"/>
      <sheetName val="эл"/>
      <sheetName val="эл т"/>
      <sheetName val="Макрос1"/>
      <sheetName val="Макрос2"/>
      <sheetName val="Макрос3"/>
      <sheetName val="для расчёта"/>
      <sheetName val="Февраль"/>
      <sheetName val="зим 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Реестр"/>
      <sheetName val="Лист1"/>
      <sheetName val="Source"/>
      <sheetName val="SmtRes"/>
      <sheetName val="ClcRes"/>
      <sheetName val="зим 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2 (2)"/>
      <sheetName val="Лист2"/>
      <sheetName val="Лист1"/>
      <sheetName val="Source"/>
      <sheetName val="SmtRes"/>
      <sheetName val="ClcRes"/>
      <sheetName val="Зима"/>
    </sheetNames>
    <sheetDataSet>
      <sheetData sheetId="0"/>
      <sheetData sheetId="1"/>
      <sheetData sheetId="2"/>
      <sheetData sheetId="3"/>
      <sheetData sheetId="4"/>
      <sheetData sheetId="5"/>
      <sheetData sheetId="6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2 (2)"/>
      <sheetName val="Лист2"/>
      <sheetName val="Лист1"/>
      <sheetName val="Source"/>
      <sheetName val="SmtRes"/>
      <sheetName val="ClcRes"/>
      <sheetName val="Зима"/>
    </sheetNames>
    <sheetDataSet>
      <sheetData sheetId="0"/>
      <sheetData sheetId="1"/>
      <sheetData sheetId="2"/>
      <sheetData sheetId="3"/>
      <sheetData sheetId="4"/>
      <sheetData sheetId="5"/>
      <sheetData sheetId="6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Ер"/>
      <sheetName val="К"/>
      <sheetName val="Ф"/>
      <sheetName val="К.С.М."/>
      <sheetName val="Тр(мост)"/>
      <sheetName val="Тр(дор.)"/>
      <sheetName val="C.с "/>
      <sheetName val="зим"/>
      <sheetName val="П.з. л. c"/>
      <sheetName val="П.з.р.в."/>
      <sheetName val="ПИРб"/>
      <sheetName val="ПИРт"/>
      <sheetName val="Сод р.в."/>
      <sheetName val="Сод.л.см"/>
      <sheetName val="Лист1"/>
      <sheetName val="Зима"/>
      <sheetName val="XRates"/>
    </sheetNames>
    <sheetDataSet>
      <sheetData sheetId="0"/>
      <sheetData sheetId="1"/>
      <sheetData sheetId="2"/>
      <sheetData sheetId="3"/>
      <sheetData sheetId="4"/>
      <sheetData sheetId="5"/>
      <sheetData sheetId="6" refreshError="1">
        <row r="21">
          <cell r="D21">
            <v>54.33</v>
          </cell>
        </row>
        <row r="25">
          <cell r="D25">
            <v>1.04</v>
          </cell>
        </row>
        <row r="28">
          <cell r="D28">
            <v>6.99</v>
          </cell>
        </row>
        <row r="36">
          <cell r="F36">
            <v>2.89</v>
          </cell>
        </row>
        <row r="39">
          <cell r="I39">
            <v>36.840000000000003</v>
          </cell>
        </row>
        <row r="49">
          <cell r="D49">
            <v>15.42</v>
          </cell>
        </row>
        <row r="52">
          <cell r="D52">
            <v>9.6999999999999993</v>
          </cell>
        </row>
        <row r="69">
          <cell r="D69">
            <v>159.82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ЭН1_БНС"/>
      <sheetName val="ЭН2_БНС"/>
      <sheetName val="ЭН14_БНС"/>
      <sheetName val="1-1-4"/>
      <sheetName val="8-4_времен.дорога А-В"/>
      <sheetName val="2-4-9_дорога 3"/>
      <sheetName val="1-1-11_Зем.работы площадки"/>
      <sheetName val="1-1-8_островки"/>
      <sheetName val="9 навМОСТОВИК"/>
      <sheetName val="Эл.энергия без 100 кВт"/>
      <sheetName val="М2_БНС"/>
      <sheetName val="ЭН14_Ростверк"/>
      <sheetName val="ЭН14_СВСиУ"/>
      <sheetName val="ЭН15_БНС"/>
      <sheetName val="ЭН13_БНС"/>
      <sheetName val="ЭН13_СВСиУ"/>
      <sheetName val="ЭН3_БНС"/>
      <sheetName val="ЭН16_БНС"/>
      <sheetName val="Ф-2 надбавка ДВ%"/>
      <sheetName val="Ф-2 вах.метод"/>
      <sheetName val="перебазировка"/>
      <sheetName val="Аренда флота"/>
      <sheetName val="КС-3"/>
      <sheetName val="КС-3_ноябрь полная"/>
      <sheetName val="КС-3_ноябрь"/>
      <sheetName val="Реестр актов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 refreshError="1"/>
      <sheetData sheetId="23" refreshError="1"/>
      <sheetData sheetId="24" refreshError="1"/>
      <sheetData sheetId="25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.с  (2)"/>
      <sheetName val="ПИРб"/>
      <sheetName val="ПИРтек"/>
      <sheetName val="П.з.р.в."/>
      <sheetName val="К"/>
      <sheetName val="Ф"/>
      <sheetName val="К.С.М."/>
      <sheetName val="Тр."/>
      <sheetName val="Сод.кор."/>
      <sheetName val="Сод р.в."/>
      <sheetName val="Сод.л.см"/>
      <sheetName val="зим (2)"/>
      <sheetName val="вах (2)"/>
      <sheetName val="зим"/>
      <sheetName val="C.с "/>
      <sheetName val="вах"/>
      <sheetName val="ГИБДД"/>
      <sheetName val="эл"/>
      <sheetName val="П.з. л. c"/>
      <sheetName val="П.з. л. c (2)"/>
      <sheetName val="Лист1"/>
      <sheetName val="Зуевка,Прил 4."/>
      <sheetName val="Page1"/>
      <sheetName val="12"/>
      <sheetName val="C.с"/>
      <sheetName val="контрагенты"/>
    </sheetNames>
    <sheetDataSet>
      <sheetData sheetId="0">
        <row r="44">
          <cell r="H44">
            <v>46.16</v>
          </cell>
        </row>
        <row r="80">
          <cell r="I80">
            <v>1135.92</v>
          </cell>
        </row>
      </sheetData>
      <sheetData sheetId="1"/>
      <sheetData sheetId="2">
        <row r="52">
          <cell r="H52">
            <v>58.765040000000006</v>
          </cell>
        </row>
      </sheetData>
      <sheetData sheetId="3">
        <row r="51">
          <cell r="P51">
            <v>8.94</v>
          </cell>
        </row>
      </sheetData>
      <sheetData sheetId="4">
        <row r="35">
          <cell r="H35">
            <v>9.33</v>
          </cell>
        </row>
      </sheetData>
      <sheetData sheetId="5">
        <row r="52">
          <cell r="H52">
            <v>58.765040000000006</v>
          </cell>
        </row>
      </sheetData>
      <sheetData sheetId="6">
        <row r="51">
          <cell r="P51">
            <v>8.94</v>
          </cell>
        </row>
      </sheetData>
      <sheetData sheetId="7">
        <row r="35">
          <cell r="H35">
            <v>9.33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 общих данных"/>
      <sheetName val="Лист1"/>
      <sheetName val="Объектн.смета"/>
      <sheetName val="Зима"/>
      <sheetName val="Прочие"/>
      <sheetName val="Врем.здания"/>
      <sheetName val="Сметный расчет стоимости"/>
      <sheetName val="Отпускн.цена"/>
      <sheetName val="Кальк.тр.расх."/>
      <sheetName val="Кальк.стоим."/>
      <sheetName val="Форма прямых затрат"/>
      <sheetName val="Каталог"/>
      <sheetName val="Озеленение"/>
      <sheetName val="Вертик.планировка"/>
      <sheetName val="Автопавильон"/>
      <sheetName val="Пересечения и примыкания"/>
      <sheetName val=" Подготовительные работы"/>
      <sheetName val="Рекультивация"/>
      <sheetName val="Земляное полотно"/>
      <sheetName val="Дорожная одежда"/>
      <sheetName val="Объездные дороги"/>
      <sheetName val="Обстановка дороги"/>
      <sheetName val="Искусственные сооружения"/>
      <sheetName val="C.с "/>
      <sheetName val="зим "/>
    </sheetNames>
    <sheetDataSet>
      <sheetData sheetId="0" refreshError="1"/>
      <sheetData sheetId="1" refreshError="1"/>
      <sheetData sheetId="2" refreshError="1"/>
      <sheetData sheetId="3" refreshError="1">
        <row r="16">
          <cell r="E16">
            <v>6905</v>
          </cell>
        </row>
      </sheetData>
      <sheetData sheetId="4" refreshError="1"/>
      <sheetData sheetId="5" refreshError="1">
        <row r="11">
          <cell r="G11">
            <v>11835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>
        <row r="40">
          <cell r="AJ40">
            <v>547</v>
          </cell>
        </row>
      </sheetData>
      <sheetData sheetId="13" refreshError="1">
        <row r="32">
          <cell r="AJ32">
            <v>104</v>
          </cell>
        </row>
      </sheetData>
      <sheetData sheetId="14" refreshError="1">
        <row r="133">
          <cell r="AJ133">
            <v>2055</v>
          </cell>
        </row>
      </sheetData>
      <sheetData sheetId="15" refreshError="1">
        <row r="58">
          <cell r="AJ58">
            <v>24880</v>
          </cell>
        </row>
      </sheetData>
      <sheetData sheetId="16" refreshError="1">
        <row r="15">
          <cell r="AJ15">
            <v>111</v>
          </cell>
        </row>
        <row r="20">
          <cell r="AJ20">
            <v>28</v>
          </cell>
        </row>
        <row r="26">
          <cell r="AJ26">
            <v>1520</v>
          </cell>
        </row>
        <row r="71">
          <cell r="AJ71">
            <v>39</v>
          </cell>
        </row>
      </sheetData>
      <sheetData sheetId="17" refreshError="1">
        <row r="24">
          <cell r="AJ24">
            <v>300</v>
          </cell>
        </row>
        <row r="51">
          <cell r="AJ51">
            <v>4809</v>
          </cell>
        </row>
      </sheetData>
      <sheetData sheetId="18" refreshError="1">
        <row r="49">
          <cell r="AJ49">
            <v>8292</v>
          </cell>
        </row>
        <row r="70">
          <cell r="AJ70">
            <v>5087</v>
          </cell>
        </row>
      </sheetData>
      <sheetData sheetId="19" refreshError="1">
        <row r="30">
          <cell r="AJ30">
            <v>166825</v>
          </cell>
        </row>
        <row r="51">
          <cell r="AJ51">
            <v>6450</v>
          </cell>
        </row>
        <row r="75">
          <cell r="AJ75">
            <v>10305</v>
          </cell>
        </row>
      </sheetData>
      <sheetData sheetId="20" refreshError="1">
        <row r="41">
          <cell r="AJ41">
            <v>4442</v>
          </cell>
        </row>
      </sheetData>
      <sheetData sheetId="21" refreshError="1">
        <row r="24">
          <cell r="AJ24">
            <v>476</v>
          </cell>
        </row>
        <row r="42">
          <cell r="AJ42">
            <v>1797</v>
          </cell>
        </row>
        <row r="66">
          <cell r="AJ66">
            <v>6532</v>
          </cell>
        </row>
        <row r="103">
          <cell r="AJ103">
            <v>1440</v>
          </cell>
        </row>
        <row r="121">
          <cell r="AJ121">
            <v>303</v>
          </cell>
        </row>
      </sheetData>
      <sheetData sheetId="22" refreshError="1">
        <row r="182">
          <cell r="AJ182">
            <v>30439</v>
          </cell>
        </row>
      </sheetData>
      <sheetData sheetId="23" refreshError="1"/>
      <sheetData sheetId="24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8.2011"/>
      <sheetName val="09.2011"/>
      <sheetName val="10.2011"/>
      <sheetName val="11.2011"/>
      <sheetName val="12.2011"/>
      <sheetName val="01.2012"/>
      <sheetName val="02.2012"/>
      <sheetName val="03.2012"/>
      <sheetName val="04.2012"/>
      <sheetName val="05.2012"/>
      <sheetName val="06.2012"/>
      <sheetName val="07.2012"/>
      <sheetName val="08.2012"/>
      <sheetName val="09.2012"/>
      <sheetName val="05.2013"/>
      <sheetName val="06.2013"/>
      <sheetName val="07.2013"/>
      <sheetName val="08.2013"/>
      <sheetName val="09.2013"/>
      <sheetName val="Лист1"/>
      <sheetName val="Лист2"/>
      <sheetName val="Обстановка дороги"/>
      <sheetName val="Автопавильон"/>
      <sheetName val="Дорожная одежда"/>
      <sheetName val="Вертик.планировка"/>
      <sheetName val=" Подготовительные работы"/>
      <sheetName val="Врем.здания"/>
      <sheetName val="Земляное полотно"/>
      <sheetName val="Зима"/>
      <sheetName val="Объездные дороги"/>
      <sheetName val="Озеленение"/>
      <sheetName val="Пересечения и примыкания"/>
      <sheetName val="Рекультивация"/>
      <sheetName val="Искусственные сооружения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>
        <row r="418">
          <cell r="C418" t="str">
            <v>Воробьев Борис Олегович</v>
          </cell>
          <cell r="D418" t="str">
            <v xml:space="preserve">мастер горный </v>
          </cell>
          <cell r="E418" t="str">
            <v>ЕВ20101156 937196</v>
          </cell>
          <cell r="F418">
            <v>2587</v>
          </cell>
          <cell r="G418">
            <v>2192.73</v>
          </cell>
          <cell r="H418">
            <v>0</v>
          </cell>
        </row>
        <row r="419">
          <cell r="C419" t="str">
            <v>Довбня Владислав Сергеевич</v>
          </cell>
          <cell r="D419" t="str">
            <v>маркшейдер</v>
          </cell>
          <cell r="E419" t="str">
            <v>ГВ2010105 484666</v>
          </cell>
          <cell r="F419">
            <v>1776.4</v>
          </cell>
          <cell r="G419">
            <v>1505.77</v>
          </cell>
          <cell r="H419">
            <v>0</v>
          </cell>
        </row>
        <row r="420">
          <cell r="C420" t="str">
            <v>Коротун Павел Владимирович</v>
          </cell>
          <cell r="D420" t="str">
            <v xml:space="preserve">мастер горный </v>
          </cell>
          <cell r="E420" t="str">
            <v>ВЛ2010086 112755</v>
          </cell>
          <cell r="F420">
            <v>1567.5</v>
          </cell>
          <cell r="G420">
            <v>1328.74</v>
          </cell>
          <cell r="H420">
            <v>1121.96</v>
          </cell>
        </row>
        <row r="421">
          <cell r="E421" t="str">
            <v>ВЛ2010086 115206</v>
          </cell>
          <cell r="F421">
            <v>1323.5</v>
          </cell>
          <cell r="G421">
            <v>1121.96</v>
          </cell>
          <cell r="H421">
            <v>0</v>
          </cell>
        </row>
        <row r="422">
          <cell r="C422" t="str">
            <v>Криворотов Сергей Александрович</v>
          </cell>
          <cell r="D422" t="str">
            <v>помощник электромеханика</v>
          </cell>
          <cell r="E422">
            <v>67061257322652</v>
          </cell>
          <cell r="F422">
            <v>1933.4</v>
          </cell>
          <cell r="G422">
            <v>1638.47</v>
          </cell>
          <cell r="H422">
            <v>0</v>
          </cell>
        </row>
        <row r="423">
          <cell r="C423" t="str">
            <v>Петров Андрей Юрьевич</v>
          </cell>
          <cell r="D423" t="str">
            <v>маркшейдер</v>
          </cell>
          <cell r="E423" t="str">
            <v>ВЛ2010086 036508</v>
          </cell>
          <cell r="F423">
            <v>997</v>
          </cell>
          <cell r="G423">
            <v>845.26</v>
          </cell>
          <cell r="H423">
            <v>1328.73</v>
          </cell>
        </row>
        <row r="424">
          <cell r="E424" t="str">
            <v>ВБ2010078 340498</v>
          </cell>
          <cell r="F424">
            <v>1567.5</v>
          </cell>
          <cell r="G424">
            <v>1328.73</v>
          </cell>
          <cell r="H424">
            <v>0</v>
          </cell>
        </row>
        <row r="425">
          <cell r="C425" t="str">
            <v>Рыбчак Евгений Васильевич</v>
          </cell>
          <cell r="D425" t="str">
            <v>маркшейдер</v>
          </cell>
          <cell r="E425" t="str">
            <v>ГВ2010105 484666</v>
          </cell>
          <cell r="F425">
            <v>2090</v>
          </cell>
          <cell r="G425">
            <v>1771.49</v>
          </cell>
          <cell r="H425">
            <v>0</v>
          </cell>
        </row>
        <row r="426">
          <cell r="H426">
            <v>0</v>
          </cell>
        </row>
        <row r="427">
          <cell r="C427" t="str">
            <v>Агарков Евгений Григорьевич</v>
          </cell>
          <cell r="D427" t="str">
            <v>электрогазосварщик занятый на резке и ручной сварке о/г.р.</v>
          </cell>
          <cell r="E427" t="str">
            <v>ЯИ2010707 201951</v>
          </cell>
          <cell r="F427">
            <v>1567.5</v>
          </cell>
          <cell r="G427">
            <v>1328.73</v>
          </cell>
          <cell r="H427">
            <v>1638.82</v>
          </cell>
        </row>
        <row r="428">
          <cell r="E428" t="str">
            <v>РЖ2007013875451</v>
          </cell>
          <cell r="F428">
            <v>1933.4</v>
          </cell>
          <cell r="G428">
            <v>1638.82</v>
          </cell>
          <cell r="H428">
            <v>0</v>
          </cell>
        </row>
        <row r="429">
          <cell r="C429" t="str">
            <v>Акимов Сергей Владимирович</v>
          </cell>
          <cell r="D429" t="str">
            <v>электросварщик ручной сварки о/г.р.</v>
          </cell>
          <cell r="E429" t="str">
            <v>ЮЭ2010697 044257</v>
          </cell>
          <cell r="F429">
            <v>997</v>
          </cell>
          <cell r="G429">
            <v>845.26</v>
          </cell>
          <cell r="H429">
            <v>1121.96</v>
          </cell>
        </row>
        <row r="430">
          <cell r="E430" t="str">
            <v>ЕВ2010156 935749</v>
          </cell>
          <cell r="F430">
            <v>1323.5</v>
          </cell>
          <cell r="G430">
            <v>1121.96</v>
          </cell>
          <cell r="H430">
            <v>0</v>
          </cell>
        </row>
        <row r="431">
          <cell r="C431" t="str">
            <v>Алексеев Александр Борисович</v>
          </cell>
          <cell r="D431" t="str">
            <v>проходчик на поверхностных работах</v>
          </cell>
          <cell r="E431">
            <v>304848</v>
          </cell>
          <cell r="F431">
            <v>1000</v>
          </cell>
          <cell r="G431">
            <v>847.46</v>
          </cell>
          <cell r="H431">
            <v>847.46</v>
          </cell>
        </row>
        <row r="432">
          <cell r="E432">
            <v>84440</v>
          </cell>
          <cell r="F432">
            <v>1000</v>
          </cell>
          <cell r="G432">
            <v>847.46</v>
          </cell>
          <cell r="H432">
            <v>0</v>
          </cell>
        </row>
        <row r="433">
          <cell r="C433" t="str">
            <v>Алексеев Юрий Семенович</v>
          </cell>
          <cell r="D433" t="str">
            <v>проходчик на поверхностных работах</v>
          </cell>
          <cell r="E433" t="str">
            <v>АИ2010032 717580</v>
          </cell>
          <cell r="F433">
            <v>1428.1</v>
          </cell>
          <cell r="G433">
            <v>1210.6099999999999</v>
          </cell>
          <cell r="H433">
            <v>0</v>
          </cell>
        </row>
        <row r="434">
          <cell r="C434" t="str">
            <v>Андреев Максим Николаевич</v>
          </cell>
          <cell r="D434" t="str">
            <v>электрослесарь (слесарь) дежурный и по ремонту оборудования</v>
          </cell>
          <cell r="E434" t="str">
            <v>ЮЭ2010697 947958</v>
          </cell>
          <cell r="F434">
            <v>1079.5999999999999</v>
          </cell>
          <cell r="G434">
            <v>915.27</v>
          </cell>
          <cell r="H434">
            <v>1195.5999999999999</v>
          </cell>
        </row>
        <row r="435">
          <cell r="E435" t="str">
            <v>АП2010037 985201</v>
          </cell>
          <cell r="F435">
            <v>1410.4</v>
          </cell>
          <cell r="G435">
            <v>1195.5999999999999</v>
          </cell>
          <cell r="H435">
            <v>0</v>
          </cell>
        </row>
        <row r="436">
          <cell r="C436" t="str">
            <v>Андрющенко Алексей Федорович</v>
          </cell>
          <cell r="D436" t="str">
            <v>электрогазосварщик занятый на резке и ручной сварке о/г.р.</v>
          </cell>
          <cell r="E436" t="str">
            <v>ГВ2010105 564922</v>
          </cell>
          <cell r="F436">
            <v>1567.5</v>
          </cell>
          <cell r="G436">
            <v>1328.73</v>
          </cell>
          <cell r="H436">
            <v>1638.82</v>
          </cell>
        </row>
        <row r="437">
          <cell r="E437" t="str">
            <v>АП2010037 926474</v>
          </cell>
          <cell r="F437">
            <v>1933.4</v>
          </cell>
          <cell r="G437">
            <v>1638.82</v>
          </cell>
          <cell r="H437">
            <v>0</v>
          </cell>
        </row>
        <row r="438">
          <cell r="C438" t="str">
            <v>Анкудинов Василий Юрьевич</v>
          </cell>
          <cell r="D438" t="str">
            <v>электрогазосварщик занятый на резке и ручной сварке о/г.р.</v>
          </cell>
          <cell r="E438" t="str">
            <v>ЧБ2010571 782752</v>
          </cell>
          <cell r="F438">
            <v>2090.3000000000002</v>
          </cell>
          <cell r="G438">
            <v>1771.79</v>
          </cell>
          <cell r="H438">
            <v>0</v>
          </cell>
        </row>
        <row r="439">
          <cell r="C439" t="str">
            <v>Апарович Виталий Геннадьевич</v>
          </cell>
          <cell r="D439" t="str">
            <v xml:space="preserve">горнорабочий </v>
          </cell>
          <cell r="E439" t="str">
            <v>ВЕ2010082 594261</v>
          </cell>
          <cell r="F439">
            <v>997</v>
          </cell>
          <cell r="G439">
            <v>845.26</v>
          </cell>
          <cell r="H439">
            <v>915.27</v>
          </cell>
        </row>
        <row r="440">
          <cell r="E440" t="str">
            <v>ГМ2010113 442850</v>
          </cell>
          <cell r="F440">
            <v>1079.5999999999999</v>
          </cell>
          <cell r="G440">
            <v>915.27</v>
          </cell>
          <cell r="H440">
            <v>0</v>
          </cell>
        </row>
        <row r="441">
          <cell r="C441" t="str">
            <v>Арнаутов Александр Александрович</v>
          </cell>
          <cell r="D441" t="str">
            <v>электрослесарь (слесарь) дежурный и по ремонту оборудования</v>
          </cell>
          <cell r="E441" t="str">
            <v>ВЛ2010086 113339</v>
          </cell>
          <cell r="F441">
            <v>1079.5999999999999</v>
          </cell>
          <cell r="G441">
            <v>915.27</v>
          </cell>
          <cell r="H441">
            <v>0</v>
          </cell>
        </row>
        <row r="442">
          <cell r="C442" t="str">
            <v>Базулин Александр Васильевич</v>
          </cell>
          <cell r="D442" t="str">
            <v>электрослесарь (слесарь) дежурный и по ремонту оборудования</v>
          </cell>
          <cell r="E442" t="str">
            <v>АИ2010032 739055</v>
          </cell>
          <cell r="F442">
            <v>1567.5</v>
          </cell>
          <cell r="G442">
            <v>1328.73</v>
          </cell>
          <cell r="H442">
            <v>1638.82</v>
          </cell>
        </row>
        <row r="443">
          <cell r="E443" t="str">
            <v>АИ2010032 739056</v>
          </cell>
          <cell r="F443">
            <v>1933.4</v>
          </cell>
          <cell r="G443">
            <v>1638.82</v>
          </cell>
          <cell r="H443">
            <v>0</v>
          </cell>
        </row>
        <row r="444">
          <cell r="C444" t="str">
            <v>Баклаженко Артем Сергеевич</v>
          </cell>
          <cell r="D444" t="str">
            <v>электрогазосварщик занятый на резке и ручной сварке о/г.р.</v>
          </cell>
          <cell r="E444" t="str">
            <v>ЩН2010633 911801</v>
          </cell>
          <cell r="F444">
            <v>1567.5</v>
          </cell>
          <cell r="G444">
            <v>1328.73</v>
          </cell>
          <cell r="H444">
            <v>1647.39</v>
          </cell>
        </row>
        <row r="445">
          <cell r="E445" t="str">
            <v>АП2010037 946007</v>
          </cell>
          <cell r="F445">
            <v>1943.5</v>
          </cell>
          <cell r="G445">
            <v>1647.39</v>
          </cell>
          <cell r="H445">
            <v>0</v>
          </cell>
        </row>
        <row r="446">
          <cell r="C446" t="str">
            <v>Белоусов Павел Анатольевич</v>
          </cell>
          <cell r="D446" t="str">
            <v>электрослесарь (слесарь) дежурный и по ремонту оборудования</v>
          </cell>
          <cell r="E446" t="str">
            <v>АК2010033 066391</v>
          </cell>
          <cell r="F446">
            <v>1567.5</v>
          </cell>
          <cell r="G446">
            <v>1328.73</v>
          </cell>
          <cell r="H446">
            <v>1328.73</v>
          </cell>
        </row>
        <row r="447">
          <cell r="E447" t="str">
            <v>ГВ2010105 484918</v>
          </cell>
          <cell r="F447">
            <v>1567.5</v>
          </cell>
          <cell r="G447">
            <v>1328.73</v>
          </cell>
          <cell r="H447">
            <v>0</v>
          </cell>
        </row>
        <row r="448">
          <cell r="C448" t="str">
            <v>Бида Андрей Александрович</v>
          </cell>
          <cell r="D448" t="str">
            <v>электросварщик ручной сварки</v>
          </cell>
          <cell r="E448" t="str">
            <v>ЕВ2010156 949692</v>
          </cell>
          <cell r="F448">
            <v>1079.5999999999999</v>
          </cell>
          <cell r="G448">
            <v>915.27</v>
          </cell>
          <cell r="H448">
            <v>0</v>
          </cell>
        </row>
        <row r="449">
          <cell r="C449" t="str">
            <v>Билалов Сергей Владимирович</v>
          </cell>
          <cell r="D449" t="str">
            <v>электрогазосварщик занятый на резке и ручной сварке о/г.р.</v>
          </cell>
          <cell r="E449" t="str">
            <v>ЮЭ2010697 915756</v>
          </cell>
          <cell r="F449">
            <v>1079.5999999999999</v>
          </cell>
          <cell r="G449">
            <v>915.27</v>
          </cell>
          <cell r="H449">
            <v>1121.96</v>
          </cell>
        </row>
        <row r="450">
          <cell r="E450" t="str">
            <v>ЕВ2010156 933744</v>
          </cell>
          <cell r="F450">
            <v>1323.5</v>
          </cell>
          <cell r="G450">
            <v>1121.96</v>
          </cell>
          <cell r="H450">
            <v>0</v>
          </cell>
        </row>
        <row r="451">
          <cell r="C451" t="str">
            <v>Богосов Аркадий Николаевич</v>
          </cell>
          <cell r="D451" t="str">
            <v>горнорабочий о/г.р</v>
          </cell>
          <cell r="E451" t="str">
            <v>ЧБ2010571 838105</v>
          </cell>
          <cell r="F451">
            <v>1567.5</v>
          </cell>
          <cell r="G451">
            <v>1328.73</v>
          </cell>
          <cell r="H451">
            <v>2303.4899999999998</v>
          </cell>
        </row>
        <row r="452">
          <cell r="E452" t="str">
            <v>ЧБ2010571 838101</v>
          </cell>
          <cell r="F452">
            <v>2717.7</v>
          </cell>
          <cell r="G452">
            <v>2303.4899999999998</v>
          </cell>
          <cell r="H452">
            <v>0</v>
          </cell>
        </row>
        <row r="453">
          <cell r="C453" t="str">
            <v>Бондарев Иван Викторович</v>
          </cell>
          <cell r="D453" t="str">
            <v>горнорабочий о/г.р</v>
          </cell>
          <cell r="E453" t="str">
            <v>ЕВ2010156 929750</v>
          </cell>
          <cell r="F453">
            <v>1149</v>
          </cell>
          <cell r="G453">
            <v>974.08</v>
          </cell>
          <cell r="H453">
            <v>0</v>
          </cell>
        </row>
        <row r="454">
          <cell r="C454" t="str">
            <v>Вальков Виктор Анатольевич</v>
          </cell>
          <cell r="D454" t="str">
            <v>электрослесарь (слесарь) дежурный и по ремонту оборудования</v>
          </cell>
          <cell r="E454" t="str">
            <v>ВЛ2010086 291148</v>
          </cell>
          <cell r="F454">
            <v>1567.5</v>
          </cell>
          <cell r="G454">
            <v>1328.73</v>
          </cell>
          <cell r="H454">
            <v>1638.82</v>
          </cell>
        </row>
        <row r="455">
          <cell r="E455" t="str">
            <v>ЕГ2010157 235219</v>
          </cell>
          <cell r="F455">
            <v>1933.4</v>
          </cell>
          <cell r="G455">
            <v>1638.82</v>
          </cell>
          <cell r="H455">
            <v>0</v>
          </cell>
        </row>
        <row r="456">
          <cell r="C456" t="str">
            <v>Ведерников Олег Владимирович</v>
          </cell>
          <cell r="D456" t="str">
            <v>проходчик на поверхностных работах</v>
          </cell>
          <cell r="E456" t="str">
            <v>АК2010033 139317</v>
          </cell>
          <cell r="F456">
            <v>1497.9</v>
          </cell>
          <cell r="G456">
            <v>1269.75</v>
          </cell>
          <cell r="H456">
            <v>0</v>
          </cell>
        </row>
        <row r="457">
          <cell r="C457" t="str">
            <v>Винников Алексей Николаевич</v>
          </cell>
          <cell r="D457" t="str">
            <v xml:space="preserve">горнорабочий </v>
          </cell>
          <cell r="E457" t="str">
            <v>ЮЭ2010697 915796</v>
          </cell>
          <cell r="F457">
            <v>1079.5999999999999</v>
          </cell>
          <cell r="G457">
            <v>915.27</v>
          </cell>
          <cell r="H457">
            <v>1121.96</v>
          </cell>
        </row>
        <row r="458">
          <cell r="E458" t="str">
            <v>ГЕ2010108 884777</v>
          </cell>
          <cell r="F458">
            <v>1323.5</v>
          </cell>
          <cell r="G458">
            <v>1121.96</v>
          </cell>
          <cell r="H458">
            <v>0</v>
          </cell>
        </row>
        <row r="459">
          <cell r="C459" t="str">
            <v>Винтоняк Алексей Николаевич</v>
          </cell>
          <cell r="D459" t="str">
            <v xml:space="preserve">горнорабочий </v>
          </cell>
          <cell r="E459" t="str">
            <v>ВЛ2010086 113338</v>
          </cell>
          <cell r="F459">
            <v>1079.5999999999999</v>
          </cell>
          <cell r="G459">
            <v>915.27</v>
          </cell>
          <cell r="H459">
            <v>915.27</v>
          </cell>
        </row>
        <row r="460">
          <cell r="E460" t="str">
            <v>ЕВ2010156 910420</v>
          </cell>
          <cell r="F460">
            <v>1079.5999999999999</v>
          </cell>
          <cell r="G460">
            <v>915.27</v>
          </cell>
          <cell r="H460">
            <v>0</v>
          </cell>
        </row>
        <row r="461">
          <cell r="C461" t="str">
            <v>Войнов Геннадий Викторович</v>
          </cell>
          <cell r="D461" t="str">
            <v xml:space="preserve">горнорабочий </v>
          </cell>
          <cell r="E461" t="str">
            <v>ЮЭ2010697 350911</v>
          </cell>
          <cell r="F461">
            <v>1497.9</v>
          </cell>
          <cell r="G461">
            <v>1269.75</v>
          </cell>
          <cell r="H461">
            <v>1774.5</v>
          </cell>
        </row>
        <row r="462">
          <cell r="E462" t="str">
            <v>РЖ2007013736492</v>
          </cell>
          <cell r="F462">
            <v>2093.5</v>
          </cell>
          <cell r="G462">
            <v>1774.5</v>
          </cell>
          <cell r="H462">
            <v>0</v>
          </cell>
        </row>
        <row r="463">
          <cell r="C463" t="str">
            <v>Галибин Сергей Валентинович</v>
          </cell>
          <cell r="D463" t="str">
            <v>электрослесарь (слесарь) дежурный и по ремонту оборудования</v>
          </cell>
          <cell r="E463" t="str">
            <v>ЮЭ2010697 016177</v>
          </cell>
          <cell r="F463">
            <v>1567.5</v>
          </cell>
          <cell r="G463">
            <v>1328.73</v>
          </cell>
          <cell r="H463">
            <v>1328.73</v>
          </cell>
        </row>
        <row r="464">
          <cell r="E464" t="str">
            <v>ГВ20101105 484858</v>
          </cell>
          <cell r="F464">
            <v>1567.5</v>
          </cell>
          <cell r="G464">
            <v>1328.73</v>
          </cell>
          <cell r="H464">
            <v>0</v>
          </cell>
        </row>
        <row r="465">
          <cell r="C465" t="str">
            <v>Гамидов Ардаш Юсифович</v>
          </cell>
          <cell r="D465" t="str">
            <v>проходчик на поверхностных работах</v>
          </cell>
          <cell r="E465" t="str">
            <v>ЧБ2010571 838108</v>
          </cell>
          <cell r="F465">
            <v>1567.5</v>
          </cell>
          <cell r="G465">
            <v>1328.73</v>
          </cell>
          <cell r="H465">
            <v>0</v>
          </cell>
        </row>
        <row r="466">
          <cell r="C466" t="str">
            <v>Гамидов Юсиф Ашраф Оглы</v>
          </cell>
          <cell r="D466" t="str">
            <v xml:space="preserve">горнорабочий </v>
          </cell>
          <cell r="E466" t="str">
            <v>ЧБ2010571 838106</v>
          </cell>
          <cell r="F466">
            <v>1567.5</v>
          </cell>
          <cell r="G466">
            <v>1328.73</v>
          </cell>
          <cell r="H466">
            <v>2303.4899999999998</v>
          </cell>
        </row>
        <row r="467">
          <cell r="E467" t="str">
            <v>ГЕ2010108 884914</v>
          </cell>
          <cell r="F467">
            <v>2717.7</v>
          </cell>
          <cell r="G467">
            <v>2303.4899999999998</v>
          </cell>
          <cell r="H467">
            <v>0</v>
          </cell>
        </row>
        <row r="468">
          <cell r="C468" t="str">
            <v>Ганусевич Олег Валерьевич</v>
          </cell>
          <cell r="D468" t="str">
            <v>электрослесарь (слесарь) дежурный и по ремонту оборудования</v>
          </cell>
          <cell r="E468" t="str">
            <v>ШГ2010599 055457</v>
          </cell>
          <cell r="F468">
            <v>1218.9000000000001</v>
          </cell>
          <cell r="G468">
            <v>1033.31</v>
          </cell>
          <cell r="H468">
            <v>887.8</v>
          </cell>
        </row>
        <row r="469">
          <cell r="E469">
            <v>72670400448801</v>
          </cell>
          <cell r="F469">
            <v>1047.5999999999999</v>
          </cell>
          <cell r="G469">
            <v>887.8</v>
          </cell>
          <cell r="H469">
            <v>0</v>
          </cell>
        </row>
        <row r="470">
          <cell r="C470" t="str">
            <v>Гладченко Виктор Иванович</v>
          </cell>
          <cell r="D470" t="str">
            <v>электрослесарь (слесарь) дежурный и по ремонту оборудования</v>
          </cell>
          <cell r="E470" t="str">
            <v>ГБ2010104 241427</v>
          </cell>
          <cell r="F470">
            <v>1149</v>
          </cell>
          <cell r="G470">
            <v>974.08</v>
          </cell>
          <cell r="H470">
            <v>1195.5999999999999</v>
          </cell>
        </row>
        <row r="471">
          <cell r="E471" t="str">
            <v>ШГ2010599 055905</v>
          </cell>
          <cell r="F471">
            <v>1410.4</v>
          </cell>
          <cell r="G471">
            <v>1195.5999999999999</v>
          </cell>
          <cell r="H471">
            <v>0</v>
          </cell>
        </row>
        <row r="472">
          <cell r="C472" t="str">
            <v>Гольченко Антон Николаевич</v>
          </cell>
          <cell r="D472" t="str">
            <v>электрогазосварщик занятый на резке и ручной сварке о/г.р.</v>
          </cell>
          <cell r="E472" t="str">
            <v>ЧБ2010571 780643</v>
          </cell>
          <cell r="F472">
            <v>1079.5999999999999</v>
          </cell>
          <cell r="G472">
            <v>915.27</v>
          </cell>
          <cell r="H472">
            <v>915.27</v>
          </cell>
        </row>
        <row r="473">
          <cell r="E473" t="str">
            <v>ЕВ2010156 910423</v>
          </cell>
          <cell r="F473">
            <v>1079.5999999999999</v>
          </cell>
          <cell r="G473">
            <v>915.27</v>
          </cell>
          <cell r="H473">
            <v>0</v>
          </cell>
        </row>
        <row r="474">
          <cell r="C474" t="str">
            <v>Гулов Руслан Викторович</v>
          </cell>
          <cell r="D474" t="str">
            <v xml:space="preserve">горнорабочий </v>
          </cell>
          <cell r="E474" t="str">
            <v>ЮЭ2010697 947117</v>
          </cell>
          <cell r="F474">
            <v>1079.5999999999999</v>
          </cell>
          <cell r="G474">
            <v>915.27</v>
          </cell>
          <cell r="H474">
            <v>0</v>
          </cell>
        </row>
        <row r="475">
          <cell r="C475" t="str">
            <v>Гуляев Валерий Александрович</v>
          </cell>
          <cell r="D475" t="str">
            <v>электрослесарь (слесарь) дежурный и по ремонту оборудования</v>
          </cell>
          <cell r="E475" t="str">
            <v>ЕВ2010156 932705</v>
          </cell>
          <cell r="F475">
            <v>978.2</v>
          </cell>
          <cell r="G475">
            <v>829.34</v>
          </cell>
          <cell r="H475">
            <v>0</v>
          </cell>
        </row>
        <row r="476">
          <cell r="C476" t="str">
            <v>Гусак Александр Леонидович</v>
          </cell>
          <cell r="D476" t="str">
            <v>электросварщик ручной сварки</v>
          </cell>
          <cell r="E476" t="str">
            <v>ШБ2010597 746109</v>
          </cell>
          <cell r="F476">
            <v>1567.5</v>
          </cell>
          <cell r="G476">
            <v>1328.73</v>
          </cell>
          <cell r="H476">
            <v>1638.82</v>
          </cell>
        </row>
        <row r="477">
          <cell r="E477" t="str">
            <v>ШБ2010597 746110</v>
          </cell>
          <cell r="F477">
            <v>1933.4</v>
          </cell>
          <cell r="G477">
            <v>1638.82</v>
          </cell>
          <cell r="H477">
            <v>0</v>
          </cell>
        </row>
        <row r="478">
          <cell r="C478" t="str">
            <v>Гущин Владимир Петрович</v>
          </cell>
          <cell r="D478" t="str">
            <v>электрослесарь (слесарь) дежурный и по ремонту оборудования</v>
          </cell>
          <cell r="E478" t="str">
            <v>ЮЭ2010697 915679</v>
          </cell>
          <cell r="F478">
            <v>1079.5999999999999</v>
          </cell>
          <cell r="G478">
            <v>915.27</v>
          </cell>
          <cell r="H478">
            <v>1121.96</v>
          </cell>
        </row>
        <row r="479">
          <cell r="E479" t="str">
            <v>АП2010037 917662</v>
          </cell>
          <cell r="F479">
            <v>1323.5</v>
          </cell>
          <cell r="G479">
            <v>1121.96</v>
          </cell>
          <cell r="H479">
            <v>0</v>
          </cell>
        </row>
        <row r="480">
          <cell r="C480" t="str">
            <v>Денщиков Алексей Владимирович</v>
          </cell>
          <cell r="D480" t="str">
            <v>электрогазосварщик, занятый на резке и ручной сварке</v>
          </cell>
          <cell r="E480" t="str">
            <v>АИ2010032 739054</v>
          </cell>
          <cell r="F480">
            <v>1567.5</v>
          </cell>
          <cell r="G480">
            <v>1328.73</v>
          </cell>
          <cell r="H480">
            <v>1638.82</v>
          </cell>
        </row>
        <row r="481">
          <cell r="E481" t="str">
            <v>ГМ2010113 481488</v>
          </cell>
          <cell r="F481">
            <v>1933.4</v>
          </cell>
          <cell r="G481">
            <v>1638.82</v>
          </cell>
          <cell r="H481">
            <v>0</v>
          </cell>
        </row>
        <row r="482">
          <cell r="C482" t="str">
            <v>Дзюба Сергей Александрович</v>
          </cell>
          <cell r="D482" t="str">
            <v>электросварщик ручной сварки</v>
          </cell>
          <cell r="E482" t="str">
            <v>АП2010037 900163</v>
          </cell>
          <cell r="F482">
            <v>1009.6</v>
          </cell>
          <cell r="G482">
            <v>855.94</v>
          </cell>
          <cell r="H482">
            <v>0</v>
          </cell>
        </row>
        <row r="483">
          <cell r="C483" t="str">
            <v>Доценко Сергей Григорьевич</v>
          </cell>
          <cell r="D483" t="str">
            <v>электрогазосварщик, занятый на резке и ручной сварке</v>
          </cell>
          <cell r="E483" t="str">
            <v>АК2010033 047159</v>
          </cell>
          <cell r="F483">
            <v>1497.9</v>
          </cell>
          <cell r="G483">
            <v>1269.75</v>
          </cell>
          <cell r="H483">
            <v>1491.2</v>
          </cell>
        </row>
        <row r="484">
          <cell r="E484" t="str">
            <v>ГМ2010113 493568</v>
          </cell>
          <cell r="F484">
            <v>1759.2</v>
          </cell>
          <cell r="G484">
            <v>1491.2</v>
          </cell>
          <cell r="H484">
            <v>0</v>
          </cell>
        </row>
        <row r="485">
          <cell r="C485" t="str">
            <v>Драгунцов Александр Владимирович</v>
          </cell>
          <cell r="D485" t="str">
            <v>проходчик на поверхностных работах</v>
          </cell>
          <cell r="E485" t="str">
            <v>ЧБ2010571 481918</v>
          </cell>
          <cell r="F485">
            <v>1149</v>
          </cell>
          <cell r="G485">
            <v>974.08</v>
          </cell>
          <cell r="H485">
            <v>888.15</v>
          </cell>
        </row>
        <row r="486">
          <cell r="E486" t="str">
            <v>ГВ2010105 484856</v>
          </cell>
          <cell r="F486">
            <v>1047.5999999999999</v>
          </cell>
          <cell r="G486">
            <v>888.15</v>
          </cell>
          <cell r="H486">
            <v>0</v>
          </cell>
        </row>
        <row r="487">
          <cell r="C487" t="str">
            <v>Дударов Муса Кантемирович</v>
          </cell>
          <cell r="D487" t="str">
            <v>проходчик на поверхностных работах</v>
          </cell>
          <cell r="E487" t="str">
            <v>ВЛ2010086 288225</v>
          </cell>
          <cell r="F487">
            <v>1567.5</v>
          </cell>
          <cell r="G487">
            <v>1328.73</v>
          </cell>
          <cell r="H487">
            <v>1328.73</v>
          </cell>
        </row>
        <row r="488">
          <cell r="E488" t="str">
            <v>ГВ 2010105 484901</v>
          </cell>
          <cell r="F488">
            <v>1567.5</v>
          </cell>
          <cell r="G488">
            <v>1328.73</v>
          </cell>
          <cell r="H488">
            <v>0</v>
          </cell>
        </row>
        <row r="489">
          <cell r="C489" t="str">
            <v>Дужик Виктор Васильевич</v>
          </cell>
          <cell r="D489" t="str">
            <v>горнорабочий</v>
          </cell>
          <cell r="E489" t="str">
            <v>ЮЭ2010697 915803</v>
          </cell>
          <cell r="F489">
            <v>1079.5999999999999</v>
          </cell>
          <cell r="G489">
            <v>915.27</v>
          </cell>
          <cell r="H489">
            <v>1121.96</v>
          </cell>
        </row>
        <row r="490">
          <cell r="E490" t="str">
            <v>ЕВ2010156 969278</v>
          </cell>
          <cell r="F490">
            <v>1323.5</v>
          </cell>
          <cell r="G490">
            <v>1121.96</v>
          </cell>
          <cell r="H490">
            <v>0</v>
          </cell>
        </row>
        <row r="491">
          <cell r="C491" t="str">
            <v>Дьяков Андрей Николаевич</v>
          </cell>
          <cell r="D491" t="str">
            <v xml:space="preserve">горнорабочий </v>
          </cell>
          <cell r="E491" t="str">
            <v>ЮЭ2010697 915803</v>
          </cell>
          <cell r="F491">
            <v>1428.1</v>
          </cell>
          <cell r="G491">
            <v>1210.6099999999999</v>
          </cell>
          <cell r="H491">
            <v>1771.79</v>
          </cell>
        </row>
        <row r="492">
          <cell r="E492" t="str">
            <v>ГВ2010105 484855</v>
          </cell>
          <cell r="F492">
            <v>2090.3000000000002</v>
          </cell>
          <cell r="G492">
            <v>1771.79</v>
          </cell>
          <cell r="H492">
            <v>0</v>
          </cell>
        </row>
        <row r="493">
          <cell r="C493" t="str">
            <v>Ермилов Роман Юрьевич</v>
          </cell>
          <cell r="D493" t="str">
            <v>электрогазосварщик, занятый на резке и ручной сварке</v>
          </cell>
          <cell r="E493" t="str">
            <v>ЮЭ2010697 915624</v>
          </cell>
          <cell r="F493">
            <v>1149</v>
          </cell>
          <cell r="G493">
            <v>974.08</v>
          </cell>
          <cell r="H493">
            <v>0</v>
          </cell>
        </row>
        <row r="494">
          <cell r="C494" t="str">
            <v>Жмыхов Игорь Иванович</v>
          </cell>
          <cell r="D494" t="str">
            <v>электросварщик ручной сварки</v>
          </cell>
          <cell r="E494" t="str">
            <v>ЮМ2010684 418031</v>
          </cell>
          <cell r="F494">
            <v>997</v>
          </cell>
          <cell r="G494">
            <v>845.26</v>
          </cell>
          <cell r="H494">
            <v>0</v>
          </cell>
        </row>
        <row r="495">
          <cell r="C495" t="str">
            <v>Жуков Анатолий Николаевич</v>
          </cell>
          <cell r="D495" t="str">
            <v>электрогазосварщик, занятый на резке и ручной сварке</v>
          </cell>
          <cell r="E495" t="str">
            <v>ЕВ2010156 949691</v>
          </cell>
          <cell r="F495">
            <v>1079.5999999999999</v>
          </cell>
          <cell r="G495">
            <v>915.27</v>
          </cell>
          <cell r="H495">
            <v>0</v>
          </cell>
        </row>
        <row r="496">
          <cell r="C496" t="str">
            <v>Журба Дмитрий Александрович</v>
          </cell>
          <cell r="D496" t="str">
            <v>проходчик на поверхностных работах</v>
          </cell>
          <cell r="E496" t="str">
            <v>ЮЭ2010697 350581</v>
          </cell>
          <cell r="F496">
            <v>1497.9</v>
          </cell>
          <cell r="G496">
            <v>1269.75</v>
          </cell>
          <cell r="H496">
            <v>0</v>
          </cell>
        </row>
        <row r="497">
          <cell r="C497" t="str">
            <v>Загребин Вадим Викторович</v>
          </cell>
          <cell r="D497" t="str">
            <v>электрослесарь (слесарь) дежурный и по ремонту оборудования</v>
          </cell>
          <cell r="E497" t="str">
            <v>ВЛ2010086 116694</v>
          </cell>
          <cell r="F497">
            <v>1079.5999999999999</v>
          </cell>
          <cell r="G497">
            <v>915.27</v>
          </cell>
          <cell r="H497">
            <v>1121.96</v>
          </cell>
        </row>
        <row r="498">
          <cell r="E498" t="str">
            <v>ВЛ2010086 116697</v>
          </cell>
          <cell r="F498">
            <v>1323.5</v>
          </cell>
          <cell r="G498">
            <v>1121.96</v>
          </cell>
          <cell r="H498">
            <v>0</v>
          </cell>
        </row>
        <row r="499">
          <cell r="C499" t="str">
            <v>Зайцев Вадим Валентинович</v>
          </cell>
          <cell r="D499" t="str">
            <v>электрогазосварщик, занятый на резке и ручной сварке</v>
          </cell>
          <cell r="E499" t="str">
            <v>АИ2010032 739053</v>
          </cell>
          <cell r="F499">
            <v>1567.5</v>
          </cell>
          <cell r="G499">
            <v>1328.73</v>
          </cell>
          <cell r="H499">
            <v>1638.82</v>
          </cell>
        </row>
        <row r="500">
          <cell r="E500" t="str">
            <v>ГМ2010113 481489</v>
          </cell>
          <cell r="F500">
            <v>1933.4</v>
          </cell>
          <cell r="G500">
            <v>1638.82</v>
          </cell>
          <cell r="H500">
            <v>0</v>
          </cell>
        </row>
        <row r="501">
          <cell r="C501" t="str">
            <v>Зюзик Сергей Анатольевич</v>
          </cell>
          <cell r="D501" t="str">
            <v>горнорабочий о/г.р</v>
          </cell>
          <cell r="E501" t="str">
            <v>ШГ2010599 055441</v>
          </cell>
          <cell r="F501">
            <v>1218.9000000000001</v>
          </cell>
          <cell r="G501">
            <v>1033.31</v>
          </cell>
          <cell r="H501">
            <v>1417.04</v>
          </cell>
        </row>
        <row r="502">
          <cell r="E502" t="str">
            <v>ЕВ2010156 930318</v>
          </cell>
          <cell r="F502">
            <v>1671.7</v>
          </cell>
          <cell r="G502">
            <v>1417.04</v>
          </cell>
          <cell r="H502">
            <v>0</v>
          </cell>
        </row>
        <row r="503">
          <cell r="C503" t="str">
            <v>Иванов Илья Витальевич</v>
          </cell>
          <cell r="D503" t="str">
            <v>горнорабочий о/г.р</v>
          </cell>
          <cell r="E503" t="str">
            <v>ВЛ2010086 1163340</v>
          </cell>
          <cell r="F503">
            <v>1079.5999999999999</v>
          </cell>
          <cell r="G503">
            <v>915.27</v>
          </cell>
          <cell r="H503">
            <v>0</v>
          </cell>
        </row>
        <row r="504">
          <cell r="C504" t="str">
            <v>Ищенко Геннадий Павлович</v>
          </cell>
          <cell r="D504" t="str">
            <v>электрослесарь (слесарь) дежурный и по ремонту оборудования</v>
          </cell>
          <cell r="E504" t="str">
            <v>ВА2010077 860858</v>
          </cell>
          <cell r="F504">
            <v>1079.5999999999999</v>
          </cell>
          <cell r="G504">
            <v>915.27</v>
          </cell>
          <cell r="H504">
            <v>0</v>
          </cell>
        </row>
        <row r="505">
          <cell r="C505" t="str">
            <v>Ищенко Иван Владимирович</v>
          </cell>
          <cell r="D505" t="str">
            <v>горнорабочий о/г.р</v>
          </cell>
          <cell r="E505" t="str">
            <v>ШГ2010599 061768</v>
          </cell>
          <cell r="F505">
            <v>1060.7</v>
          </cell>
          <cell r="G505">
            <v>899.25</v>
          </cell>
          <cell r="H505">
            <v>0</v>
          </cell>
        </row>
        <row r="506">
          <cell r="C506" t="str">
            <v>Кальсин Андрей Аркадьевич</v>
          </cell>
          <cell r="D506" t="str">
            <v>электрослесарь (слесарь) дежурный и по ремонту оборудования о/г.р</v>
          </cell>
          <cell r="E506" t="str">
            <v>ЧБ2010571 780715</v>
          </cell>
          <cell r="F506">
            <v>1149</v>
          </cell>
          <cell r="G506">
            <v>974.08</v>
          </cell>
          <cell r="H506">
            <v>0</v>
          </cell>
        </row>
        <row r="507">
          <cell r="C507" t="str">
            <v>Каппес Николай Владимирович</v>
          </cell>
          <cell r="D507" t="str">
            <v xml:space="preserve">горнорабочий </v>
          </cell>
          <cell r="E507" t="str">
            <v>АЕ2010030 537020</v>
          </cell>
          <cell r="F507">
            <v>2090.3000000000002</v>
          </cell>
          <cell r="G507">
            <v>1771.79</v>
          </cell>
          <cell r="H507">
            <v>1151.53</v>
          </cell>
        </row>
        <row r="508">
          <cell r="E508" t="str">
            <v>ЕВ2010156 966284</v>
          </cell>
          <cell r="F508">
            <v>1358.4</v>
          </cell>
          <cell r="G508">
            <v>1151.53</v>
          </cell>
          <cell r="H508">
            <v>0</v>
          </cell>
        </row>
        <row r="509">
          <cell r="C509" t="str">
            <v>Карунин Павел Николаевич</v>
          </cell>
          <cell r="D509" t="str">
            <v>горнорабочий на маркшейдерских работах</v>
          </cell>
          <cell r="E509" t="str">
            <v>ЮЭ2010697  953260</v>
          </cell>
          <cell r="F509">
            <v>1077.3</v>
          </cell>
          <cell r="G509">
            <v>912.97</v>
          </cell>
          <cell r="H509">
            <v>0</v>
          </cell>
        </row>
        <row r="510">
          <cell r="C510" t="str">
            <v>Катенев Юрий Николаевич</v>
          </cell>
          <cell r="D510" t="str">
            <v xml:space="preserve">горнорабочий </v>
          </cell>
          <cell r="E510" t="str">
            <v>ЮЭ2010697 044864</v>
          </cell>
          <cell r="F510">
            <v>1079.5999999999999</v>
          </cell>
          <cell r="G510">
            <v>915.27</v>
          </cell>
          <cell r="H510">
            <v>0</v>
          </cell>
        </row>
        <row r="511">
          <cell r="C511" t="str">
            <v>Кижватов Сергей Александрович</v>
          </cell>
          <cell r="D511" t="str">
            <v xml:space="preserve">горнорабочий </v>
          </cell>
          <cell r="E511" t="str">
            <v>ЧБ2010571 481939</v>
          </cell>
          <cell r="F511">
            <v>1079.5999999999999</v>
          </cell>
          <cell r="G511">
            <v>915.27</v>
          </cell>
          <cell r="H511">
            <v>0</v>
          </cell>
        </row>
        <row r="512">
          <cell r="C512" t="str">
            <v>Клочко Евгений Владимирович</v>
          </cell>
          <cell r="D512" t="str">
            <v>электрогазосварщик, занятый на резке и ручной сварке</v>
          </cell>
          <cell r="E512" t="str">
            <v>ШБ2010597 906572</v>
          </cell>
          <cell r="F512">
            <v>1497.9</v>
          </cell>
          <cell r="G512">
            <v>1269.75</v>
          </cell>
          <cell r="H512">
            <v>1269.75</v>
          </cell>
        </row>
        <row r="513">
          <cell r="E513" t="str">
            <v>ЕВ2010156 982871</v>
          </cell>
          <cell r="F513">
            <v>1497.9</v>
          </cell>
          <cell r="G513">
            <v>1269.75</v>
          </cell>
          <cell r="H513">
            <v>0</v>
          </cell>
        </row>
        <row r="514">
          <cell r="C514" t="str">
            <v>Клочков Роман Леонидович</v>
          </cell>
          <cell r="D514" t="str">
            <v xml:space="preserve">горнорабочий </v>
          </cell>
          <cell r="E514" t="str">
            <v>ШГ2010599 055440</v>
          </cell>
          <cell r="F514">
            <v>1218.9000000000001</v>
          </cell>
          <cell r="G514">
            <v>1033.31</v>
          </cell>
          <cell r="H514">
            <v>1417.04</v>
          </cell>
        </row>
        <row r="515">
          <cell r="E515" t="str">
            <v>ЕВ2010156 930317</v>
          </cell>
          <cell r="F515">
            <v>1671.7</v>
          </cell>
          <cell r="G515">
            <v>1417.04</v>
          </cell>
          <cell r="H515">
            <v>0</v>
          </cell>
        </row>
        <row r="516">
          <cell r="C516" t="str">
            <v>Князев Руслан Анатольевич</v>
          </cell>
          <cell r="D516" t="str">
            <v>проходчик на поверхностных работах</v>
          </cell>
          <cell r="E516" t="str">
            <v>ЭТ2010663 937311</v>
          </cell>
          <cell r="F516">
            <v>2160.4</v>
          </cell>
          <cell r="G516">
            <v>1831.2</v>
          </cell>
          <cell r="H516">
            <v>2266.96</v>
          </cell>
        </row>
        <row r="517">
          <cell r="E517" t="str">
            <v>ЕВ2010156 983791</v>
          </cell>
          <cell r="F517">
            <v>2674.6</v>
          </cell>
          <cell r="G517">
            <v>2266.96</v>
          </cell>
          <cell r="H517">
            <v>0</v>
          </cell>
        </row>
        <row r="518">
          <cell r="C518" t="str">
            <v>Колесников Юрий Викторович</v>
          </cell>
          <cell r="D518" t="str">
            <v>электрогазосварщик, занятый на резке и ручной сварке</v>
          </cell>
          <cell r="E518" t="str">
            <v>ВЛ2010086 114622</v>
          </cell>
          <cell r="F518">
            <v>1079.5999999999999</v>
          </cell>
          <cell r="G518">
            <v>915.27</v>
          </cell>
          <cell r="H518">
            <v>974.08</v>
          </cell>
        </row>
        <row r="519">
          <cell r="E519" t="str">
            <v>ЕВ2010156 929751</v>
          </cell>
          <cell r="F519">
            <v>1149</v>
          </cell>
          <cell r="G519">
            <v>974.08</v>
          </cell>
          <cell r="H519">
            <v>0</v>
          </cell>
        </row>
        <row r="520">
          <cell r="C520" t="str">
            <v>Колесниченко Виталий Геннадьевич</v>
          </cell>
          <cell r="D520" t="str">
            <v>проходчик на поверхностных работах</v>
          </cell>
          <cell r="E520" t="str">
            <v>ЮЭ2010697 044005</v>
          </cell>
          <cell r="F520">
            <v>1218.9000000000001</v>
          </cell>
          <cell r="G520">
            <v>1033.31</v>
          </cell>
          <cell r="H520">
            <v>0</v>
          </cell>
        </row>
        <row r="521">
          <cell r="C521" t="str">
            <v>Колесниченко Геннадий Георгиевич</v>
          </cell>
          <cell r="D521" t="str">
            <v>электрослесарь (слесарь) дежурный и по ремонту оборудования о/г.р</v>
          </cell>
          <cell r="E521" t="str">
            <v>ЮЭ2010697 043723</v>
          </cell>
          <cell r="F521">
            <v>1149</v>
          </cell>
          <cell r="G521">
            <v>974.08</v>
          </cell>
          <cell r="H521">
            <v>915.27</v>
          </cell>
        </row>
        <row r="522">
          <cell r="E522" t="str">
            <v>ГВ2010105 485459</v>
          </cell>
          <cell r="F522">
            <v>1079.5999999999999</v>
          </cell>
          <cell r="G522">
            <v>915.27</v>
          </cell>
          <cell r="H522">
            <v>0</v>
          </cell>
        </row>
        <row r="523">
          <cell r="C523" t="str">
            <v>Колпаков Вадим Михайлович</v>
          </cell>
          <cell r="D523" t="str">
            <v>электрогазосварщик, занятый на резке и ручной сварке</v>
          </cell>
          <cell r="E523" t="str">
            <v>ШБ2010597 880190</v>
          </cell>
          <cell r="F523">
            <v>1664.6</v>
          </cell>
          <cell r="G523">
            <v>1411.02</v>
          </cell>
          <cell r="H523">
            <v>1638.82</v>
          </cell>
        </row>
        <row r="524">
          <cell r="E524" t="str">
            <v>АП2010037 923577</v>
          </cell>
          <cell r="F524">
            <v>1933.4</v>
          </cell>
          <cell r="G524">
            <v>1638.82</v>
          </cell>
          <cell r="H524">
            <v>0</v>
          </cell>
        </row>
        <row r="525">
          <cell r="C525" t="str">
            <v>Кострубин Геннадий Иванович</v>
          </cell>
          <cell r="D525" t="str">
            <v xml:space="preserve">горнорабочий </v>
          </cell>
          <cell r="E525" t="str">
            <v>ГЕ2010108 884613</v>
          </cell>
          <cell r="F525">
            <v>1079.5999999999999</v>
          </cell>
          <cell r="G525">
            <v>915.27</v>
          </cell>
          <cell r="H525">
            <v>0</v>
          </cell>
        </row>
        <row r="526">
          <cell r="C526" t="str">
            <v>Котляров Александр Николаевич</v>
          </cell>
          <cell r="D526" t="str">
            <v>проходчик на поверхностных работах</v>
          </cell>
          <cell r="E526" t="str">
            <v>ЮЭ2010697 947645</v>
          </cell>
          <cell r="F526">
            <v>1079.5999999999999</v>
          </cell>
          <cell r="G526">
            <v>915.27</v>
          </cell>
          <cell r="H526">
            <v>1121.96</v>
          </cell>
        </row>
        <row r="527">
          <cell r="E527">
            <v>2007013716621</v>
          </cell>
          <cell r="F527">
            <v>1323.5</v>
          </cell>
          <cell r="G527">
            <v>1121.96</v>
          </cell>
          <cell r="H527">
            <v>0</v>
          </cell>
        </row>
        <row r="528">
          <cell r="C528" t="str">
            <v>Котляров Геннадий Иванович</v>
          </cell>
          <cell r="D528" t="str">
            <v>проходчик на поверхностных работах</v>
          </cell>
          <cell r="E528" t="str">
            <v>ЮЭ2010697 978754</v>
          </cell>
          <cell r="F528">
            <v>1257</v>
          </cell>
          <cell r="G528">
            <v>1065.5999999999999</v>
          </cell>
          <cell r="H528">
            <v>2081.79</v>
          </cell>
        </row>
        <row r="529">
          <cell r="E529" t="str">
            <v>ЕВ2010156 981365</v>
          </cell>
          <cell r="F529">
            <v>2456.1</v>
          </cell>
          <cell r="G529">
            <v>2081.79</v>
          </cell>
          <cell r="H529">
            <v>0</v>
          </cell>
        </row>
        <row r="530">
          <cell r="C530" t="str">
            <v>Корныш Олег Григорьевич</v>
          </cell>
          <cell r="D530" t="str">
            <v>электрогазосварщик, занятый на резке и ручной сварке</v>
          </cell>
          <cell r="E530" t="str">
            <v>ЧБ2010571 847643</v>
          </cell>
          <cell r="F530">
            <v>1776.4</v>
          </cell>
          <cell r="G530">
            <v>1505.77</v>
          </cell>
          <cell r="H530">
            <v>0</v>
          </cell>
        </row>
        <row r="531">
          <cell r="C531" t="str">
            <v>Кравцов Владимир Сергеевич</v>
          </cell>
          <cell r="D531" t="str">
            <v>электрогазосварщик, занятый на резке и ручной сварке</v>
          </cell>
          <cell r="E531" t="str">
            <v>ВЛ2010086 113342</v>
          </cell>
          <cell r="F531">
            <v>1079.5999999999999</v>
          </cell>
          <cell r="G531">
            <v>915.27</v>
          </cell>
          <cell r="H531">
            <v>915.27</v>
          </cell>
        </row>
        <row r="532">
          <cell r="E532" t="str">
            <v>ЕВ2010156 910422</v>
          </cell>
          <cell r="F532">
            <v>1079.5999999999999</v>
          </cell>
          <cell r="G532">
            <v>915.27</v>
          </cell>
          <cell r="H532">
            <v>0</v>
          </cell>
        </row>
        <row r="533">
          <cell r="C533" t="str">
            <v>Кравченко Вадим Анатольевич</v>
          </cell>
          <cell r="D533" t="str">
            <v xml:space="preserve">горнорабочий </v>
          </cell>
          <cell r="E533" t="str">
            <v>ГЕ2010108 884614</v>
          </cell>
          <cell r="F533">
            <v>1079.5999999999999</v>
          </cell>
          <cell r="G533">
            <v>915.27</v>
          </cell>
          <cell r="H533">
            <v>0</v>
          </cell>
        </row>
        <row r="534">
          <cell r="C534" t="str">
            <v>Кривощеков Александр Павлович</v>
          </cell>
          <cell r="D534" t="str">
            <v>проходчик на поверхностных работах</v>
          </cell>
          <cell r="E534" t="str">
            <v>ЧБ2010571 780995</v>
          </cell>
          <cell r="F534">
            <v>1149</v>
          </cell>
          <cell r="G534">
            <v>974.08</v>
          </cell>
          <cell r="H534">
            <v>1121.96</v>
          </cell>
        </row>
        <row r="535">
          <cell r="E535" t="str">
            <v>ЕВ2010156 968125</v>
          </cell>
          <cell r="F535">
            <v>1323.5</v>
          </cell>
          <cell r="G535">
            <v>1121.96</v>
          </cell>
          <cell r="H535">
            <v>0</v>
          </cell>
        </row>
        <row r="536">
          <cell r="C536" t="str">
            <v>Кривченков Александр Федорович</v>
          </cell>
          <cell r="D536" t="str">
            <v xml:space="preserve">горнорабочий </v>
          </cell>
          <cell r="E536" t="str">
            <v>ШГ2010599 052815</v>
          </cell>
          <cell r="F536">
            <v>1149</v>
          </cell>
          <cell r="G536">
            <v>974.08</v>
          </cell>
          <cell r="H536">
            <v>0</v>
          </cell>
        </row>
        <row r="537">
          <cell r="C537" t="str">
            <v>Кропачев Антон Александрович</v>
          </cell>
          <cell r="D537" t="str">
            <v>проходчик на поверхностных работах</v>
          </cell>
          <cell r="E537" t="str">
            <v>ЧБ2010571 780836</v>
          </cell>
          <cell r="F537">
            <v>997</v>
          </cell>
          <cell r="G537">
            <v>845.26</v>
          </cell>
          <cell r="H537">
            <v>1121.96</v>
          </cell>
        </row>
        <row r="538">
          <cell r="E538" t="str">
            <v>ЕВ2010156 971786</v>
          </cell>
          <cell r="F538">
            <v>1323.5</v>
          </cell>
          <cell r="G538">
            <v>1121.96</v>
          </cell>
          <cell r="H538">
            <v>0</v>
          </cell>
        </row>
        <row r="539">
          <cell r="C539" t="str">
            <v>Кузин Иван Владимирович</v>
          </cell>
          <cell r="D539" t="str">
            <v>горнорабочий</v>
          </cell>
          <cell r="E539" t="str">
            <v>ШГ2010599 061095</v>
          </cell>
          <cell r="F539">
            <v>1149</v>
          </cell>
          <cell r="G539">
            <v>974.08</v>
          </cell>
          <cell r="H539">
            <v>0</v>
          </cell>
        </row>
        <row r="540">
          <cell r="C540" t="str">
            <v>Кузнецов Вячеслав Анатольевич</v>
          </cell>
          <cell r="D540" t="str">
            <v>проходчик на поверхностных работах</v>
          </cell>
          <cell r="E540" t="str">
            <v>ЮЭ2010697 043972</v>
          </cell>
          <cell r="F540">
            <v>1149</v>
          </cell>
          <cell r="G540">
            <v>974.08</v>
          </cell>
          <cell r="H540">
            <v>0</v>
          </cell>
        </row>
        <row r="541">
          <cell r="C541" t="str">
            <v>Кузнецовский Алексей Борисович</v>
          </cell>
          <cell r="D541" t="str">
            <v>электрогазосварщик, занятый на резке и ручной сварке</v>
          </cell>
          <cell r="E541" t="str">
            <v>ЧБ2010571 562555</v>
          </cell>
          <cell r="F541">
            <v>1428.1</v>
          </cell>
          <cell r="G541">
            <v>1210.6099999999999</v>
          </cell>
          <cell r="H541">
            <v>1210.6099999999999</v>
          </cell>
        </row>
        <row r="542">
          <cell r="E542" t="str">
            <v>ЕВ2010156 930609</v>
          </cell>
          <cell r="F542">
            <v>1428.1</v>
          </cell>
          <cell r="G542">
            <v>1210.6099999999999</v>
          </cell>
          <cell r="H542">
            <v>0</v>
          </cell>
        </row>
        <row r="543">
          <cell r="C543" t="str">
            <v>Кулагин Дмитрий Геннадьевич</v>
          </cell>
          <cell r="D543" t="str">
            <v>проходчик на поверхностных работах</v>
          </cell>
          <cell r="E543" t="str">
            <v>ЕЛ2010163 001788</v>
          </cell>
          <cell r="F543">
            <v>1251.7</v>
          </cell>
          <cell r="G543">
            <v>1061.1099999999999</v>
          </cell>
          <cell r="H543">
            <v>1491.2</v>
          </cell>
        </row>
        <row r="544">
          <cell r="E544">
            <v>2007013712364</v>
          </cell>
          <cell r="F544">
            <v>1759.2</v>
          </cell>
          <cell r="G544">
            <v>1491.2</v>
          </cell>
          <cell r="H544">
            <v>0</v>
          </cell>
        </row>
        <row r="545">
          <cell r="C545" t="str">
            <v>Лабутин Евгений Петрович</v>
          </cell>
          <cell r="D545" t="str">
            <v>проходчик на поверхностных работах</v>
          </cell>
          <cell r="E545" t="str">
            <v>ЮЭ2010697 044639</v>
          </cell>
          <cell r="F545">
            <v>1079.5999999999999</v>
          </cell>
          <cell r="G545">
            <v>915.27</v>
          </cell>
          <cell r="H545">
            <v>0</v>
          </cell>
        </row>
        <row r="546">
          <cell r="C546" t="str">
            <v>Лаврик Виктор Александрович</v>
          </cell>
          <cell r="D546" t="str">
            <v>проходчик на поверхностных работах</v>
          </cell>
          <cell r="E546" t="str">
            <v>ЮЛ2010683 554343</v>
          </cell>
          <cell r="F546">
            <v>1497.9</v>
          </cell>
          <cell r="G546">
            <v>1269.75</v>
          </cell>
          <cell r="H546">
            <v>1269.75</v>
          </cell>
        </row>
        <row r="547">
          <cell r="E547" t="str">
            <v>ЮЛ2010683 554344</v>
          </cell>
          <cell r="F547">
            <v>1497.9</v>
          </cell>
          <cell r="G547">
            <v>1269.75</v>
          </cell>
          <cell r="H547">
            <v>0</v>
          </cell>
        </row>
        <row r="548">
          <cell r="C548" t="str">
            <v>Лаптев Иван Климентьевич</v>
          </cell>
          <cell r="D548" t="str">
            <v>проходчик на поверхностных работах</v>
          </cell>
          <cell r="E548" t="str">
            <v>АИ2010032 666146</v>
          </cell>
          <cell r="F548">
            <v>2299.4</v>
          </cell>
          <cell r="G548">
            <v>1948.99</v>
          </cell>
          <cell r="H548">
            <v>1328.73</v>
          </cell>
        </row>
        <row r="549">
          <cell r="E549" t="str">
            <v>ГВ2010105 484812</v>
          </cell>
          <cell r="F549">
            <v>1567.5</v>
          </cell>
          <cell r="G549">
            <v>1328.73</v>
          </cell>
          <cell r="H549">
            <v>0</v>
          </cell>
        </row>
        <row r="550">
          <cell r="C550" t="str">
            <v>Лелин Денис Игоревич</v>
          </cell>
          <cell r="D550" t="str">
            <v xml:space="preserve">горнорабочий </v>
          </cell>
          <cell r="E550" t="str">
            <v>ЕВ2010156 729241</v>
          </cell>
          <cell r="F550">
            <v>1149</v>
          </cell>
          <cell r="G550">
            <v>974.08</v>
          </cell>
          <cell r="H550">
            <v>0</v>
          </cell>
        </row>
        <row r="551">
          <cell r="C551" t="str">
            <v>Лихота Анатолий Анатольевич</v>
          </cell>
          <cell r="D551" t="str">
            <v>электрогазосварщик, занятый на резке и ручной сварке</v>
          </cell>
          <cell r="E551" t="str">
            <v>ЮЭ2010697 707341</v>
          </cell>
          <cell r="F551">
            <v>1428.1</v>
          </cell>
          <cell r="G551">
            <v>1210.6099999999999</v>
          </cell>
          <cell r="H551">
            <v>1417.3</v>
          </cell>
        </row>
        <row r="552">
          <cell r="E552" t="str">
            <v>ЕВ2010156  903721</v>
          </cell>
          <cell r="F552">
            <v>1672</v>
          </cell>
          <cell r="G552">
            <v>1417.3</v>
          </cell>
          <cell r="H552">
            <v>0</v>
          </cell>
        </row>
        <row r="553">
          <cell r="C553" t="str">
            <v>Мамаев Игорь Николаевич</v>
          </cell>
          <cell r="D553" t="str">
            <v>электрослесарь (слесарь) дежурный и по ремонту оборудования</v>
          </cell>
          <cell r="E553" t="str">
            <v>ЧБ2010571 196465</v>
          </cell>
          <cell r="F553">
            <v>1079.5999999999999</v>
          </cell>
          <cell r="G553">
            <v>915.27</v>
          </cell>
          <cell r="H553">
            <v>974.08</v>
          </cell>
        </row>
        <row r="554">
          <cell r="E554" t="str">
            <v>ВЕ2010082 117643</v>
          </cell>
          <cell r="F554">
            <v>1149</v>
          </cell>
          <cell r="G554">
            <v>974.08</v>
          </cell>
          <cell r="H554">
            <v>0</v>
          </cell>
        </row>
        <row r="555">
          <cell r="C555" t="str">
            <v>Мардасов Александр Федорович</v>
          </cell>
          <cell r="D555" t="str">
            <v>проходчик на поверхностных работах</v>
          </cell>
          <cell r="E555" t="str">
            <v>ЯИ2010707  977521</v>
          </cell>
          <cell r="F555">
            <v>1358.4</v>
          </cell>
          <cell r="G555">
            <v>1151.53</v>
          </cell>
          <cell r="H555">
            <v>1233.82</v>
          </cell>
        </row>
        <row r="556">
          <cell r="E556" t="str">
            <v>ЕВ2010156 935930</v>
          </cell>
          <cell r="F556">
            <v>1455.5</v>
          </cell>
          <cell r="G556">
            <v>1233.82</v>
          </cell>
          <cell r="H556">
            <v>0</v>
          </cell>
        </row>
        <row r="557">
          <cell r="C557" t="str">
            <v>Михайлов Олег Викторович</v>
          </cell>
          <cell r="D557" t="str">
            <v>проходчик на поверхностных работах</v>
          </cell>
          <cell r="E557" t="str">
            <v>ЮЭ2010697 909697</v>
          </cell>
          <cell r="F557">
            <v>1149</v>
          </cell>
          <cell r="G557">
            <v>974.08</v>
          </cell>
          <cell r="H557">
            <v>0</v>
          </cell>
        </row>
        <row r="558">
          <cell r="C558" t="str">
            <v>Мягков Максим Александрович</v>
          </cell>
          <cell r="D558" t="str">
            <v>проходчик на поверхностных работах</v>
          </cell>
          <cell r="E558" t="str">
            <v>ЯИ2010707 201881</v>
          </cell>
          <cell r="F558">
            <v>1567.5</v>
          </cell>
          <cell r="G558">
            <v>1328.73</v>
          </cell>
          <cell r="H558">
            <v>1638.82</v>
          </cell>
        </row>
        <row r="559">
          <cell r="E559" t="str">
            <v>АП2010037 936096</v>
          </cell>
          <cell r="F559">
            <v>1933.4</v>
          </cell>
          <cell r="G559">
            <v>1638.82</v>
          </cell>
          <cell r="H559">
            <v>0</v>
          </cell>
        </row>
        <row r="560">
          <cell r="C560" t="str">
            <v>Назаров Владимир Александрович</v>
          </cell>
          <cell r="D560" t="str">
            <v>проходчик на поверхностных работах</v>
          </cell>
          <cell r="E560" t="str">
            <v>ЮЭ2010697 896074</v>
          </cell>
          <cell r="F560">
            <v>1894.7</v>
          </cell>
          <cell r="G560">
            <v>1677.38</v>
          </cell>
          <cell r="H560">
            <v>2414.16</v>
          </cell>
        </row>
        <row r="561">
          <cell r="E561" t="str">
            <v>ГВ2010105 485465</v>
          </cell>
          <cell r="F561">
            <v>2848.3</v>
          </cell>
          <cell r="G561">
            <v>2414.16</v>
          </cell>
          <cell r="H561">
            <v>0</v>
          </cell>
        </row>
        <row r="562">
          <cell r="C562" t="str">
            <v>Наумов Николай Сергеевич</v>
          </cell>
          <cell r="D562" t="str">
            <v xml:space="preserve">горнорабочий </v>
          </cell>
          <cell r="E562" t="str">
            <v>АИ2010032 751791</v>
          </cell>
          <cell r="F562">
            <v>1060.7</v>
          </cell>
          <cell r="G562">
            <v>899.25</v>
          </cell>
          <cell r="H562">
            <v>0</v>
          </cell>
        </row>
        <row r="563">
          <cell r="C563" t="str">
            <v>Наумович Андрей Александрович</v>
          </cell>
          <cell r="D563" t="str">
            <v xml:space="preserve">горнорабочий </v>
          </cell>
          <cell r="E563" t="str">
            <v xml:space="preserve"> ЮЭ2010697 947116</v>
          </cell>
          <cell r="F563">
            <v>1079.5999999999999</v>
          </cell>
          <cell r="G563">
            <v>915.27</v>
          </cell>
          <cell r="H563">
            <v>0</v>
          </cell>
        </row>
        <row r="564">
          <cell r="C564" t="str">
            <v>Невмержицкий Сергей Александрович</v>
          </cell>
          <cell r="D564" t="str">
            <v>электрослесарь (слесарь) дежурный и по ремонту оборудования</v>
          </cell>
          <cell r="E564" t="str">
            <v>ВЛ2010086 291149</v>
          </cell>
          <cell r="F564">
            <v>1567.5</v>
          </cell>
          <cell r="G564">
            <v>1328.73</v>
          </cell>
          <cell r="H564">
            <v>1638.82</v>
          </cell>
        </row>
        <row r="565">
          <cell r="E565" t="str">
            <v xml:space="preserve"> ЕГ2010157 235218</v>
          </cell>
          <cell r="F565">
            <v>1933.4</v>
          </cell>
          <cell r="G565">
            <v>1638.82</v>
          </cell>
          <cell r="H565">
            <v>0</v>
          </cell>
        </row>
        <row r="566">
          <cell r="C566" t="str">
            <v>Орищенко Алексей Викторович</v>
          </cell>
          <cell r="D566" t="str">
            <v>проходчик на поверхностных работах</v>
          </cell>
          <cell r="E566" t="str">
            <v>ЧБ2010571 780572</v>
          </cell>
          <cell r="F566">
            <v>1079.5999999999999</v>
          </cell>
          <cell r="G566">
            <v>915.27</v>
          </cell>
          <cell r="H566">
            <v>0</v>
          </cell>
        </row>
        <row r="567">
          <cell r="C567" t="str">
            <v>Осауленко Александр Олегович</v>
          </cell>
          <cell r="D567" t="str">
            <v>горнорабочий</v>
          </cell>
          <cell r="E567" t="str">
            <v>ЮЭ2010697 947965</v>
          </cell>
          <cell r="F567">
            <v>1079.5999999999999</v>
          </cell>
          <cell r="G567">
            <v>915.27</v>
          </cell>
          <cell r="H567">
            <v>0</v>
          </cell>
        </row>
        <row r="568">
          <cell r="C568" t="str">
            <v>Павлов Петр Алексеевич</v>
          </cell>
          <cell r="D568" t="str">
            <v>электрогазосварщик, занятый на резке и ручной сварке</v>
          </cell>
          <cell r="E568" t="str">
            <v>ШБ2010597 788521</v>
          </cell>
          <cell r="F568">
            <v>1497.9</v>
          </cell>
          <cell r="G568">
            <v>1269.75</v>
          </cell>
          <cell r="H568">
            <v>1269.75</v>
          </cell>
        </row>
        <row r="569">
          <cell r="E569" t="str">
            <v>ГМ2010113 132537</v>
          </cell>
          <cell r="F569">
            <v>1497.9</v>
          </cell>
          <cell r="G569">
            <v>1269.75</v>
          </cell>
          <cell r="H569">
            <v>0</v>
          </cell>
        </row>
        <row r="570">
          <cell r="C570" t="str">
            <v>Пак Роман Валерьевич</v>
          </cell>
          <cell r="D570" t="str">
            <v>электрогазосварщик, занятый на резке и ручной сварке</v>
          </cell>
          <cell r="E570" t="str">
            <v>АК2010033 139316</v>
          </cell>
          <cell r="F570">
            <v>1497.9</v>
          </cell>
          <cell r="G570">
            <v>1269.75</v>
          </cell>
          <cell r="H570">
            <v>2192.73</v>
          </cell>
        </row>
        <row r="571">
          <cell r="E571" t="str">
            <v>АК2010033 139319</v>
          </cell>
          <cell r="F571">
            <v>2587</v>
          </cell>
          <cell r="G571">
            <v>2192.73</v>
          </cell>
          <cell r="H571">
            <v>0</v>
          </cell>
        </row>
        <row r="572">
          <cell r="C572" t="str">
            <v>Пигарев Алексей Владимирович</v>
          </cell>
          <cell r="D572" t="str">
            <v>проходчик на поверхностных работах</v>
          </cell>
          <cell r="E572" t="str">
            <v>ЮЭ2010697 044863</v>
          </cell>
          <cell r="F572">
            <v>1080</v>
          </cell>
          <cell r="G572">
            <v>915.25</v>
          </cell>
          <cell r="H572">
            <v>1195.5999999999999</v>
          </cell>
        </row>
        <row r="573">
          <cell r="E573" t="str">
            <v>ЕВ2010156 990797</v>
          </cell>
          <cell r="F573">
            <v>1410.4</v>
          </cell>
          <cell r="G573">
            <v>1195.5999999999999</v>
          </cell>
          <cell r="H573">
            <v>0</v>
          </cell>
        </row>
        <row r="574">
          <cell r="C574" t="str">
            <v>Плаченов Владимир Владимирович</v>
          </cell>
          <cell r="D574" t="str">
            <v>проходчик на поверхностных работах</v>
          </cell>
          <cell r="E574" t="str">
            <v>ЮЭ2010697 896071</v>
          </cell>
          <cell r="F574">
            <v>1894.7</v>
          </cell>
          <cell r="G574">
            <v>1677.38</v>
          </cell>
          <cell r="H574">
            <v>1638.82</v>
          </cell>
        </row>
        <row r="575">
          <cell r="E575" t="str">
            <v>ГВ2010105 485466</v>
          </cell>
          <cell r="F575">
            <v>1933.4</v>
          </cell>
          <cell r="G575">
            <v>1638.82</v>
          </cell>
          <cell r="H575">
            <v>0</v>
          </cell>
        </row>
        <row r="576">
          <cell r="C576" t="str">
            <v>Плешаков Юрий Викторович</v>
          </cell>
          <cell r="D576" t="str">
            <v>электрослесарь (слесарь) дежурный и по ремонту оборудования</v>
          </cell>
          <cell r="E576" t="str">
            <v>ЕВ2010156 970147</v>
          </cell>
          <cell r="F576">
            <v>1323.5</v>
          </cell>
          <cell r="G576">
            <v>1121.96</v>
          </cell>
          <cell r="H576">
            <v>0</v>
          </cell>
        </row>
        <row r="577">
          <cell r="C577" t="str">
            <v>Плотников Андрей Витальевич</v>
          </cell>
          <cell r="D577" t="str">
            <v>электрослесарь (слесарь) дежурный и по ремонту оборудования</v>
          </cell>
          <cell r="E577" t="str">
            <v>ЧБ2010571 780714</v>
          </cell>
          <cell r="F577">
            <v>1149</v>
          </cell>
          <cell r="G577">
            <v>974.08</v>
          </cell>
          <cell r="H577">
            <v>0</v>
          </cell>
        </row>
        <row r="578">
          <cell r="C578" t="str">
            <v>Подустов Андрей Александрович</v>
          </cell>
          <cell r="D578" t="str">
            <v xml:space="preserve">горнорабочий </v>
          </cell>
          <cell r="E578" t="str">
            <v>ЮЭ2010697 896072</v>
          </cell>
          <cell r="F578">
            <v>1894.7</v>
          </cell>
          <cell r="G578">
            <v>1677.38</v>
          </cell>
          <cell r="H578">
            <v>2414.16</v>
          </cell>
        </row>
        <row r="579">
          <cell r="E579" t="str">
            <v>ГВ2010105 485464</v>
          </cell>
          <cell r="F579">
            <v>2848.3</v>
          </cell>
          <cell r="G579">
            <v>2414.16</v>
          </cell>
          <cell r="H579">
            <v>0</v>
          </cell>
        </row>
        <row r="580">
          <cell r="C580" t="str">
            <v>Поклонцев Сергей Владимирович</v>
          </cell>
          <cell r="D580" t="str">
            <v>проходчик на поверхностных работах</v>
          </cell>
          <cell r="E580" t="str">
            <v>ЮЭ2010697 706921</v>
          </cell>
          <cell r="F580">
            <v>1428.1</v>
          </cell>
          <cell r="G580">
            <v>1210.6099999999999</v>
          </cell>
          <cell r="H580">
            <v>0</v>
          </cell>
        </row>
        <row r="581">
          <cell r="C581" t="str">
            <v>Поляков Игорь Юрьевич</v>
          </cell>
          <cell r="D581" t="str">
            <v>электрослесарь (слесарь) дежурный и по ремонту оборудования</v>
          </cell>
          <cell r="E581" t="str">
            <v>БГ2010104 241527</v>
          </cell>
          <cell r="F581">
            <v>1149</v>
          </cell>
          <cell r="G581">
            <v>974.08</v>
          </cell>
          <cell r="H581">
            <v>1195.5999999999999</v>
          </cell>
        </row>
        <row r="582">
          <cell r="E582" t="str">
            <v xml:space="preserve">ШГ2010599 061841 </v>
          </cell>
          <cell r="F582">
            <v>1410.4</v>
          </cell>
          <cell r="G582">
            <v>1195.5999999999999</v>
          </cell>
          <cell r="H582">
            <v>0</v>
          </cell>
        </row>
        <row r="583">
          <cell r="C583" t="str">
            <v>Потелещенко Олег Вадимович</v>
          </cell>
          <cell r="D583" t="str">
            <v>электрогазосварщик, занятый на резке и ручной сварке</v>
          </cell>
          <cell r="E583" t="str">
            <v>ЮЭ2010697               915753</v>
          </cell>
          <cell r="F583">
            <v>1079.5999999999999</v>
          </cell>
          <cell r="G583">
            <v>915.27</v>
          </cell>
          <cell r="H583">
            <v>1121.96</v>
          </cell>
        </row>
        <row r="584">
          <cell r="E584" t="str">
            <v>ГЕ2010108 885126</v>
          </cell>
          <cell r="F584">
            <v>1323.5</v>
          </cell>
          <cell r="G584">
            <v>1121.96</v>
          </cell>
          <cell r="H584">
            <v>0</v>
          </cell>
        </row>
        <row r="585">
          <cell r="C585" t="str">
            <v>Починков Михаил Юрьевич</v>
          </cell>
          <cell r="D585" t="str">
            <v>электрослесарь (слесарь) дежурный и по ремонту оборудования</v>
          </cell>
          <cell r="E585" t="str">
            <v>ШГ2010599 055458</v>
          </cell>
          <cell r="F585">
            <v>1218.9000000000001</v>
          </cell>
          <cell r="G585">
            <v>1033.31</v>
          </cell>
          <cell r="H585">
            <v>887.8</v>
          </cell>
        </row>
        <row r="586">
          <cell r="E586">
            <v>72670400448801</v>
          </cell>
          <cell r="F586">
            <v>1047.5999999999999</v>
          </cell>
          <cell r="G586">
            <v>887.8</v>
          </cell>
          <cell r="H586">
            <v>0</v>
          </cell>
        </row>
        <row r="587">
          <cell r="C587" t="str">
            <v>Прокошев Евгений Евгеньевич</v>
          </cell>
          <cell r="D587" t="str">
            <v>электрогазосварщик занятый на резке и ручной сварке о/г.р.</v>
          </cell>
          <cell r="E587" t="str">
            <v>ГВ2010105 484819</v>
          </cell>
          <cell r="F587">
            <v>1428.1</v>
          </cell>
          <cell r="G587">
            <v>1210.6099999999999</v>
          </cell>
          <cell r="H587">
            <v>0</v>
          </cell>
        </row>
        <row r="588">
          <cell r="C588" t="str">
            <v>Пудов Алексей Владимирович</v>
          </cell>
          <cell r="D588" t="str">
            <v xml:space="preserve">горнорабочий </v>
          </cell>
          <cell r="E588" t="str">
            <v>ЮЭ2010697 915755</v>
          </cell>
          <cell r="F588">
            <v>1079.5999999999999</v>
          </cell>
          <cell r="G588">
            <v>915.27</v>
          </cell>
          <cell r="H588">
            <v>1036.03</v>
          </cell>
        </row>
        <row r="589">
          <cell r="E589" t="str">
            <v>АП2010037 917305</v>
          </cell>
          <cell r="F589">
            <v>1222.0999999999999</v>
          </cell>
          <cell r="G589">
            <v>1036.03</v>
          </cell>
          <cell r="H589">
            <v>0</v>
          </cell>
        </row>
        <row r="590">
          <cell r="C590" t="str">
            <v>Рожков Александр Викторович</v>
          </cell>
          <cell r="D590" t="str">
            <v xml:space="preserve">горнорабочий </v>
          </cell>
          <cell r="E590" t="str">
            <v>ГВ2010105 484857</v>
          </cell>
          <cell r="F590">
            <v>1047.5999999999999</v>
          </cell>
          <cell r="G590">
            <v>888.15</v>
          </cell>
          <cell r="H590">
            <v>0</v>
          </cell>
        </row>
        <row r="591">
          <cell r="C591" t="str">
            <v>Романов Владимир Вячеславович</v>
          </cell>
          <cell r="D591" t="str">
            <v>электрогазосварщик занятый на резке и ручной сварке о/г.р.</v>
          </cell>
          <cell r="E591" t="str">
            <v>АК2010033 042398</v>
          </cell>
          <cell r="F591">
            <v>1567.5</v>
          </cell>
          <cell r="G591">
            <v>1328.73</v>
          </cell>
          <cell r="H591">
            <v>1210.6099999999999</v>
          </cell>
        </row>
        <row r="592">
          <cell r="E592" t="str">
            <v>АК2010033 042399</v>
          </cell>
          <cell r="F592">
            <v>1428.1</v>
          </cell>
          <cell r="G592">
            <v>1210.6099999999999</v>
          </cell>
          <cell r="H592">
            <v>0</v>
          </cell>
        </row>
        <row r="593">
          <cell r="C593" t="str">
            <v>Самсонов Геннадий Владимирович</v>
          </cell>
          <cell r="D593" t="str">
            <v>электрогазосварщик занятый на резке и ручной сварке о/г.р.</v>
          </cell>
          <cell r="E593" t="str">
            <v>ГВ2010105 591882</v>
          </cell>
          <cell r="F593">
            <v>1567.5</v>
          </cell>
          <cell r="G593">
            <v>1328.74</v>
          </cell>
          <cell r="H593">
            <v>0</v>
          </cell>
        </row>
        <row r="594">
          <cell r="C594" t="str">
            <v>Сапожников Валентин Александрович</v>
          </cell>
          <cell r="D594" t="str">
            <v>проходчик на поверхностных работах</v>
          </cell>
          <cell r="E594" t="str">
            <v>ЧБ2010571 780578</v>
          </cell>
          <cell r="F594">
            <v>1079.5999999999999</v>
          </cell>
          <cell r="G594">
            <v>915.27</v>
          </cell>
          <cell r="H594">
            <v>0</v>
          </cell>
        </row>
        <row r="595">
          <cell r="C595" t="str">
            <v>Серобаба Игорь Владимирович</v>
          </cell>
          <cell r="D595" t="str">
            <v>проходчик на поверхностных работах</v>
          </cell>
          <cell r="E595" t="str">
            <v>ВЛ2010086 494644</v>
          </cell>
          <cell r="F595">
            <v>1497.9</v>
          </cell>
          <cell r="G595">
            <v>1269.75</v>
          </cell>
          <cell r="H595">
            <v>1638.82</v>
          </cell>
        </row>
        <row r="596">
          <cell r="E596" t="str">
            <v>ВБ2010078 961611</v>
          </cell>
          <cell r="F596">
            <v>1933.4</v>
          </cell>
          <cell r="G596">
            <v>1638.82</v>
          </cell>
          <cell r="H596">
            <v>0</v>
          </cell>
        </row>
        <row r="597">
          <cell r="C597" t="str">
            <v>Сиднеков Олег Анатольевич</v>
          </cell>
          <cell r="D597" t="str">
            <v>электрогазосварщик, занятый на резке и ручной сварке</v>
          </cell>
          <cell r="E597" t="str">
            <v>ЩН2010633 911284</v>
          </cell>
          <cell r="F597">
            <v>1567.5</v>
          </cell>
          <cell r="G597">
            <v>1328.73</v>
          </cell>
          <cell r="H597">
            <v>1638.82</v>
          </cell>
        </row>
        <row r="598">
          <cell r="E598" t="str">
            <v>АП2010037  912322</v>
          </cell>
          <cell r="F598">
            <v>1933.4</v>
          </cell>
          <cell r="G598">
            <v>1638.82</v>
          </cell>
          <cell r="H598">
            <v>0</v>
          </cell>
        </row>
        <row r="599">
          <cell r="C599" t="str">
            <v>Сидоренко Николай Анатольевич</v>
          </cell>
          <cell r="D599" t="str">
            <v xml:space="preserve">горнорабочий </v>
          </cell>
          <cell r="E599" t="str">
            <v>ЮЭ2010697 947179</v>
          </cell>
          <cell r="F599">
            <v>1776.4</v>
          </cell>
          <cell r="G599">
            <v>1505.77</v>
          </cell>
          <cell r="H599">
            <v>899.25</v>
          </cell>
        </row>
        <row r="600">
          <cell r="E600">
            <v>2007013737483</v>
          </cell>
          <cell r="F600">
            <v>1060.7</v>
          </cell>
          <cell r="G600">
            <v>899.25</v>
          </cell>
          <cell r="H600">
            <v>0</v>
          </cell>
        </row>
        <row r="601">
          <cell r="C601" t="str">
            <v>Синцов Дмитрий Александрович</v>
          </cell>
          <cell r="D601" t="str">
            <v>электрогазосварщик, занятый на резке и ручной сварке</v>
          </cell>
          <cell r="E601" t="str">
            <v>ВЛ2010086 113349</v>
          </cell>
          <cell r="F601">
            <v>1079.5999999999999</v>
          </cell>
          <cell r="G601">
            <v>915.27</v>
          </cell>
          <cell r="H601">
            <v>0</v>
          </cell>
        </row>
        <row r="602">
          <cell r="C602" t="str">
            <v>Сирота Александр Лазаревич</v>
          </cell>
          <cell r="D602" t="str">
            <v>машинист компрессорных установок</v>
          </cell>
          <cell r="E602" t="str">
            <v>ВЛ2010086 289990</v>
          </cell>
          <cell r="F602">
            <v>1567.5</v>
          </cell>
          <cell r="G602">
            <v>1328.73</v>
          </cell>
          <cell r="H602">
            <v>1638.82</v>
          </cell>
        </row>
        <row r="603">
          <cell r="E603" t="str">
            <v>ЕВ2010156  987044</v>
          </cell>
          <cell r="F603">
            <v>1933.4</v>
          </cell>
          <cell r="G603">
            <v>1638.82</v>
          </cell>
          <cell r="H603">
            <v>0</v>
          </cell>
        </row>
        <row r="604">
          <cell r="C604" t="str">
            <v>Скориков Денис Сергеевич</v>
          </cell>
          <cell r="D604" t="str">
            <v xml:space="preserve">горнорабочий </v>
          </cell>
          <cell r="E604" t="str">
            <v>ЮЭ2010697 499556</v>
          </cell>
          <cell r="F604">
            <v>1497.9</v>
          </cell>
          <cell r="G604">
            <v>1269.75</v>
          </cell>
          <cell r="H604">
            <v>1371.79</v>
          </cell>
        </row>
        <row r="605">
          <cell r="E605" t="str">
            <v>АП2010037 926476</v>
          </cell>
          <cell r="F605">
            <v>1618.3</v>
          </cell>
          <cell r="G605">
            <v>1371.79</v>
          </cell>
          <cell r="H605">
            <v>0</v>
          </cell>
        </row>
        <row r="606">
          <cell r="C606" t="str">
            <v>Скориков Евгений Сергеевич</v>
          </cell>
          <cell r="D606" t="str">
            <v xml:space="preserve">горнорабочий </v>
          </cell>
          <cell r="E606" t="str">
            <v>ЮЭ2010697 499554</v>
          </cell>
          <cell r="F606">
            <v>1428.1</v>
          </cell>
          <cell r="G606">
            <v>1210.6099999999999</v>
          </cell>
          <cell r="H606">
            <v>0</v>
          </cell>
        </row>
        <row r="607">
          <cell r="C607" t="str">
            <v>Скориков Сергей Викторович</v>
          </cell>
          <cell r="D607" t="str">
            <v>проходчик на поверхностных работах</v>
          </cell>
          <cell r="E607" t="str">
            <v>ЮЭ2010697 499557</v>
          </cell>
          <cell r="F607">
            <v>1497.9</v>
          </cell>
          <cell r="G607">
            <v>1269.75</v>
          </cell>
          <cell r="H607">
            <v>1371.79</v>
          </cell>
        </row>
        <row r="608">
          <cell r="E608" t="str">
            <v>АП2010037 926475</v>
          </cell>
          <cell r="F608">
            <v>1618.3</v>
          </cell>
          <cell r="G608">
            <v>1371.79</v>
          </cell>
          <cell r="H608">
            <v>0</v>
          </cell>
        </row>
        <row r="609">
          <cell r="C609" t="str">
            <v>Скотинников Андрей Николаевич</v>
          </cell>
          <cell r="D609" t="str">
            <v>проходчик на поверхностных работах</v>
          </cell>
          <cell r="E609" t="str">
            <v>ЧБ2010571 780644</v>
          </cell>
          <cell r="F609">
            <v>1079.5999999999999</v>
          </cell>
          <cell r="G609">
            <v>915.27</v>
          </cell>
          <cell r="H609">
            <v>0</v>
          </cell>
        </row>
        <row r="610">
          <cell r="C610" t="str">
            <v>Соболев Андрей Васильевич</v>
          </cell>
          <cell r="D610" t="str">
            <v xml:space="preserve">горнорабочий </v>
          </cell>
          <cell r="E610" t="str">
            <v>ЮЭ2010697 947180</v>
          </cell>
          <cell r="F610">
            <v>1776.4</v>
          </cell>
          <cell r="G610">
            <v>1505.77</v>
          </cell>
          <cell r="H610">
            <v>915.27</v>
          </cell>
        </row>
        <row r="611">
          <cell r="E611">
            <v>2007012507288</v>
          </cell>
          <cell r="F611">
            <v>1079.5999999999999</v>
          </cell>
          <cell r="G611">
            <v>915.27</v>
          </cell>
          <cell r="H611">
            <v>0</v>
          </cell>
        </row>
        <row r="612">
          <cell r="C612" t="str">
            <v>Соломенцев Валерий Викторович</v>
          </cell>
          <cell r="D612" t="str">
            <v>электрогазосварщик, занятый на резке и ручной сварке</v>
          </cell>
          <cell r="E612" t="str">
            <v>ГЕ2010108 884612</v>
          </cell>
          <cell r="F612">
            <v>1149</v>
          </cell>
          <cell r="G612">
            <v>974.08</v>
          </cell>
          <cell r="H612">
            <v>0</v>
          </cell>
        </row>
        <row r="613">
          <cell r="C613" t="str">
            <v>Сорокин Григорий Александрович</v>
          </cell>
          <cell r="D613" t="str">
            <v>электрослесарь (слесарь) дежурный и по ремонту оборудования</v>
          </cell>
          <cell r="E613" t="str">
            <v>ВЛ2010086 116695</v>
          </cell>
          <cell r="F613">
            <v>1079.5999999999999</v>
          </cell>
          <cell r="G613">
            <v>915.27</v>
          </cell>
          <cell r="H613">
            <v>1121.96</v>
          </cell>
        </row>
        <row r="614">
          <cell r="E614" t="str">
            <v>ВЛ2010086 116698</v>
          </cell>
          <cell r="F614">
            <v>1323.5</v>
          </cell>
          <cell r="G614">
            <v>1121.96</v>
          </cell>
          <cell r="H614">
            <v>0</v>
          </cell>
        </row>
        <row r="615">
          <cell r="C615" t="str">
            <v>Степанов Николай Григорьевич</v>
          </cell>
          <cell r="D615" t="str">
            <v>проходчик на поверхностных работах</v>
          </cell>
          <cell r="E615" t="str">
            <v>ШГ2010599 055459</v>
          </cell>
          <cell r="F615">
            <v>1218.9000000000001</v>
          </cell>
          <cell r="G615">
            <v>1033.31</v>
          </cell>
          <cell r="H615">
            <v>1033.31</v>
          </cell>
        </row>
        <row r="616">
          <cell r="E616" t="str">
            <v>ГЕ2010108 884622</v>
          </cell>
          <cell r="F616">
            <v>1218.9000000000001</v>
          </cell>
          <cell r="G616">
            <v>1033.31</v>
          </cell>
          <cell r="H616">
            <v>0</v>
          </cell>
        </row>
        <row r="617">
          <cell r="C617" t="str">
            <v>Стетюха Сергей Анатольевич</v>
          </cell>
          <cell r="D617" t="str">
            <v>электрогазосварщик, занятый на резке и ручной сварке</v>
          </cell>
          <cell r="E617" t="str">
            <v>ЮЭ2010697 044120</v>
          </cell>
          <cell r="F617">
            <v>1149</v>
          </cell>
          <cell r="G617">
            <v>974.08</v>
          </cell>
          <cell r="H617">
            <v>0</v>
          </cell>
        </row>
        <row r="618">
          <cell r="C618" t="str">
            <v>Стешенко Александр Владимирович</v>
          </cell>
          <cell r="D618" t="str">
            <v>электрогазосварщик, занятый на резке и ручной сварке</v>
          </cell>
          <cell r="E618" t="str">
            <v>ЧБ2010571 847641</v>
          </cell>
          <cell r="F618">
            <v>1776.4</v>
          </cell>
          <cell r="G618">
            <v>1505.77</v>
          </cell>
          <cell r="H618">
            <v>0</v>
          </cell>
        </row>
        <row r="619">
          <cell r="C619" t="str">
            <v>Сухов Алексей Федорович</v>
          </cell>
          <cell r="D619" t="str">
            <v xml:space="preserve">горнорабочий </v>
          </cell>
          <cell r="E619" t="str">
            <v>АЕ2010030 412831</v>
          </cell>
          <cell r="F619">
            <v>940</v>
          </cell>
          <cell r="G619">
            <v>796.96</v>
          </cell>
          <cell r="H619">
            <v>0</v>
          </cell>
        </row>
        <row r="620">
          <cell r="C620" t="str">
            <v>Сухляк Юрий Алексеевич</v>
          </cell>
          <cell r="D620" t="str">
            <v>электрогазосварщик, занятый на резке и ручной сварке</v>
          </cell>
          <cell r="E620" t="str">
            <v>ЧБ2010571 985085</v>
          </cell>
          <cell r="F620">
            <v>1567.5</v>
          </cell>
          <cell r="G620">
            <v>1328.73</v>
          </cell>
          <cell r="H620">
            <v>1491.2</v>
          </cell>
        </row>
        <row r="621">
          <cell r="E621" t="str">
            <v>АП2010037  937779</v>
          </cell>
          <cell r="F621">
            <v>1759.2</v>
          </cell>
          <cell r="G621">
            <v>1491.2</v>
          </cell>
          <cell r="H621">
            <v>0</v>
          </cell>
        </row>
        <row r="622">
          <cell r="C622" t="str">
            <v>Сытник Александр Анатольевич</v>
          </cell>
          <cell r="D622" t="str">
            <v>проходчик на поверхностных работах</v>
          </cell>
          <cell r="E622" t="str">
            <v>ЮЭ2010697 909675</v>
          </cell>
          <cell r="F622">
            <v>1047.5999999999999</v>
          </cell>
          <cell r="G622">
            <v>888.15</v>
          </cell>
          <cell r="H622">
            <v>0</v>
          </cell>
        </row>
        <row r="623">
          <cell r="C623" t="str">
            <v>Тарабановский Андрей Викторович</v>
          </cell>
          <cell r="D623" t="str">
            <v>электрослесарь (слесарь) дежурный и по ремонту оборудования</v>
          </cell>
          <cell r="E623" t="str">
            <v>ЧБ2010571 780664</v>
          </cell>
          <cell r="F623">
            <v>1060.7</v>
          </cell>
          <cell r="G623">
            <v>899.25</v>
          </cell>
          <cell r="H623">
            <v>915.27</v>
          </cell>
        </row>
        <row r="624">
          <cell r="E624" t="str">
            <v>ЧБ2010571  780665</v>
          </cell>
          <cell r="F624">
            <v>1079.5999999999999</v>
          </cell>
          <cell r="G624">
            <v>915.27</v>
          </cell>
          <cell r="H624">
            <v>0</v>
          </cell>
        </row>
        <row r="625">
          <cell r="C625" t="str">
            <v>Татевосян Арсен Георгиевич</v>
          </cell>
          <cell r="D625" t="str">
            <v>электрогазосварщик, занятый на резке и ручной сварке</v>
          </cell>
          <cell r="E625" t="str">
            <v>АК2010033 046135</v>
          </cell>
          <cell r="F625">
            <v>1315.4</v>
          </cell>
          <cell r="G625">
            <v>1115.0899999999999</v>
          </cell>
          <cell r="H625">
            <v>0</v>
          </cell>
        </row>
        <row r="626">
          <cell r="C626" t="str">
            <v>Тербулатов Эльдар Исмаилович</v>
          </cell>
          <cell r="D626" t="str">
            <v>машинист передвижной дизельной электростанции</v>
          </cell>
          <cell r="E626" t="str">
            <v>ВЛ2010086 289992</v>
          </cell>
          <cell r="F626">
            <v>1567.5</v>
          </cell>
          <cell r="G626">
            <v>1328.73</v>
          </cell>
          <cell r="H626">
            <v>0</v>
          </cell>
        </row>
        <row r="627">
          <cell r="C627" t="str">
            <v>Тилов Мухажир Камалович</v>
          </cell>
          <cell r="D627" t="str">
            <v>электросварщик ручной сварки</v>
          </cell>
          <cell r="E627" t="str">
            <v>ВЛ2010086 289993</v>
          </cell>
          <cell r="F627">
            <v>1567.5</v>
          </cell>
          <cell r="G627">
            <v>1328.73</v>
          </cell>
          <cell r="H627">
            <v>0</v>
          </cell>
        </row>
        <row r="628">
          <cell r="C628" t="str">
            <v>Тимохин Александр Викторович</v>
          </cell>
          <cell r="D628" t="str">
            <v>электрогазосварщик, занятый на резке и ручной сварке</v>
          </cell>
          <cell r="E628" t="str">
            <v>ЮЭ2010697 945205</v>
          </cell>
          <cell r="F628">
            <v>1567.5</v>
          </cell>
          <cell r="G628">
            <v>1328.74</v>
          </cell>
          <cell r="H628">
            <v>0</v>
          </cell>
        </row>
        <row r="629">
          <cell r="C629" t="str">
            <v>Тишков Дмитрий Владимирович</v>
          </cell>
          <cell r="D629" t="str">
            <v>электрогазосварщик, занятый на резке и ручной сварке</v>
          </cell>
          <cell r="E629" t="str">
            <v>ЧБ2010571 847642</v>
          </cell>
          <cell r="F629">
            <v>1776.4</v>
          </cell>
          <cell r="G629">
            <v>1505.77</v>
          </cell>
          <cell r="H629">
            <v>1343.31</v>
          </cell>
        </row>
        <row r="630">
          <cell r="E630" t="str">
            <v>АП2010037 902886</v>
          </cell>
          <cell r="F630">
            <v>1584.7</v>
          </cell>
          <cell r="G630">
            <v>1343.31</v>
          </cell>
          <cell r="H630">
            <v>0</v>
          </cell>
        </row>
        <row r="631">
          <cell r="C631" t="str">
            <v>Толиченко Максим Станиславович</v>
          </cell>
          <cell r="D631" t="str">
            <v>электрогазосварщик, занятый на резке и ручной сварке</v>
          </cell>
          <cell r="E631" t="str">
            <v>ЕВ2010156 969540</v>
          </cell>
          <cell r="F631">
            <v>1497.7</v>
          </cell>
          <cell r="G631">
            <v>1269.5899999999999</v>
          </cell>
          <cell r="H631">
            <v>0</v>
          </cell>
        </row>
        <row r="632">
          <cell r="C632" t="str">
            <v>Улецкий Геннадий Гаврилович</v>
          </cell>
          <cell r="D632" t="str">
            <v>электросварщик ручной сварки</v>
          </cell>
          <cell r="E632" t="str">
            <v>ЮЭ2010697 043616</v>
          </cell>
          <cell r="F632">
            <v>1060.7</v>
          </cell>
          <cell r="G632">
            <v>899.25</v>
          </cell>
          <cell r="H632">
            <v>974.08</v>
          </cell>
        </row>
        <row r="633">
          <cell r="E633" t="str">
            <v>ГМ2010113 494191</v>
          </cell>
          <cell r="F633">
            <v>1149</v>
          </cell>
          <cell r="G633">
            <v>974.08</v>
          </cell>
          <cell r="H633">
            <v>0</v>
          </cell>
        </row>
        <row r="634">
          <cell r="C634" t="str">
            <v>Урсу Лилиян Иванович</v>
          </cell>
          <cell r="D634" t="str">
            <v xml:space="preserve">горнорабочий </v>
          </cell>
          <cell r="E634" t="str">
            <v>АК2010033 139315</v>
          </cell>
          <cell r="F634">
            <v>1497.9</v>
          </cell>
          <cell r="G634">
            <v>1269.75</v>
          </cell>
          <cell r="H634">
            <v>0</v>
          </cell>
        </row>
        <row r="635">
          <cell r="C635" t="str">
            <v>Федоров Алексей Алексеевич</v>
          </cell>
          <cell r="D635" t="str">
            <v>электрослесарь дежурный и по ремонту оборудования</v>
          </cell>
          <cell r="E635" t="str">
            <v>АК2010033 138481</v>
          </cell>
          <cell r="F635">
            <v>1497.9</v>
          </cell>
          <cell r="G635">
            <v>1269.75</v>
          </cell>
          <cell r="H635">
            <v>0</v>
          </cell>
        </row>
        <row r="636">
          <cell r="C636" t="str">
            <v>Федоров Игорь Александрович</v>
          </cell>
          <cell r="D636" t="str">
            <v>проходчик на поверхностных работах</v>
          </cell>
          <cell r="E636" t="str">
            <v>ГЕ2010108  884611</v>
          </cell>
          <cell r="F636">
            <v>1149</v>
          </cell>
          <cell r="G636">
            <v>974.08</v>
          </cell>
          <cell r="H636">
            <v>0</v>
          </cell>
        </row>
        <row r="637">
          <cell r="C637" t="str">
            <v>Федотов Дмитрий Витальевич</v>
          </cell>
          <cell r="D637" t="str">
            <v>проходчик на поверхностных работах</v>
          </cell>
          <cell r="E637" t="str">
            <v>ЯИ2010707 201892</v>
          </cell>
          <cell r="F637">
            <v>1567.5</v>
          </cell>
          <cell r="G637">
            <v>1328.73</v>
          </cell>
          <cell r="H637">
            <v>0</v>
          </cell>
        </row>
        <row r="638">
          <cell r="C638" t="str">
            <v>Фесиков Владимир Александрович</v>
          </cell>
          <cell r="D638" t="str">
            <v>горнорабочий</v>
          </cell>
          <cell r="E638" t="str">
            <v>ЮЭ2010697 915977</v>
          </cell>
          <cell r="F638">
            <v>1079.5999999999999</v>
          </cell>
          <cell r="G638">
            <v>915.27</v>
          </cell>
          <cell r="H638">
            <v>0</v>
          </cell>
        </row>
        <row r="639">
          <cell r="C639" t="str">
            <v>Фефилов Валерий Леонидович</v>
          </cell>
          <cell r="D639" t="str">
            <v>электрослесарь дежурный и по ремонту оборудования</v>
          </cell>
          <cell r="E639" t="str">
            <v>ЮМ2010684 418040</v>
          </cell>
          <cell r="F639">
            <v>1149</v>
          </cell>
          <cell r="G639">
            <v>974.08</v>
          </cell>
          <cell r="H639">
            <v>915.27</v>
          </cell>
        </row>
        <row r="640">
          <cell r="E640" t="str">
            <v>ГВ2010105 485455</v>
          </cell>
          <cell r="F640">
            <v>1079.5999999999999</v>
          </cell>
          <cell r="G640">
            <v>915.27</v>
          </cell>
          <cell r="H640">
            <v>0</v>
          </cell>
        </row>
        <row r="641">
          <cell r="C641" t="str">
            <v>Фомин Алексей Николаевич</v>
          </cell>
          <cell r="D641" t="str">
            <v>проходчик на поверхностных работах</v>
          </cell>
          <cell r="E641" t="str">
            <v>ВЕ2010082 594260</v>
          </cell>
          <cell r="F641">
            <v>997</v>
          </cell>
          <cell r="G641">
            <v>845.26</v>
          </cell>
          <cell r="H641">
            <v>0</v>
          </cell>
        </row>
        <row r="642">
          <cell r="C642" t="str">
            <v>Чайко Александр Тимофеевич</v>
          </cell>
          <cell r="D642" t="str">
            <v>элекрогазосварщик занятый на резке и ручной сварке о/г.р.</v>
          </cell>
          <cell r="E642" t="str">
            <v>ВЛ2010086 048698</v>
          </cell>
          <cell r="F642">
            <v>1497.9</v>
          </cell>
          <cell r="G642">
            <v>1269.75</v>
          </cell>
          <cell r="H642">
            <v>1565.1</v>
          </cell>
        </row>
        <row r="643">
          <cell r="E643" t="str">
            <v>ВЛ2010086 048699</v>
          </cell>
          <cell r="F643">
            <v>1846.4</v>
          </cell>
          <cell r="G643">
            <v>1565.1</v>
          </cell>
          <cell r="H643">
            <v>0</v>
          </cell>
        </row>
        <row r="644">
          <cell r="C644" t="str">
            <v>Черновол Анатолий Алексеевич</v>
          </cell>
          <cell r="D644" t="str">
            <v>электрослесарь (слесарь) дежурный и по ремонту оборудования</v>
          </cell>
          <cell r="E644" t="str">
            <v>АИ2010032 765058</v>
          </cell>
          <cell r="F644">
            <v>1567.5</v>
          </cell>
          <cell r="G644">
            <v>1328.73</v>
          </cell>
          <cell r="H644">
            <v>1328.73</v>
          </cell>
        </row>
        <row r="645">
          <cell r="E645" t="str">
            <v>АИ2010032 767958</v>
          </cell>
          <cell r="F645">
            <v>1567.5</v>
          </cell>
          <cell r="G645">
            <v>1328.73</v>
          </cell>
          <cell r="H645">
            <v>0</v>
          </cell>
        </row>
        <row r="646">
          <cell r="C646" t="str">
            <v>Чеховской Андрей Николаевич</v>
          </cell>
          <cell r="D646" t="str">
            <v>электрогазосварщик, занятый на резке и ручной сварке</v>
          </cell>
          <cell r="E646" t="str">
            <v>ВЛ2010086 117382</v>
          </cell>
          <cell r="F646">
            <v>1149</v>
          </cell>
          <cell r="G646">
            <v>974.08</v>
          </cell>
          <cell r="H646">
            <v>0</v>
          </cell>
        </row>
        <row r="647">
          <cell r="C647" t="str">
            <v>Чмиль Денис Сергеевич</v>
          </cell>
          <cell r="D647" t="str">
            <v>проходчик на поверхностных работах</v>
          </cell>
          <cell r="E647" t="str">
            <v>ГМ2010113 446847</v>
          </cell>
          <cell r="F647">
            <v>1079.5999999999999</v>
          </cell>
          <cell r="G647">
            <v>915.27</v>
          </cell>
          <cell r="H647">
            <v>0</v>
          </cell>
        </row>
        <row r="648">
          <cell r="C648" t="str">
            <v>Харлампьев Валентин Юрьевич</v>
          </cell>
          <cell r="D648" t="str">
            <v>проходчик на поверхностных работах</v>
          </cell>
          <cell r="E648" t="str">
            <v>АИ2010032 666147</v>
          </cell>
          <cell r="F648">
            <v>2299.4</v>
          </cell>
          <cell r="G648">
            <v>1948.99</v>
          </cell>
          <cell r="H648">
            <v>1948.99</v>
          </cell>
        </row>
        <row r="649">
          <cell r="E649" t="str">
            <v>ГМ2010113 446433</v>
          </cell>
          <cell r="F649">
            <v>2299.4</v>
          </cell>
          <cell r="G649">
            <v>1948.99</v>
          </cell>
          <cell r="H649">
            <v>0</v>
          </cell>
        </row>
        <row r="650">
          <cell r="C650" t="str">
            <v>Хворостенко Анатолий Николаевич</v>
          </cell>
          <cell r="D650" t="str">
            <v>элекрогазосварщик занятый на резке и ручной сварке о/г.р.</v>
          </cell>
          <cell r="E650" t="str">
            <v>АК2010033 139653</v>
          </cell>
          <cell r="F650">
            <v>2090.3000000000002</v>
          </cell>
          <cell r="G650">
            <v>1771.79</v>
          </cell>
          <cell r="H650">
            <v>2192.73</v>
          </cell>
        </row>
        <row r="651">
          <cell r="E651" t="str">
            <v>ЕВ2010156 961733</v>
          </cell>
          <cell r="F651">
            <v>2587</v>
          </cell>
          <cell r="G651">
            <v>2192.73</v>
          </cell>
          <cell r="H651">
            <v>0</v>
          </cell>
        </row>
        <row r="652">
          <cell r="C652" t="str">
            <v>Христофоров Геннадий Дмитриевич</v>
          </cell>
          <cell r="D652" t="str">
            <v>проходчик на поверхностных работах</v>
          </cell>
          <cell r="E652" t="str">
            <v>ЮЭ2010697 896073</v>
          </cell>
          <cell r="F652">
            <v>1894.7</v>
          </cell>
          <cell r="G652">
            <v>1677.38</v>
          </cell>
          <cell r="H652">
            <v>1638.82</v>
          </cell>
        </row>
        <row r="653">
          <cell r="E653" t="str">
            <v>ГВ2010105 485467</v>
          </cell>
          <cell r="F653">
            <v>1933.4</v>
          </cell>
          <cell r="G653">
            <v>1638.82</v>
          </cell>
          <cell r="H653">
            <v>0</v>
          </cell>
        </row>
        <row r="654">
          <cell r="C654" t="str">
            <v>Шарапова Оксана Михайловна</v>
          </cell>
          <cell r="D654" t="str">
            <v>горнорабочий на маркшейдерских работах</v>
          </cell>
          <cell r="E654" t="str">
            <v>ВЕ2010082 694605</v>
          </cell>
          <cell r="F654">
            <v>2111.8000000000002</v>
          </cell>
          <cell r="G654">
            <v>1790.01</v>
          </cell>
          <cell r="H654">
            <v>0</v>
          </cell>
        </row>
        <row r="655">
          <cell r="C655" t="str">
            <v>Шаталов Олег Николаевич</v>
          </cell>
          <cell r="D655" t="str">
            <v>электросварщик ручной сварки</v>
          </cell>
          <cell r="E655" t="str">
            <v>ЮЭ2010697 896080</v>
          </cell>
          <cell r="F655">
            <v>1567.5</v>
          </cell>
          <cell r="G655">
            <v>1328.73</v>
          </cell>
          <cell r="H655">
            <v>1269.5899999999999</v>
          </cell>
        </row>
        <row r="656">
          <cell r="E656" t="str">
            <v>ГВ2010105 485325</v>
          </cell>
          <cell r="F656">
            <v>1497.7</v>
          </cell>
          <cell r="G656">
            <v>1269.5899999999999</v>
          </cell>
          <cell r="H656">
            <v>0</v>
          </cell>
        </row>
        <row r="657">
          <cell r="C657" t="str">
            <v>Шевченко Александр Викторович</v>
          </cell>
          <cell r="D657" t="str">
            <v>горнорабочий</v>
          </cell>
          <cell r="E657" t="str">
            <v xml:space="preserve">ГЕ2010108 885127                </v>
          </cell>
          <cell r="F657">
            <v>1323.5</v>
          </cell>
          <cell r="G657">
            <v>1121.96</v>
          </cell>
          <cell r="H657">
            <v>0</v>
          </cell>
        </row>
        <row r="658">
          <cell r="C658" t="str">
            <v>Шевченко Николай Алексеевич</v>
          </cell>
          <cell r="D658" t="str">
            <v>электросварщик ручной сварки</v>
          </cell>
          <cell r="E658" t="str">
            <v>ЧБ2010571 562554</v>
          </cell>
          <cell r="F658">
            <v>1428.1</v>
          </cell>
          <cell r="G658">
            <v>1210.6099999999999</v>
          </cell>
          <cell r="H658">
            <v>0</v>
          </cell>
        </row>
        <row r="659">
          <cell r="C659" t="str">
            <v>Шеин Валерий Сергеевич</v>
          </cell>
          <cell r="D659" t="str">
            <v>машинист компрессорных установок</v>
          </cell>
          <cell r="E659" t="str">
            <v>АК2010086 288224</v>
          </cell>
          <cell r="F659">
            <v>1567.5</v>
          </cell>
          <cell r="G659">
            <v>1328.73</v>
          </cell>
          <cell r="H659">
            <v>1328.73</v>
          </cell>
        </row>
        <row r="660">
          <cell r="E660" t="str">
            <v>ГВ2010105 484900</v>
          </cell>
          <cell r="F660">
            <v>1567.5</v>
          </cell>
          <cell r="G660">
            <v>1328.73</v>
          </cell>
          <cell r="H660">
            <v>0</v>
          </cell>
        </row>
        <row r="661">
          <cell r="C661" t="str">
            <v>Шиян Игорь Анатольевич</v>
          </cell>
          <cell r="D661" t="str">
            <v>электрослесарь (слесарь) дежурный и по ремонту оборудования</v>
          </cell>
          <cell r="E661" t="str">
            <v>ЧБ2010571 780651</v>
          </cell>
          <cell r="F661">
            <v>1218.9000000000001</v>
          </cell>
          <cell r="G661">
            <v>1033.31</v>
          </cell>
          <cell r="H661">
            <v>915.27</v>
          </cell>
        </row>
        <row r="662">
          <cell r="E662" t="str">
            <v>ГВ2010105 485454</v>
          </cell>
          <cell r="F662">
            <v>1079.5999999999999</v>
          </cell>
          <cell r="G662">
            <v>915.27</v>
          </cell>
          <cell r="H662">
            <v>0</v>
          </cell>
        </row>
        <row r="663">
          <cell r="C663" t="str">
            <v>Шквира Славик Тамазович</v>
          </cell>
          <cell r="D663" t="str">
            <v>электрогазосварщик, занятый на резке и ручной сварке</v>
          </cell>
          <cell r="E663" t="str">
            <v>ЯЯ2010725 200706</v>
          </cell>
          <cell r="F663">
            <v>2090.3000000000002</v>
          </cell>
          <cell r="G663">
            <v>1771.79</v>
          </cell>
          <cell r="H663">
            <v>0</v>
          </cell>
        </row>
        <row r="664">
          <cell r="C664" t="str">
            <v>Шульга Александр Александрович</v>
          </cell>
          <cell r="D664" t="str">
            <v>электрослесарь (слесарь) дежурный и по ремонту оборудования</v>
          </cell>
          <cell r="E664" t="str">
            <v>ЧБ2010571 780829</v>
          </cell>
          <cell r="F664">
            <v>997</v>
          </cell>
          <cell r="G664">
            <v>845.26</v>
          </cell>
          <cell r="H664">
            <v>0</v>
          </cell>
        </row>
        <row r="665">
          <cell r="C665" t="str">
            <v>Шумский Сергей Евгеньевич</v>
          </cell>
          <cell r="D665" t="str">
            <v>проходчик на поверхностных работах</v>
          </cell>
          <cell r="E665" t="str">
            <v>ЮЭ2010697 947327</v>
          </cell>
          <cell r="F665">
            <v>1079.5999999999999</v>
          </cell>
          <cell r="G665">
            <v>915.27</v>
          </cell>
          <cell r="H665">
            <v>0</v>
          </cell>
        </row>
        <row r="666">
          <cell r="C666" t="str">
            <v>Янченко Владимир Дмитриевич</v>
          </cell>
          <cell r="D666" t="str">
            <v>электрогазосварщик, занятый на резке и ручной сварке</v>
          </cell>
          <cell r="E666" t="str">
            <v>АК 2010033 138480</v>
          </cell>
          <cell r="F666">
            <v>1497.9</v>
          </cell>
          <cell r="G666">
            <v>1269.75</v>
          </cell>
          <cell r="H666">
            <v>1601.09</v>
          </cell>
        </row>
        <row r="667">
          <cell r="E667" t="str">
            <v>ЕВ2010156  720772</v>
          </cell>
          <cell r="F667">
            <v>1804.1</v>
          </cell>
          <cell r="G667">
            <v>1601.09</v>
          </cell>
          <cell r="H667">
            <v>0</v>
          </cell>
        </row>
        <row r="668">
          <cell r="C668" t="str">
            <v>Яценко Андрей Николаевич</v>
          </cell>
          <cell r="D668" t="str">
            <v>проходчик на поверхностных работах</v>
          </cell>
          <cell r="E668" t="str">
            <v>ЮЭ2010697 909674</v>
          </cell>
          <cell r="F668">
            <v>1047.5999999999999</v>
          </cell>
          <cell r="G668">
            <v>888.15</v>
          </cell>
          <cell r="H668">
            <v>0</v>
          </cell>
        </row>
        <row r="669">
          <cell r="H669">
            <v>0</v>
          </cell>
        </row>
        <row r="670">
          <cell r="H670">
            <v>0</v>
          </cell>
        </row>
        <row r="671">
          <cell r="C671" t="str">
            <v>Дьяковский Владимир Иванович</v>
          </cell>
          <cell r="D671" t="str">
            <v>машинист крана автомобильного</v>
          </cell>
          <cell r="E671" t="str">
            <v>ЮЭ2010697 858765</v>
          </cell>
          <cell r="F671">
            <v>2299.4</v>
          </cell>
          <cell r="G671">
            <v>1948.99</v>
          </cell>
          <cell r="H671">
            <v>0</v>
          </cell>
        </row>
        <row r="672">
          <cell r="C672" t="str">
            <v>Запорожец Сергей Анатольевич</v>
          </cell>
          <cell r="D672" t="str">
            <v>машинист крана автомобильного</v>
          </cell>
          <cell r="E672" t="str">
            <v>ВЕ2010082 694597</v>
          </cell>
          <cell r="F672">
            <v>2090.3000000000002</v>
          </cell>
          <cell r="G672">
            <v>1771.79</v>
          </cell>
          <cell r="H672">
            <v>0</v>
          </cell>
        </row>
        <row r="673">
          <cell r="C673" t="str">
            <v>Зайцев Тимофей Иванович</v>
          </cell>
          <cell r="D673" t="str">
            <v>машинист крана автомобильного</v>
          </cell>
          <cell r="E673" t="str">
            <v>ВЛ2010086 228064</v>
          </cell>
          <cell r="F673">
            <v>3397.3</v>
          </cell>
          <cell r="G673">
            <v>2879.42</v>
          </cell>
          <cell r="H673">
            <v>0</v>
          </cell>
        </row>
        <row r="674">
          <cell r="C674" t="str">
            <v>Румянцев Сергей Рафаилович</v>
          </cell>
          <cell r="D674" t="str">
            <v>машинист крана автомобильного</v>
          </cell>
          <cell r="E674" t="str">
            <v>ЮЭ2010697 885743</v>
          </cell>
          <cell r="F674">
            <v>2299.4</v>
          </cell>
          <cell r="G674">
            <v>1948.99</v>
          </cell>
          <cell r="H674">
            <v>0</v>
          </cell>
        </row>
        <row r="675">
          <cell r="C675" t="str">
            <v>Рыков Сергей Николаевич</v>
          </cell>
          <cell r="D675" t="str">
            <v>машинист крана автомобильного</v>
          </cell>
          <cell r="E675" t="str">
            <v>ГВ2010105 484528</v>
          </cell>
          <cell r="F675">
            <v>933.2</v>
          </cell>
          <cell r="G675">
            <v>791.2</v>
          </cell>
          <cell r="H675">
            <v>0</v>
          </cell>
        </row>
        <row r="676">
          <cell r="C676" t="str">
            <v>Сергеев Юрий Николаевич</v>
          </cell>
          <cell r="D676" t="str">
            <v>машинист бульдозера</v>
          </cell>
          <cell r="E676" t="str">
            <v>ЮЭ2010697 564194</v>
          </cell>
          <cell r="F676">
            <v>1567.5</v>
          </cell>
          <cell r="G676">
            <v>1328.73</v>
          </cell>
          <cell r="H676">
            <v>0</v>
          </cell>
        </row>
        <row r="677">
          <cell r="C677" t="str">
            <v>Снимщиков Александр Иванович</v>
          </cell>
          <cell r="D677" t="str">
            <v>машинист бульдозера</v>
          </cell>
          <cell r="E677" t="str">
            <v>ЯЯ2010725 295954</v>
          </cell>
          <cell r="F677">
            <v>1497.9</v>
          </cell>
          <cell r="G677">
            <v>1269.75</v>
          </cell>
          <cell r="H677">
            <v>1638.82</v>
          </cell>
        </row>
        <row r="678">
          <cell r="E678" t="str">
            <v>АС2010039 807528</v>
          </cell>
          <cell r="F678">
            <v>1933.4</v>
          </cell>
          <cell r="G678">
            <v>1638.82</v>
          </cell>
          <cell r="H678">
            <v>0</v>
          </cell>
        </row>
        <row r="679">
          <cell r="H679">
            <v>0</v>
          </cell>
        </row>
        <row r="680">
          <cell r="C680" t="str">
            <v>Агафонов Андрей Андреевич</v>
          </cell>
          <cell r="D680" t="str">
            <v>водитель автомобиля</v>
          </cell>
          <cell r="E680" t="str">
            <v>ГВ2010105 484557</v>
          </cell>
          <cell r="F680">
            <v>2194.9</v>
          </cell>
          <cell r="G680">
            <v>1860.43</v>
          </cell>
          <cell r="H680">
            <v>0</v>
          </cell>
        </row>
        <row r="681">
          <cell r="C681" t="str">
            <v>Галашев Сергей Павлович</v>
          </cell>
          <cell r="D681" t="str">
            <v>водитель автомобиля</v>
          </cell>
          <cell r="E681" t="str">
            <v>ГВ2010105 484526</v>
          </cell>
          <cell r="F681">
            <v>1428.1</v>
          </cell>
          <cell r="G681">
            <v>1210.6099999999999</v>
          </cell>
          <cell r="H681">
            <v>0</v>
          </cell>
        </row>
        <row r="682">
          <cell r="C682" t="str">
            <v>Горлатов Андрей Владимирович</v>
          </cell>
          <cell r="D682" t="str">
            <v>водитель автомобиля</v>
          </cell>
          <cell r="E682" t="str">
            <v>АИ2010032 718731</v>
          </cell>
          <cell r="F682">
            <v>2090.3000000000002</v>
          </cell>
          <cell r="G682">
            <v>1771.79</v>
          </cell>
          <cell r="H682">
            <v>0</v>
          </cell>
        </row>
        <row r="683">
          <cell r="C683" t="str">
            <v>Жердев Руслан Геннадьевич</v>
          </cell>
          <cell r="D683" t="str">
            <v>водитель автомобиля</v>
          </cell>
          <cell r="E683" t="str">
            <v>ГЕ2010108 884636</v>
          </cell>
          <cell r="F683">
            <v>2194.9</v>
          </cell>
          <cell r="G683">
            <v>1860.43</v>
          </cell>
          <cell r="H683">
            <v>0</v>
          </cell>
        </row>
        <row r="684">
          <cell r="C684" t="str">
            <v>Лукьянов Юрий Александрович</v>
          </cell>
          <cell r="D684" t="str">
            <v>водитель автомобиля</v>
          </cell>
          <cell r="E684" t="str">
            <v>ЩН2010633 306677</v>
          </cell>
          <cell r="F684">
            <v>1497.9</v>
          </cell>
          <cell r="G684">
            <v>1269.75</v>
          </cell>
          <cell r="H684">
            <v>0</v>
          </cell>
        </row>
        <row r="685">
          <cell r="C685" t="str">
            <v>Хачидзе Аркадий Элвардович</v>
          </cell>
          <cell r="D685" t="str">
            <v>водитель автомобиля</v>
          </cell>
          <cell r="E685" t="str">
            <v>ВЕ2010082 694540</v>
          </cell>
          <cell r="F685">
            <v>2194.9</v>
          </cell>
          <cell r="G685">
            <v>1860.43</v>
          </cell>
          <cell r="H685">
            <v>0</v>
          </cell>
        </row>
        <row r="686">
          <cell r="C686" t="str">
            <v>Шахмаев Геннадий Геннадьевич</v>
          </cell>
          <cell r="D686" t="str">
            <v>водитель автомобиля</v>
          </cell>
          <cell r="E686" t="str">
            <v>ВЕ2010082 694539</v>
          </cell>
          <cell r="F686">
            <v>2194.9</v>
          </cell>
          <cell r="G686">
            <v>1860.43</v>
          </cell>
          <cell r="H686">
            <v>0</v>
          </cell>
        </row>
        <row r="687">
          <cell r="H687">
            <v>0</v>
          </cell>
        </row>
        <row r="688">
          <cell r="C688" t="str">
            <v>Гондарев Анатолий Алексеевич</v>
          </cell>
          <cell r="D688" t="str">
            <v>водитель автомобиля</v>
          </cell>
          <cell r="E688" t="str">
            <v>АК2010033 048062</v>
          </cell>
          <cell r="F688">
            <v>1497.9</v>
          </cell>
          <cell r="G688">
            <v>1269.75</v>
          </cell>
          <cell r="H688">
            <v>0</v>
          </cell>
        </row>
        <row r="689">
          <cell r="C689" t="str">
            <v>Рожновский Владимир Николаевич</v>
          </cell>
          <cell r="D689" t="str">
            <v>водитель автомобиля</v>
          </cell>
          <cell r="E689" t="str">
            <v>ГВ2010105 484722</v>
          </cell>
          <cell r="F689">
            <v>2194.9</v>
          </cell>
          <cell r="G689">
            <v>1860.43</v>
          </cell>
          <cell r="H689">
            <v>0</v>
          </cell>
        </row>
        <row r="690">
          <cell r="H690">
            <v>0</v>
          </cell>
        </row>
        <row r="691">
          <cell r="C691" t="str">
            <v>Бондаренко Вячеслав Борисович</v>
          </cell>
          <cell r="D691" t="str">
            <v>водитель автобуса</v>
          </cell>
          <cell r="E691" t="str">
            <v>АИ2010032 753822</v>
          </cell>
          <cell r="F691">
            <v>1671.7</v>
          </cell>
          <cell r="G691">
            <v>1417.04</v>
          </cell>
          <cell r="H691">
            <v>0</v>
          </cell>
        </row>
        <row r="692">
          <cell r="C692" t="str">
            <v>Костин Валерий Павлович</v>
          </cell>
          <cell r="D692" t="str">
            <v>водитель автобуса</v>
          </cell>
          <cell r="E692" t="str">
            <v>ГВ2010105 484569</v>
          </cell>
          <cell r="F692">
            <v>1149</v>
          </cell>
          <cell r="G692">
            <v>974.08</v>
          </cell>
          <cell r="H692">
            <v>0</v>
          </cell>
        </row>
        <row r="693">
          <cell r="H693">
            <v>0</v>
          </cell>
        </row>
        <row r="694">
          <cell r="H694">
            <v>0</v>
          </cell>
        </row>
        <row r="695">
          <cell r="C695" t="str">
            <v>Мажугин Александр Петрович</v>
          </cell>
          <cell r="D695" t="str">
            <v>механик автомобильной колонны</v>
          </cell>
          <cell r="E695" t="str">
            <v>АК2010033 183193</v>
          </cell>
          <cell r="F695">
            <v>2090.3000000000002</v>
          </cell>
          <cell r="G695">
            <v>1771.79</v>
          </cell>
          <cell r="H695">
            <v>0</v>
          </cell>
        </row>
        <row r="696">
          <cell r="H696">
            <v>0</v>
          </cell>
        </row>
        <row r="697">
          <cell r="C697" t="str">
            <v>Головченко Сергей Евгеньевич</v>
          </cell>
          <cell r="D697" t="str">
            <v>слесарь по ремонту автомобилей</v>
          </cell>
          <cell r="E697" t="str">
            <v>ЧБ2010571 838022</v>
          </cell>
          <cell r="F697">
            <v>2194.9</v>
          </cell>
          <cell r="G697">
            <v>1860.43</v>
          </cell>
          <cell r="H697">
            <v>0</v>
          </cell>
        </row>
        <row r="698">
          <cell r="C698" t="str">
            <v>Усанов Михаил Юрьевич</v>
          </cell>
          <cell r="D698" t="str">
            <v>слесарь по ремонту автомобилей</v>
          </cell>
          <cell r="E698" t="str">
            <v>ГВ2010105 484527</v>
          </cell>
          <cell r="F698">
            <v>1428.1</v>
          </cell>
          <cell r="G698">
            <v>1210.6099999999999</v>
          </cell>
          <cell r="H698">
            <v>0</v>
          </cell>
        </row>
        <row r="699">
          <cell r="H699">
            <v>0</v>
          </cell>
        </row>
        <row r="700">
          <cell r="C700" t="str">
            <v>Горохова Алена Николаевна</v>
          </cell>
          <cell r="D700" t="str">
            <v>инженер-лаборант</v>
          </cell>
          <cell r="E700" t="str">
            <v>АИ2010032 675079</v>
          </cell>
          <cell r="F700">
            <v>2299.4</v>
          </cell>
          <cell r="G700">
            <v>1948.99</v>
          </cell>
          <cell r="H700">
            <v>1948.99</v>
          </cell>
        </row>
        <row r="701">
          <cell r="E701" t="str">
            <v>АИ2010032 675080</v>
          </cell>
          <cell r="F701">
            <v>2299.4</v>
          </cell>
          <cell r="G701">
            <v>1948.99</v>
          </cell>
          <cell r="H701">
            <v>0</v>
          </cell>
        </row>
        <row r="702">
          <cell r="C702" t="str">
            <v>Карпенко Любовь Валентиновна</v>
          </cell>
          <cell r="D702" t="str">
            <v>инженер II категории</v>
          </cell>
          <cell r="E702" t="str">
            <v>ЮЭ2010697 351279</v>
          </cell>
          <cell r="F702">
            <v>2717.7</v>
          </cell>
          <cell r="G702">
            <v>2303.4899999999998</v>
          </cell>
          <cell r="H702">
            <v>1774.15</v>
          </cell>
        </row>
        <row r="703">
          <cell r="E703">
            <v>8236124764931</v>
          </cell>
          <cell r="F703">
            <v>2093.5</v>
          </cell>
          <cell r="G703">
            <v>1774.15</v>
          </cell>
          <cell r="H703">
            <v>0</v>
          </cell>
        </row>
        <row r="704">
          <cell r="C704" t="str">
            <v>Итого:</v>
          </cell>
          <cell r="G704">
            <v>352202</v>
          </cell>
        </row>
        <row r="936">
          <cell r="C936" t="str">
            <v>Воробьев Борис Олегович</v>
          </cell>
          <cell r="D936" t="str">
            <v xml:space="preserve">Мастер горный </v>
          </cell>
          <cell r="E936" t="str">
            <v>ЮЭ 2010697 679976</v>
          </cell>
          <cell r="F936">
            <v>2587</v>
          </cell>
          <cell r="G936">
            <v>2192.73</v>
          </cell>
          <cell r="H936">
            <v>0</v>
          </cell>
        </row>
        <row r="937">
          <cell r="C937" t="str">
            <v>Довбня Владислав Сергеевич</v>
          </cell>
          <cell r="D937" t="str">
            <v>Маркшейдер</v>
          </cell>
          <cell r="E937" t="str">
            <v>ГВ 2010104 292357</v>
          </cell>
          <cell r="F937">
            <v>2194.6</v>
          </cell>
          <cell r="G937">
            <v>1860.18</v>
          </cell>
          <cell r="H937">
            <v>0</v>
          </cell>
        </row>
        <row r="938">
          <cell r="C938" t="str">
            <v>Коротун Павел Владимирович</v>
          </cell>
          <cell r="D938" t="str">
            <v xml:space="preserve">Мастер горный </v>
          </cell>
          <cell r="E938" t="str">
            <v>ВЛ 2010086 115207</v>
          </cell>
          <cell r="F938">
            <v>1933.4</v>
          </cell>
          <cell r="G938">
            <v>1638.82</v>
          </cell>
          <cell r="H938">
            <v>0</v>
          </cell>
        </row>
        <row r="939">
          <cell r="C939" t="str">
            <v>Криворотов Сергей Александрович</v>
          </cell>
          <cell r="D939" t="str">
            <v>Помощник электромеханика</v>
          </cell>
          <cell r="E939" t="str">
            <v>ГК 2010111 280617</v>
          </cell>
          <cell r="F939">
            <v>1933.4</v>
          </cell>
          <cell r="G939">
            <v>1638.82</v>
          </cell>
          <cell r="H939">
            <v>0</v>
          </cell>
        </row>
        <row r="940">
          <cell r="C940" t="str">
            <v>Матяшов Роман Игоревич</v>
          </cell>
          <cell r="D940" t="str">
            <v>Помощник электромеханика</v>
          </cell>
          <cell r="E940" t="str">
            <v>ЦМ 2010554 058439</v>
          </cell>
          <cell r="F940">
            <v>1410.4</v>
          </cell>
          <cell r="G940">
            <v>1195.5999999999999</v>
          </cell>
          <cell r="H940">
            <v>0</v>
          </cell>
        </row>
        <row r="941">
          <cell r="C941" t="str">
            <v>Петров Андрей Юрьевич</v>
          </cell>
          <cell r="D941" t="str">
            <v>Маркшейдер</v>
          </cell>
          <cell r="E941" t="str">
            <v>ГЕ2010108 884710</v>
          </cell>
          <cell r="F941">
            <v>1933.4</v>
          </cell>
          <cell r="G941">
            <v>1638.82</v>
          </cell>
          <cell r="H941">
            <v>0</v>
          </cell>
        </row>
        <row r="942">
          <cell r="C942" t="str">
            <v>Рыбчак Евгений Васильевич</v>
          </cell>
          <cell r="D942" t="str">
            <v>Маркшейдер</v>
          </cell>
          <cell r="E942" t="str">
            <v>АК 2010033 153548</v>
          </cell>
          <cell r="F942">
            <v>2587</v>
          </cell>
          <cell r="G942">
            <v>2192.73</v>
          </cell>
          <cell r="H942">
            <v>0</v>
          </cell>
        </row>
        <row r="943">
          <cell r="C943" t="str">
            <v>Фролов Дмитрий Юрьевич</v>
          </cell>
          <cell r="D943" t="str">
            <v>Помощник электромеханика</v>
          </cell>
          <cell r="E943" t="str">
            <v>ВЛ2010086 292193</v>
          </cell>
          <cell r="F943">
            <v>2299.4</v>
          </cell>
          <cell r="G943">
            <v>1948.99</v>
          </cell>
          <cell r="H943">
            <v>2414.16</v>
          </cell>
        </row>
        <row r="944">
          <cell r="E944" t="str">
            <v>ВЛ 2010086 292194</v>
          </cell>
          <cell r="F944">
            <v>2848.3</v>
          </cell>
          <cell r="G944">
            <v>2414.16</v>
          </cell>
          <cell r="H944">
            <v>0</v>
          </cell>
        </row>
        <row r="945">
          <cell r="C945" t="str">
            <v>Шунин Роман Витальевич</v>
          </cell>
          <cell r="D945" t="str">
            <v xml:space="preserve">Мастер горный </v>
          </cell>
          <cell r="E945" t="str">
            <v>АП 2010037  961462</v>
          </cell>
          <cell r="F945">
            <v>1220.3</v>
          </cell>
          <cell r="G945">
            <v>1034.5</v>
          </cell>
          <cell r="H945">
            <v>0</v>
          </cell>
        </row>
        <row r="946">
          <cell r="H946">
            <v>0</v>
          </cell>
        </row>
        <row r="947">
          <cell r="C947" t="str">
            <v>Абашев Рустам Хакимуллович</v>
          </cell>
          <cell r="D947" t="str">
            <v>электрогазосварщик занятый на резке и ручной сварке о/г.р.</v>
          </cell>
          <cell r="E947" t="str">
            <v>АП 2010037 984852</v>
          </cell>
          <cell r="F947">
            <v>1149</v>
          </cell>
          <cell r="G947">
            <v>974.08</v>
          </cell>
          <cell r="H947">
            <v>974.08</v>
          </cell>
        </row>
        <row r="948">
          <cell r="E948" t="str">
            <v>БЭ 2010074 922072</v>
          </cell>
          <cell r="F948">
            <v>1149</v>
          </cell>
          <cell r="G948">
            <v>974.08</v>
          </cell>
          <cell r="H948">
            <v>0</v>
          </cell>
        </row>
        <row r="949">
          <cell r="C949" t="str">
            <v>Акимов Сергей Владимирович</v>
          </cell>
          <cell r="D949" t="str">
            <v>электросварщик ручной сварки о/г.р.</v>
          </cell>
          <cell r="E949" t="str">
            <v>ЮЭ 2010684 418372</v>
          </cell>
          <cell r="F949">
            <v>1410.4</v>
          </cell>
          <cell r="G949">
            <v>1195.5999999999999</v>
          </cell>
          <cell r="H949">
            <v>1121.96</v>
          </cell>
        </row>
        <row r="950">
          <cell r="E950" t="str">
            <v>АП 2010037 309955</v>
          </cell>
          <cell r="F950">
            <v>1323.5</v>
          </cell>
          <cell r="G950">
            <v>1121.96</v>
          </cell>
          <cell r="H950">
            <v>0</v>
          </cell>
        </row>
        <row r="951">
          <cell r="C951" t="str">
            <v>Алексеев Юрий Семенович</v>
          </cell>
          <cell r="D951" t="str">
            <v>проходчик на поверхностных работах</v>
          </cell>
          <cell r="E951" t="str">
            <v>АИ 2010032 720752</v>
          </cell>
          <cell r="F951">
            <v>3083.7</v>
          </cell>
          <cell r="G951">
            <v>2613.65</v>
          </cell>
          <cell r="H951">
            <v>2192.73</v>
          </cell>
        </row>
        <row r="952">
          <cell r="E952" t="str">
            <v>ГЕ 2010108 885345</v>
          </cell>
          <cell r="F952">
            <v>2587</v>
          </cell>
          <cell r="G952">
            <v>2192.73</v>
          </cell>
          <cell r="H952">
            <v>0</v>
          </cell>
        </row>
        <row r="953">
          <cell r="C953" t="str">
            <v>Алелеков Виктор Николаевич</v>
          </cell>
          <cell r="D953" t="str">
            <v>электросварщик ручной сварки о/г.р.</v>
          </cell>
          <cell r="E953" t="str">
            <v>АЕ 2010030 521255</v>
          </cell>
          <cell r="F953">
            <v>3083.7</v>
          </cell>
          <cell r="G953">
            <v>2613.65</v>
          </cell>
          <cell r="H953">
            <v>2192.73</v>
          </cell>
        </row>
        <row r="954">
          <cell r="E954" t="str">
            <v>ЯИ 2010707 811691</v>
          </cell>
          <cell r="F954">
            <v>2587</v>
          </cell>
          <cell r="G954">
            <v>2192.73</v>
          </cell>
          <cell r="H954">
            <v>0</v>
          </cell>
        </row>
        <row r="955">
          <cell r="C955" t="str">
            <v>Ангиленко Игорь Вадимович</v>
          </cell>
          <cell r="D955" t="str">
            <v>проходчик на поверхностных работах</v>
          </cell>
          <cell r="E955" t="str">
            <v>ЮЭ 2010697 045338</v>
          </cell>
          <cell r="F955">
            <v>1323.5</v>
          </cell>
          <cell r="G955">
            <v>1121.96</v>
          </cell>
          <cell r="H955">
            <v>0</v>
          </cell>
        </row>
        <row r="956">
          <cell r="C956" t="str">
            <v>Андреев Максим Николаевич</v>
          </cell>
          <cell r="D956" t="str">
            <v>электрослесарь (слесарь) дежурный и по ремонту оборудования</v>
          </cell>
          <cell r="E956" t="str">
            <v>ЮЭ 2010697 948871</v>
          </cell>
          <cell r="F956">
            <v>1410.4</v>
          </cell>
          <cell r="G956">
            <v>1195.5999999999999</v>
          </cell>
          <cell r="H956">
            <v>0</v>
          </cell>
        </row>
        <row r="957">
          <cell r="C957" t="str">
            <v>Антонов Алексей Евгеньевич</v>
          </cell>
          <cell r="D957" t="str">
            <v>электрослесарь (слесарь) дежурный и по ремонту оборудования</v>
          </cell>
          <cell r="E957" t="str">
            <v>ЧБ 2010571 781269</v>
          </cell>
          <cell r="F957">
            <v>1323.5</v>
          </cell>
          <cell r="G957">
            <v>1121.96</v>
          </cell>
          <cell r="H957">
            <v>0</v>
          </cell>
        </row>
        <row r="958">
          <cell r="C958" t="str">
            <v>Апарович Виталий Геннадьевич</v>
          </cell>
          <cell r="D958" t="str">
            <v xml:space="preserve">горнорабочий </v>
          </cell>
          <cell r="E958" t="str">
            <v>ЮМ 2010684 419531</v>
          </cell>
          <cell r="F958">
            <v>1567.4</v>
          </cell>
          <cell r="G958">
            <v>1328.65</v>
          </cell>
          <cell r="H958">
            <v>1121.96</v>
          </cell>
        </row>
        <row r="959">
          <cell r="E959" t="str">
            <v>АС 2010039 821065</v>
          </cell>
          <cell r="F959">
            <v>1323.5</v>
          </cell>
          <cell r="G959">
            <v>1121.96</v>
          </cell>
          <cell r="H959">
            <v>0</v>
          </cell>
        </row>
        <row r="960">
          <cell r="C960" t="str">
            <v>Артюхин Александр Николаевич</v>
          </cell>
          <cell r="D960" t="str">
            <v>электросварщик ручной сварки о/г.р.</v>
          </cell>
          <cell r="E960" t="str">
            <v>ЮЭ 2010697 046197</v>
          </cell>
          <cell r="F960">
            <v>1410.4</v>
          </cell>
          <cell r="G960">
            <v>1195.5999999999999</v>
          </cell>
          <cell r="H960">
            <v>0</v>
          </cell>
        </row>
        <row r="961">
          <cell r="C961" t="str">
            <v>Базовой Евгений Викторович</v>
          </cell>
          <cell r="D961" t="str">
            <v>электрогазосварщик занятый на резке и ручной сварке о/г.р.</v>
          </cell>
          <cell r="E961" t="str">
            <v>С 2007014 122585</v>
          </cell>
          <cell r="F961">
            <v>1323.5</v>
          </cell>
          <cell r="G961">
            <v>1121.96</v>
          </cell>
          <cell r="H961">
            <v>0</v>
          </cell>
        </row>
        <row r="962">
          <cell r="C962" t="str">
            <v>Базулин Александр Васильевич</v>
          </cell>
          <cell r="D962" t="str">
            <v>электрослесарь (слесарь) дежурный и по ремонту оборудования</v>
          </cell>
          <cell r="E962" t="str">
            <v>ВЛ 2010086 294776</v>
          </cell>
          <cell r="F962">
            <v>1933.4</v>
          </cell>
          <cell r="G962">
            <v>1638.82</v>
          </cell>
          <cell r="H962">
            <v>1638.82</v>
          </cell>
        </row>
        <row r="963">
          <cell r="E963" t="str">
            <v>АП 2010037  352620</v>
          </cell>
          <cell r="F963">
            <v>1933.4</v>
          </cell>
          <cell r="G963">
            <v>1638.82</v>
          </cell>
          <cell r="H963">
            <v>0</v>
          </cell>
        </row>
        <row r="964">
          <cell r="C964" t="str">
            <v>Барков Алексей Александрович</v>
          </cell>
          <cell r="D964" t="str">
            <v xml:space="preserve">горнорабочий </v>
          </cell>
          <cell r="E964" t="str">
            <v>Г 2010003 752298</v>
          </cell>
          <cell r="F964">
            <v>2107.9</v>
          </cell>
          <cell r="G964">
            <v>1786.71</v>
          </cell>
          <cell r="H964">
            <v>1786.71</v>
          </cell>
        </row>
        <row r="965">
          <cell r="E965" t="str">
            <v>ГМ 2010113 964481</v>
          </cell>
          <cell r="F965">
            <v>2107.9</v>
          </cell>
          <cell r="G965">
            <v>1786.71</v>
          </cell>
          <cell r="H965">
            <v>0</v>
          </cell>
        </row>
        <row r="966">
          <cell r="C966" t="str">
            <v>Беловолов Геннадий Анатольевич</v>
          </cell>
          <cell r="D966" t="str">
            <v>проходчик на поверхностных работах</v>
          </cell>
          <cell r="E966" t="str">
            <v>ГВ 2010105 485390</v>
          </cell>
          <cell r="F966">
            <v>1584.7</v>
          </cell>
          <cell r="G966">
            <v>1343.31</v>
          </cell>
          <cell r="H966">
            <v>0</v>
          </cell>
        </row>
        <row r="967">
          <cell r="C967" t="str">
            <v>Белоусов Павел Анатольевич</v>
          </cell>
          <cell r="D967" t="str">
            <v>электрослесарь (слесарь) дежурный и по ремонту оборудования</v>
          </cell>
          <cell r="E967" t="str">
            <v>ВЛ 2010086 425340</v>
          </cell>
          <cell r="F967">
            <v>2299.4</v>
          </cell>
          <cell r="G967">
            <v>1948.99</v>
          </cell>
          <cell r="H967">
            <v>0</v>
          </cell>
        </row>
        <row r="968">
          <cell r="C968" t="str">
            <v>Бида Андрей Александрович</v>
          </cell>
          <cell r="D968" t="str">
            <v>электросварщик ручной сварки</v>
          </cell>
          <cell r="E968" t="str">
            <v>ЮЭ 2010697 915566</v>
          </cell>
          <cell r="F968">
            <v>1323.5</v>
          </cell>
          <cell r="G968">
            <v>1121.96</v>
          </cell>
          <cell r="H968">
            <v>0</v>
          </cell>
        </row>
        <row r="969">
          <cell r="C969" t="str">
            <v>Билалов Сергей Владимирович</v>
          </cell>
          <cell r="D969" t="str">
            <v>электрогазосварщик занятый на резке и ручной сварке о/г.р.</v>
          </cell>
          <cell r="E969" t="str">
            <v>ЕГ 2010157 714135</v>
          </cell>
          <cell r="F969">
            <v>1497.7</v>
          </cell>
          <cell r="G969">
            <v>1269.5899999999999</v>
          </cell>
          <cell r="H969">
            <v>1121.96</v>
          </cell>
        </row>
        <row r="970">
          <cell r="E970" t="str">
            <v xml:space="preserve">С 200701 4122586              </v>
          </cell>
          <cell r="F970">
            <v>1323.5</v>
          </cell>
          <cell r="G970">
            <v>1121.96</v>
          </cell>
          <cell r="H970">
            <v>0</v>
          </cell>
        </row>
        <row r="971">
          <cell r="C971" t="str">
            <v>Богатырев Сергей Александрович</v>
          </cell>
          <cell r="D971" t="str">
            <v>проходчик на поверхностных работах</v>
          </cell>
          <cell r="E971" t="str">
            <v>ГВ 2010105 485391</v>
          </cell>
          <cell r="F971">
            <v>1584.7</v>
          </cell>
          <cell r="G971">
            <v>1343.31</v>
          </cell>
          <cell r="H971">
            <v>0</v>
          </cell>
        </row>
        <row r="972">
          <cell r="C972" t="str">
            <v>Бондарев Иван Викторович</v>
          </cell>
          <cell r="D972" t="str">
            <v>горнорабочий о/г.р</v>
          </cell>
          <cell r="E972" t="str">
            <v>ЮЭ 2010697 045833</v>
          </cell>
          <cell r="F972">
            <v>1323.5</v>
          </cell>
          <cell r="G972">
            <v>1121.96</v>
          </cell>
          <cell r="H972">
            <v>1121.96</v>
          </cell>
        </row>
        <row r="973">
          <cell r="E973" t="str">
            <v>ГМ 2010113 963743</v>
          </cell>
          <cell r="F973">
            <v>1323.5</v>
          </cell>
          <cell r="G973">
            <v>1121.96</v>
          </cell>
          <cell r="H973">
            <v>0</v>
          </cell>
        </row>
        <row r="974">
          <cell r="C974" t="str">
            <v>Вальков Виктор Анатольевич</v>
          </cell>
          <cell r="D974" t="str">
            <v>электрослесарь (слесарь) дежурный и по ремонту оборудования</v>
          </cell>
          <cell r="E974" t="str">
            <v>ГК 2010111 280618</v>
          </cell>
          <cell r="F974">
            <v>1933.4</v>
          </cell>
          <cell r="G974">
            <v>1638.82</v>
          </cell>
          <cell r="H974">
            <v>1638.82</v>
          </cell>
        </row>
        <row r="975">
          <cell r="E975" t="str">
            <v>АП 2010037  307482</v>
          </cell>
          <cell r="F975">
            <v>1933.4</v>
          </cell>
          <cell r="G975">
            <v>1638.82</v>
          </cell>
          <cell r="H975">
            <v>0</v>
          </cell>
        </row>
        <row r="976">
          <cell r="C976" t="str">
            <v>Володин Сергей Николаевич</v>
          </cell>
          <cell r="D976" t="str">
            <v>проходчик на поверхностных работах</v>
          </cell>
          <cell r="E976" t="str">
            <v>АП 2010037 986263</v>
          </cell>
          <cell r="F976">
            <v>1323.5</v>
          </cell>
          <cell r="G976">
            <v>1121.96</v>
          </cell>
          <cell r="H976">
            <v>0</v>
          </cell>
        </row>
        <row r="977">
          <cell r="C977" t="str">
            <v>Волчков Игорь Николаевич</v>
          </cell>
          <cell r="D977" t="str">
            <v>электросварщик ручной сварки</v>
          </cell>
          <cell r="E977" t="str">
            <v>ЕГ 2010157 714341</v>
          </cell>
          <cell r="F977">
            <v>1497.7</v>
          </cell>
          <cell r="G977">
            <v>1269.5899999999999</v>
          </cell>
          <cell r="H977">
            <v>0</v>
          </cell>
        </row>
        <row r="978">
          <cell r="C978" t="str">
            <v>Воробьев Андрей Сергеевич</v>
          </cell>
          <cell r="D978" t="str">
            <v>проходчик на поверхностных работах</v>
          </cell>
          <cell r="E978" t="str">
            <v>Р 2007013 717568</v>
          </cell>
          <cell r="F978">
            <v>1410.4</v>
          </cell>
          <cell r="G978">
            <v>1195.5999999999999</v>
          </cell>
          <cell r="H978">
            <v>1099.96</v>
          </cell>
        </row>
        <row r="979">
          <cell r="E979" t="str">
            <v>С 2007014 119399</v>
          </cell>
          <cell r="F979">
            <v>1299.9000000000001</v>
          </cell>
          <cell r="G979">
            <v>1099.96</v>
          </cell>
          <cell r="H979">
            <v>0</v>
          </cell>
        </row>
        <row r="980">
          <cell r="C980" t="str">
            <v>Галибин Сергей Валентинович</v>
          </cell>
          <cell r="D980" t="str">
            <v>электрослесарь (слесарь) дежурный и по ремонту оборудования</v>
          </cell>
          <cell r="E980" t="str">
            <v>ВЛ 2010086 583662</v>
          </cell>
          <cell r="F980">
            <v>2299.4</v>
          </cell>
          <cell r="G980">
            <v>1948.99</v>
          </cell>
          <cell r="H980">
            <v>1638.82</v>
          </cell>
        </row>
        <row r="981">
          <cell r="E981" t="str">
            <v>АС 2010039 828547</v>
          </cell>
          <cell r="F981">
            <v>1933.4</v>
          </cell>
          <cell r="G981">
            <v>1638.82</v>
          </cell>
          <cell r="H981">
            <v>0</v>
          </cell>
        </row>
        <row r="982">
          <cell r="C982" t="str">
            <v>Гамидов Юсиф Ашраф Оглы</v>
          </cell>
          <cell r="D982" t="str">
            <v xml:space="preserve">горнорабочий </v>
          </cell>
          <cell r="E982" t="str">
            <v>ГБ 2010104 257029</v>
          </cell>
          <cell r="F982">
            <v>2717.7</v>
          </cell>
          <cell r="G982">
            <v>2303.4899999999998</v>
          </cell>
          <cell r="H982">
            <v>0</v>
          </cell>
        </row>
        <row r="983">
          <cell r="C983" t="str">
            <v>Ганусевич Олег Валерьевич</v>
          </cell>
          <cell r="D983" t="str">
            <v>электрослесарь (слесарь) дежурный и по ремонту оборудования</v>
          </cell>
          <cell r="E983" t="str">
            <v>ГБ 2010104 243593</v>
          </cell>
          <cell r="F983">
            <v>1497.7</v>
          </cell>
          <cell r="G983">
            <v>1269.5899999999999</v>
          </cell>
          <cell r="H983">
            <v>1564.75</v>
          </cell>
        </row>
        <row r="984">
          <cell r="E984" t="str">
            <v>734203 60767094</v>
          </cell>
          <cell r="F984">
            <v>1846.4</v>
          </cell>
          <cell r="G984">
            <v>1564.75</v>
          </cell>
          <cell r="H984">
            <v>0</v>
          </cell>
        </row>
        <row r="985">
          <cell r="C985" t="str">
            <v>Герасименко Владислав Владиславович</v>
          </cell>
          <cell r="D985" t="str">
            <v>проходчик на поверхностных работах</v>
          </cell>
          <cell r="E985" t="str">
            <v>ГБ 2010104 243416</v>
          </cell>
          <cell r="F985">
            <v>1410.4</v>
          </cell>
          <cell r="G985">
            <v>1195.5999999999999</v>
          </cell>
          <cell r="H985">
            <v>0</v>
          </cell>
        </row>
        <row r="986">
          <cell r="C986" t="str">
            <v>Гладченко Виктор Иванович</v>
          </cell>
          <cell r="D986" t="str">
            <v>электрослесарь (слесарь) дежурный и по ремонту оборудования</v>
          </cell>
          <cell r="E986" t="str">
            <v>ГБ 2010104 241884</v>
          </cell>
          <cell r="F986">
            <v>1410.4</v>
          </cell>
          <cell r="G986">
            <v>1195.5999999999999</v>
          </cell>
          <cell r="H986">
            <v>1195.5999999999999</v>
          </cell>
        </row>
        <row r="987">
          <cell r="E987" t="str">
            <v>ГБ 2010104 241885</v>
          </cell>
          <cell r="F987">
            <v>1410.4</v>
          </cell>
          <cell r="G987">
            <v>1195.5999999999999</v>
          </cell>
          <cell r="H987">
            <v>0</v>
          </cell>
        </row>
        <row r="988">
          <cell r="C988" t="str">
            <v>Гулов Руслан Викторович</v>
          </cell>
          <cell r="D988" t="str">
            <v xml:space="preserve">горнорабочий </v>
          </cell>
          <cell r="E988" t="str">
            <v>АП 2010037 331712</v>
          </cell>
          <cell r="F988">
            <v>1410.4</v>
          </cell>
          <cell r="G988">
            <v>1195.5999999999999</v>
          </cell>
          <cell r="H988">
            <v>0</v>
          </cell>
        </row>
        <row r="989">
          <cell r="C989" t="str">
            <v>Гуляев Валерий Александрович</v>
          </cell>
          <cell r="D989" t="str">
            <v>электрослесарь (слесарь) дежурный и по ремонту оборудования</v>
          </cell>
          <cell r="E989" t="str">
            <v>ВЛ 2010086 117244</v>
          </cell>
          <cell r="F989">
            <v>1323.5</v>
          </cell>
          <cell r="G989">
            <v>1121.96</v>
          </cell>
          <cell r="H989">
            <v>0</v>
          </cell>
        </row>
        <row r="990">
          <cell r="C990" t="str">
            <v>Гусак Александр Леонидович</v>
          </cell>
          <cell r="D990" t="str">
            <v>электросварщик ручной сварки</v>
          </cell>
          <cell r="E990" t="str">
            <v>ШБ 2010597 746610</v>
          </cell>
          <cell r="F990">
            <v>1933.4</v>
          </cell>
          <cell r="G990">
            <v>1638.82</v>
          </cell>
          <cell r="H990">
            <v>0</v>
          </cell>
        </row>
        <row r="991">
          <cell r="C991" t="str">
            <v>Гущин Владимир Петрович</v>
          </cell>
          <cell r="D991" t="str">
            <v>электрослесарь (слесарь) дежурный и по ремонту оборудования</v>
          </cell>
          <cell r="E991" t="str">
            <v>ЕГ 2010157 714107</v>
          </cell>
          <cell r="F991">
            <v>1323.5</v>
          </cell>
          <cell r="G991">
            <v>1121.96</v>
          </cell>
          <cell r="H991">
            <v>1121.96</v>
          </cell>
        </row>
        <row r="992">
          <cell r="E992" t="str">
            <v>БЭ 2010074 924362</v>
          </cell>
          <cell r="F992">
            <v>1323.5</v>
          </cell>
          <cell r="G992">
            <v>1121.96</v>
          </cell>
          <cell r="H992">
            <v>0</v>
          </cell>
        </row>
        <row r="993">
          <cell r="C993" t="str">
            <v>Дзюбин Анатолий Владимирович</v>
          </cell>
          <cell r="D993" t="str">
            <v>электрогазосварщик занятый на резке и ручной сварке о/г.р.</v>
          </cell>
          <cell r="E993" t="str">
            <v>АП 2010037 964170</v>
          </cell>
          <cell r="F993">
            <v>1864.4</v>
          </cell>
          <cell r="G993">
            <v>1583.1</v>
          </cell>
          <cell r="H993">
            <v>0</v>
          </cell>
        </row>
        <row r="994">
          <cell r="C994" t="str">
            <v>Дзюбин Владимир Владимирович</v>
          </cell>
          <cell r="D994" t="str">
            <v>электрогазосварщик занятый на резке и ручной сварке о/г.р.</v>
          </cell>
          <cell r="E994" t="str">
            <v>АП 2010037 964171</v>
          </cell>
          <cell r="F994">
            <v>1864.4</v>
          </cell>
          <cell r="G994">
            <v>1583.1</v>
          </cell>
          <cell r="H994">
            <v>0</v>
          </cell>
        </row>
        <row r="995">
          <cell r="C995" t="str">
            <v>Дзюбин Юрий Владимирович</v>
          </cell>
          <cell r="D995" t="str">
            <v>электрогазосварщик занятый на резке и ручной сварке о/г.р.</v>
          </cell>
          <cell r="E995" t="str">
            <v>АП2010037 964169</v>
          </cell>
          <cell r="F995">
            <v>1864.4</v>
          </cell>
          <cell r="G995">
            <v>1583.1</v>
          </cell>
          <cell r="H995">
            <v>0</v>
          </cell>
        </row>
        <row r="996">
          <cell r="C996" t="str">
            <v>Драгунцов Александр Владимирович</v>
          </cell>
          <cell r="D996" t="str">
            <v>проходчик на поверхностных работах</v>
          </cell>
          <cell r="E996" t="str">
            <v>ЮЭ 2010697 045662</v>
          </cell>
          <cell r="F996">
            <v>1671.7</v>
          </cell>
          <cell r="G996">
            <v>1417.04</v>
          </cell>
          <cell r="H996">
            <v>1101.96</v>
          </cell>
        </row>
        <row r="997">
          <cell r="E997" t="str">
            <v>ЮЭ 2010697 045345</v>
          </cell>
          <cell r="F997">
            <v>1299.9000000000001</v>
          </cell>
          <cell r="G997">
            <v>1101.96</v>
          </cell>
          <cell r="H997">
            <v>0</v>
          </cell>
        </row>
        <row r="998">
          <cell r="C998" t="str">
            <v>Дударов Муса Кантемирович</v>
          </cell>
          <cell r="D998" t="str">
            <v>проходчик на поверхностных работах</v>
          </cell>
          <cell r="E998" t="str">
            <v>ВЛ 2010086 293471</v>
          </cell>
          <cell r="F998">
            <v>1933.4</v>
          </cell>
          <cell r="G998">
            <v>1638.82</v>
          </cell>
          <cell r="H998">
            <v>0</v>
          </cell>
        </row>
        <row r="999">
          <cell r="C999" t="str">
            <v>Дужик Виктор Васильевич</v>
          </cell>
          <cell r="D999" t="str">
            <v>горнорабочий</v>
          </cell>
          <cell r="E999" t="str">
            <v>ЮЭ 2010697 949326</v>
          </cell>
          <cell r="F999">
            <v>1497.7</v>
          </cell>
          <cell r="G999">
            <v>1269.5899999999999</v>
          </cell>
          <cell r="H999">
            <v>1121.96</v>
          </cell>
        </row>
        <row r="1000">
          <cell r="E1000" t="str">
            <v>С 2007014  122587</v>
          </cell>
          <cell r="F1000">
            <v>1323.5</v>
          </cell>
          <cell r="G1000">
            <v>1121.96</v>
          </cell>
          <cell r="H1000">
            <v>0</v>
          </cell>
        </row>
        <row r="1001">
          <cell r="C1001" t="str">
            <v>Дьяков Андрей Николаевич</v>
          </cell>
          <cell r="D1001" t="str">
            <v xml:space="preserve">горнорабочий </v>
          </cell>
          <cell r="E1001" t="str">
            <v>ЯИ 2010707 811703</v>
          </cell>
          <cell r="F1001">
            <v>3083.7</v>
          </cell>
          <cell r="G1001">
            <v>2613.65</v>
          </cell>
          <cell r="H1001">
            <v>2303.4899999999998</v>
          </cell>
        </row>
        <row r="1002">
          <cell r="E1002" t="str">
            <v>С 2007014 110679</v>
          </cell>
          <cell r="F1002">
            <v>2717.7</v>
          </cell>
          <cell r="G1002">
            <v>2303.4899999999998</v>
          </cell>
          <cell r="H1002">
            <v>0</v>
          </cell>
        </row>
        <row r="1003">
          <cell r="C1003" t="str">
            <v>Ермилов Роман Юрьевич</v>
          </cell>
          <cell r="D1003" t="str">
            <v>электрогазосварщик, занятый на резке и ручной сварке</v>
          </cell>
          <cell r="E1003" t="str">
            <v>ЕГ 2010157 714245</v>
          </cell>
          <cell r="F1003">
            <v>1497.7</v>
          </cell>
          <cell r="G1003">
            <v>1269.5899999999999</v>
          </cell>
          <cell r="H1003">
            <v>0</v>
          </cell>
        </row>
        <row r="1004">
          <cell r="C1004" t="str">
            <v>Журба Дмитрий Александрович</v>
          </cell>
          <cell r="D1004" t="str">
            <v>проходчик на поверхностных работах</v>
          </cell>
          <cell r="E1004" t="str">
            <v>ЦН 2010555 973532</v>
          </cell>
          <cell r="F1004">
            <v>3240</v>
          </cell>
          <cell r="G1004">
            <v>2746.05</v>
          </cell>
          <cell r="H1004">
            <v>0</v>
          </cell>
        </row>
        <row r="1005">
          <cell r="C1005" t="str">
            <v>Зорькин Виталий Сергеевич</v>
          </cell>
          <cell r="D1005" t="str">
            <v>проходчик на поверхностных работах</v>
          </cell>
          <cell r="E1005" t="str">
            <v>ЮЭ 2010697 948518</v>
          </cell>
          <cell r="F1005">
            <v>1567.4</v>
          </cell>
          <cell r="G1005">
            <v>1328.65</v>
          </cell>
          <cell r="H1005">
            <v>0</v>
          </cell>
        </row>
        <row r="1006">
          <cell r="C1006" t="str">
            <v>Зюзик Сергей Анатольевич</v>
          </cell>
          <cell r="D1006" t="str">
            <v>горнорабочий о/г.р</v>
          </cell>
          <cell r="E1006" t="str">
            <v>ГБ 2010104 240521</v>
          </cell>
          <cell r="F1006">
            <v>1410.4</v>
          </cell>
          <cell r="G1006">
            <v>1195.5999999999999</v>
          </cell>
          <cell r="H1006">
            <v>1101.96</v>
          </cell>
        </row>
        <row r="1007">
          <cell r="E1007" t="str">
            <v>ШГ 2010599  061979</v>
          </cell>
          <cell r="F1007">
            <v>1299.9000000000001</v>
          </cell>
          <cell r="G1007">
            <v>1101.96</v>
          </cell>
          <cell r="H1007">
            <v>0</v>
          </cell>
        </row>
        <row r="1008">
          <cell r="C1008" t="str">
            <v>Камышников Александр Сергеевич</v>
          </cell>
          <cell r="D1008" t="str">
            <v>проходчик на поверхностных работах</v>
          </cell>
          <cell r="E1008" t="str">
            <v>АП 2010037 986262</v>
          </cell>
          <cell r="F1008">
            <v>1323.5</v>
          </cell>
          <cell r="G1008">
            <v>1121.96</v>
          </cell>
          <cell r="H1008">
            <v>0</v>
          </cell>
        </row>
        <row r="1009">
          <cell r="C1009" t="str">
            <v>Каппес Николай Владимирович</v>
          </cell>
          <cell r="D1009" t="str">
            <v xml:space="preserve">горнорабочий </v>
          </cell>
          <cell r="E1009" t="str">
            <v>ВЛ 2010086 593867</v>
          </cell>
          <cell r="F1009">
            <v>3083.7</v>
          </cell>
          <cell r="G1009">
            <v>2613.65</v>
          </cell>
          <cell r="H1009">
            <v>1417.3</v>
          </cell>
        </row>
        <row r="1010">
          <cell r="E1010" t="str">
            <v>АС 2010039 837382</v>
          </cell>
          <cell r="F1010">
            <v>1672</v>
          </cell>
          <cell r="G1010">
            <v>1417.3</v>
          </cell>
          <cell r="H1010">
            <v>0</v>
          </cell>
        </row>
        <row r="1011">
          <cell r="C1011" t="str">
            <v>Карунин Павел Николаевич</v>
          </cell>
          <cell r="D1011" t="str">
            <v>горнорабочий на маркшейдерских работах</v>
          </cell>
          <cell r="E1011" t="str">
            <v>ГЕ 2010108 884911</v>
          </cell>
          <cell r="F1011">
            <v>1933.4</v>
          </cell>
          <cell r="G1011">
            <v>1638.82</v>
          </cell>
          <cell r="H1011">
            <v>0</v>
          </cell>
        </row>
        <row r="1012">
          <cell r="C1012" t="str">
            <v>Катенев Юрий Николаевич</v>
          </cell>
          <cell r="D1012" t="str">
            <v xml:space="preserve">горнорабочий </v>
          </cell>
          <cell r="E1012" t="str">
            <v>ЮЭ 2010697 046857</v>
          </cell>
          <cell r="F1012">
            <v>1410.4</v>
          </cell>
          <cell r="G1012">
            <v>1195.5999999999999</v>
          </cell>
          <cell r="H1012">
            <v>1121.96</v>
          </cell>
        </row>
        <row r="1013">
          <cell r="E1013" t="str">
            <v>АП 2010037 347343</v>
          </cell>
          <cell r="F1013">
            <v>1323.5</v>
          </cell>
          <cell r="G1013">
            <v>1121.96</v>
          </cell>
          <cell r="H1013">
            <v>0</v>
          </cell>
        </row>
        <row r="1014">
          <cell r="C1014" t="str">
            <v>Клочко Евгений Владимирович</v>
          </cell>
          <cell r="D1014" t="str">
            <v>электрогазосварщик, занятый на резке и ручной сварке</v>
          </cell>
          <cell r="E1014" t="str">
            <v>ШБ 2010597 907069</v>
          </cell>
          <cell r="F1014">
            <v>2194.8000000000002</v>
          </cell>
          <cell r="G1014">
            <v>1860.34</v>
          </cell>
          <cell r="H1014">
            <v>1565.1</v>
          </cell>
        </row>
        <row r="1015">
          <cell r="E1015" t="str">
            <v>ЕВ 2010156  997272</v>
          </cell>
          <cell r="F1015">
            <v>1846.4</v>
          </cell>
          <cell r="G1015">
            <v>1565.1</v>
          </cell>
          <cell r="H1015">
            <v>0</v>
          </cell>
        </row>
        <row r="1016">
          <cell r="C1016" t="str">
            <v>Клочков Роман Леонидович</v>
          </cell>
          <cell r="D1016" t="str">
            <v xml:space="preserve">горнорабочий </v>
          </cell>
          <cell r="E1016" t="str">
            <v>ГБ 2010104 243524</v>
          </cell>
          <cell r="F1016">
            <v>1410.4</v>
          </cell>
          <cell r="G1016">
            <v>1195.5999999999999</v>
          </cell>
          <cell r="H1016">
            <v>1101.96</v>
          </cell>
        </row>
        <row r="1017">
          <cell r="E1017" t="str">
            <v>ГЕ 2010108 885332</v>
          </cell>
          <cell r="F1017">
            <v>1299.9000000000001</v>
          </cell>
          <cell r="G1017">
            <v>1101.96</v>
          </cell>
          <cell r="H1017">
            <v>0</v>
          </cell>
        </row>
        <row r="1018">
          <cell r="C1018" t="str">
            <v>Князев Руслан Анатольевич</v>
          </cell>
          <cell r="D1018" t="str">
            <v>проходчик на поверхностных работах</v>
          </cell>
          <cell r="E1018" t="str">
            <v>ЭУ 2010664 192881</v>
          </cell>
          <cell r="F1018">
            <v>2674.6</v>
          </cell>
          <cell r="G1018">
            <v>2266.96</v>
          </cell>
          <cell r="H1018">
            <v>0</v>
          </cell>
        </row>
        <row r="1019">
          <cell r="C1019" t="str">
            <v>Колесников Юрий Викторович</v>
          </cell>
          <cell r="D1019" t="str">
            <v>электрогазосварщик, занятый на резке и ручной сварке</v>
          </cell>
          <cell r="E1019" t="str">
            <v>ЧБ 2010571 781309</v>
          </cell>
          <cell r="F1019">
            <v>1443.6</v>
          </cell>
          <cell r="G1019">
            <v>1223.74</v>
          </cell>
          <cell r="H1019">
            <v>1121.96</v>
          </cell>
        </row>
        <row r="1020">
          <cell r="E1020" t="str">
            <v>ГМ 2010113 963752</v>
          </cell>
          <cell r="F1020">
            <v>1323.5</v>
          </cell>
          <cell r="G1020">
            <v>1121.96</v>
          </cell>
          <cell r="H1020">
            <v>0</v>
          </cell>
        </row>
        <row r="1021">
          <cell r="C1021" t="str">
            <v>Колпаков Вадим Михайлович</v>
          </cell>
          <cell r="D1021" t="str">
            <v>электрогазосварщик, занятый на резке и ручной сварке</v>
          </cell>
          <cell r="E1021" t="str">
            <v>ШБ 2010597 837090</v>
          </cell>
          <cell r="F1021">
            <v>1933.4</v>
          </cell>
          <cell r="G1021">
            <v>1638.82</v>
          </cell>
          <cell r="H1021">
            <v>1638.82</v>
          </cell>
        </row>
        <row r="1022">
          <cell r="E1022" t="str">
            <v>АП 2010037 312763</v>
          </cell>
          <cell r="F1022">
            <v>1933.4</v>
          </cell>
          <cell r="G1022">
            <v>1638.82</v>
          </cell>
          <cell r="H1022">
            <v>0</v>
          </cell>
        </row>
        <row r="1023">
          <cell r="C1023" t="str">
            <v>Котляров Александр Николаевич</v>
          </cell>
          <cell r="D1023" t="str">
            <v>проходчик на поверхностных работах</v>
          </cell>
          <cell r="E1023" t="str">
            <v>ЮЭ 2010697 948626</v>
          </cell>
          <cell r="F1023">
            <v>1323.5</v>
          </cell>
          <cell r="G1023">
            <v>1121.96</v>
          </cell>
          <cell r="H1023">
            <v>1101.96</v>
          </cell>
        </row>
        <row r="1024">
          <cell r="E1024" t="str">
            <v>ГМ 2010113 963717</v>
          </cell>
          <cell r="F1024">
            <v>1299.9000000000001</v>
          </cell>
          <cell r="G1024">
            <v>1101.96</v>
          </cell>
          <cell r="H1024">
            <v>0</v>
          </cell>
        </row>
        <row r="1025">
          <cell r="C1025" t="str">
            <v>Котляров Геннадий Сергеевич</v>
          </cell>
          <cell r="D1025" t="str">
            <v>проходчик на поверхностных работах</v>
          </cell>
          <cell r="E1025" t="str">
            <v>ЮЭ 2010697 982868</v>
          </cell>
          <cell r="F1025">
            <v>1672</v>
          </cell>
          <cell r="G1025">
            <v>1417.3</v>
          </cell>
          <cell r="H1025">
            <v>1417.3</v>
          </cell>
        </row>
        <row r="1026">
          <cell r="E1026" t="str">
            <v>БР 2010064  188744</v>
          </cell>
          <cell r="F1026">
            <v>1672</v>
          </cell>
          <cell r="G1026">
            <v>1417.3</v>
          </cell>
          <cell r="H1026">
            <v>0</v>
          </cell>
        </row>
        <row r="1027">
          <cell r="C1027" t="str">
            <v>Кравцов Владимир Сергеевич</v>
          </cell>
          <cell r="D1027" t="str">
            <v>электрогазосварщик, занятый на резке и ручной сварке</v>
          </cell>
          <cell r="E1027" t="str">
            <v>ЧБ 2010571 781284</v>
          </cell>
          <cell r="F1027">
            <v>1323.5</v>
          </cell>
          <cell r="G1027">
            <v>1121.96</v>
          </cell>
          <cell r="H1027">
            <v>0</v>
          </cell>
        </row>
        <row r="1028">
          <cell r="C1028" t="str">
            <v>Кривощеков Александр Павлович</v>
          </cell>
          <cell r="D1028" t="str">
            <v>проходчик на поверхностных работах</v>
          </cell>
          <cell r="E1028" t="str">
            <v>ЧБ 2010571 781591</v>
          </cell>
          <cell r="F1028">
            <v>1497.7</v>
          </cell>
          <cell r="G1028">
            <v>1269.5899999999999</v>
          </cell>
          <cell r="H1028">
            <v>1034.5</v>
          </cell>
        </row>
        <row r="1029">
          <cell r="E1029" t="str">
            <v>АП2010037 352608</v>
          </cell>
          <cell r="F1029">
            <v>1220.3</v>
          </cell>
          <cell r="G1029">
            <v>1034.5</v>
          </cell>
          <cell r="H1029">
            <v>0</v>
          </cell>
        </row>
        <row r="1030">
          <cell r="C1030" t="str">
            <v>Кривченков Александр Федорович</v>
          </cell>
          <cell r="D1030" t="str">
            <v xml:space="preserve">горнорабочий </v>
          </cell>
          <cell r="E1030" t="str">
            <v>ШГ 2010599 061621</v>
          </cell>
          <cell r="F1030">
            <v>1410.4</v>
          </cell>
          <cell r="G1030">
            <v>1195.5999999999999</v>
          </cell>
          <cell r="H1030">
            <v>1195.5999999999999</v>
          </cell>
        </row>
        <row r="1031">
          <cell r="E1031" t="str">
            <v>ГБ 2010104 240882</v>
          </cell>
          <cell r="F1031">
            <v>1410.4</v>
          </cell>
          <cell r="G1031">
            <v>1195.5999999999999</v>
          </cell>
          <cell r="H1031">
            <v>0</v>
          </cell>
        </row>
        <row r="1032">
          <cell r="C1032" t="str">
            <v>Кропачев Антон Александрович</v>
          </cell>
          <cell r="D1032" t="str">
            <v>проходчик на поверхностных работах</v>
          </cell>
          <cell r="E1032" t="str">
            <v>ЧБ 2010571 781563</v>
          </cell>
          <cell r="F1032">
            <v>1323.5</v>
          </cell>
          <cell r="G1032">
            <v>1121.96</v>
          </cell>
          <cell r="H1032">
            <v>0</v>
          </cell>
        </row>
        <row r="1033">
          <cell r="C1033" t="str">
            <v>Кузин Иван Владимирович</v>
          </cell>
          <cell r="D1033" t="str">
            <v>горнорабочий</v>
          </cell>
          <cell r="E1033" t="str">
            <v>ШГ 2010599 063558</v>
          </cell>
          <cell r="F1033">
            <v>1671.7</v>
          </cell>
          <cell r="G1033">
            <v>1417.04</v>
          </cell>
          <cell r="H1033">
            <v>1565.1</v>
          </cell>
        </row>
        <row r="1034">
          <cell r="E1034" t="str">
            <v>С 2007014 105739</v>
          </cell>
          <cell r="F1034">
            <v>1846.4</v>
          </cell>
          <cell r="G1034">
            <v>1565.1</v>
          </cell>
          <cell r="H1034">
            <v>0</v>
          </cell>
        </row>
        <row r="1035">
          <cell r="C1035" t="str">
            <v>Кузнецов Владислав Анатольевич</v>
          </cell>
          <cell r="D1035" t="str">
            <v>Проходчик на поверхностных работах</v>
          </cell>
          <cell r="E1035" t="str">
            <v>ЮЭ 2010697 044820</v>
          </cell>
          <cell r="F1035">
            <v>1323.5</v>
          </cell>
          <cell r="G1035">
            <v>1121.96</v>
          </cell>
          <cell r="H1035">
            <v>1121.96</v>
          </cell>
        </row>
        <row r="1036">
          <cell r="E1036" t="str">
            <v>АС 2010039 826298</v>
          </cell>
          <cell r="F1036">
            <v>1323.5</v>
          </cell>
          <cell r="G1036">
            <v>1121.96</v>
          </cell>
          <cell r="H1036">
            <v>0</v>
          </cell>
        </row>
        <row r="1037">
          <cell r="C1037" t="str">
            <v>Кузнецовский Алексей Борисович</v>
          </cell>
          <cell r="D1037" t="str">
            <v>электрогазосварщик, занятый на резке и ручной сварке</v>
          </cell>
          <cell r="E1037" t="str">
            <v>ЮЭ 2010697 657391</v>
          </cell>
          <cell r="F1037">
            <v>2587</v>
          </cell>
          <cell r="G1037">
            <v>2192.73</v>
          </cell>
          <cell r="H1037">
            <v>0</v>
          </cell>
        </row>
        <row r="1038">
          <cell r="C1038" t="str">
            <v>Кулагин Дмитрий Геннадьевич</v>
          </cell>
          <cell r="D1038" t="str">
            <v>проходчик на поверхностных работах</v>
          </cell>
          <cell r="E1038" t="str">
            <v>ЕЛ 2010163 003229</v>
          </cell>
          <cell r="F1038">
            <v>1618.3</v>
          </cell>
          <cell r="G1038">
            <v>1371.79</v>
          </cell>
          <cell r="H1038">
            <v>1491.2</v>
          </cell>
        </row>
        <row r="1039">
          <cell r="E1039" t="str">
            <v>С 2007014 117464</v>
          </cell>
          <cell r="F1039">
            <v>1759.2</v>
          </cell>
          <cell r="G1039">
            <v>1491.2</v>
          </cell>
          <cell r="H1039">
            <v>0</v>
          </cell>
        </row>
        <row r="1040">
          <cell r="C1040" t="str">
            <v>Лаврик Виктор Александрович</v>
          </cell>
          <cell r="D1040" t="str">
            <v>проходчик на поверхностных работах</v>
          </cell>
          <cell r="E1040" t="str">
            <v>ЮЛ 2010683 554434</v>
          </cell>
          <cell r="F1040">
            <v>2194.8000000000002</v>
          </cell>
          <cell r="G1040">
            <v>1860.34</v>
          </cell>
          <cell r="H1040">
            <v>0</v>
          </cell>
        </row>
        <row r="1041">
          <cell r="C1041" t="str">
            <v>Ландин Руслан Сергеевич</v>
          </cell>
          <cell r="D1041" t="str">
            <v>проходчик на поверхностных работах</v>
          </cell>
          <cell r="E1041" t="str">
            <v>ЦН 2010555 974859</v>
          </cell>
          <cell r="F1041">
            <v>1443.6</v>
          </cell>
          <cell r="G1041">
            <v>1223.74</v>
          </cell>
          <cell r="H1041">
            <v>0</v>
          </cell>
        </row>
        <row r="1042">
          <cell r="C1042" t="str">
            <v>Лаптев Иван Климентьевич</v>
          </cell>
          <cell r="D1042" t="str">
            <v>проходчик на поверхностных работах</v>
          </cell>
          <cell r="E1042" t="str">
            <v>ВЛ 2010086 179193</v>
          </cell>
          <cell r="F1042">
            <v>3397.3</v>
          </cell>
          <cell r="G1042">
            <v>2879.42</v>
          </cell>
          <cell r="H1042">
            <v>0</v>
          </cell>
        </row>
        <row r="1043">
          <cell r="C1043" t="str">
            <v>Лелин Денис Игоревич</v>
          </cell>
          <cell r="D1043" t="str">
            <v xml:space="preserve">горнорабочий </v>
          </cell>
          <cell r="E1043" t="str">
            <v>ЮЭ 2010697 045557</v>
          </cell>
          <cell r="F1043">
            <v>1567.4</v>
          </cell>
          <cell r="G1043">
            <v>1328.65</v>
          </cell>
          <cell r="H1043">
            <v>0</v>
          </cell>
        </row>
        <row r="1044">
          <cell r="C1044" t="str">
            <v>Лихота Анатолий Анатольевич</v>
          </cell>
          <cell r="D1044" t="str">
            <v>электрогазосварщик, занятый на резке и ручной сварке</v>
          </cell>
          <cell r="E1044" t="str">
            <v>ЮЭ 2010697 678562</v>
          </cell>
          <cell r="F1044">
            <v>1618.3</v>
          </cell>
          <cell r="G1044">
            <v>1371.79</v>
          </cell>
          <cell r="H1044">
            <v>1491.2</v>
          </cell>
        </row>
        <row r="1045">
          <cell r="E1045" t="str">
            <v>ЮЭ 2010697 733126</v>
          </cell>
          <cell r="F1045">
            <v>1759.2</v>
          </cell>
          <cell r="G1045">
            <v>1491.2</v>
          </cell>
          <cell r="H1045">
            <v>0</v>
          </cell>
        </row>
        <row r="1046">
          <cell r="C1046" t="str">
            <v>Мамаев Игорь Николаевич</v>
          </cell>
          <cell r="D1046" t="str">
            <v>электрослесарь (слесарь) дежурный и по ремонту оборудования</v>
          </cell>
          <cell r="E1046" t="str">
            <v>ВЛ 2010086 119372</v>
          </cell>
          <cell r="F1046">
            <v>1323.5</v>
          </cell>
          <cell r="G1046">
            <v>1121.96</v>
          </cell>
          <cell r="H1046">
            <v>0</v>
          </cell>
        </row>
        <row r="1047">
          <cell r="C1047" t="str">
            <v>Мардасов Александр Федорович</v>
          </cell>
          <cell r="D1047" t="str">
            <v>проходчик на поверхностных работах</v>
          </cell>
          <cell r="E1047" t="str">
            <v>ВЛ 2010086 120027</v>
          </cell>
          <cell r="F1047">
            <v>2194.8000000000002</v>
          </cell>
          <cell r="G1047">
            <v>1860.34</v>
          </cell>
          <cell r="H1047">
            <v>835.01</v>
          </cell>
        </row>
        <row r="1048">
          <cell r="E1048" t="str">
            <v>АС 2010039 829412</v>
          </cell>
          <cell r="F1048">
            <v>984.9</v>
          </cell>
          <cell r="G1048">
            <v>835.01</v>
          </cell>
          <cell r="H1048">
            <v>0</v>
          </cell>
        </row>
        <row r="1049">
          <cell r="C1049" t="str">
            <v>Минаев Дмитрий Анатольевич</v>
          </cell>
          <cell r="D1049" t="str">
            <v>проходчик на поверхностных работах</v>
          </cell>
          <cell r="E1049" t="str">
            <v>ЮМ 2010684 418337</v>
          </cell>
          <cell r="F1049">
            <v>1567.4</v>
          </cell>
          <cell r="G1049">
            <v>1328.65</v>
          </cell>
          <cell r="H1049">
            <v>1121.96</v>
          </cell>
        </row>
        <row r="1050">
          <cell r="E1050" t="str">
            <v>ГМ 2010113 963736</v>
          </cell>
          <cell r="F1050">
            <v>1323.5</v>
          </cell>
          <cell r="G1050">
            <v>1121.96</v>
          </cell>
          <cell r="H1050">
            <v>0</v>
          </cell>
        </row>
        <row r="1051">
          <cell r="C1051" t="str">
            <v>Михайлов Олег Викторович</v>
          </cell>
          <cell r="D1051" t="str">
            <v>проходчик на поверхностных работах</v>
          </cell>
          <cell r="E1051" t="str">
            <v>ЮМ 2010684 581285</v>
          </cell>
          <cell r="F1051">
            <v>1634.5</v>
          </cell>
          <cell r="G1051">
            <v>1385.52</v>
          </cell>
          <cell r="H1051">
            <v>0</v>
          </cell>
        </row>
        <row r="1052">
          <cell r="C1052" t="str">
            <v>Мягков Максим Александрович</v>
          </cell>
          <cell r="D1052" t="str">
            <v>проходчик на поверхностных работах</v>
          </cell>
          <cell r="E1052" t="str">
            <v>АК 2010033 074065</v>
          </cell>
          <cell r="F1052">
            <v>1933.4</v>
          </cell>
          <cell r="G1052">
            <v>1638.82</v>
          </cell>
          <cell r="H1052">
            <v>0</v>
          </cell>
        </row>
        <row r="1053">
          <cell r="C1053" t="str">
            <v>Наумов Николай Сергеевич</v>
          </cell>
          <cell r="D1053" t="str">
            <v xml:space="preserve">горнорабочий </v>
          </cell>
          <cell r="E1053" t="str">
            <v>ГБ 2010104 622573</v>
          </cell>
          <cell r="F1053">
            <v>1671.7</v>
          </cell>
          <cell r="G1053">
            <v>1417.04</v>
          </cell>
          <cell r="H1053">
            <v>0</v>
          </cell>
        </row>
        <row r="1054">
          <cell r="C1054" t="str">
            <v>Невмержицкий Сергей Александрович</v>
          </cell>
          <cell r="D1054" t="str">
            <v>электрослесарь (слесарь) дежурный и по ремонту оборудования</v>
          </cell>
          <cell r="E1054" t="str">
            <v>ГК 2010111 280619</v>
          </cell>
          <cell r="F1054">
            <v>1933.4</v>
          </cell>
          <cell r="G1054">
            <v>1638.82</v>
          </cell>
          <cell r="H1054">
            <v>1638.82</v>
          </cell>
        </row>
        <row r="1055">
          <cell r="E1055" t="str">
            <v xml:space="preserve"> АП 2010037 307481</v>
          </cell>
          <cell r="F1055">
            <v>1933.4</v>
          </cell>
          <cell r="G1055">
            <v>1638.82</v>
          </cell>
          <cell r="H1055">
            <v>0</v>
          </cell>
        </row>
        <row r="1056">
          <cell r="C1056" t="str">
            <v>Никитин Михаил Сергеевич</v>
          </cell>
          <cell r="D1056" t="str">
            <v>проходчик на поверхностных работах</v>
          </cell>
          <cell r="E1056" t="str">
            <v>ГЕ 2010108 885373</v>
          </cell>
          <cell r="F1056">
            <v>1323.5</v>
          </cell>
          <cell r="G1056">
            <v>1121.96</v>
          </cell>
          <cell r="H1056">
            <v>0</v>
          </cell>
        </row>
        <row r="1057">
          <cell r="C1057" t="str">
            <v>Павлов Петр Алексеевич</v>
          </cell>
          <cell r="D1057" t="str">
            <v>электрогазосварщик, занятый на резке и ручной сварке</v>
          </cell>
          <cell r="E1057" t="str">
            <v>ВЛ 2010086 051812</v>
          </cell>
          <cell r="F1057">
            <v>2194.8000000000002</v>
          </cell>
          <cell r="G1057">
            <v>1860.34</v>
          </cell>
          <cell r="H1057">
            <v>0</v>
          </cell>
        </row>
        <row r="1058">
          <cell r="C1058" t="str">
            <v>Папазов Сергей Николаевич</v>
          </cell>
          <cell r="D1058" t="str">
            <v xml:space="preserve">горнорабочий </v>
          </cell>
          <cell r="E1058" t="str">
            <v>ВЛ 2010086 228644</v>
          </cell>
          <cell r="F1058">
            <v>2299.4</v>
          </cell>
          <cell r="G1058">
            <v>1948.99</v>
          </cell>
          <cell r="H1058">
            <v>0</v>
          </cell>
        </row>
        <row r="1059">
          <cell r="C1059" t="str">
            <v>Пигарев Алексей Владимирович</v>
          </cell>
          <cell r="D1059" t="str">
            <v>проходчик на поверхностных работах</v>
          </cell>
          <cell r="E1059" t="str">
            <v>ЮЭ 2010697 045989</v>
          </cell>
          <cell r="F1059">
            <v>1357.6</v>
          </cell>
          <cell r="G1059">
            <v>1150.8599999999999</v>
          </cell>
          <cell r="H1059">
            <v>1427.46</v>
          </cell>
        </row>
        <row r="1060">
          <cell r="E1060" t="str">
            <v>АП 2010037 347342</v>
          </cell>
          <cell r="F1060">
            <v>1684.4</v>
          </cell>
          <cell r="G1060">
            <v>1427.46</v>
          </cell>
          <cell r="H1060">
            <v>0</v>
          </cell>
        </row>
        <row r="1061">
          <cell r="C1061" t="str">
            <v>Поляков Игорь Юрьевич</v>
          </cell>
          <cell r="D1061" t="str">
            <v>электрослесарь (слесарь) дежурный и по ремонту оборудования</v>
          </cell>
          <cell r="E1061" t="str">
            <v>ГБ 2010104 245273</v>
          </cell>
          <cell r="F1061">
            <v>1497.7</v>
          </cell>
          <cell r="G1061">
            <v>1269.5899999999999</v>
          </cell>
          <cell r="H1061">
            <v>0</v>
          </cell>
        </row>
        <row r="1062">
          <cell r="C1062" t="str">
            <v>Починков Михаил Юрьевич</v>
          </cell>
          <cell r="D1062" t="str">
            <v>электрослесарь (слесарь) дежурный и по ремонту оборудования</v>
          </cell>
          <cell r="E1062" t="str">
            <v>ГБ 2010104 243594</v>
          </cell>
          <cell r="F1062">
            <v>1497.7</v>
          </cell>
          <cell r="G1062">
            <v>1269.5899999999999</v>
          </cell>
          <cell r="H1062">
            <v>1564.75</v>
          </cell>
        </row>
        <row r="1063">
          <cell r="E1063">
            <v>73420360767094</v>
          </cell>
          <cell r="F1063">
            <v>1846.4</v>
          </cell>
          <cell r="G1063">
            <v>1564.75</v>
          </cell>
          <cell r="H1063">
            <v>0</v>
          </cell>
        </row>
        <row r="1064">
          <cell r="C1064" t="str">
            <v>Прима Николай Алексеевич</v>
          </cell>
          <cell r="D1064" t="str">
            <v>Слесарь по ремонту оборудования</v>
          </cell>
          <cell r="E1064" t="str">
            <v>АП2010037 312762</v>
          </cell>
          <cell r="F1064">
            <v>1933.4</v>
          </cell>
          <cell r="G1064">
            <v>1638.82</v>
          </cell>
          <cell r="H1064">
            <v>0</v>
          </cell>
        </row>
        <row r="1065">
          <cell r="C1065" t="str">
            <v>Прокошев Евгений Евгеньевич</v>
          </cell>
          <cell r="D1065" t="str">
            <v>электрогазосварщик занятый на резке и ручной сварке о/г.р.</v>
          </cell>
          <cell r="E1065" t="str">
            <v>АК 2010033 050493</v>
          </cell>
          <cell r="F1065">
            <v>2194.8000000000002</v>
          </cell>
          <cell r="G1065">
            <v>1860.34</v>
          </cell>
          <cell r="H1065">
            <v>1491.2</v>
          </cell>
        </row>
        <row r="1066">
          <cell r="E1066" t="str">
            <v>АК 2010033 050494</v>
          </cell>
          <cell r="F1066">
            <v>1759.2</v>
          </cell>
          <cell r="G1066">
            <v>1491.2</v>
          </cell>
          <cell r="H1066">
            <v>0</v>
          </cell>
        </row>
        <row r="1067">
          <cell r="C1067" t="str">
            <v>Пудов Алексей Владимирович</v>
          </cell>
          <cell r="D1067" t="str">
            <v xml:space="preserve">горнорабочий </v>
          </cell>
          <cell r="E1067" t="str">
            <v>ЕГ 2010157 714288</v>
          </cell>
          <cell r="F1067">
            <v>1497.7</v>
          </cell>
          <cell r="G1067">
            <v>1269.5899999999999</v>
          </cell>
          <cell r="H1067">
            <v>0</v>
          </cell>
        </row>
        <row r="1068">
          <cell r="C1068" t="str">
            <v>Пятак Виталий Сергеевич</v>
          </cell>
          <cell r="D1068" t="str">
            <v>электрогазосварщик занятый на резке и ручной сварке о/г.р.</v>
          </cell>
          <cell r="E1068" t="str">
            <v>ЕГ 2010157 714241</v>
          </cell>
          <cell r="F1068">
            <v>1497.7</v>
          </cell>
          <cell r="G1068">
            <v>1269.5899999999999</v>
          </cell>
          <cell r="H1068">
            <v>1121.96</v>
          </cell>
        </row>
        <row r="1069">
          <cell r="E1069" t="str">
            <v>БЭ 2010074 902565</v>
          </cell>
          <cell r="F1069">
            <v>1323.5</v>
          </cell>
          <cell r="G1069">
            <v>1121.96</v>
          </cell>
          <cell r="H1069">
            <v>0</v>
          </cell>
        </row>
        <row r="1070">
          <cell r="C1070" t="str">
            <v>Рожков Александр Викторович</v>
          </cell>
          <cell r="D1070" t="str">
            <v xml:space="preserve">горнорабочий </v>
          </cell>
          <cell r="E1070" t="str">
            <v>ЮЭ 2010697 045663</v>
          </cell>
          <cell r="F1070">
            <v>1671.7</v>
          </cell>
          <cell r="G1070">
            <v>1417.04</v>
          </cell>
          <cell r="H1070">
            <v>1101.96</v>
          </cell>
        </row>
        <row r="1071">
          <cell r="E1071" t="str">
            <v>ЮЭ 2010697 045346</v>
          </cell>
          <cell r="F1071">
            <v>1299.9000000000001</v>
          </cell>
          <cell r="G1071">
            <v>1101.96</v>
          </cell>
          <cell r="H1071">
            <v>0</v>
          </cell>
        </row>
        <row r="1072">
          <cell r="C1072" t="str">
            <v>Романов Владимир Вячеславович</v>
          </cell>
          <cell r="D1072" t="str">
            <v>электрогазосварщик занятый на резке и ручной сварке о/г.р.</v>
          </cell>
          <cell r="E1072" t="str">
            <v>ВЛ 2010086 548761</v>
          </cell>
          <cell r="F1072">
            <v>2090.4</v>
          </cell>
          <cell r="G1072">
            <v>1771.87</v>
          </cell>
          <cell r="H1072">
            <v>1491.2</v>
          </cell>
        </row>
        <row r="1073">
          <cell r="E1073" t="str">
            <v>АК 2010033 047711</v>
          </cell>
          <cell r="F1073">
            <v>1759.2</v>
          </cell>
          <cell r="G1073">
            <v>1491.2</v>
          </cell>
          <cell r="H1073">
            <v>0</v>
          </cell>
        </row>
        <row r="1074">
          <cell r="C1074" t="str">
            <v>Рыковский Сергей Викторович</v>
          </cell>
          <cell r="D1074" t="str">
            <v>проходчик на поверхностных работах</v>
          </cell>
          <cell r="E1074" t="str">
            <v>ЮЭ 2010697 911408</v>
          </cell>
          <cell r="F1074">
            <v>1410.4</v>
          </cell>
          <cell r="G1074">
            <v>1195.5999999999999</v>
          </cell>
          <cell r="H1074">
            <v>0</v>
          </cell>
        </row>
        <row r="1075">
          <cell r="C1075" t="str">
            <v>Рытов Александр Иванович</v>
          </cell>
          <cell r="D1075" t="str">
            <v>электрогазосварщик занятый на резке и ручной сварке о/г.р.</v>
          </cell>
          <cell r="E1075" t="str">
            <v>ЯИ 2010707 811683</v>
          </cell>
          <cell r="F1075">
            <v>3083.7</v>
          </cell>
          <cell r="G1075">
            <v>2613.65</v>
          </cell>
          <cell r="H1075">
            <v>2192.73</v>
          </cell>
        </row>
        <row r="1076">
          <cell r="E1076" t="str">
            <v>ЯИ 2010707 811684</v>
          </cell>
          <cell r="F1076">
            <v>2587</v>
          </cell>
          <cell r="G1076">
            <v>2192.73</v>
          </cell>
          <cell r="H1076">
            <v>0</v>
          </cell>
        </row>
        <row r="1077">
          <cell r="C1077" t="str">
            <v>Самаров Сергей Иванович</v>
          </cell>
          <cell r="D1077" t="str">
            <v>электрогазосварщик занятый на резке и ручной сварке о/г.р.</v>
          </cell>
          <cell r="E1077" t="str">
            <v>С 2007014 812747</v>
          </cell>
          <cell r="F1077">
            <v>1396.3</v>
          </cell>
          <cell r="G1077">
            <v>1183.6600000000001</v>
          </cell>
          <cell r="H1077">
            <v>0</v>
          </cell>
        </row>
        <row r="1078">
          <cell r="C1078" t="str">
            <v>Самсонов Геннадий Владимирович</v>
          </cell>
          <cell r="D1078" t="str">
            <v>электрогазосварщик занятый на резке и ручной сварке о/г.р.</v>
          </cell>
          <cell r="E1078" t="str">
            <v>ГЕ 2010108 884617</v>
          </cell>
          <cell r="F1078">
            <v>1323.5</v>
          </cell>
          <cell r="G1078">
            <v>1121.96</v>
          </cell>
          <cell r="H1078">
            <v>1101.96</v>
          </cell>
        </row>
        <row r="1079">
          <cell r="E1079" t="str">
            <v>ЮЭ 2010697 045743</v>
          </cell>
          <cell r="F1079">
            <v>1299.9000000000001</v>
          </cell>
          <cell r="G1079">
            <v>1101.96</v>
          </cell>
          <cell r="H1079">
            <v>0</v>
          </cell>
        </row>
        <row r="1080">
          <cell r="C1080" t="str">
            <v>Сиднеков Олег Анатольевич</v>
          </cell>
          <cell r="D1080" t="str">
            <v>электрогазосварщик, занятый на резке и ручной сварке</v>
          </cell>
          <cell r="E1080" t="str">
            <v>ГБ 2010104 256418</v>
          </cell>
          <cell r="F1080">
            <v>2142.6999999999998</v>
          </cell>
          <cell r="G1080">
            <v>1892.82</v>
          </cell>
          <cell r="H1080">
            <v>0</v>
          </cell>
        </row>
        <row r="1081">
          <cell r="C1081" t="str">
            <v>Синцов Дмитрий Александрович</v>
          </cell>
          <cell r="D1081" t="str">
            <v>электрогазосварщик, занятый на резке и ручной сварке</v>
          </cell>
          <cell r="E1081" t="str">
            <v>ЧБ 2010571 781051</v>
          </cell>
          <cell r="F1081">
            <v>1443.6</v>
          </cell>
          <cell r="G1081">
            <v>1223.74</v>
          </cell>
          <cell r="H1081">
            <v>1034.5</v>
          </cell>
        </row>
        <row r="1082">
          <cell r="E1082" t="str">
            <v>АП 2010037  961461</v>
          </cell>
          <cell r="F1082">
            <v>1220.3</v>
          </cell>
          <cell r="G1082">
            <v>1034.5</v>
          </cell>
          <cell r="H1082">
            <v>0</v>
          </cell>
        </row>
        <row r="1083">
          <cell r="C1083" t="str">
            <v>Сирота Александр Лазаревич</v>
          </cell>
          <cell r="D1083" t="str">
            <v>машинист компрессорных установок</v>
          </cell>
          <cell r="E1083" t="str">
            <v>ВЛ 2010086 294083</v>
          </cell>
          <cell r="F1083">
            <v>1933.4</v>
          </cell>
          <cell r="G1083">
            <v>1638.82</v>
          </cell>
          <cell r="H1083">
            <v>1638.82</v>
          </cell>
        </row>
        <row r="1084">
          <cell r="E1084" t="str">
            <v>АП 2010037 356439</v>
          </cell>
          <cell r="F1084">
            <v>1933.4</v>
          </cell>
          <cell r="G1084">
            <v>1638.82</v>
          </cell>
          <cell r="H1084">
            <v>0</v>
          </cell>
        </row>
        <row r="1085">
          <cell r="C1085" t="str">
            <v>Соломенцев Валерий Викторович</v>
          </cell>
          <cell r="D1085" t="str">
            <v>электрогазосварщик, занятый на резке и ручной сварке</v>
          </cell>
          <cell r="E1085" t="str">
            <v>ЮЭ 2010697 948645</v>
          </cell>
          <cell r="F1085">
            <v>1323.5</v>
          </cell>
          <cell r="G1085">
            <v>1121.96</v>
          </cell>
          <cell r="H1085">
            <v>1101.96</v>
          </cell>
        </row>
        <row r="1086">
          <cell r="E1086" t="str">
            <v>ГЕ 2010108 885335</v>
          </cell>
          <cell r="F1086">
            <v>1299.9000000000001</v>
          </cell>
          <cell r="G1086">
            <v>1101.96</v>
          </cell>
          <cell r="H1086">
            <v>0</v>
          </cell>
        </row>
        <row r="1087">
          <cell r="C1087" t="str">
            <v>Степанов Николай Григорьевич</v>
          </cell>
          <cell r="D1087" t="str">
            <v>проходчик на поверхностных работах</v>
          </cell>
          <cell r="E1087" t="str">
            <v>ГБ 2010104 243417</v>
          </cell>
          <cell r="F1087">
            <v>1410.4</v>
          </cell>
          <cell r="G1087">
            <v>1195.5999999999999</v>
          </cell>
          <cell r="H1087">
            <v>0</v>
          </cell>
        </row>
        <row r="1088">
          <cell r="C1088" t="str">
            <v>Степовой Юрий Анатольевич</v>
          </cell>
          <cell r="D1088" t="str">
            <v>электрогазосварщик, занятый на резке и ручной сварке</v>
          </cell>
          <cell r="E1088" t="str">
            <v>АЕ 2010030 521257</v>
          </cell>
          <cell r="F1088">
            <v>3083.7</v>
          </cell>
          <cell r="G1088">
            <v>2613.65</v>
          </cell>
          <cell r="H1088">
            <v>0</v>
          </cell>
        </row>
        <row r="1089">
          <cell r="C1089" t="str">
            <v>Стетюха Сергей Анатольевич</v>
          </cell>
          <cell r="D1089" t="str">
            <v>электрогазосварщик, занятый на резке и ручной сварке</v>
          </cell>
          <cell r="E1089" t="str">
            <v>ЮЭ 2010697 045363</v>
          </cell>
          <cell r="F1089">
            <v>1567.4</v>
          </cell>
          <cell r="G1089">
            <v>1328.65</v>
          </cell>
          <cell r="H1089">
            <v>1121.96</v>
          </cell>
        </row>
        <row r="1090">
          <cell r="E1090" t="str">
            <v>ГЕ 2010108 885372</v>
          </cell>
          <cell r="F1090">
            <v>1323.5</v>
          </cell>
          <cell r="G1090">
            <v>1121.96</v>
          </cell>
          <cell r="H1090">
            <v>0</v>
          </cell>
        </row>
        <row r="1091">
          <cell r="C1091" t="str">
            <v>Стерляжников Александр Яковлевич</v>
          </cell>
          <cell r="D1091" t="str">
            <v>электрослесарь (слесарь) дежурный и по ремонту оборудования</v>
          </cell>
          <cell r="E1091" t="str">
            <v>АС 2010039 828549</v>
          </cell>
          <cell r="F1091">
            <v>1933.4</v>
          </cell>
          <cell r="G1091">
            <v>1638.82</v>
          </cell>
          <cell r="H1091">
            <v>0</v>
          </cell>
        </row>
        <row r="1092">
          <cell r="C1092" t="str">
            <v>Стешенко Александр Владимирович</v>
          </cell>
          <cell r="D1092" t="str">
            <v>электрогазосварщик, занятый на резке и ручной сварке</v>
          </cell>
          <cell r="E1092" t="str">
            <v>Р 2007013 891795</v>
          </cell>
          <cell r="F1092">
            <v>1497.7</v>
          </cell>
          <cell r="G1092">
            <v>1269.5899999999999</v>
          </cell>
          <cell r="H1092">
            <v>0</v>
          </cell>
        </row>
        <row r="1093">
          <cell r="C1093" t="str">
            <v>Сухляк Юрий Алексеевич</v>
          </cell>
          <cell r="D1093" t="str">
            <v>электрогазосварщик, занятый на резке и ручной сварке</v>
          </cell>
          <cell r="E1093" t="str">
            <v>ВЛ 2010086 552655</v>
          </cell>
          <cell r="F1093">
            <v>1759.2</v>
          </cell>
          <cell r="G1093">
            <v>1491.2</v>
          </cell>
          <cell r="H1093">
            <v>1491.2</v>
          </cell>
        </row>
        <row r="1094">
          <cell r="E1094" t="str">
            <v>С 2007014 119692</v>
          </cell>
          <cell r="F1094">
            <v>1759.2</v>
          </cell>
          <cell r="G1094">
            <v>1491.2</v>
          </cell>
          <cell r="H1094">
            <v>0</v>
          </cell>
        </row>
        <row r="1095">
          <cell r="C1095" t="str">
            <v>Тарабановский Андрей Викторович</v>
          </cell>
          <cell r="D1095" t="str">
            <v>электрослесарь (слесарь) дежурный и по ремонту оборудования</v>
          </cell>
          <cell r="E1095" t="str">
            <v>ЧБ 2010571 781142</v>
          </cell>
          <cell r="F1095">
            <v>1323.5</v>
          </cell>
          <cell r="G1095">
            <v>1121.96</v>
          </cell>
          <cell r="H1095">
            <v>1034.5</v>
          </cell>
        </row>
        <row r="1096">
          <cell r="E1096" t="str">
            <v>АС 2010039 843962</v>
          </cell>
          <cell r="F1096">
            <v>1220.3</v>
          </cell>
          <cell r="G1096">
            <v>1034.5</v>
          </cell>
          <cell r="H1096">
            <v>0</v>
          </cell>
        </row>
        <row r="1097">
          <cell r="C1097" t="str">
            <v>Татевосян Арсен Георгиевич</v>
          </cell>
          <cell r="D1097" t="str">
            <v>электрогазосварщик, занятый на резке и ручной сварке</v>
          </cell>
          <cell r="E1097" t="str">
            <v>АК 2010033 053159</v>
          </cell>
          <cell r="F1097">
            <v>1846.4</v>
          </cell>
          <cell r="G1097">
            <v>1565.1</v>
          </cell>
          <cell r="H1097">
            <v>1491.2</v>
          </cell>
        </row>
        <row r="1098">
          <cell r="E1098" t="str">
            <v>С 2007014 119693</v>
          </cell>
          <cell r="F1098">
            <v>1759.2</v>
          </cell>
          <cell r="G1098">
            <v>1491.2</v>
          </cell>
          <cell r="H1098">
            <v>0</v>
          </cell>
        </row>
        <row r="1099">
          <cell r="C1099" t="str">
            <v>Тилов Мухажир Камалович</v>
          </cell>
          <cell r="D1099" t="str">
            <v>электросварщик ручной сварки</v>
          </cell>
          <cell r="E1099" t="str">
            <v>ВЛ 2010086 295065</v>
          </cell>
          <cell r="F1099">
            <v>1933.4</v>
          </cell>
          <cell r="G1099">
            <v>1638.82</v>
          </cell>
          <cell r="H1099">
            <v>0</v>
          </cell>
        </row>
        <row r="1100">
          <cell r="C1100" t="str">
            <v>Толиченко Максим Станиславович</v>
          </cell>
          <cell r="D1100" t="str">
            <v>электрогазосварщик, занятый на резке и ручной сварке</v>
          </cell>
          <cell r="E1100" t="str">
            <v>ЮМ 2010684 510642</v>
          </cell>
          <cell r="F1100">
            <v>1497.7</v>
          </cell>
          <cell r="G1100">
            <v>1269.5899999999999</v>
          </cell>
          <cell r="H1100">
            <v>0</v>
          </cell>
        </row>
        <row r="1101">
          <cell r="C1101" t="str">
            <v>Улецкий Геннадий Гаврилович</v>
          </cell>
          <cell r="D1101" t="str">
            <v>электросварщик ручной сварки</v>
          </cell>
          <cell r="E1101" t="str">
            <v>ЮЭ 2010697 045483</v>
          </cell>
          <cell r="F1101">
            <v>1567.4</v>
          </cell>
          <cell r="G1101">
            <v>1328.65</v>
          </cell>
          <cell r="H1101">
            <v>1101.96</v>
          </cell>
        </row>
        <row r="1102">
          <cell r="E1102" t="str">
            <v>ЮЭ 2010697 045484</v>
          </cell>
          <cell r="F1102">
            <v>1299.9000000000001</v>
          </cell>
          <cell r="G1102">
            <v>1101.96</v>
          </cell>
          <cell r="H1102">
            <v>0</v>
          </cell>
        </row>
        <row r="1103">
          <cell r="C1103" t="str">
            <v>Федоров Алексей Алексеевич</v>
          </cell>
          <cell r="D1103" t="str">
            <v>электрослесарь дежурный и по ремонту оборудования</v>
          </cell>
          <cell r="E1103" t="str">
            <v>АК 2010033 140912</v>
          </cell>
          <cell r="F1103">
            <v>3240.4</v>
          </cell>
          <cell r="G1103">
            <v>2746.45</v>
          </cell>
          <cell r="H1103">
            <v>2192.73</v>
          </cell>
        </row>
        <row r="1104">
          <cell r="E1104" t="str">
            <v>С 2007014 105740</v>
          </cell>
          <cell r="F1104">
            <v>2587</v>
          </cell>
          <cell r="G1104">
            <v>2192.73</v>
          </cell>
          <cell r="H1104">
            <v>0</v>
          </cell>
        </row>
        <row r="1105">
          <cell r="C1105" t="str">
            <v>Федоров Александр Иванович</v>
          </cell>
          <cell r="D1105" t="str">
            <v>электрослесарь дежурный и по ремонту оборудования</v>
          </cell>
          <cell r="E1105" t="str">
            <v>БЭ 2010074 704263</v>
          </cell>
          <cell r="F1105">
            <v>813.5</v>
          </cell>
          <cell r="G1105">
            <v>689.41</v>
          </cell>
          <cell r="H1105">
            <v>0</v>
          </cell>
        </row>
        <row r="1106">
          <cell r="C1106" t="str">
            <v>Федоров Игорь Александрович</v>
          </cell>
          <cell r="D1106" t="str">
            <v>проходчик на поверхностных работах</v>
          </cell>
          <cell r="E1106" t="str">
            <v>ЮЭ 2010697 948644</v>
          </cell>
          <cell r="F1106">
            <v>1323.5</v>
          </cell>
          <cell r="G1106">
            <v>1121.96</v>
          </cell>
          <cell r="H1106">
            <v>0</v>
          </cell>
        </row>
        <row r="1107">
          <cell r="C1107" t="str">
            <v>Фефилов Валерий Леонидович</v>
          </cell>
          <cell r="D1107" t="str">
            <v>электрослесарь дежурный и по ремонту оборудования</v>
          </cell>
          <cell r="E1107" t="str">
            <v>ЮМ 2010684 418322</v>
          </cell>
          <cell r="F1107">
            <v>1323.5</v>
          </cell>
          <cell r="G1107">
            <v>1121.96</v>
          </cell>
          <cell r="H1107">
            <v>0</v>
          </cell>
        </row>
        <row r="1108">
          <cell r="C1108" t="str">
            <v>Фомин Алексей Николаевич</v>
          </cell>
          <cell r="D1108" t="str">
            <v>проходчик на поверхностных работах</v>
          </cell>
          <cell r="E1108" t="str">
            <v>ЮМ 2010684 419532</v>
          </cell>
          <cell r="F1108">
            <v>1567.4</v>
          </cell>
          <cell r="G1108">
            <v>1328.65</v>
          </cell>
          <cell r="H1108">
            <v>0</v>
          </cell>
        </row>
        <row r="1109">
          <cell r="C1109" t="str">
            <v>Харлампьев Валентин Юрьевич</v>
          </cell>
          <cell r="D1109" t="str">
            <v>проходчик на поверхностных работах</v>
          </cell>
          <cell r="E1109" t="str">
            <v>ГВ 2010105 485201</v>
          </cell>
          <cell r="F1109">
            <v>3397.3</v>
          </cell>
          <cell r="G1109">
            <v>2879.42</v>
          </cell>
          <cell r="H1109">
            <v>2414.16</v>
          </cell>
        </row>
        <row r="1110">
          <cell r="E1110" t="str">
            <v>АС 2010039 809462</v>
          </cell>
          <cell r="F1110">
            <v>2848.3</v>
          </cell>
          <cell r="G1110">
            <v>2414.16</v>
          </cell>
          <cell r="H1110">
            <v>0</v>
          </cell>
        </row>
        <row r="1111">
          <cell r="C1111" t="str">
            <v>Чайко Александр Тимофеевич</v>
          </cell>
          <cell r="D1111" t="str">
            <v>элекрогазосварщик занятый на резке и ручной сварке о/г.р.</v>
          </cell>
          <cell r="E1111" t="str">
            <v>ЕВ 2010156 993604</v>
          </cell>
          <cell r="F1111">
            <v>1846.4</v>
          </cell>
          <cell r="G1111">
            <v>1565.1</v>
          </cell>
          <cell r="H1111">
            <v>1565.1</v>
          </cell>
        </row>
        <row r="1112">
          <cell r="E1112" t="str">
            <v>С 2007014 802783</v>
          </cell>
          <cell r="F1112">
            <v>1846.4</v>
          </cell>
          <cell r="G1112">
            <v>1565.1</v>
          </cell>
          <cell r="H1112">
            <v>0</v>
          </cell>
        </row>
        <row r="1113">
          <cell r="C1113" t="str">
            <v>Черновол Анатолий Алексеевич</v>
          </cell>
          <cell r="D1113" t="str">
            <v>электрослесарь (слесарь) дежурный и по ремонту оборудования</v>
          </cell>
          <cell r="E1113" t="str">
            <v>АИ 2010032 771696</v>
          </cell>
          <cell r="F1113">
            <v>2299.4</v>
          </cell>
          <cell r="G1113">
            <v>1948.99</v>
          </cell>
          <cell r="H1113">
            <v>1638.82</v>
          </cell>
        </row>
        <row r="1114">
          <cell r="E1114" t="str">
            <v>АП 2010037 952686</v>
          </cell>
          <cell r="F1114">
            <v>1933.4</v>
          </cell>
          <cell r="G1114">
            <v>1638.82</v>
          </cell>
          <cell r="H1114">
            <v>0</v>
          </cell>
        </row>
        <row r="1115">
          <cell r="C1115" t="str">
            <v>Чмиль Денис Сергеевич</v>
          </cell>
          <cell r="D1115" t="str">
            <v>проходчик на поверхностных работах</v>
          </cell>
          <cell r="E1115" t="str">
            <v>Р 2007013 712363</v>
          </cell>
          <cell r="F1115">
            <v>1323.5</v>
          </cell>
          <cell r="G1115">
            <v>1121.96</v>
          </cell>
          <cell r="H1115">
            <v>1034.5</v>
          </cell>
        </row>
        <row r="1116">
          <cell r="E1116" t="str">
            <v>С 2007014 118553</v>
          </cell>
          <cell r="F1116">
            <v>1220.3</v>
          </cell>
          <cell r="G1116">
            <v>1034.5</v>
          </cell>
          <cell r="H1116">
            <v>0</v>
          </cell>
        </row>
        <row r="1117">
          <cell r="C1117" t="str">
            <v>Чужиков Алексей Сергеевич</v>
          </cell>
          <cell r="D1117" t="str">
            <v>элекрогазосварщик занятый на резке и ручной сварке о/г.р.</v>
          </cell>
          <cell r="E1117" t="str">
            <v>ЯИ 2010707 811698</v>
          </cell>
          <cell r="F1117">
            <v>2982.3</v>
          </cell>
          <cell r="G1117">
            <v>2527.7199999999998</v>
          </cell>
          <cell r="H1117">
            <v>2303.4899999999998</v>
          </cell>
        </row>
        <row r="1118">
          <cell r="E1118" t="str">
            <v>АП 2010037  963935</v>
          </cell>
          <cell r="F1118">
            <v>2717.7</v>
          </cell>
          <cell r="G1118">
            <v>2303.4899999999998</v>
          </cell>
          <cell r="H1118">
            <v>0</v>
          </cell>
        </row>
        <row r="1119">
          <cell r="C1119" t="str">
            <v>Шакуров Дмитрий Алексеевич</v>
          </cell>
          <cell r="D1119" t="str">
            <v>элекрогазосварщик занятый на резке и ручной сварке о/г.р.</v>
          </cell>
          <cell r="E1119" t="str">
            <v>АЕ 2010030 521256</v>
          </cell>
          <cell r="F1119">
            <v>3083.7</v>
          </cell>
          <cell r="G1119">
            <v>2613.65</v>
          </cell>
          <cell r="H1119">
            <v>2192.73</v>
          </cell>
        </row>
        <row r="1120">
          <cell r="E1120" t="str">
            <v>АК 2010033 140713</v>
          </cell>
          <cell r="F1120">
            <v>2587</v>
          </cell>
          <cell r="G1120">
            <v>2192.73</v>
          </cell>
          <cell r="H1120">
            <v>0</v>
          </cell>
        </row>
        <row r="1121">
          <cell r="C1121" t="str">
            <v>Шарапова Оксана Михайловна</v>
          </cell>
          <cell r="D1121" t="str">
            <v>горнорабочий на маркшейдерских работах</v>
          </cell>
          <cell r="E1121" t="str">
            <v>ЭТ 2010663 842492</v>
          </cell>
          <cell r="F1121">
            <v>2674.6</v>
          </cell>
          <cell r="G1121">
            <v>2266.96</v>
          </cell>
          <cell r="H1121">
            <v>0</v>
          </cell>
        </row>
        <row r="1122">
          <cell r="C1122" t="str">
            <v>Шауэрман Валерий Валерьевич</v>
          </cell>
          <cell r="D1122" t="str">
            <v>проходчик на поверхностных работах</v>
          </cell>
          <cell r="E1122" t="str">
            <v>ЧБ 2010571 562825</v>
          </cell>
          <cell r="F1122">
            <v>3083.7</v>
          </cell>
          <cell r="G1122">
            <v>2613.65</v>
          </cell>
          <cell r="H1122">
            <v>0</v>
          </cell>
        </row>
        <row r="1123">
          <cell r="C1123" t="str">
            <v>Шеин Валерий Сергеевич</v>
          </cell>
          <cell r="D1123" t="str">
            <v>машинист компрессорных установок</v>
          </cell>
          <cell r="E1123" t="str">
            <v>ВЛ 2010086 293104</v>
          </cell>
          <cell r="F1123">
            <v>2299.4</v>
          </cell>
          <cell r="G1123">
            <v>1948.99</v>
          </cell>
          <cell r="H1123">
            <v>1638.82</v>
          </cell>
        </row>
        <row r="1124">
          <cell r="E1124" t="str">
            <v>АК 2010033 075550</v>
          </cell>
          <cell r="F1124">
            <v>1933.4</v>
          </cell>
          <cell r="G1124">
            <v>1638.82</v>
          </cell>
          <cell r="H1124">
            <v>1638.82</v>
          </cell>
        </row>
        <row r="1125">
          <cell r="E1125" t="str">
            <v>ВЛ 2010086 293472</v>
          </cell>
          <cell r="F1125">
            <v>1933.4</v>
          </cell>
          <cell r="G1125">
            <v>1638.82</v>
          </cell>
          <cell r="H1125">
            <v>0</v>
          </cell>
        </row>
        <row r="1126">
          <cell r="C1126" t="str">
            <v>Шеин Павел Валерьевич</v>
          </cell>
          <cell r="D1126" t="str">
            <v>проходчик на поверхностных работах</v>
          </cell>
          <cell r="E1126" t="str">
            <v>ЮМ 2010684 594874</v>
          </cell>
          <cell r="F1126">
            <v>1753.7</v>
          </cell>
          <cell r="G1126">
            <v>1561.39</v>
          </cell>
          <cell r="H1126">
            <v>0</v>
          </cell>
        </row>
        <row r="1127">
          <cell r="C1127" t="str">
            <v>Шиян Игорь Анатольевич</v>
          </cell>
          <cell r="D1127" t="str">
            <v>электрослесарь (слесарь) дежурный и по ремонту оборудования</v>
          </cell>
          <cell r="E1127" t="str">
            <v>ЧБ 2010571 781264</v>
          </cell>
          <cell r="F1127">
            <v>1323.5</v>
          </cell>
          <cell r="G1127">
            <v>1121.96</v>
          </cell>
          <cell r="H1127">
            <v>0</v>
          </cell>
        </row>
        <row r="1128">
          <cell r="C1128" t="str">
            <v>Шквира Славик Тамазович</v>
          </cell>
          <cell r="D1128" t="str">
            <v>электрогазосварщик, занятый на резке и ручной сварке</v>
          </cell>
          <cell r="E1128" t="str">
            <v>АК 2010033 140721</v>
          </cell>
          <cell r="F1128">
            <v>3083.7</v>
          </cell>
          <cell r="G1128">
            <v>2613.65</v>
          </cell>
          <cell r="H1128">
            <v>0</v>
          </cell>
        </row>
        <row r="1129">
          <cell r="C1129" t="str">
            <v>Юрьев Михаил Васильевич</v>
          </cell>
          <cell r="D1129" t="str">
            <v xml:space="preserve">горнорабочий </v>
          </cell>
          <cell r="E1129" t="str">
            <v>АИ 2010032 743707</v>
          </cell>
          <cell r="F1129">
            <v>2299.4</v>
          </cell>
          <cell r="G1129">
            <v>1948.99</v>
          </cell>
          <cell r="H1129">
            <v>0</v>
          </cell>
        </row>
        <row r="1130">
          <cell r="C1130" t="str">
            <v>Янченко Владимир Дмитриевич</v>
          </cell>
          <cell r="D1130" t="str">
            <v>электрогазосварщик, занятый на резке и ручной сварке</v>
          </cell>
          <cell r="E1130" t="str">
            <v>АК 2010033 140911</v>
          </cell>
          <cell r="F1130">
            <v>3240.4</v>
          </cell>
          <cell r="G1130">
            <v>2746.45</v>
          </cell>
          <cell r="H1130">
            <v>2192.73</v>
          </cell>
        </row>
        <row r="1131">
          <cell r="E1131" t="str">
            <v>С 2007014 105741</v>
          </cell>
          <cell r="F1131">
            <v>2587</v>
          </cell>
          <cell r="G1131">
            <v>2192.73</v>
          </cell>
          <cell r="H1131">
            <v>0</v>
          </cell>
        </row>
        <row r="1132">
          <cell r="H1132">
            <v>0</v>
          </cell>
        </row>
        <row r="1133">
          <cell r="C1133" t="str">
            <v>Пряников Евгений Александрович</v>
          </cell>
          <cell r="D1133" t="str">
            <v>Мастер РБУ</v>
          </cell>
          <cell r="E1133" t="str">
            <v>ГБ2010104 257434</v>
          </cell>
          <cell r="F1133">
            <v>2144.9</v>
          </cell>
          <cell r="G1133">
            <v>1895.02</v>
          </cell>
          <cell r="H1133">
            <v>0</v>
          </cell>
        </row>
        <row r="1134">
          <cell r="H1134">
            <v>0</v>
          </cell>
        </row>
        <row r="1135">
          <cell r="C1135" t="str">
            <v>Богомолов Николай Игоревич</v>
          </cell>
          <cell r="D1135" t="str">
            <v>Слесарь</v>
          </cell>
          <cell r="E1135" t="str">
            <v>ЮЭ2010697 681729</v>
          </cell>
          <cell r="F1135">
            <v>1618.3</v>
          </cell>
          <cell r="G1135">
            <v>1371.79</v>
          </cell>
          <cell r="H1135">
            <v>1491.2</v>
          </cell>
        </row>
        <row r="1136">
          <cell r="E1136" t="str">
            <v>БЭ2010074 130119</v>
          </cell>
          <cell r="F1136">
            <v>1759.2</v>
          </cell>
          <cell r="G1136">
            <v>1491.2</v>
          </cell>
          <cell r="H1136">
            <v>0</v>
          </cell>
        </row>
        <row r="1137">
          <cell r="C1137" t="str">
            <v>Буняк Андрей Владимирович</v>
          </cell>
          <cell r="D1137" t="str">
            <v>Электрогазосварщик, занятый на резке и ручной сварке</v>
          </cell>
          <cell r="E1137" t="str">
            <v>ГЕ2010108 885447</v>
          </cell>
          <cell r="F1137">
            <v>2717.7</v>
          </cell>
          <cell r="G1137">
            <v>2303.4899999999998</v>
          </cell>
          <cell r="H1137">
            <v>0</v>
          </cell>
        </row>
        <row r="1138">
          <cell r="C1138" t="str">
            <v>Ерохин Виктор Владимирович</v>
          </cell>
          <cell r="D1138" t="str">
            <v>Слесарь по КИП и автоматике</v>
          </cell>
          <cell r="E1138" t="str">
            <v>ВЛ2010086 539969</v>
          </cell>
          <cell r="F1138">
            <v>2587</v>
          </cell>
          <cell r="G1138">
            <v>2192.73</v>
          </cell>
          <cell r="H1138">
            <v>0</v>
          </cell>
        </row>
        <row r="1139">
          <cell r="C1139" t="str">
            <v>Сычевой Сергей Викторович</v>
          </cell>
          <cell r="D1139" t="str">
            <v>Моторист бетоносмесительных установок</v>
          </cell>
          <cell r="E1139" t="str">
            <v>ГЕ2010108 885446</v>
          </cell>
          <cell r="F1139">
            <v>2717.7</v>
          </cell>
          <cell r="G1139">
            <v>2303.4899999999998</v>
          </cell>
          <cell r="H1139">
            <v>0</v>
          </cell>
        </row>
        <row r="1140">
          <cell r="H1140">
            <v>0</v>
          </cell>
        </row>
        <row r="1141">
          <cell r="H1141">
            <v>0</v>
          </cell>
        </row>
        <row r="1142">
          <cell r="C1142" t="str">
            <v>Дьяковский Владимир Иванович</v>
          </cell>
          <cell r="D1142" t="str">
            <v>Машинист крана автомобильного</v>
          </cell>
          <cell r="E1142" t="str">
            <v>ВЛ2010086 243268</v>
          </cell>
          <cell r="F1142">
            <v>2259.1999999999998</v>
          </cell>
          <cell r="G1142">
            <v>1991.44</v>
          </cell>
          <cell r="H1142">
            <v>0</v>
          </cell>
        </row>
        <row r="1143">
          <cell r="C1143" t="str">
            <v>Зайцев Тимофей Иванович</v>
          </cell>
          <cell r="D1143" t="str">
            <v>Машинист крана автомобильного</v>
          </cell>
          <cell r="E1143" t="str">
            <v>ГЕ2010108 885343</v>
          </cell>
          <cell r="F1143">
            <v>2848.3</v>
          </cell>
          <cell r="G1143">
            <v>2414.16</v>
          </cell>
          <cell r="H1143">
            <v>0</v>
          </cell>
        </row>
        <row r="1144">
          <cell r="C1144" t="str">
            <v>Рыков Сергей Николаевич</v>
          </cell>
          <cell r="D1144" t="str">
            <v>Машинист крана автомобильного</v>
          </cell>
          <cell r="E1144" t="str">
            <v>ГБ2010104 551018</v>
          </cell>
          <cell r="F1144">
            <v>1140.5</v>
          </cell>
          <cell r="G1144">
            <v>966.87</v>
          </cell>
          <cell r="H1144">
            <v>0</v>
          </cell>
        </row>
        <row r="1145">
          <cell r="C1145" t="str">
            <v>Свининников Василий Александрович</v>
          </cell>
          <cell r="D1145" t="str">
            <v xml:space="preserve">Водитель погрузчиков,занятые погрузкой горной массы  </v>
          </cell>
          <cell r="E1145" t="str">
            <v>ЦН2010555 977570</v>
          </cell>
          <cell r="F1145">
            <v>2717.7</v>
          </cell>
          <cell r="G1145">
            <v>2304.4899999999998</v>
          </cell>
          <cell r="H1145">
            <v>0</v>
          </cell>
        </row>
        <row r="1146">
          <cell r="C1146" t="str">
            <v>Фильченко Сергей Михайлович</v>
          </cell>
          <cell r="D1146" t="str">
            <v xml:space="preserve">Водитель погрузчиков,занятые погрузкой горной массы  </v>
          </cell>
          <cell r="E1146" t="str">
            <v>ВЛ2010086 553693</v>
          </cell>
          <cell r="F1146">
            <v>2717.7</v>
          </cell>
          <cell r="G1146">
            <v>2303.4899999999998</v>
          </cell>
          <cell r="H1146">
            <v>0</v>
          </cell>
        </row>
        <row r="1147">
          <cell r="H1147">
            <v>0</v>
          </cell>
        </row>
        <row r="1148">
          <cell r="C1148" t="str">
            <v>Агафонов Андрей Андреевич</v>
          </cell>
          <cell r="D1148" t="str">
            <v>Водитель автомобиля</v>
          </cell>
          <cell r="E1148" t="str">
            <v>ГЕ2010108 884945</v>
          </cell>
          <cell r="F1148">
            <v>2717.7</v>
          </cell>
          <cell r="G1148">
            <v>2303.4899999999998</v>
          </cell>
          <cell r="H1148">
            <v>0</v>
          </cell>
        </row>
        <row r="1149">
          <cell r="C1149" t="str">
            <v>Жердев Руслан Геннадьевич</v>
          </cell>
          <cell r="D1149" t="str">
            <v>Водитель автомобиля</v>
          </cell>
          <cell r="E1149" t="str">
            <v>АЕ2010030 526812</v>
          </cell>
          <cell r="F1149">
            <v>2717.7</v>
          </cell>
          <cell r="G1149">
            <v>2303.4899999999998</v>
          </cell>
          <cell r="H1149">
            <v>0</v>
          </cell>
        </row>
        <row r="1150">
          <cell r="C1150" t="str">
            <v>Малухов Роман Сергеевич</v>
          </cell>
          <cell r="D1150" t="str">
            <v>Водитель автомобиля</v>
          </cell>
          <cell r="E1150" t="str">
            <v>ВЛ2010086 583836</v>
          </cell>
          <cell r="F1150">
            <v>1933.4</v>
          </cell>
          <cell r="G1150">
            <v>1638.82</v>
          </cell>
          <cell r="H1150">
            <v>0</v>
          </cell>
        </row>
        <row r="1151">
          <cell r="C1151" t="str">
            <v>Скрыпаль Андрей Викторович</v>
          </cell>
          <cell r="D1151" t="str">
            <v>Водитель автомобиля</v>
          </cell>
          <cell r="E1151" t="str">
            <v>ВЛ2010086 246519</v>
          </cell>
          <cell r="F1151">
            <v>2717.7</v>
          </cell>
          <cell r="G1151">
            <v>2303.4899999999998</v>
          </cell>
          <cell r="H1151">
            <v>0</v>
          </cell>
        </row>
        <row r="1152">
          <cell r="C1152" t="str">
            <v>Фищенко Александр Михайлович</v>
          </cell>
          <cell r="D1152" t="str">
            <v>Водитель автомобиля</v>
          </cell>
          <cell r="E1152" t="str">
            <v>ГЕ2010108 885331</v>
          </cell>
          <cell r="F1152">
            <v>1933.4</v>
          </cell>
          <cell r="G1152">
            <v>1638.82</v>
          </cell>
          <cell r="H1152">
            <v>0</v>
          </cell>
        </row>
        <row r="1153">
          <cell r="C1153" t="str">
            <v>Яньшин Александр Егорович</v>
          </cell>
          <cell r="D1153" t="str">
            <v>Водитель автомобиля</v>
          </cell>
          <cell r="E1153" t="str">
            <v>ВЛ2010086 248934</v>
          </cell>
          <cell r="F1153">
            <v>2848.3</v>
          </cell>
          <cell r="G1153">
            <v>2414.16</v>
          </cell>
          <cell r="H1153">
            <v>0</v>
          </cell>
        </row>
        <row r="1154">
          <cell r="H1154">
            <v>0</v>
          </cell>
        </row>
        <row r="1155">
          <cell r="C1155" t="str">
            <v>Рожновский Владимир Николаевич</v>
          </cell>
          <cell r="D1155" t="str">
            <v>Водитель автомобиля</v>
          </cell>
          <cell r="E1155" t="str">
            <v>АЕ2010030 526938</v>
          </cell>
          <cell r="F1155">
            <v>2717.7</v>
          </cell>
          <cell r="G1155">
            <v>2303.4899999999998</v>
          </cell>
          <cell r="H1155">
            <v>0</v>
          </cell>
        </row>
        <row r="1156">
          <cell r="H1156">
            <v>0</v>
          </cell>
        </row>
        <row r="1157">
          <cell r="C1157" t="str">
            <v>Костин Валерий Павлович</v>
          </cell>
          <cell r="D1157" t="str">
            <v>Водитель автобуса</v>
          </cell>
          <cell r="E1157" t="str">
            <v>ГБ2010104 622585</v>
          </cell>
          <cell r="F1157">
            <v>1410.4</v>
          </cell>
          <cell r="G1157">
            <v>1195.5999999999999</v>
          </cell>
          <cell r="H1157">
            <v>0</v>
          </cell>
        </row>
        <row r="1158">
          <cell r="H1158">
            <v>0</v>
          </cell>
        </row>
        <row r="1159">
          <cell r="H1159">
            <v>0</v>
          </cell>
        </row>
        <row r="1160">
          <cell r="C1160" t="str">
            <v>Мажугин Александр Петрович</v>
          </cell>
          <cell r="D1160" t="str">
            <v>Механик автомобильной колонны</v>
          </cell>
          <cell r="E1160" t="str">
            <v>ВЛ2010086 032678</v>
          </cell>
          <cell r="F1160">
            <v>2587</v>
          </cell>
          <cell r="G1160">
            <v>2193.5300000000002</v>
          </cell>
          <cell r="H1160">
            <v>0</v>
          </cell>
        </row>
        <row r="1161">
          <cell r="H1161">
            <v>0</v>
          </cell>
        </row>
        <row r="1162">
          <cell r="C1162" t="str">
            <v>Головченко Сергей Евгеньевич</v>
          </cell>
          <cell r="D1162" t="str">
            <v>Слесарь по ремонту автомобилей</v>
          </cell>
          <cell r="E1162" t="str">
            <v>ЦН2010555 973048</v>
          </cell>
          <cell r="F1162">
            <v>2717.7</v>
          </cell>
          <cell r="G1162">
            <v>2303.4899999999998</v>
          </cell>
          <cell r="H1162">
            <v>0</v>
          </cell>
        </row>
        <row r="1163">
          <cell r="C1163" t="str">
            <v>Усанов Михаил Юрьевич</v>
          </cell>
          <cell r="D1163" t="str">
            <v>Слесарь по ремонту автомобилей</v>
          </cell>
          <cell r="E1163" t="str">
            <v>ВЛ2010086 552290</v>
          </cell>
          <cell r="F1163">
            <v>1759.2</v>
          </cell>
          <cell r="G1163">
            <v>1491.2</v>
          </cell>
          <cell r="H1163">
            <v>0</v>
          </cell>
        </row>
        <row r="1164">
          <cell r="H1164">
            <v>0</v>
          </cell>
        </row>
        <row r="1165">
          <cell r="C1165" t="str">
            <v>Горохова Алена Николаевна</v>
          </cell>
          <cell r="D1165" t="str">
            <v>Инженер-лаборант</v>
          </cell>
          <cell r="E1165" t="str">
            <v>ЕВ2010156 957659</v>
          </cell>
          <cell r="F1165">
            <v>2848.3</v>
          </cell>
          <cell r="G1165">
            <v>2414.16</v>
          </cell>
          <cell r="H1165">
            <v>2879.42</v>
          </cell>
        </row>
        <row r="1166">
          <cell r="E1166" t="str">
            <v>ЕВ2010156 957658</v>
          </cell>
          <cell r="F1166">
            <v>3397.3</v>
          </cell>
          <cell r="G1166">
            <v>2879.42</v>
          </cell>
          <cell r="H1166">
            <v>0</v>
          </cell>
        </row>
        <row r="1167">
          <cell r="C1167" t="str">
            <v>Карпенко Любовь Валентиновна</v>
          </cell>
          <cell r="D1167" t="str">
            <v>Инженер II категории</v>
          </cell>
          <cell r="E1167" t="str">
            <v>5556126 354551</v>
          </cell>
          <cell r="F1167">
            <v>2616.3000000000002</v>
          </cell>
          <cell r="G1167">
            <v>2217.1999999999998</v>
          </cell>
          <cell r="H1167">
            <v>2217.1999999999998</v>
          </cell>
        </row>
        <row r="1168">
          <cell r="E1168" t="str">
            <v>823612 505401</v>
          </cell>
          <cell r="F1168">
            <v>2616.3000000000002</v>
          </cell>
          <cell r="G1168">
            <v>2217.1999999999998</v>
          </cell>
          <cell r="H1168">
            <v>0</v>
          </cell>
        </row>
        <row r="1175">
          <cell r="H1175">
            <v>0</v>
          </cell>
        </row>
      </sheetData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вах(б)"/>
      <sheetName val="эл т"/>
      <sheetName val="вах(т)"/>
      <sheetName val="#ССЫЛКА"/>
      <sheetName val="июнь ТО-45"/>
      <sheetName val="C.с  (2)"/>
      <sheetName val="инд. 2кв. 09г. ДОП 1"/>
    </sheetNames>
    <sheetDataSet>
      <sheetData sheetId="0" refreshError="1">
        <row r="37">
          <cell r="E37">
            <v>15856.866666666667</v>
          </cell>
        </row>
      </sheetData>
      <sheetData sheetId="1"/>
      <sheetData sheetId="2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Дороги"/>
      <sheetName val="Сети"/>
      <sheetName val="Площадки"/>
      <sheetName val="база"/>
      <sheetName val="Коэффициенты"/>
    </sheetNames>
    <sheetDataSet>
      <sheetData sheetId="0" refreshError="1"/>
      <sheetData sheetId="1"/>
      <sheetData sheetId="2" refreshError="1"/>
      <sheetData sheetId="3">
        <row r="1">
          <cell r="A1" t="str">
            <v xml:space="preserve"> </v>
          </cell>
          <cell r="E1" t="str">
            <v xml:space="preserve"> </v>
          </cell>
        </row>
        <row r="2">
          <cell r="A2" t="str">
            <v>ООО "Институт Каналстройпроект"</v>
          </cell>
          <cell r="E2" t="str">
            <v>Моськин В.А.</v>
          </cell>
          <cell r="G2" t="str">
            <v>Исполнительная смета № 1</v>
          </cell>
          <cell r="J2" t="str">
            <v>стадия П</v>
          </cell>
        </row>
        <row r="3">
          <cell r="A3" t="str">
            <v>ЗАО "Капстройпроект"</v>
          </cell>
          <cell r="E3" t="str">
            <v>Лысов А.Е.</v>
          </cell>
          <cell r="G3" t="str">
            <v>Cмета № 1</v>
          </cell>
          <cell r="J3" t="str">
            <v>стадия РД</v>
          </cell>
        </row>
        <row r="4">
          <cell r="A4" t="str">
            <v>ООО "Каналсетьпроект"</v>
          </cell>
          <cell r="E4" t="str">
            <v>Четыркина Г.В.</v>
          </cell>
          <cell r="G4" t="str">
            <v>Исполнительная смета № 2</v>
          </cell>
        </row>
        <row r="5">
          <cell r="A5" t="str">
            <v>ЗАО "Гендирекция Центр"</v>
          </cell>
          <cell r="E5" t="str">
            <v>Шлячков Д.</v>
          </cell>
          <cell r="G5" t="str">
            <v>Cмета № 2</v>
          </cell>
        </row>
        <row r="6">
          <cell r="A6" t="str">
            <v>ЗАО "ТУКС - 4"</v>
          </cell>
          <cell r="E6" t="str">
            <v>Шувалов Д.Ю.</v>
          </cell>
          <cell r="G6" t="str">
            <v>Исполнительная смета № 3</v>
          </cell>
        </row>
        <row r="7">
          <cell r="A7" t="str">
            <v>ЗАО "ТУКС - 2"</v>
          </cell>
          <cell r="E7" t="str">
            <v>Сагаев Р.Б.</v>
          </cell>
          <cell r="G7" t="str">
            <v>Cмета № 3</v>
          </cell>
        </row>
        <row r="8">
          <cell r="A8" t="str">
            <v>ЗАО "ТУКС - 1"</v>
          </cell>
        </row>
        <row r="9">
          <cell r="A9" t="str">
            <v>ЗАО "ТУКС - 3"</v>
          </cell>
        </row>
        <row r="10">
          <cell r="A10" t="str">
            <v>ЗАО "ТУКС № 7 ЮВ"</v>
          </cell>
        </row>
        <row r="11">
          <cell r="A11" t="str">
            <v>ГУП "Моссвет"</v>
          </cell>
        </row>
        <row r="12">
          <cell r="A12" t="str">
            <v>ЗАО "Альстрой"</v>
          </cell>
        </row>
        <row r="13">
          <cell r="A13" t="str">
            <v>ООО "Архинж"</v>
          </cell>
        </row>
        <row r="14">
          <cell r="A14" t="str">
            <v>МГУП "Мосводоканал УКС ГТС"</v>
          </cell>
        </row>
        <row r="15">
          <cell r="A15" t="str">
            <v>ПУНС МГП "Мосводоканал"</v>
          </cell>
        </row>
        <row r="16">
          <cell r="A16" t="str">
            <v>ЗАО "УКС"</v>
          </cell>
        </row>
        <row r="17">
          <cell r="A17" t="str">
            <v>ЗАО "УКС объектов здравоохранения"</v>
          </cell>
        </row>
        <row r="18">
          <cell r="A18" t="str">
            <v>ООО "Зеленоградкапстрой"</v>
          </cell>
        </row>
        <row r="19">
          <cell r="A19" t="str">
            <v>ГУП МНИИП "Моспроект-4"</v>
          </cell>
        </row>
        <row r="20">
          <cell r="A20" t="str">
            <v>ЗАО "Дон-строй"</v>
          </cell>
        </row>
        <row r="21">
          <cell r="A21" t="str">
            <v>ООО "Региональная финансово-строительная компания"</v>
          </cell>
        </row>
        <row r="22">
          <cell r="A22" t="str">
            <v>ООО "ПИК Инвест"</v>
          </cell>
        </row>
        <row r="23">
          <cell r="A23" t="str">
            <v>ЗАО "Инвестстрой"</v>
          </cell>
        </row>
        <row r="24">
          <cell r="A24" t="str">
            <v>ООО  ОКС "СУ-155"</v>
          </cell>
        </row>
        <row r="25">
          <cell r="A25" t="str">
            <v>ООО "Фирма Вершина"</v>
          </cell>
        </row>
        <row r="26">
          <cell r="A26" t="str">
            <v>ООО "АПЦ "Проспроект"</v>
          </cell>
        </row>
        <row r="27">
          <cell r="A27" t="str">
            <v>ОАО "Метрогипротранс"</v>
          </cell>
        </row>
        <row r="28">
          <cell r="A28" t="str">
            <v>ООО ПСФ "КРОСТ"</v>
          </cell>
        </row>
        <row r="29">
          <cell r="A29" t="str">
            <v>УКС ГУП "Мосгаз"</v>
          </cell>
        </row>
        <row r="30">
          <cell r="A30" t="str">
            <v>ООО "Межрегиональный союз строителей"</v>
          </cell>
        </row>
        <row r="31">
          <cell r="A31" t="str">
            <v>ООО "Жилкапстрой"</v>
          </cell>
        </row>
        <row r="32">
          <cell r="A32" t="str">
            <v>ЗАО "УКС ИКС и Д"</v>
          </cell>
        </row>
        <row r="33">
          <cell r="A33" t="str">
            <v>ГУП "Мосинжпроект"</v>
          </cell>
        </row>
        <row r="34">
          <cell r="A34" t="str">
            <v>ООО "Жилкапстрой"</v>
          </cell>
        </row>
        <row r="35">
          <cell r="A35" t="str">
            <v>ООО "СветоСервиС"</v>
          </cell>
        </row>
        <row r="36">
          <cell r="A36" t="str">
            <v>ООО "МНПП СВЭН"</v>
          </cell>
        </row>
        <row r="37">
          <cell r="A37" t="str">
            <v>ЗАО "СОРВиК"</v>
          </cell>
        </row>
        <row r="38">
          <cell r="A38" t="str">
            <v>ЗАО "ИНЖПРОЕКТСЕРВИС"</v>
          </cell>
        </row>
        <row r="39">
          <cell r="A39" t="str">
            <v>ЗАО "ИНСТИТУТ ПРОМОС"</v>
          </cell>
        </row>
        <row r="40">
          <cell r="A40" t="str">
            <v>ЗАО "УКС КБН"</v>
          </cell>
        </row>
        <row r="41">
          <cell r="A41" t="str">
            <v>ЗАО "ГЕОТОК"</v>
          </cell>
        </row>
        <row r="42">
          <cell r="A42" t="str">
            <v>ЗАО "ММА + Фицрой Робинсон Интернэшенл"</v>
          </cell>
        </row>
        <row r="43">
          <cell r="A43" t="str">
            <v>ЗАО "МОСПРОМСТРОЙ" ФИРМА "АРС"</v>
          </cell>
        </row>
        <row r="44">
          <cell r="A44" t="str">
            <v>Архитектурно-проектная мастерская ООО "Малая Студия"</v>
          </cell>
        </row>
        <row r="45">
          <cell r="A45" t="str">
            <v>ООО "ТУКС МОСПРОМСТРОЙ"</v>
          </cell>
        </row>
        <row r="46">
          <cell r="A46" t="str">
            <v>ГУП "МНИИТЭП"</v>
          </cell>
        </row>
        <row r="47">
          <cell r="A47" t="str">
            <v>НПО "КОСМОС"</v>
          </cell>
        </row>
        <row r="48">
          <cell r="A48" t="str">
            <v>ООО "ПРОК - энерго 2001"</v>
          </cell>
        </row>
        <row r="49">
          <cell r="A49" t="str">
            <v>ОАО "УКС НАУКА"</v>
          </cell>
        </row>
        <row r="50">
          <cell r="A50" t="str">
            <v>ГУП "МосводоканалНИИпроект"</v>
          </cell>
        </row>
        <row r="51">
          <cell r="A51" t="str">
            <v>ФГУП «Институт общественных зданий»</v>
          </cell>
        </row>
        <row r="52">
          <cell r="A52" t="str">
            <v>ОАО "СТРОЙПРОЕКТ"</v>
          </cell>
        </row>
        <row r="53">
          <cell r="A53" t="str">
            <v>ЗАО "ИНВЕСТСТРОЙ"</v>
          </cell>
        </row>
        <row r="54">
          <cell r="A54" t="str">
            <v>ЗАО "СТРОЙИНДУСТРИЯ"</v>
          </cell>
        </row>
      </sheetData>
      <sheetData sheetId="4">
        <row r="1">
          <cell r="A1" t="str">
            <v xml:space="preserve"> </v>
          </cell>
        </row>
        <row r="2">
          <cell r="A2" t="str">
            <v>1,1</v>
          </cell>
        </row>
        <row r="3">
          <cell r="A3" t="str">
            <v>1,25</v>
          </cell>
        </row>
        <row r="4">
          <cell r="A4" t="str">
            <v>1,43</v>
          </cell>
        </row>
        <row r="5">
          <cell r="A5" t="str">
            <v>1,67</v>
          </cell>
        </row>
        <row r="6">
          <cell r="A6" t="str">
            <v>2</v>
          </cell>
        </row>
      </sheetData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"/>
      <sheetName val="Ф"/>
      <sheetName val="К.С.М."/>
      <sheetName val="Тр. "/>
      <sheetName val="ПИР"/>
      <sheetName val="ПИР т"/>
      <sheetName val="П.з. л. c"/>
      <sheetName val="зим"/>
      <sheetName val="C.с "/>
      <sheetName val="Сод.р.в."/>
      <sheetName val="П.з.р.в."/>
      <sheetName val="сод"/>
      <sheetName val="Лист1"/>
      <sheetName val="Обстановка дороги"/>
      <sheetName val="Автопавильон"/>
      <sheetName val="Дорожная одежда"/>
      <sheetName val="Вертик.планировка"/>
      <sheetName val=" Подготовительные работы"/>
      <sheetName val="Врем.здания"/>
      <sheetName val="Земляное полотно"/>
      <sheetName val="Зима"/>
      <sheetName val="Объездные дороги"/>
      <sheetName val="Озеленение"/>
      <sheetName val="Пересечения и примыкания"/>
      <sheetName val="Рекультивация"/>
      <sheetName val="Искусственные сооружения"/>
      <sheetName val="К.С.М. (ПУТ)"/>
      <sheetName val="цены_азот"/>
    </sheetNames>
    <sheetDataSet>
      <sheetData sheetId="0" refreshError="1"/>
      <sheetData sheetId="1"/>
      <sheetData sheetId="2">
        <row r="33">
          <cell r="P33">
            <v>77.190000000000012</v>
          </cell>
        </row>
      </sheetData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"/>
      <sheetName val="Ф"/>
      <sheetName val="К.С.М."/>
      <sheetName val="Тр."/>
      <sheetName val="C.с "/>
      <sheetName val="зим"/>
      <sheetName val="эл"/>
      <sheetName val="вах"/>
      <sheetName val="П.з. л. c"/>
      <sheetName val="П.з.р.в."/>
      <sheetName val="ПИРб"/>
      <sheetName val="ПИРт"/>
      <sheetName val="Сод р.в."/>
      <sheetName val="Сод.л.см"/>
      <sheetName val="вах(б)"/>
      <sheetName val="Расчет"/>
      <sheetName val="C.с"/>
    </sheetNames>
    <sheetDataSet>
      <sheetData sheetId="0"/>
      <sheetData sheetId="1"/>
      <sheetData sheetId="2"/>
      <sheetData sheetId="3">
        <row r="18">
          <cell r="H18">
            <v>11.68</v>
          </cell>
        </row>
      </sheetData>
      <sheetData sheetId="4"/>
      <sheetData sheetId="5">
        <row r="33">
          <cell r="C33">
            <v>249.96</v>
          </cell>
        </row>
        <row r="48">
          <cell r="H48">
            <v>24.19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С-3"/>
      <sheetName val="Инструкция"/>
      <sheetName val="Бланк"/>
      <sheetName val="Данные"/>
    </sheetNames>
    <sheetDataSet>
      <sheetData sheetId="0">
        <row r="1">
          <cell r="J1" t="str">
            <v>18</v>
          </cell>
        </row>
        <row r="3">
          <cell r="M3" t="str">
            <v>Апрель 2014</v>
          </cell>
          <cell r="N3" t="str">
            <v>Силовое электрооборудование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2"/>
      <sheetName val="Сводка ТКЛ"/>
      <sheetName val="КС-3дек"/>
      <sheetName val="Лист3"/>
      <sheetName val="143 (на сентябрь)"/>
      <sheetName val="126"/>
    </sheetNames>
    <sheetDataSet>
      <sheetData sheetId="0" refreshError="1">
        <row r="1">
          <cell r="G1" t="str">
            <v>1759и-3-59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"/>
      <sheetName val="Ф"/>
      <sheetName val="К.С.М.(дор.+мост)"/>
      <sheetName val="Тр.(дор.)"/>
      <sheetName val="Тр.  (мост)"/>
      <sheetName val="Сод.л.см"/>
      <sheetName val="Сод.р.в."/>
      <sheetName val="П.з.р.в"/>
      <sheetName val="П.з.л.см"/>
      <sheetName val="C.с"/>
      <sheetName val="В.ст.дор"/>
      <sheetName val="В.ст.мост"/>
      <sheetName val="Вр"/>
      <sheetName val="зим"/>
      <sheetName val="эл"/>
      <sheetName val="ПИРб"/>
      <sheetName val="ПИРт"/>
      <sheetName val="2012(КСЛ) (2)"/>
      <sheetName val="12"/>
      <sheetName val="C.с "/>
      <sheetName val="К.С.М.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39">
          <cell r="D39">
            <v>6.12</v>
          </cell>
        </row>
        <row r="92">
          <cell r="D92">
            <v>10.24</v>
          </cell>
        </row>
        <row r="123">
          <cell r="D123">
            <v>56.15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ЭН1_БНС"/>
      <sheetName val="ЭН2_БНС"/>
      <sheetName val="ЭН14_БНС"/>
      <sheetName val="1-1-4"/>
      <sheetName val="8-4_времен.дорога А-В"/>
      <sheetName val="2-4-9_дорога 3"/>
      <sheetName val="1-1-11_Зем.работы площадки"/>
      <sheetName val="1-1-8_островки"/>
      <sheetName val="9 навМОСТОВИК"/>
      <sheetName val="Эл.энергия без 100 кВт"/>
      <sheetName val="М2_БНС"/>
      <sheetName val="ЭН14_Ростверк"/>
      <sheetName val="ЭН14_СВСиУ"/>
      <sheetName val="ЭН15_БНС"/>
      <sheetName val="ЭН13_БНС"/>
      <sheetName val="ЭН13_СВСиУ"/>
      <sheetName val="ЭН3_БНС"/>
      <sheetName val="ЭН16_БНС"/>
      <sheetName val="Ф-2 надбавка ДВ%"/>
      <sheetName val="Ф-2 вах.метод"/>
      <sheetName val="перебазировка"/>
      <sheetName val="Аренда флота"/>
      <sheetName val="КС-3"/>
      <sheetName val="КС-3_ноябрь полная"/>
      <sheetName val="КС-3_ноябрь"/>
      <sheetName val="Реестр актов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ротокол ДЦ"/>
      <sheetName val="СВОД"/>
      <sheetName val="Расчет стоимости"/>
      <sheetName val="Лист1"/>
      <sheetName val="Расшифровка гр.3"/>
      <sheetName val="Разбивка ОиС работ"/>
      <sheetName val="Календарный план"/>
      <sheetName val="Расшифровка смет.стоим_сл"/>
      <sheetName val="Для КС-3"/>
      <sheetName val="Распределение_служебная"/>
      <sheetName val="КС-2 ИЮНЬ 2014"/>
      <sheetName val="КС-3 (июнь) 14"/>
      <sheetName val="КС-3 &lt;- &gt;КС-3"/>
      <sheetName val="Реестр"/>
      <sheetName val="Тр.  (мост)"/>
    </sheetNames>
    <sheetDataSet>
      <sheetData sheetId="0">
        <row r="11">
          <cell r="E11">
            <v>1581306492.8099999</v>
          </cell>
        </row>
        <row r="22">
          <cell r="E22">
            <v>113307051.39000002</v>
          </cell>
        </row>
      </sheetData>
      <sheetData sheetId="1"/>
      <sheetData sheetId="2">
        <row r="910">
          <cell r="J910">
            <v>1353380760.0050001</v>
          </cell>
          <cell r="K910">
            <v>45276057.115599997</v>
          </cell>
          <cell r="L910">
            <v>6956477.450000003</v>
          </cell>
          <cell r="M910">
            <v>15433375.630000001</v>
          </cell>
          <cell r="N910">
            <v>28369350.390000008</v>
          </cell>
          <cell r="O910">
            <v>1449416020.5906</v>
          </cell>
        </row>
      </sheetData>
      <sheetData sheetId="3">
        <row r="138">
          <cell r="M138">
            <v>0.98439548548203604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6">
          <cell r="N26" t="str">
            <v>Компенсация с НДС</v>
          </cell>
        </row>
      </sheetData>
      <sheetData sheetId="13"/>
      <sheetData sheetId="14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.з.р.в."/>
      <sheetName val="К"/>
      <sheetName val="Ф"/>
      <sheetName val="К.С.М."/>
      <sheetName val="Тр."/>
      <sheetName val="Сод р.в."/>
      <sheetName val="Сод.л.см"/>
      <sheetName val="зим"/>
      <sheetName val="C.с "/>
      <sheetName val="вах"/>
      <sheetName val="ГИБДД"/>
      <sheetName val="П.з. л. c"/>
      <sheetName val="12"/>
      <sheetName val="C.с"/>
      <sheetName val="контрагенты"/>
    </sheetNames>
    <sheetDataSet>
      <sheetData sheetId="0"/>
      <sheetData sheetId="1"/>
      <sheetData sheetId="2">
        <row r="52">
          <cell r="H52">
            <v>58.765040000000006</v>
          </cell>
        </row>
      </sheetData>
      <sheetData sheetId="3"/>
      <sheetData sheetId="4">
        <row r="35">
          <cell r="H35">
            <v>9.33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 refreshError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"/>
      <sheetName val="Ф"/>
      <sheetName val="К.С.М."/>
      <sheetName val="Тр."/>
      <sheetName val="C.с "/>
      <sheetName val="зим"/>
      <sheetName val="эл"/>
      <sheetName val="вах"/>
      <sheetName val="П.з. л. c"/>
      <sheetName val="П.з.р.в."/>
      <sheetName val="ПИРб"/>
      <sheetName val="ПИРт"/>
      <sheetName val="Сод р.в."/>
      <sheetName val="Сод.л.см"/>
      <sheetName val="C.с"/>
    </sheetNames>
    <sheetDataSet>
      <sheetData sheetId="0"/>
      <sheetData sheetId="1"/>
      <sheetData sheetId="2"/>
      <sheetData sheetId="3" refreshError="1">
        <row r="18">
          <cell r="H18">
            <v>11.68</v>
          </cell>
        </row>
        <row r="21">
          <cell r="H21">
            <v>9.64</v>
          </cell>
        </row>
        <row r="27">
          <cell r="H27">
            <v>4.5599999999999996</v>
          </cell>
        </row>
        <row r="30">
          <cell r="H30">
            <v>2.04</v>
          </cell>
        </row>
        <row r="39">
          <cell r="H39">
            <v>1.97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"/>
      <sheetName val="Ф"/>
      <sheetName val="К.С.М."/>
      <sheetName val="Тр."/>
      <sheetName val="Тр. (2)"/>
      <sheetName val="C.с "/>
      <sheetName val="C.с  (2)"/>
      <sheetName val="C.сбаз.и"/>
      <sheetName val="Р1 (2)"/>
      <sheetName val="Р1 (И)"/>
      <sheetName val="П.з "/>
      <sheetName val="сод"/>
      <sheetName val="сод (2)"/>
      <sheetName val="сод р.в."/>
      <sheetName val="П.з  (2)"/>
      <sheetName val="П.з  (3)"/>
      <sheetName val="C.сбаз.и (РД)"/>
      <sheetName val="Ер"/>
      <sheetName val="Р1"/>
      <sheetName val="ПИР"/>
      <sheetName val="C.с  (3)"/>
      <sheetName val="ок.ср."/>
      <sheetName val="#ССЫЛКА"/>
      <sheetName val="отгр ГОК"/>
    </sheetNames>
    <sheetDataSet>
      <sheetData sheetId="0" refreshError="1"/>
      <sheetData sheetId="1"/>
      <sheetData sheetId="2"/>
      <sheetData sheetId="3">
        <row r="31">
          <cell r="H31">
            <v>2.1999999999999997</v>
          </cell>
        </row>
      </sheetData>
      <sheetData sheetId="4">
        <row r="31">
          <cell r="H31">
            <v>2.1999999999999997</v>
          </cell>
        </row>
      </sheetData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  <sheetData sheetId="17"/>
      <sheetData sheetId="18"/>
      <sheetData sheetId="19"/>
      <sheetData sheetId="20"/>
      <sheetData sheetId="21" refreshError="1"/>
      <sheetData sheetId="22" refreshError="1"/>
      <sheetData sheetId="23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"/>
      <sheetName val="Е.р."/>
      <sheetName val="К"/>
      <sheetName val="Ф"/>
      <sheetName val="К.С.М."/>
      <sheetName val="Тр."/>
      <sheetName val="Р1"/>
      <sheetName val="Р2"/>
      <sheetName val="Р2 (2)"/>
      <sheetName val="Р3"/>
      <sheetName val="C.с"/>
      <sheetName val="C.с (2)"/>
      <sheetName val="C.с (3)"/>
      <sheetName val="Сод"/>
      <sheetName val="П.з"/>
      <sheetName val="ПИР"/>
      <sheetName val="Тр. (2)"/>
      <sheetName val="Консолидированный"/>
    </sheetNames>
    <sheetDataSet>
      <sheetData sheetId="0"/>
      <sheetData sheetId="1"/>
      <sheetData sheetId="2"/>
      <sheetData sheetId="3"/>
      <sheetData sheetId="4"/>
      <sheetData sheetId="5">
        <row r="27">
          <cell r="H27">
            <v>2.41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.С.М."/>
      <sheetName val="Тр."/>
      <sheetName val="сод"/>
      <sheetName val="ПИРБ"/>
      <sheetName val="C.с  Б"/>
      <sheetName val="врБ"/>
      <sheetName val="зимБ"/>
      <sheetName val="вах"/>
      <sheetName val="Тр.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Ер"/>
      <sheetName val="К"/>
      <sheetName val="Ф"/>
      <sheetName val="К.С.М."/>
      <sheetName val="Тр."/>
      <sheetName val="Тр. (2)"/>
      <sheetName val="C.с "/>
      <sheetName val="Р1"/>
      <sheetName val="Р1 (2)"/>
      <sheetName val="ПИР"/>
      <sheetName val="П.з "/>
      <sheetName val="C.с  (2)"/>
      <sheetName val="C.с  (3)"/>
      <sheetName val="ок.ср."/>
      <sheetName val="сод"/>
      <sheetName val="C.сбаз.и"/>
      <sheetName val="Р1 (И)"/>
      <sheetName val="сод (2)"/>
      <sheetName val="сод р.в."/>
      <sheetName val="П.з  (2)"/>
      <sheetName val="П.з  (3)"/>
      <sheetName val="#ССЫЛКА"/>
      <sheetName val="отгр ГОК"/>
    </sheetNames>
    <sheetDataSet>
      <sheetData sheetId="0"/>
      <sheetData sheetId="1"/>
      <sheetData sheetId="2"/>
      <sheetData sheetId="3"/>
      <sheetData sheetId="4">
        <row r="31">
          <cell r="H31">
            <v>2.1999999999999997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 refreshError="1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С-3"/>
      <sheetName val="Данные"/>
    </sheetNames>
    <sheetDataSet>
      <sheetData sheetId="0"/>
      <sheetData sheetId="1" refreshError="1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Source"/>
      <sheetName val="SmtRes"/>
      <sheetName val="ClcRes"/>
      <sheetName val="РЕЕСТР"/>
      <sheetName val="Тр."/>
      <sheetName val="К.С.М."/>
    </sheetNames>
    <sheetDataSet>
      <sheetData sheetId="0">
        <row r="414">
          <cell r="B414" t="str">
            <v>Всего</v>
          </cell>
          <cell r="J414">
            <v>1304025.2641999999</v>
          </cell>
        </row>
      </sheetData>
      <sheetData sheetId="1"/>
      <sheetData sheetId="2"/>
      <sheetData sheetId="3"/>
      <sheetData sheetId="4"/>
      <sheetData sheetId="5" refreshError="1"/>
      <sheetData sheetId="6" refreshError="1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б.см.дор"/>
      <sheetName val="зим Д"/>
      <sheetName val="об.см.пут"/>
      <sheetName val="зимП"/>
      <sheetName val="об.см.эл."/>
      <sheetName val="Сод. к ч.4"/>
      <sheetName val="Сод. к ч.3"/>
      <sheetName val="Сод. к ч.2"/>
      <sheetName val="Сод. к ч.1"/>
      <sheetName val="ПИРб"/>
      <sheetName val="ПИРт"/>
      <sheetName val="К"/>
      <sheetName val="Ф"/>
      <sheetName val="Тощ.бет."/>
      <sheetName val="К.С.М."/>
      <sheetName val="К.С.М. (ПУТ)"/>
      <sheetName val="Тр.(пут)"/>
      <sheetName val="Тр.(дорога)"/>
      <sheetName val="зим"/>
      <sheetName val="C.с"/>
      <sheetName val="П.з. л. c"/>
      <sheetName val="П.з.р.в."/>
      <sheetName val="Лист1"/>
      <sheetName val="Тр.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 refreshError="1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"/>
      <sheetName val="Фм"/>
      <sheetName val="К.С.М. (ПУТ)"/>
      <sheetName val="Тощ.бет."/>
      <sheetName val="К.С.М."/>
      <sheetName val="Тр.(дорога)"/>
      <sheetName val="Тр.(пут)"/>
      <sheetName val="ПИР"/>
      <sheetName val="зим"/>
      <sheetName val="C.с"/>
      <sheetName val="Сод.л.см"/>
      <sheetName val="П.з.л.см. "/>
      <sheetName val="П.з.р.в."/>
      <sheetName val="C.с  (2)"/>
    </sheetNames>
    <sheetDataSet>
      <sheetData sheetId="0"/>
      <sheetData sheetId="1">
        <row r="17">
          <cell r="H17">
            <v>16.07</v>
          </cell>
        </row>
        <row r="22">
          <cell r="H22">
            <v>335.33</v>
          </cell>
        </row>
        <row r="24">
          <cell r="H24">
            <v>72.89</v>
          </cell>
        </row>
        <row r="26">
          <cell r="H26">
            <v>14.31</v>
          </cell>
        </row>
        <row r="28">
          <cell r="H28">
            <v>38.82</v>
          </cell>
        </row>
        <row r="30">
          <cell r="H30">
            <v>45.74</v>
          </cell>
        </row>
        <row r="32">
          <cell r="H32">
            <v>42.26</v>
          </cell>
        </row>
        <row r="34">
          <cell r="H34">
            <v>48.3</v>
          </cell>
        </row>
        <row r="36">
          <cell r="H36">
            <v>72.239999999999995</v>
          </cell>
        </row>
        <row r="38">
          <cell r="H38">
            <v>75.37</v>
          </cell>
        </row>
        <row r="40">
          <cell r="H40">
            <v>55.67</v>
          </cell>
        </row>
        <row r="42">
          <cell r="H42">
            <v>44.14</v>
          </cell>
        </row>
      </sheetData>
      <sheetData sheetId="2">
        <row r="86">
          <cell r="P86">
            <v>29.44</v>
          </cell>
        </row>
        <row r="90">
          <cell r="P90">
            <v>32.39</v>
          </cell>
        </row>
        <row r="94">
          <cell r="P94">
            <v>38.200000000000003</v>
          </cell>
        </row>
        <row r="98">
          <cell r="P98">
            <v>34.200000000000003</v>
          </cell>
        </row>
        <row r="102">
          <cell r="P102">
            <v>37.200000000000003</v>
          </cell>
        </row>
        <row r="106">
          <cell r="P106">
            <v>10.64</v>
          </cell>
        </row>
        <row r="110">
          <cell r="P110">
            <v>10.39</v>
          </cell>
        </row>
        <row r="113">
          <cell r="P113">
            <v>12.18</v>
          </cell>
        </row>
      </sheetData>
      <sheetData sheetId="3"/>
      <sheetData sheetId="4"/>
      <sheetData sheetId="5"/>
      <sheetData sheetId="6">
        <row r="17">
          <cell r="P17">
            <v>3.08</v>
          </cell>
        </row>
        <row r="20">
          <cell r="P20">
            <v>2.61</v>
          </cell>
        </row>
        <row r="23">
          <cell r="P23">
            <v>3.21</v>
          </cell>
        </row>
        <row r="26">
          <cell r="P26">
            <v>5.14</v>
          </cell>
        </row>
        <row r="29">
          <cell r="P29">
            <v>8.34</v>
          </cell>
        </row>
        <row r="35">
          <cell r="P35">
            <v>10.36</v>
          </cell>
        </row>
        <row r="38">
          <cell r="P38">
            <v>5.0199999999999996</v>
          </cell>
        </row>
        <row r="41">
          <cell r="P41">
            <v>4.87</v>
          </cell>
        </row>
      </sheetData>
      <sheetData sheetId="7"/>
      <sheetData sheetId="8"/>
      <sheetData sheetId="9"/>
      <sheetData sheetId="10"/>
      <sheetData sheetId="11"/>
      <sheetData sheetId="12"/>
      <sheetData sheetId="13" refreshError="1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.С.М."/>
      <sheetName val="Ер"/>
      <sheetName val="К"/>
      <sheetName val="Ф"/>
      <sheetName val="Тр."/>
      <sheetName val="Тр. (2)"/>
      <sheetName val="а.б. 1 м"/>
      <sheetName val="битум"/>
      <sheetName val="Р1 "/>
      <sheetName val="ПИР"/>
      <sheetName val="Р2"/>
      <sheetName val="C.с "/>
      <sheetName val="C.с  (2)"/>
      <sheetName val="C.с  (4)"/>
      <sheetName val="П.з "/>
      <sheetName val="С.с зам"/>
      <sheetName val="зим.зам"/>
      <sheetName val="П.з  (2)"/>
      <sheetName val="Ведомость потр.рес."/>
      <sheetName val="Распределение"/>
      <sheetName val="К.С.М. (ПУТ)"/>
      <sheetName val="цены"/>
      <sheetName val="Лист1"/>
    </sheetNames>
    <sheetDataSet>
      <sheetData sheetId="0" refreshError="1">
        <row r="159">
          <cell r="P159">
            <v>12.82</v>
          </cell>
        </row>
        <row r="163">
          <cell r="P163">
            <v>7.339999999999999</v>
          </cell>
        </row>
        <row r="167">
          <cell r="P167">
            <v>17.14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"/>
      <sheetName val="Ф"/>
      <sheetName val="К.С.М."/>
      <sheetName val="Тр. "/>
      <sheetName val="ПИР"/>
      <sheetName val="ПИР т"/>
      <sheetName val="П.з. л. c"/>
      <sheetName val="зим"/>
      <sheetName val="C.с "/>
      <sheetName val="Сод.р.в."/>
      <sheetName val="П.з.р.в."/>
      <sheetName val="сод"/>
      <sheetName val="К.С.М. (ПУТ)"/>
      <sheetName val="цены_азот"/>
    </sheetNames>
    <sheetDataSet>
      <sheetData sheetId="0"/>
      <sheetData sheetId="1"/>
      <sheetData sheetId="2">
        <row r="33">
          <cell r="P33">
            <v>77.190000000000012</v>
          </cell>
        </row>
        <row r="64">
          <cell r="P64">
            <v>18.95</v>
          </cell>
        </row>
        <row r="68">
          <cell r="P68">
            <v>19.45</v>
          </cell>
        </row>
        <row r="83">
          <cell r="P83">
            <v>8.4</v>
          </cell>
        </row>
        <row r="87">
          <cell r="P87">
            <v>10.29</v>
          </cell>
        </row>
        <row r="91">
          <cell r="P91">
            <v>3.03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"/>
      <sheetName val="Ф"/>
      <sheetName val="К.С.М."/>
      <sheetName val="Тр."/>
      <sheetName val="C.с баз"/>
      <sheetName val="сод.л.см."/>
      <sheetName val="зим Б"/>
      <sheetName val="П.з"/>
      <sheetName val="ПИР"/>
      <sheetName val="Лист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"/>
      <sheetName val="Ф"/>
      <sheetName val="ч. щ. 1"/>
      <sheetName val="ч. щ. 2"/>
      <sheetName val="К.С.М."/>
      <sheetName val="Тр."/>
      <sheetName val="Тр.(ж.д.)"/>
      <sheetName val="зим."/>
      <sheetName val="вах"/>
      <sheetName val="окно"/>
      <sheetName val="вр"/>
      <sheetName val="C.с"/>
      <sheetName val="П.з.л.см"/>
      <sheetName val="П.з.р.в"/>
      <sheetName val="Сод.л.см"/>
      <sheetName val="Сод.р.в."/>
      <sheetName val="отгр ГОК"/>
    </sheetNames>
    <sheetDataSet>
      <sheetData sheetId="0" refreshError="1"/>
      <sheetData sheetId="1">
        <row r="57">
          <cell r="H57">
            <v>136.85</v>
          </cell>
        </row>
      </sheetData>
      <sheetData sheetId="2" refreshError="1"/>
      <sheetData sheetId="3" refreshError="1"/>
      <sheetData sheetId="4">
        <row r="319">
          <cell r="P319">
            <v>10.35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"/>
      <sheetName val="Ф"/>
      <sheetName val="К.С.М."/>
      <sheetName val="Тр. ж.д."/>
      <sheetName val="сод"/>
      <sheetName val="ПИРБ"/>
      <sheetName val="C.с  Б"/>
      <sheetName val="зимБ"/>
      <sheetName val="вах"/>
      <sheetName val="врБ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"/>
      <sheetName val="Ф"/>
      <sheetName val="ч. щ. 1"/>
      <sheetName val="ч. щ. 2"/>
      <sheetName val="К.С.М."/>
      <sheetName val="Тр."/>
      <sheetName val="Тр.(ж.д.)"/>
      <sheetName val="зим."/>
      <sheetName val="вах"/>
      <sheetName val="окно"/>
      <sheetName val="вр"/>
      <sheetName val="C.с"/>
      <sheetName val="П.з.л.см"/>
      <sheetName val="П.з.р.в"/>
      <sheetName val="Сод.л.см"/>
      <sheetName val="Сод.р.в."/>
      <sheetName val="коэф"/>
    </sheetNames>
    <sheetDataSet>
      <sheetData sheetId="0"/>
      <sheetData sheetId="1"/>
      <sheetData sheetId="2"/>
      <sheetData sheetId="3"/>
      <sheetData sheetId="4">
        <row r="354">
          <cell r="P354">
            <v>15.41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.з.р.в."/>
      <sheetName val="К"/>
      <sheetName val="Ф"/>
      <sheetName val="К.С.М."/>
      <sheetName val="Тр."/>
      <sheetName val="Сод р.в."/>
      <sheetName val="Сод.л.см"/>
      <sheetName val="зим"/>
      <sheetName val="C.с "/>
      <sheetName val="вах"/>
      <sheetName val="ГИБДД"/>
      <sheetName val="П.з. л. c"/>
    </sheetNames>
    <sheetDataSet>
      <sheetData sheetId="0"/>
      <sheetData sheetId="1"/>
      <sheetData sheetId="2"/>
      <sheetData sheetId="3">
        <row r="51">
          <cell r="P51">
            <v>8.94</v>
          </cell>
        </row>
        <row r="78">
          <cell r="P78">
            <v>52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ф3"/>
      <sheetName val="зимтек"/>
      <sheetName val="C.с тек"/>
      <sheetName val="ф2"/>
      <sheetName val="ф8"/>
      <sheetName val="ф9"/>
      <sheetName val="ф10"/>
      <sheetName val="C.с тек ЭЛ"/>
      <sheetName val="К.С.М."/>
      <sheetName val="Ф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"/>
      <sheetName val="Ф"/>
      <sheetName val="Ф (177)"/>
      <sheetName val="К.С.М."/>
      <sheetName val="Тр"/>
      <sheetName val="зим"/>
      <sheetName val="C.с"/>
      <sheetName val="П.з. л. c"/>
      <sheetName val="П.з.р.в."/>
      <sheetName val="окно"/>
      <sheetName val="ПИРб"/>
      <sheetName val="ПИР т"/>
      <sheetName val="Сод р.в."/>
      <sheetName val="Сод.л.см"/>
      <sheetName val="ф9"/>
      <sheetName val="ф1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Реестр"/>
      <sheetName val="Лист1"/>
      <sheetName val="Source"/>
      <sheetName val="SmtRes"/>
      <sheetName val="ClcRes"/>
      <sheetName val="ф9"/>
      <sheetName val="ф10"/>
      <sheetName val="К.С.М.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"/>
      <sheetName val="Фм"/>
      <sheetName val="К.С.М. (ПУТ)"/>
      <sheetName val="Тощ.бет."/>
      <sheetName val="К.С.М."/>
      <sheetName val="Тр.(дорога)"/>
      <sheetName val="Тр.(пут)"/>
      <sheetName val="ПИР"/>
      <sheetName val="зим"/>
      <sheetName val="C.с"/>
      <sheetName val="Сод.л.см"/>
      <sheetName val="П.з.л.см. "/>
      <sheetName val="П.з.р.в."/>
    </sheetNames>
    <sheetDataSet>
      <sheetData sheetId="0"/>
      <sheetData sheetId="1"/>
      <sheetData sheetId="2"/>
      <sheetData sheetId="3"/>
      <sheetData sheetId="4"/>
      <sheetData sheetId="5"/>
      <sheetData sheetId="6">
        <row r="32">
          <cell r="P32">
            <v>10.23</v>
          </cell>
        </row>
      </sheetData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ф2 нов (2)"/>
      <sheetName val="сод.т.ц."/>
      <sheetName val="Изопласт"/>
      <sheetName val="C.с"/>
      <sheetName val="C.с (2)"/>
      <sheetName val="врБ"/>
      <sheetName val="врБ (2)"/>
      <sheetName val="врТ"/>
      <sheetName val="зимБ"/>
      <sheetName val="зимБ (2)"/>
      <sheetName val="зимТ"/>
      <sheetName val="Возврат"/>
      <sheetName val="экспертиза"/>
      <sheetName val="ПИР"/>
      <sheetName val="перБ"/>
      <sheetName val="перТ"/>
      <sheetName val="К.С.М."/>
      <sheetName val="Ф"/>
      <sheetName val="ф9"/>
      <sheetName val="ф1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20">
          <cell r="F20">
            <v>145.58000000000001</v>
          </cell>
        </row>
      </sheetData>
      <sheetData sheetId="14"/>
      <sheetData sheetId="15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Source"/>
      <sheetName val="SmtRes"/>
      <sheetName val="ClcRes"/>
      <sheetName val="К.С.М."/>
      <sheetName val="Ф"/>
    </sheetNames>
    <sheetDataSet>
      <sheetData sheetId="0">
        <row r="317">
          <cell r="B317" t="str">
            <v xml:space="preserve">Локальная смета </v>
          </cell>
          <cell r="C317" t="str">
            <v>Локальная смета 5 Укрепление откоса габионами</v>
          </cell>
        </row>
      </sheetData>
      <sheetData sheetId="1"/>
      <sheetData sheetId="2"/>
      <sheetData sheetId="3"/>
      <sheetData sheetId="4" refreshError="1"/>
      <sheetData sheetId="5" refreshError="1"/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"/>
      <sheetName val="Ф"/>
      <sheetName val="К.С.М."/>
      <sheetName val="Тр. "/>
      <sheetName val="П.з.р.в."/>
      <sheetName val="ПИР"/>
      <sheetName val="П.з. л. c"/>
      <sheetName val="зимбаз"/>
      <sheetName val="C.с баз"/>
      <sheetName val="Зима тек"/>
      <sheetName val="C.с тек"/>
      <sheetName val="содбаз"/>
      <sheetName val="содтек"/>
      <sheetName val="ф2"/>
      <sheetName val="ф8"/>
      <sheetName val="ф9 "/>
      <sheetName val="ф10"/>
      <sheetName val="Лист1"/>
    </sheetNames>
    <sheetDataSet>
      <sheetData sheetId="0" refreshError="1"/>
      <sheetData sheetId="1"/>
      <sheetData sheetId="2"/>
      <sheetData sheetId="3"/>
      <sheetData sheetId="4" refreshError="1"/>
      <sheetData sheetId="5" refreshError="1"/>
      <sheetData sheetId="6" refreshError="1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/>
      <sheetData sheetId="17" refreshError="1"/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"/>
      <sheetName val="Ф"/>
      <sheetName val="К.С.М."/>
      <sheetName val="Тр."/>
      <sheetName val="C.с баз"/>
      <sheetName val="зим Б"/>
      <sheetName val="П.з"/>
      <sheetName val="ПИР"/>
      <sheetName val="сод.л.см."/>
      <sheetName val="Лист1"/>
      <sheetName val="C.с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Source"/>
      <sheetName val="SmtRes"/>
      <sheetName val="ClcRes"/>
      <sheetName val="Ф"/>
      <sheetName val="ПИР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ф9 "/>
      <sheetName val="ф8"/>
      <sheetName val="ф2"/>
      <sheetName val="ф10"/>
      <sheetName val="Ф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ф2"/>
      <sheetName val="сод.т.ц."/>
      <sheetName val="Возврат"/>
      <sheetName val="зим "/>
      <sheetName val="C.с "/>
      <sheetName val="ПИР"/>
      <sheetName val="эл т "/>
      <sheetName val="Лист1"/>
      <sheetName val="ф10"/>
      <sheetName val="списки"/>
    </sheetNames>
    <sheetDataSet>
      <sheetData sheetId="0" refreshError="1"/>
      <sheetData sheetId="1" refreshError="1"/>
      <sheetData sheetId="2" refreshError="1"/>
      <sheetData sheetId="3" refreshError="1"/>
      <sheetData sheetId="4">
        <row r="86">
          <cell r="H86">
            <v>7289.42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x_abc4"/>
      <sheetName val="hx_abc4 (2)"/>
      <sheetName val="ф10"/>
      <sheetName val="C.с "/>
      <sheetName val="Лист1"/>
    </sheetNames>
    <sheetDataSet>
      <sheetData sheetId="0">
        <row r="20">
          <cell r="L20" t="str">
            <v>на един.</v>
          </cell>
          <cell r="M20" t="str">
            <v>всего</v>
          </cell>
        </row>
      </sheetData>
      <sheetData sheetId="1"/>
      <sheetData sheetId="2" refreshError="1"/>
      <sheetData sheetId="3" refreshError="1"/>
      <sheetData sheetId="4" refreshError="1"/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x_abc4"/>
      <sheetName val="C.с "/>
    </sheetNames>
    <sheetDataSet>
      <sheetData sheetId="0"/>
      <sheetData sheetId="1" refreshError="1"/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x_abc4"/>
      <sheetName val="C.с "/>
    </sheetNames>
    <sheetDataSet>
      <sheetData sheetId="0"/>
      <sheetData sheetId="1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"/>
      <sheetName val="Ф"/>
      <sheetName val="К.С.М. м"/>
      <sheetName val="ТрМ. "/>
      <sheetName val="вск1"/>
      <sheetName val="вск1 (2)"/>
      <sheetName val="сод"/>
      <sheetName val="П.з "/>
      <sheetName val="C.с"/>
      <sheetName val="C.сМ"/>
      <sheetName val="C.сП"/>
      <sheetName val="C.с (3)"/>
      <sheetName val="зим"/>
      <sheetName val="вр"/>
      <sheetName val="Тр.(пут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7"/>
      <sheetName val="16"/>
      <sheetName val="15.1"/>
      <sheetName val="15"/>
      <sheetName val="14"/>
      <sheetName val="13"/>
      <sheetName val="12"/>
      <sheetName val="11"/>
      <sheetName val="10.2"/>
      <sheetName val="10.1"/>
      <sheetName val="10"/>
      <sheetName val="9"/>
      <sheetName val="8"/>
      <sheetName val="7"/>
      <sheetName val="6"/>
      <sheetName val="5"/>
      <sheetName val="4"/>
      <sheetName val="3"/>
      <sheetName val="2"/>
      <sheetName val="1"/>
    </sheetNames>
    <sheetDataSet>
      <sheetData sheetId="0"/>
      <sheetData sheetId="1">
        <row r="36">
          <cell r="C36">
            <v>28327525</v>
          </cell>
        </row>
      </sheetData>
      <sheetData sheetId="2">
        <row r="36">
          <cell r="C36">
            <v>27462256</v>
          </cell>
        </row>
      </sheetData>
      <sheetData sheetId="3"/>
      <sheetData sheetId="4"/>
      <sheetData sheetId="5">
        <row r="31">
          <cell r="C31">
            <v>24223289</v>
          </cell>
          <cell r="D31">
            <v>171274831.94999999</v>
          </cell>
          <cell r="E31">
            <v>20329522</v>
          </cell>
          <cell r="F31">
            <v>142230832.61000001</v>
          </cell>
        </row>
        <row r="32">
          <cell r="F32">
            <v>0</v>
          </cell>
        </row>
        <row r="33">
          <cell r="C33">
            <v>0</v>
          </cell>
          <cell r="D33">
            <v>0</v>
          </cell>
          <cell r="E33">
            <v>0</v>
          </cell>
          <cell r="F33">
            <v>0</v>
          </cell>
        </row>
        <row r="34">
          <cell r="D34">
            <v>0</v>
          </cell>
          <cell r="F34">
            <v>0</v>
          </cell>
        </row>
        <row r="35">
          <cell r="D35">
            <v>0</v>
          </cell>
          <cell r="F35">
            <v>0</v>
          </cell>
        </row>
        <row r="36">
          <cell r="C36">
            <v>19227405</v>
          </cell>
          <cell r="D36">
            <v>139875282.88999999</v>
          </cell>
          <cell r="E36">
            <v>18653180</v>
          </cell>
          <cell r="F36">
            <v>133245139.36</v>
          </cell>
        </row>
        <row r="37">
          <cell r="D37">
            <v>27975056.579999998</v>
          </cell>
          <cell r="F37">
            <v>26649027.879999999</v>
          </cell>
        </row>
        <row r="38">
          <cell r="D38">
            <v>167850339.47</v>
          </cell>
          <cell r="F38">
            <v>159894167.24000001</v>
          </cell>
        </row>
        <row r="39">
          <cell r="C39">
            <v>0</v>
          </cell>
          <cell r="D39">
            <v>0</v>
          </cell>
          <cell r="E39">
            <v>0</v>
          </cell>
          <cell r="F39">
            <v>0</v>
          </cell>
        </row>
        <row r="40">
          <cell r="C40">
            <v>0</v>
          </cell>
          <cell r="D40">
            <v>0</v>
          </cell>
          <cell r="E40">
            <v>0</v>
          </cell>
          <cell r="F40">
            <v>0</v>
          </cell>
        </row>
        <row r="41">
          <cell r="D41">
            <v>0</v>
          </cell>
          <cell r="F41">
            <v>0</v>
          </cell>
        </row>
        <row r="42">
          <cell r="D42">
            <v>0</v>
          </cell>
          <cell r="F42">
            <v>0</v>
          </cell>
        </row>
        <row r="43">
          <cell r="C43">
            <v>0</v>
          </cell>
          <cell r="D43">
            <v>0</v>
          </cell>
          <cell r="E43">
            <v>0</v>
          </cell>
          <cell r="F43">
            <v>0</v>
          </cell>
        </row>
        <row r="44">
          <cell r="C44">
            <v>186132</v>
          </cell>
          <cell r="D44">
            <v>4364987.76</v>
          </cell>
          <cell r="E44">
            <v>174099</v>
          </cell>
          <cell r="F44">
            <v>4087920.28</v>
          </cell>
        </row>
        <row r="45">
          <cell r="D45">
            <v>872997.56</v>
          </cell>
          <cell r="F45">
            <v>817584.07</v>
          </cell>
        </row>
        <row r="46">
          <cell r="D46">
            <v>5237985.32</v>
          </cell>
          <cell r="F46">
            <v>4905504.3499999996</v>
          </cell>
        </row>
        <row r="47">
          <cell r="C47">
            <v>0</v>
          </cell>
          <cell r="D47">
            <v>0</v>
          </cell>
          <cell r="E47">
            <v>0</v>
          </cell>
          <cell r="F47">
            <v>0</v>
          </cell>
        </row>
        <row r="48">
          <cell r="D48">
            <v>0</v>
          </cell>
          <cell r="F48">
            <v>0</v>
          </cell>
        </row>
        <row r="49">
          <cell r="D49">
            <v>0</v>
          </cell>
          <cell r="F49">
            <v>0</v>
          </cell>
        </row>
        <row r="50">
          <cell r="C50">
            <v>4809756</v>
          </cell>
          <cell r="D50">
            <v>27034561.300000001</v>
          </cell>
          <cell r="E50">
            <v>1502247</v>
          </cell>
          <cell r="F50">
            <v>4897772.97</v>
          </cell>
        </row>
        <row r="51">
          <cell r="D51">
            <v>5406912.2699999996</v>
          </cell>
          <cell r="F51">
            <v>979554.6</v>
          </cell>
        </row>
        <row r="52">
          <cell r="D52">
            <v>32441473.57</v>
          </cell>
          <cell r="F52">
            <v>5877327.5700000003</v>
          </cell>
        </row>
        <row r="53">
          <cell r="C53">
            <v>0</v>
          </cell>
          <cell r="D53">
            <v>0</v>
          </cell>
          <cell r="E53">
            <v>0</v>
          </cell>
          <cell r="F53">
            <v>0</v>
          </cell>
        </row>
        <row r="54">
          <cell r="D54">
            <v>0</v>
          </cell>
          <cell r="F54">
            <v>0</v>
          </cell>
        </row>
        <row r="55">
          <cell r="D55">
            <v>0</v>
          </cell>
          <cell r="F55">
            <v>0</v>
          </cell>
        </row>
        <row r="56">
          <cell r="C56">
            <v>24223289</v>
          </cell>
          <cell r="D56">
            <v>171274831.94999999</v>
          </cell>
          <cell r="E56">
            <v>20329522</v>
          </cell>
          <cell r="F56">
            <v>142230832.61000001</v>
          </cell>
        </row>
        <row r="57">
          <cell r="D57">
            <v>34254966.409999996</v>
          </cell>
          <cell r="F57">
            <v>28446166.550000001</v>
          </cell>
        </row>
        <row r="58">
          <cell r="D58">
            <v>205529798.36000001</v>
          </cell>
          <cell r="F58">
            <v>170676999.16</v>
          </cell>
        </row>
        <row r="59">
          <cell r="D59">
            <v>171274831.94999999</v>
          </cell>
          <cell r="F59">
            <v>142230832.61000001</v>
          </cell>
        </row>
        <row r="60">
          <cell r="D60">
            <v>34254966.409999996</v>
          </cell>
          <cell r="F60">
            <v>28446166.550000001</v>
          </cell>
        </row>
        <row r="61">
          <cell r="D61">
            <v>205529798.36000001</v>
          </cell>
          <cell r="F61">
            <v>170676999.16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1.09"/>
      <sheetName val="Source"/>
      <sheetName val="SourceObSm"/>
      <sheetName val="SmtRes"/>
      <sheetName val="EtalonRes"/>
    </sheetNames>
    <sheetDataSet>
      <sheetData sheetId="0"/>
      <sheetData sheetId="1">
        <row r="20">
          <cell r="G20" t="str">
            <v>Перегоны от ст. "Аминьевское шоссе" до токораздела со ст. "Мичуринский проспект". Инженерные системы. Тоннельное освещение.</v>
          </cell>
        </row>
        <row r="171">
          <cell r="E171" t="str">
            <v>15</v>
          </cell>
          <cell r="H171" t="str">
            <v>100 М КАБЕЛЯ</v>
          </cell>
          <cell r="I171">
            <v>17.003</v>
          </cell>
          <cell r="P171">
            <v>500.49</v>
          </cell>
          <cell r="Q171">
            <v>9325.7000000000007</v>
          </cell>
          <cell r="R171">
            <v>2274.73</v>
          </cell>
          <cell r="S171">
            <v>6014.35</v>
          </cell>
          <cell r="U171">
            <v>292.0894361</v>
          </cell>
          <cell r="X171">
            <v>6736.07</v>
          </cell>
          <cell r="Y171">
            <v>4210.05</v>
          </cell>
          <cell r="AL171">
            <v>27.23</v>
          </cell>
          <cell r="AM171">
            <v>463.73</v>
          </cell>
          <cell r="AN171">
            <v>75.08</v>
          </cell>
          <cell r="AO171">
            <v>198.51</v>
          </cell>
          <cell r="AQ171">
            <v>16.100000000000001</v>
          </cell>
          <cell r="DD171">
            <v>0</v>
          </cell>
          <cell r="DE171">
            <v>0</v>
          </cell>
          <cell r="DG171" t="str">
            <v>)*1,67</v>
          </cell>
          <cell r="DI171">
            <v>0</v>
          </cell>
        </row>
        <row r="172">
          <cell r="P172">
            <v>2782.72</v>
          </cell>
          <cell r="Q172">
            <v>92181.47</v>
          </cell>
          <cell r="R172">
            <v>54457.04</v>
          </cell>
          <cell r="S172">
            <v>143983.54</v>
          </cell>
          <cell r="X172">
            <v>129585.19</v>
          </cell>
          <cell r="Y172">
            <v>61912.92</v>
          </cell>
          <cell r="AV172">
            <v>1.0669999999999999</v>
          </cell>
          <cell r="AW172">
            <v>1.081</v>
          </cell>
          <cell r="BA172">
            <v>23.94</v>
          </cell>
          <cell r="BB172">
            <v>8.36</v>
          </cell>
          <cell r="BC172">
            <v>5.56</v>
          </cell>
          <cell r="BS172">
            <v>23.94</v>
          </cell>
          <cell r="BZ172">
            <v>90</v>
          </cell>
          <cell r="CA172">
            <v>43</v>
          </cell>
          <cell r="DN172">
            <v>112</v>
          </cell>
          <cell r="DO172">
            <v>70</v>
          </cell>
        </row>
        <row r="173">
          <cell r="E173" t="str">
            <v>16</v>
          </cell>
          <cell r="H173" t="str">
            <v>100 М КАБЕЛЯ</v>
          </cell>
          <cell r="I173">
            <v>24.666599999999999</v>
          </cell>
          <cell r="P173">
            <v>748.48</v>
          </cell>
          <cell r="Q173">
            <v>19079.620000000003</v>
          </cell>
          <cell r="R173">
            <v>4748.26</v>
          </cell>
          <cell r="S173">
            <v>11814.17</v>
          </cell>
          <cell r="U173">
            <v>573.75991595999994</v>
          </cell>
          <cell r="X173">
            <v>13231.87</v>
          </cell>
          <cell r="Y173">
            <v>8269.92</v>
          </cell>
          <cell r="AL173">
            <v>28.07</v>
          </cell>
          <cell r="AM173">
            <v>652.54999999999995</v>
          </cell>
          <cell r="AN173">
            <v>108.03</v>
          </cell>
          <cell r="AO173">
            <v>268.79000000000002</v>
          </cell>
          <cell r="AQ173">
            <v>21.8</v>
          </cell>
          <cell r="DD173">
            <v>0</v>
          </cell>
          <cell r="DE173">
            <v>0</v>
          </cell>
          <cell r="DG173" t="str">
            <v>)*1,67</v>
          </cell>
          <cell r="DI173">
            <v>0</v>
          </cell>
        </row>
        <row r="174">
          <cell r="P174">
            <v>4161.55</v>
          </cell>
          <cell r="Q174">
            <v>190387.59</v>
          </cell>
          <cell r="R174">
            <v>113673.34</v>
          </cell>
          <cell r="S174">
            <v>282831.23</v>
          </cell>
          <cell r="X174">
            <v>254548.11</v>
          </cell>
          <cell r="Y174">
            <v>121617.43</v>
          </cell>
          <cell r="AV174">
            <v>1.0669999999999999</v>
          </cell>
          <cell r="AW174">
            <v>1.081</v>
          </cell>
          <cell r="BA174">
            <v>23.94</v>
          </cell>
          <cell r="BB174">
            <v>8.43</v>
          </cell>
          <cell r="BC174">
            <v>5.56</v>
          </cell>
          <cell r="BS174">
            <v>23.94</v>
          </cell>
          <cell r="BZ174">
            <v>90</v>
          </cell>
          <cell r="CA174">
            <v>43</v>
          </cell>
          <cell r="DN174">
            <v>112</v>
          </cell>
          <cell r="DO174">
            <v>70</v>
          </cell>
        </row>
        <row r="175">
          <cell r="E175" t="str">
            <v>17</v>
          </cell>
          <cell r="H175" t="str">
            <v>100 М КАБЕЛЯ</v>
          </cell>
          <cell r="I175">
            <v>9.2119999999999997</v>
          </cell>
          <cell r="P175">
            <v>301.14</v>
          </cell>
          <cell r="Q175">
            <v>8861.73</v>
          </cell>
          <cell r="R175">
            <v>2220.92</v>
          </cell>
          <cell r="S175">
            <v>5403.91</v>
          </cell>
          <cell r="U175">
            <v>262.43974679999997</v>
          </cell>
          <cell r="X175">
            <v>6052.38</v>
          </cell>
          <cell r="Y175">
            <v>3782.74</v>
          </cell>
          <cell r="AL175">
            <v>30.24</v>
          </cell>
          <cell r="AM175">
            <v>810.92</v>
          </cell>
          <cell r="AN175">
            <v>135.30000000000001</v>
          </cell>
          <cell r="AO175">
            <v>329.21</v>
          </cell>
          <cell r="AQ175">
            <v>26.7</v>
          </cell>
          <cell r="DD175">
            <v>0</v>
          </cell>
          <cell r="DE175">
            <v>0</v>
          </cell>
          <cell r="DG175" t="str">
            <v>)*1,67</v>
          </cell>
          <cell r="DI175">
            <v>0</v>
          </cell>
        </row>
        <row r="176">
          <cell r="P176">
            <v>1674.34</v>
          </cell>
          <cell r="Q176">
            <v>88683.68</v>
          </cell>
          <cell r="R176">
            <v>53168.82</v>
          </cell>
          <cell r="S176">
            <v>129369.61</v>
          </cell>
          <cell r="X176">
            <v>116432.65</v>
          </cell>
          <cell r="Y176">
            <v>55628.93</v>
          </cell>
          <cell r="AV176">
            <v>1.0669999999999999</v>
          </cell>
          <cell r="AW176">
            <v>1.081</v>
          </cell>
          <cell r="BA176">
            <v>23.94</v>
          </cell>
          <cell r="BB176">
            <v>8.4499999999999993</v>
          </cell>
          <cell r="BC176">
            <v>5.56</v>
          </cell>
          <cell r="BS176">
            <v>23.94</v>
          </cell>
          <cell r="BZ176">
            <v>90</v>
          </cell>
          <cell r="CA176">
            <v>43</v>
          </cell>
          <cell r="DN176">
            <v>112</v>
          </cell>
          <cell r="DO176">
            <v>70</v>
          </cell>
        </row>
        <row r="417">
          <cell r="G417" t="str">
            <v>Раздел: Материалы, не учтеные в цене монтажа</v>
          </cell>
        </row>
        <row r="490">
          <cell r="G490" t="str">
            <v>Подраздел: Кабели и кабельная продукция</v>
          </cell>
        </row>
        <row r="500">
          <cell r="E500" t="str">
            <v>56</v>
          </cell>
          <cell r="F500" t="str">
            <v>1.23-8-1300</v>
          </cell>
          <cell r="R500">
            <v>0</v>
          </cell>
          <cell r="X500">
            <v>0</v>
          </cell>
          <cell r="Y500">
            <v>0</v>
          </cell>
        </row>
        <row r="501">
          <cell r="R501">
            <v>0</v>
          </cell>
          <cell r="X501">
            <v>0</v>
          </cell>
          <cell r="Y501">
            <v>0</v>
          </cell>
        </row>
        <row r="504">
          <cell r="E504" t="str">
            <v>58</v>
          </cell>
          <cell r="F504" t="str">
            <v>1.23-8-815</v>
          </cell>
          <cell r="R504">
            <v>0</v>
          </cell>
          <cell r="X504">
            <v>0</v>
          </cell>
          <cell r="Y504">
            <v>0</v>
          </cell>
        </row>
        <row r="505">
          <cell r="R505">
            <v>0</v>
          </cell>
          <cell r="X505">
            <v>0</v>
          </cell>
          <cell r="Y505">
            <v>0</v>
          </cell>
        </row>
        <row r="522">
          <cell r="E522" t="str">
            <v>67</v>
          </cell>
          <cell r="F522" t="str">
            <v>МКЭ-33-902/7-1 от 16.05.2017</v>
          </cell>
          <cell r="R522">
            <v>0</v>
          </cell>
          <cell r="X522">
            <v>0</v>
          </cell>
          <cell r="Y522">
            <v>0</v>
          </cell>
        </row>
        <row r="523">
          <cell r="R523">
            <v>0</v>
          </cell>
          <cell r="X523">
            <v>0</v>
          </cell>
          <cell r="Y523">
            <v>0</v>
          </cell>
        </row>
      </sheetData>
      <sheetData sheetId="2" refreshError="1"/>
      <sheetData sheetId="3" refreshError="1"/>
      <sheetData sheetId="4" refreshError="1"/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Акт КС-2 по ТСН-2001"/>
      <sheetName val="Source"/>
      <sheetName val="SourceObSm"/>
      <sheetName val="SmtRes"/>
      <sheetName val="EtalonRes"/>
    </sheetNames>
    <sheetDataSet>
      <sheetData sheetId="0"/>
      <sheetData sheetId="1">
        <row r="12">
          <cell r="G12" t="str">
            <v>12-4017-Л-Р-8.3.3-ЭМ2-СМ1К взамен 12-4017-Л-Р-8.3.3-ЭМ2-СМ1 (48964-ТПК_5-0789-Р-ССР2-изм1.1)</v>
          </cell>
        </row>
        <row r="20">
          <cell r="G20" t="str">
            <v>Перегоны от ст. "Аминьевское шоссе" до токораздела со ст. "Мичуринский проспект". Инженерные системы. Магистральные сети путейских ящиков.</v>
          </cell>
        </row>
        <row r="24">
          <cell r="G24" t="str">
            <v>Монтажные работы</v>
          </cell>
        </row>
        <row r="122">
          <cell r="E122" t="str">
            <v>10</v>
          </cell>
          <cell r="H122" t="str">
            <v>100 М КАБЕЛЯ</v>
          </cell>
          <cell r="I122">
            <v>15.082199999999998</v>
          </cell>
          <cell r="P122">
            <v>719</v>
          </cell>
          <cell r="Q122">
            <v>40561.160000000003</v>
          </cell>
          <cell r="R122">
            <v>10172.66</v>
          </cell>
          <cell r="S122">
            <v>24653.62</v>
          </cell>
          <cell r="U122">
            <v>1197.2974305599998</v>
          </cell>
          <cell r="X122">
            <v>27612.05</v>
          </cell>
          <cell r="Y122">
            <v>17257.53</v>
          </cell>
          <cell r="AL122">
            <v>44.1</v>
          </cell>
          <cell r="AM122">
            <v>2266.86</v>
          </cell>
          <cell r="AN122">
            <v>378.52</v>
          </cell>
          <cell r="AO122">
            <v>917.35</v>
          </cell>
          <cell r="AQ122">
            <v>74.400000000000006</v>
          </cell>
          <cell r="DD122"/>
          <cell r="DE122"/>
          <cell r="DG122" t="str">
            <v>)*1,67</v>
          </cell>
          <cell r="DI122"/>
        </row>
        <row r="123">
          <cell r="P123">
            <v>3997.64</v>
          </cell>
          <cell r="Q123">
            <v>405960.37</v>
          </cell>
          <cell r="R123">
            <v>243533.48</v>
          </cell>
          <cell r="S123">
            <v>590207.66</v>
          </cell>
          <cell r="X123">
            <v>531186.89</v>
          </cell>
          <cell r="Y123">
            <v>253789.29</v>
          </cell>
          <cell r="AV123">
            <v>1.0669999999999999</v>
          </cell>
          <cell r="AW123">
            <v>1.081</v>
          </cell>
          <cell r="BA123">
            <v>23.94</v>
          </cell>
          <cell r="BB123">
            <v>8.4499999999999993</v>
          </cell>
          <cell r="BC123">
            <v>5.56</v>
          </cell>
          <cell r="BS123">
            <v>23.94</v>
          </cell>
          <cell r="BZ123">
            <v>90</v>
          </cell>
          <cell r="CA123">
            <v>43</v>
          </cell>
          <cell r="DN123">
            <v>112</v>
          </cell>
          <cell r="DO123">
            <v>70</v>
          </cell>
        </row>
        <row r="274">
          <cell r="G274" t="str">
            <v>Материалы, не учтенные в цене монтажа</v>
          </cell>
        </row>
        <row r="289">
          <cell r="G289" t="str">
            <v>Кабели и провода. Кабельные изделия.</v>
          </cell>
        </row>
        <row r="297">
          <cell r="E297" t="str">
            <v>31</v>
          </cell>
          <cell r="F297" t="str">
            <v>МКЭ-33-531/9-8 от 25.07.2019г.</v>
          </cell>
          <cell r="H297" t="str">
            <v>км</v>
          </cell>
          <cell r="I297">
            <v>1.54</v>
          </cell>
          <cell r="R297">
            <v>0</v>
          </cell>
          <cell r="X297">
            <v>0</v>
          </cell>
          <cell r="Y297">
            <v>0</v>
          </cell>
        </row>
        <row r="298">
          <cell r="R298">
            <v>0</v>
          </cell>
          <cell r="X298">
            <v>0</v>
          </cell>
          <cell r="Y298">
            <v>0</v>
          </cell>
        </row>
        <row r="314">
          <cell r="G314" t="str">
            <v>Кабели и провода. Кабельные изделия.</v>
          </cell>
        </row>
      </sheetData>
      <sheetData sheetId="2"/>
      <sheetData sheetId="3"/>
      <sheetData sheetId="4"/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Акт КС-2 по ТСН-2001"/>
      <sheetName val="Source"/>
      <sheetName val="SourceObSm"/>
      <sheetName val="SmtRes"/>
      <sheetName val="EtalonRes"/>
    </sheetNames>
    <sheetDataSet>
      <sheetData sheetId="0"/>
      <sheetData sheetId="1">
        <row r="20">
          <cell r="G20" t="str">
            <v>Станционный комплекс "Аминьевское шоссе". Вестибюль №2, камера съездов, ТПП. Внутренние инженерные системы (не включаяя ТПП). Электроосвещение. Служебные помещения вестибюля №2. Уровни машинного зала, пассажирской платформы и подплатформы.</v>
          </cell>
        </row>
        <row r="24">
          <cell r="G24" t="str">
            <v>Монтажные работы</v>
          </cell>
        </row>
        <row r="314">
          <cell r="G314" t="str">
            <v>Металл и металлические изделия</v>
          </cell>
        </row>
        <row r="330">
          <cell r="E330" t="str">
            <v>24</v>
          </cell>
          <cell r="H330" t="str">
            <v>100 м</v>
          </cell>
          <cell r="I330">
            <v>5.5</v>
          </cell>
          <cell r="P330">
            <v>2039.31</v>
          </cell>
          <cell r="Q330">
            <v>866.7399999999999</v>
          </cell>
          <cell r="R330">
            <v>108.88</v>
          </cell>
          <cell r="S330">
            <v>1993.79</v>
          </cell>
          <cell r="U330">
            <v>96.830249999999992</v>
          </cell>
          <cell r="X330">
            <v>2233.04</v>
          </cell>
          <cell r="Y330">
            <v>1395.65</v>
          </cell>
          <cell r="AL330">
            <v>343</v>
          </cell>
          <cell r="AM330">
            <v>140.25</v>
          </cell>
          <cell r="AN330">
            <v>11.11</v>
          </cell>
          <cell r="AO330">
            <v>203.44</v>
          </cell>
          <cell r="AQ330">
            <v>16.5</v>
          </cell>
          <cell r="DD330">
            <v>0</v>
          </cell>
          <cell r="DE330">
            <v>0</v>
          </cell>
          <cell r="DG330" t="str">
            <v>)*1,67</v>
          </cell>
          <cell r="DI330">
            <v>0</v>
          </cell>
        </row>
        <row r="331">
          <cell r="P331">
            <v>11338.56</v>
          </cell>
          <cell r="Q331">
            <v>6658.97</v>
          </cell>
          <cell r="R331">
            <v>2606.59</v>
          </cell>
          <cell r="S331">
            <v>47731.33</v>
          </cell>
          <cell r="X331">
            <v>42958.2</v>
          </cell>
          <cell r="Y331">
            <v>20524.47</v>
          </cell>
          <cell r="AV331">
            <v>1.0669999999999999</v>
          </cell>
          <cell r="AW331">
            <v>1.081</v>
          </cell>
          <cell r="BA331">
            <v>23.94</v>
          </cell>
          <cell r="BB331">
            <v>6.82</v>
          </cell>
          <cell r="BC331">
            <v>5.56</v>
          </cell>
          <cell r="BS331">
            <v>23.94</v>
          </cell>
          <cell r="BZ331">
            <v>90</v>
          </cell>
          <cell r="CA331">
            <v>43</v>
          </cell>
          <cell r="DN331">
            <v>112</v>
          </cell>
          <cell r="DO331">
            <v>70</v>
          </cell>
        </row>
        <row r="333">
          <cell r="G333" t="str">
            <v>Металл и металлические изделия</v>
          </cell>
        </row>
        <row r="407">
          <cell r="G407" t="str">
            <v>Монтажные работы</v>
          </cell>
        </row>
      </sheetData>
      <sheetData sheetId="2" refreshError="1"/>
      <sheetData sheetId="3" refreshError="1"/>
      <sheetData sheetId="4" refreshError="1"/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Акт КС-2 по ТСН-2001"/>
      <sheetName val="Source"/>
      <sheetName val="SourceObSm"/>
      <sheetName val="SmtRes"/>
      <sheetName val="EtalonRes"/>
    </sheetNames>
    <sheetDataSet>
      <sheetData sheetId="0"/>
      <sheetData sheetId="1">
        <row r="20">
          <cell r="G20" t="str">
            <v>Станционный комплекс "Аминьевское шоссе". Платформенная часть. Внутренние инженерные системы. Электроосвещение. Этап 6.</v>
          </cell>
        </row>
        <row r="24">
          <cell r="G24" t="str">
            <v>Монтажные работы</v>
          </cell>
        </row>
        <row r="258">
          <cell r="G258" t="str">
            <v>Металл и металлические изделия</v>
          </cell>
        </row>
        <row r="271">
          <cell r="E271" t="str">
            <v>18</v>
          </cell>
          <cell r="H271" t="str">
            <v>100 м</v>
          </cell>
          <cell r="I271">
            <v>6.1</v>
          </cell>
          <cell r="P271">
            <v>2261.7800000000002</v>
          </cell>
          <cell r="Q271">
            <v>961.30000000000007</v>
          </cell>
          <cell r="R271">
            <v>120.76</v>
          </cell>
          <cell r="S271">
            <v>2211.3000000000002</v>
          </cell>
          <cell r="U271">
            <v>107.39354999999999</v>
          </cell>
          <cell r="X271">
            <v>2476.66</v>
          </cell>
          <cell r="Y271">
            <v>1547.91</v>
          </cell>
          <cell r="AL271">
            <v>343</v>
          </cell>
          <cell r="AM271">
            <v>140.25</v>
          </cell>
          <cell r="AN271">
            <v>11.11</v>
          </cell>
          <cell r="AO271">
            <v>203.44</v>
          </cell>
          <cell r="AQ271">
            <v>16.5</v>
          </cell>
          <cell r="DD271"/>
          <cell r="DE271"/>
          <cell r="DG271" t="str">
            <v>)*1,67</v>
          </cell>
          <cell r="DI271"/>
        </row>
        <row r="272">
          <cell r="P272">
            <v>12575.5</v>
          </cell>
          <cell r="Q272">
            <v>7385.5300000000007</v>
          </cell>
          <cell r="R272">
            <v>2890.99</v>
          </cell>
          <cell r="S272">
            <v>52938.52</v>
          </cell>
          <cell r="X272">
            <v>47644.67</v>
          </cell>
          <cell r="Y272">
            <v>22763.56</v>
          </cell>
          <cell r="AV272">
            <v>1.0669999999999999</v>
          </cell>
          <cell r="AW272">
            <v>1.081</v>
          </cell>
          <cell r="BA272">
            <v>23.94</v>
          </cell>
          <cell r="BB272">
            <v>6.82</v>
          </cell>
          <cell r="BC272">
            <v>5.56</v>
          </cell>
          <cell r="BS272">
            <v>23.94</v>
          </cell>
          <cell r="BZ272">
            <v>90</v>
          </cell>
          <cell r="CA272">
            <v>43</v>
          </cell>
          <cell r="DN272">
            <v>112</v>
          </cell>
          <cell r="DO272">
            <v>70</v>
          </cell>
        </row>
        <row r="274">
          <cell r="G274" t="str">
            <v>Металл и металлические изделия</v>
          </cell>
        </row>
        <row r="303">
          <cell r="G303" t="str">
            <v>Монтажные работы</v>
          </cell>
        </row>
      </sheetData>
      <sheetData sheetId="2"/>
      <sheetData sheetId="3"/>
      <sheetData sheetId="4"/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Акт КС-2 по ТСН-2001"/>
      <sheetName val="Source"/>
      <sheetName val="SourceObSm"/>
      <sheetName val="SmtRes"/>
      <sheetName val="EtalonRes"/>
    </sheetNames>
    <sheetDataSet>
      <sheetData sheetId="0"/>
      <sheetData sheetId="1">
        <row r="24">
          <cell r="G24" t="str">
            <v>Монтажные работы</v>
          </cell>
        </row>
        <row r="98">
          <cell r="E98" t="str">
            <v>15</v>
          </cell>
          <cell r="H98" t="str">
            <v>100 М КАБЕЛЯ</v>
          </cell>
          <cell r="I98">
            <v>8.82</v>
          </cell>
          <cell r="P98">
            <v>259.62</v>
          </cell>
          <cell r="Q98">
            <v>4837.54</v>
          </cell>
          <cell r="R98">
            <v>1179.98</v>
          </cell>
          <cell r="S98">
            <v>3119.84</v>
          </cell>
          <cell r="U98">
            <v>151.51613399999999</v>
          </cell>
          <cell r="X98">
            <v>3494.22</v>
          </cell>
          <cell r="Y98">
            <v>2183.89</v>
          </cell>
          <cell r="AL98">
            <v>27.23</v>
          </cell>
          <cell r="AM98">
            <v>463.73</v>
          </cell>
          <cell r="AN98">
            <v>75.08</v>
          </cell>
          <cell r="AO98">
            <v>198.51</v>
          </cell>
          <cell r="AQ98">
            <v>16.100000000000001</v>
          </cell>
          <cell r="DD98"/>
          <cell r="DE98"/>
          <cell r="DG98" t="str">
            <v>)*1,67</v>
          </cell>
          <cell r="DI98"/>
        </row>
        <row r="99">
          <cell r="P99">
            <v>1448.68</v>
          </cell>
          <cell r="Q99">
            <v>48914.8</v>
          </cell>
          <cell r="R99">
            <v>28590.92</v>
          </cell>
          <cell r="S99">
            <v>75593.72</v>
          </cell>
          <cell r="X99">
            <v>68034.350000000006</v>
          </cell>
          <cell r="Y99">
            <v>32505.3</v>
          </cell>
          <cell r="AV99">
            <v>1.0669999999999999</v>
          </cell>
          <cell r="AW99">
            <v>1.081</v>
          </cell>
          <cell r="BA99">
            <v>24.23</v>
          </cell>
          <cell r="BB99">
            <v>8.58</v>
          </cell>
          <cell r="BC99">
            <v>5.58</v>
          </cell>
          <cell r="BS99">
            <v>24.23</v>
          </cell>
          <cell r="BZ99">
            <v>90</v>
          </cell>
          <cell r="CA99">
            <v>43</v>
          </cell>
          <cell r="DN99">
            <v>112</v>
          </cell>
          <cell r="DO99">
            <v>70</v>
          </cell>
        </row>
        <row r="100">
          <cell r="E100" t="str">
            <v>16</v>
          </cell>
          <cell r="H100" t="str">
            <v>100 М КАБЕЛЯ</v>
          </cell>
          <cell r="I100">
            <v>8.82</v>
          </cell>
          <cell r="P100">
            <v>267.63</v>
          </cell>
          <cell r="Q100">
            <v>6822.2699999999995</v>
          </cell>
          <cell r="R100">
            <v>1697.83</v>
          </cell>
          <cell r="S100">
            <v>4224.38</v>
          </cell>
          <cell r="U100">
            <v>205.158492</v>
          </cell>
          <cell r="X100">
            <v>4731.3100000000004</v>
          </cell>
          <cell r="Y100">
            <v>2957.07</v>
          </cell>
          <cell r="AL100">
            <v>28.07</v>
          </cell>
          <cell r="AM100">
            <v>652.54999999999995</v>
          </cell>
          <cell r="AN100">
            <v>108.03</v>
          </cell>
          <cell r="AO100">
            <v>268.79000000000002</v>
          </cell>
          <cell r="AQ100">
            <v>21.8</v>
          </cell>
          <cell r="DD100"/>
          <cell r="DE100"/>
          <cell r="DG100" t="str">
            <v>)*1,67</v>
          </cell>
          <cell r="DI100"/>
        </row>
        <row r="101">
          <cell r="P101">
            <v>1493.38</v>
          </cell>
          <cell r="Q101">
            <v>69625.11</v>
          </cell>
          <cell r="R101">
            <v>41138.42</v>
          </cell>
          <cell r="S101">
            <v>102356.73</v>
          </cell>
          <cell r="X101">
            <v>92121.06</v>
          </cell>
          <cell r="Y101">
            <v>44013.39</v>
          </cell>
          <cell r="AV101">
            <v>1.0669999999999999</v>
          </cell>
          <cell r="AW101">
            <v>1.081</v>
          </cell>
          <cell r="BA101">
            <v>24.23</v>
          </cell>
          <cell r="BB101">
            <v>8.65</v>
          </cell>
          <cell r="BC101">
            <v>5.58</v>
          </cell>
          <cell r="BS101">
            <v>24.23</v>
          </cell>
          <cell r="BZ101">
            <v>90</v>
          </cell>
          <cell r="CA101">
            <v>43</v>
          </cell>
          <cell r="DN101">
            <v>112</v>
          </cell>
          <cell r="DO101">
            <v>70</v>
          </cell>
        </row>
        <row r="279">
          <cell r="G279" t="str">
            <v>Монтажные работы</v>
          </cell>
        </row>
        <row r="350">
          <cell r="G350" t="str">
            <v>Материалы, не учтенные в цене монтажа</v>
          </cell>
        </row>
        <row r="389">
          <cell r="G389" t="str">
            <v>Кабельная продукция</v>
          </cell>
        </row>
        <row r="421">
          <cell r="E421" t="str">
            <v>66</v>
          </cell>
          <cell r="R421">
            <v>0</v>
          </cell>
          <cell r="X421">
            <v>0</v>
          </cell>
          <cell r="Y421">
            <v>0</v>
          </cell>
        </row>
        <row r="422">
          <cell r="R422">
            <v>0</v>
          </cell>
          <cell r="X422">
            <v>0</v>
          </cell>
          <cell r="Y422">
            <v>0</v>
          </cell>
        </row>
        <row r="425">
          <cell r="E425" t="str">
            <v>68</v>
          </cell>
          <cell r="R425">
            <v>0</v>
          </cell>
          <cell r="X425">
            <v>0</v>
          </cell>
          <cell r="Y425">
            <v>0</v>
          </cell>
        </row>
        <row r="426">
          <cell r="R426">
            <v>0</v>
          </cell>
          <cell r="X426">
            <v>0</v>
          </cell>
          <cell r="Y426">
            <v>0</v>
          </cell>
        </row>
        <row r="464">
          <cell r="G464" t="str">
            <v>Кабельная продукция</v>
          </cell>
        </row>
        <row r="533">
          <cell r="G533" t="str">
            <v>Материалы, не учтенные в цене монтажа</v>
          </cell>
        </row>
      </sheetData>
      <sheetData sheetId="2"/>
      <sheetData sheetId="3"/>
      <sheetData sheetId="4"/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Акт КС-2 по ТСН-2001"/>
      <sheetName val="Source"/>
      <sheetName val="SourceObSm"/>
      <sheetName val="SmtRes"/>
      <sheetName val="EtalonRes"/>
    </sheetNames>
    <sheetDataSet>
      <sheetData sheetId="0"/>
      <sheetData sheetId="1">
        <row r="24">
          <cell r="G24" t="str">
            <v>Монтажные работы</v>
          </cell>
        </row>
        <row r="68">
          <cell r="G68" t="str">
            <v>Кабели и провода</v>
          </cell>
        </row>
        <row r="76">
          <cell r="E76" t="str">
            <v>6</v>
          </cell>
          <cell r="H76" t="str">
            <v>100 М КАБЕЛЯ</v>
          </cell>
          <cell r="I76">
            <v>28.42</v>
          </cell>
          <cell r="P76">
            <v>967.74</v>
          </cell>
          <cell r="Q76">
            <v>48659.67</v>
          </cell>
          <cell r="R76">
            <v>12680.08</v>
          </cell>
          <cell r="S76">
            <v>26974.6</v>
          </cell>
          <cell r="U76">
            <v>1310.0028480000001</v>
          </cell>
          <cell r="X76">
            <v>30211.55</v>
          </cell>
          <cell r="Y76">
            <v>18882.22</v>
          </cell>
          <cell r="AL76">
            <v>31.5</v>
          </cell>
          <cell r="AM76">
            <v>1436.89</v>
          </cell>
          <cell r="AN76">
            <v>250.39</v>
          </cell>
          <cell r="AO76">
            <v>532.66</v>
          </cell>
          <cell r="AQ76">
            <v>43.2</v>
          </cell>
          <cell r="DD76"/>
          <cell r="DE76"/>
          <cell r="DG76" t="str">
            <v>)*1,67</v>
          </cell>
          <cell r="DI76"/>
        </row>
        <row r="77">
          <cell r="P77">
            <v>5399.99</v>
          </cell>
          <cell r="Q77">
            <v>507136.62</v>
          </cell>
          <cell r="R77">
            <v>307238.34000000003</v>
          </cell>
          <cell r="S77">
            <v>653594.56000000006</v>
          </cell>
          <cell r="X77">
            <v>588235.1</v>
          </cell>
          <cell r="Y77">
            <v>281045.65999999997</v>
          </cell>
          <cell r="AV77">
            <v>1.0669999999999999</v>
          </cell>
          <cell r="AW77">
            <v>1.081</v>
          </cell>
          <cell r="BA77">
            <v>24.23</v>
          </cell>
          <cell r="BB77">
            <v>8.81</v>
          </cell>
          <cell r="BC77">
            <v>5.58</v>
          </cell>
          <cell r="BS77">
            <v>24.23</v>
          </cell>
          <cell r="BZ77">
            <v>90</v>
          </cell>
          <cell r="CA77">
            <v>43</v>
          </cell>
          <cell r="DN77">
            <v>112</v>
          </cell>
          <cell r="DO77">
            <v>70</v>
          </cell>
        </row>
        <row r="87">
          <cell r="G87" t="str">
            <v>Кабели и провода</v>
          </cell>
        </row>
        <row r="200">
          <cell r="G200" t="str">
            <v>Монтажные работы</v>
          </cell>
        </row>
        <row r="265">
          <cell r="G265" t="str">
            <v>Материалы, не учтенные в цене монтажа</v>
          </cell>
        </row>
        <row r="282">
          <cell r="G282" t="str">
            <v>Кабельная продукция</v>
          </cell>
        </row>
        <row r="292">
          <cell r="R292">
            <v>0</v>
          </cell>
          <cell r="X292">
            <v>0</v>
          </cell>
          <cell r="Y292">
            <v>0</v>
          </cell>
        </row>
        <row r="293">
          <cell r="R293">
            <v>0</v>
          </cell>
          <cell r="X293">
            <v>0</v>
          </cell>
          <cell r="Y293">
            <v>0</v>
          </cell>
        </row>
        <row r="307">
          <cell r="G307" t="str">
            <v>Кабельная продукция</v>
          </cell>
        </row>
        <row r="380">
          <cell r="G380" t="str">
            <v>Материалы, не учтенные в цене монтажа</v>
          </cell>
        </row>
      </sheetData>
      <sheetData sheetId="2"/>
      <sheetData sheetId="3"/>
      <sheetData sheetId="4"/>
    </sheetDataSet>
  </externalBook>
</externalLink>
</file>

<file path=xl/externalLinks/externalLink8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Акт КС-2 по ТСН-2001"/>
      <sheetName val="Source"/>
      <sheetName val="SourceObSm"/>
      <sheetName val="SmtRes"/>
      <sheetName val="EtalonRes"/>
    </sheetNames>
    <sheetDataSet>
      <sheetData sheetId="0"/>
      <sheetData sheetId="1">
        <row r="24">
          <cell r="G24" t="str">
            <v>Монтажные работы</v>
          </cell>
        </row>
        <row r="322">
          <cell r="E322">
            <v>205</v>
          </cell>
        </row>
        <row r="323">
          <cell r="H323" t="str">
            <v>Основная ЗП рабочих по ТСН-2001.16</v>
          </cell>
        </row>
        <row r="324">
          <cell r="H324" t="str">
            <v>Строительные работы с НР и СП</v>
          </cell>
        </row>
        <row r="325">
          <cell r="H325" t="str">
            <v>Монтажные работы с НР и СП</v>
          </cell>
        </row>
        <row r="326">
          <cell r="H326" t="str">
            <v>Прочие работы с НР и СП</v>
          </cell>
        </row>
      </sheetData>
      <sheetData sheetId="2"/>
      <sheetData sheetId="3"/>
      <sheetData sheetId="4"/>
    </sheetDataSet>
  </externalBook>
</externalLink>
</file>

<file path=xl/externalLinks/externalLink8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Акт КС-2 по ТСН-2001"/>
      <sheetName val="Source"/>
      <sheetName val="SourceObSm"/>
      <sheetName val="SmtRes"/>
      <sheetName val="EtalonRes"/>
    </sheetNames>
    <sheetDataSet>
      <sheetData sheetId="0"/>
      <sheetData sheetId="1">
        <row r="20">
          <cell r="G20" t="str">
            <v>Станционный комплекс "Аминьевское шоссе". Вестибюль №2, камера съездов, ТПП. Внутренние инженерные системы (не включая ТПП). Электрооборудование. Розеточные сети.</v>
          </cell>
        </row>
        <row r="24">
          <cell r="G24" t="str">
            <v>Монтажные работы</v>
          </cell>
        </row>
        <row r="28">
          <cell r="G28" t="str">
            <v>Низковольтное оборудование.</v>
          </cell>
        </row>
        <row r="38">
          <cell r="E38" t="str">
            <v>4</v>
          </cell>
          <cell r="H38" t="str">
            <v>100 м</v>
          </cell>
          <cell r="I38">
            <v>1.2</v>
          </cell>
          <cell r="P38">
            <v>2213.5100000000002</v>
          </cell>
          <cell r="Q38">
            <v>40.35</v>
          </cell>
          <cell r="R38">
            <v>8.27</v>
          </cell>
          <cell r="S38">
            <v>1030.94</v>
          </cell>
          <cell r="U38">
            <v>51.097788000000001</v>
          </cell>
          <cell r="X38">
            <v>1154.6500000000001</v>
          </cell>
          <cell r="Y38">
            <v>721.66</v>
          </cell>
          <cell r="AL38">
            <v>1844.59</v>
          </cell>
          <cell r="AM38">
            <v>29.47</v>
          </cell>
          <cell r="AN38">
            <v>3.94</v>
          </cell>
          <cell r="AO38">
            <v>491.35</v>
          </cell>
          <cell r="AQ38">
            <v>40.67</v>
          </cell>
          <cell r="DD38"/>
          <cell r="DE38"/>
          <cell r="DG38" t="str">
            <v>)*1,67</v>
          </cell>
          <cell r="DI38"/>
        </row>
        <row r="39">
          <cell r="P39">
            <v>12351.39</v>
          </cell>
          <cell r="Q39">
            <v>378.9</v>
          </cell>
          <cell r="R39">
            <v>200.38</v>
          </cell>
          <cell r="S39">
            <v>24979.68</v>
          </cell>
          <cell r="X39">
            <v>22481.71</v>
          </cell>
          <cell r="Y39">
            <v>10741.26</v>
          </cell>
          <cell r="AV39">
            <v>1.0469999999999999</v>
          </cell>
          <cell r="AW39">
            <v>1</v>
          </cell>
          <cell r="BA39">
            <v>24.23</v>
          </cell>
          <cell r="BB39">
            <v>8.06</v>
          </cell>
          <cell r="BC39">
            <v>5.58</v>
          </cell>
          <cell r="BS39">
            <v>24.23</v>
          </cell>
          <cell r="BZ39">
            <v>90</v>
          </cell>
          <cell r="CA39">
            <v>43</v>
          </cell>
          <cell r="DN39">
            <v>112</v>
          </cell>
          <cell r="DO39">
            <v>70</v>
          </cell>
        </row>
        <row r="40">
          <cell r="E40" t="str">
            <v>4,1</v>
          </cell>
          <cell r="F40" t="str">
            <v>1.1-1-2829</v>
          </cell>
          <cell r="H40" t="str">
            <v>м</v>
          </cell>
          <cell r="I40">
            <v>120</v>
          </cell>
          <cell r="O40">
            <v>11959.2</v>
          </cell>
          <cell r="R40">
            <v>0</v>
          </cell>
          <cell r="X40">
            <v>0</v>
          </cell>
          <cell r="Y40">
            <v>0</v>
          </cell>
          <cell r="AK40">
            <v>99.66</v>
          </cell>
        </row>
        <row r="41">
          <cell r="O41">
            <v>65297.23</v>
          </cell>
          <cell r="R41">
            <v>0</v>
          </cell>
          <cell r="X41">
            <v>0</v>
          </cell>
          <cell r="Y41">
            <v>0</v>
          </cell>
          <cell r="AW41">
            <v>1</v>
          </cell>
          <cell r="BC41">
            <v>5.46</v>
          </cell>
        </row>
        <row r="57">
          <cell r="G57" t="str">
            <v>Низковольтное оборудование.</v>
          </cell>
        </row>
        <row r="86">
          <cell r="G86" t="str">
            <v>Кабель и провода</v>
          </cell>
        </row>
        <row r="90">
          <cell r="E90" t="str">
            <v>7</v>
          </cell>
          <cell r="H90" t="str">
            <v>100 М КАБЕЛЯ</v>
          </cell>
          <cell r="I90">
            <v>4.2385000000000002</v>
          </cell>
          <cell r="P90">
            <v>123.48</v>
          </cell>
          <cell r="Q90">
            <v>1395.29</v>
          </cell>
          <cell r="R90">
            <v>334.28</v>
          </cell>
          <cell r="S90">
            <v>931.23</v>
          </cell>
          <cell r="U90">
            <v>45.224795</v>
          </cell>
          <cell r="X90">
            <v>1042.98</v>
          </cell>
          <cell r="Y90">
            <v>651.86</v>
          </cell>
          <cell r="AL90">
            <v>26.95</v>
          </cell>
          <cell r="AM90">
            <v>278.87</v>
          </cell>
          <cell r="AN90">
            <v>44.26</v>
          </cell>
          <cell r="AO90">
            <v>123.3</v>
          </cell>
          <cell r="AQ90">
            <v>10</v>
          </cell>
          <cell r="DD90"/>
          <cell r="DE90"/>
          <cell r="DG90" t="str">
            <v>)*1,67</v>
          </cell>
          <cell r="DI90"/>
        </row>
        <row r="91">
          <cell r="P91">
            <v>689.02</v>
          </cell>
          <cell r="Q91">
            <v>13994.74</v>
          </cell>
          <cell r="R91">
            <v>8099.6</v>
          </cell>
          <cell r="S91">
            <v>22563.7</v>
          </cell>
          <cell r="X91">
            <v>20307.330000000002</v>
          </cell>
          <cell r="Y91">
            <v>9702.39</v>
          </cell>
          <cell r="AV91">
            <v>1.0669999999999999</v>
          </cell>
          <cell r="AW91">
            <v>1.081</v>
          </cell>
          <cell r="BA91">
            <v>24.23</v>
          </cell>
          <cell r="BB91">
            <v>8.52</v>
          </cell>
          <cell r="BC91">
            <v>5.58</v>
          </cell>
          <cell r="BS91">
            <v>24.23</v>
          </cell>
          <cell r="BZ91">
            <v>90</v>
          </cell>
          <cell r="CA91">
            <v>43</v>
          </cell>
          <cell r="DN91">
            <v>112</v>
          </cell>
          <cell r="DO91">
            <v>70</v>
          </cell>
        </row>
        <row r="92">
          <cell r="E92" t="str">
            <v>8</v>
          </cell>
          <cell r="H92" t="str">
            <v>100 М КАБЕЛЯ</v>
          </cell>
          <cell r="I92">
            <v>0.46550000000000002</v>
          </cell>
          <cell r="P92">
            <v>18.95</v>
          </cell>
          <cell r="Q92">
            <v>229.92000000000002</v>
          </cell>
          <cell r="R92">
            <v>54.81</v>
          </cell>
          <cell r="S92">
            <v>155.46</v>
          </cell>
          <cell r="U92">
            <v>7.5496651999999997</v>
          </cell>
          <cell r="X92">
            <v>174.12</v>
          </cell>
          <cell r="Y92">
            <v>108.82</v>
          </cell>
          <cell r="AL92">
            <v>37.659999999999997</v>
          </cell>
          <cell r="AM92">
            <v>418.64</v>
          </cell>
          <cell r="AN92">
            <v>66.08</v>
          </cell>
          <cell r="AO92">
            <v>187.42</v>
          </cell>
          <cell r="AQ92">
            <v>15.2</v>
          </cell>
          <cell r="DD92"/>
          <cell r="DE92"/>
          <cell r="DG92" t="str">
            <v>)*1,67</v>
          </cell>
          <cell r="DI92"/>
        </row>
        <row r="93">
          <cell r="P93">
            <v>105.74</v>
          </cell>
          <cell r="Q93">
            <v>2302.3000000000002</v>
          </cell>
          <cell r="R93">
            <v>1328.05</v>
          </cell>
          <cell r="S93">
            <v>3766.8</v>
          </cell>
          <cell r="X93">
            <v>3390.12</v>
          </cell>
          <cell r="Y93">
            <v>1619.72</v>
          </cell>
          <cell r="AV93">
            <v>1.0669999999999999</v>
          </cell>
          <cell r="AW93">
            <v>1.081</v>
          </cell>
          <cell r="BA93">
            <v>24.23</v>
          </cell>
          <cell r="BB93">
            <v>8.51</v>
          </cell>
          <cell r="BC93">
            <v>5.58</v>
          </cell>
          <cell r="BS93">
            <v>24.23</v>
          </cell>
          <cell r="BZ93">
            <v>90</v>
          </cell>
          <cell r="CA93">
            <v>43</v>
          </cell>
          <cell r="DN93">
            <v>112</v>
          </cell>
          <cell r="DO93">
            <v>70</v>
          </cell>
        </row>
        <row r="94">
          <cell r="E94" t="str">
            <v>9</v>
          </cell>
          <cell r="H94" t="str">
            <v>100 М КАБЕЛЯ</v>
          </cell>
          <cell r="I94">
            <v>0.2205</v>
          </cell>
          <cell r="P94">
            <v>8.98</v>
          </cell>
          <cell r="Q94">
            <v>108.91</v>
          </cell>
          <cell r="R94">
            <v>25.96</v>
          </cell>
          <cell r="S94">
            <v>73.64</v>
          </cell>
          <cell r="U94">
            <v>3.5761571999999999</v>
          </cell>
          <cell r="X94">
            <v>82.48</v>
          </cell>
          <cell r="Y94">
            <v>51.55</v>
          </cell>
          <cell r="AL94">
            <v>37.659999999999997</v>
          </cell>
          <cell r="AM94">
            <v>418.64</v>
          </cell>
          <cell r="AN94">
            <v>66.08</v>
          </cell>
          <cell r="AO94">
            <v>187.42</v>
          </cell>
          <cell r="AQ94">
            <v>15.2</v>
          </cell>
          <cell r="DD94"/>
          <cell r="DE94"/>
          <cell r="DG94" t="str">
            <v>)*1,67</v>
          </cell>
          <cell r="DI94"/>
        </row>
        <row r="95">
          <cell r="P95">
            <v>50.11</v>
          </cell>
          <cell r="Q95">
            <v>1090.6299999999999</v>
          </cell>
          <cell r="R95">
            <v>629.01</v>
          </cell>
          <cell r="S95">
            <v>1784.3</v>
          </cell>
          <cell r="X95">
            <v>1605.87</v>
          </cell>
          <cell r="Y95">
            <v>767.25</v>
          </cell>
          <cell r="AV95">
            <v>1.0669999999999999</v>
          </cell>
          <cell r="AW95">
            <v>1.081</v>
          </cell>
          <cell r="BA95">
            <v>24.23</v>
          </cell>
          <cell r="BB95">
            <v>8.51</v>
          </cell>
          <cell r="BC95">
            <v>5.58</v>
          </cell>
          <cell r="BS95">
            <v>24.23</v>
          </cell>
          <cell r="BZ95">
            <v>90</v>
          </cell>
          <cell r="CA95">
            <v>43</v>
          </cell>
          <cell r="DN95">
            <v>112</v>
          </cell>
          <cell r="DO95">
            <v>70</v>
          </cell>
        </row>
        <row r="96">
          <cell r="E96" t="str">
            <v>10</v>
          </cell>
          <cell r="H96" t="str">
            <v>100 м</v>
          </cell>
          <cell r="I96">
            <v>0.1421</v>
          </cell>
          <cell r="P96">
            <v>2.16</v>
          </cell>
          <cell r="Q96">
            <v>0.57999999999999996</v>
          </cell>
          <cell r="R96">
            <v>0.2</v>
          </cell>
          <cell r="S96">
            <v>22.09</v>
          </cell>
          <cell r="U96">
            <v>1.0726944269999998</v>
          </cell>
          <cell r="X96">
            <v>24.74</v>
          </cell>
          <cell r="Y96">
            <v>15.46</v>
          </cell>
          <cell r="AL96">
            <v>15.19</v>
          </cell>
          <cell r="AM96">
            <v>3.39</v>
          </cell>
          <cell r="AN96">
            <v>0.79</v>
          </cell>
          <cell r="AO96">
            <v>88.9</v>
          </cell>
          <cell r="AQ96">
            <v>7.21</v>
          </cell>
          <cell r="DD96"/>
          <cell r="DE96"/>
          <cell r="DG96" t="str">
            <v>)*1,67</v>
          </cell>
          <cell r="DI96"/>
        </row>
        <row r="97">
          <cell r="P97">
            <v>12.05</v>
          </cell>
          <cell r="Q97">
            <v>6.9</v>
          </cell>
          <cell r="R97">
            <v>4.8499999999999996</v>
          </cell>
          <cell r="S97">
            <v>535.24</v>
          </cell>
          <cell r="X97">
            <v>481.72</v>
          </cell>
          <cell r="Y97">
            <v>230.15</v>
          </cell>
          <cell r="AV97">
            <v>1.0469999999999999</v>
          </cell>
          <cell r="AW97">
            <v>1</v>
          </cell>
          <cell r="BA97">
            <v>24.23</v>
          </cell>
          <cell r="BB97">
            <v>9.91</v>
          </cell>
          <cell r="BC97">
            <v>5.58</v>
          </cell>
          <cell r="BS97">
            <v>24.23</v>
          </cell>
          <cell r="BZ97">
            <v>90</v>
          </cell>
          <cell r="CA97">
            <v>43</v>
          </cell>
          <cell r="DN97">
            <v>112</v>
          </cell>
          <cell r="DO97">
            <v>70</v>
          </cell>
        </row>
        <row r="99">
          <cell r="G99" t="str">
            <v>Кабель и провода</v>
          </cell>
        </row>
        <row r="132">
          <cell r="E132" t="str">
            <v>10</v>
          </cell>
          <cell r="H132" t="str">
            <v>100 м</v>
          </cell>
          <cell r="I132">
            <v>0.32340000000000002</v>
          </cell>
          <cell r="P132">
            <v>5.21</v>
          </cell>
          <cell r="Q132">
            <v>2.3199999999999998</v>
          </cell>
          <cell r="R132">
            <v>0.78</v>
          </cell>
          <cell r="S132">
            <v>71.81</v>
          </cell>
          <cell r="U132">
            <v>3.4875779400000004</v>
          </cell>
          <cell r="X132">
            <v>80.430000000000007</v>
          </cell>
          <cell r="Y132">
            <v>50.27</v>
          </cell>
          <cell r="AL132">
            <v>16.100000000000001</v>
          </cell>
          <cell r="AM132">
            <v>5.93</v>
          </cell>
          <cell r="AN132">
            <v>1.38</v>
          </cell>
          <cell r="AO132">
            <v>127</v>
          </cell>
          <cell r="AQ132">
            <v>10.3</v>
          </cell>
          <cell r="DD132"/>
          <cell r="DE132"/>
          <cell r="DG132" t="str">
            <v>)*1,67</v>
          </cell>
          <cell r="DI132"/>
        </row>
        <row r="133">
          <cell r="P133">
            <v>29.07</v>
          </cell>
          <cell r="Q133">
            <v>27.43</v>
          </cell>
          <cell r="R133">
            <v>18.899999999999999</v>
          </cell>
          <cell r="S133">
            <v>1739.96</v>
          </cell>
          <cell r="X133">
            <v>1565.96</v>
          </cell>
          <cell r="Y133">
            <v>748.18</v>
          </cell>
          <cell r="AV133">
            <v>1.0469999999999999</v>
          </cell>
          <cell r="AW133">
            <v>1</v>
          </cell>
          <cell r="BA133">
            <v>24.23</v>
          </cell>
          <cell r="BB133">
            <v>9.91</v>
          </cell>
          <cell r="BC133">
            <v>5.58</v>
          </cell>
          <cell r="BS133">
            <v>24.23</v>
          </cell>
          <cell r="BZ133">
            <v>90</v>
          </cell>
          <cell r="CA133">
            <v>43</v>
          </cell>
          <cell r="DN133">
            <v>112</v>
          </cell>
          <cell r="DO133">
            <v>70</v>
          </cell>
        </row>
        <row r="228">
          <cell r="G228" t="str">
            <v>Монтажные работы</v>
          </cell>
        </row>
        <row r="299">
          <cell r="G299" t="str">
            <v>Материалы, не учтённые в цене монтажа</v>
          </cell>
        </row>
        <row r="389">
          <cell r="G389" t="str">
            <v>Кабели и провода. Кабельные изделия.</v>
          </cell>
        </row>
        <row r="393">
          <cell r="R393">
            <v>0</v>
          </cell>
          <cell r="X393">
            <v>0</v>
          </cell>
          <cell r="Y393">
            <v>0</v>
          </cell>
        </row>
        <row r="394">
          <cell r="R394">
            <v>0</v>
          </cell>
          <cell r="X394">
            <v>0</v>
          </cell>
          <cell r="Y394">
            <v>0</v>
          </cell>
        </row>
        <row r="403">
          <cell r="R403">
            <v>0</v>
          </cell>
          <cell r="X403">
            <v>0</v>
          </cell>
          <cell r="Y403">
            <v>0</v>
          </cell>
        </row>
        <row r="404">
          <cell r="R404">
            <v>0</v>
          </cell>
          <cell r="X404">
            <v>0</v>
          </cell>
          <cell r="Y404">
            <v>0</v>
          </cell>
        </row>
        <row r="405">
          <cell r="R405">
            <v>0</v>
          </cell>
          <cell r="X405">
            <v>0</v>
          </cell>
          <cell r="Y405">
            <v>0</v>
          </cell>
        </row>
        <row r="406">
          <cell r="R406">
            <v>0</v>
          </cell>
          <cell r="X406">
            <v>0</v>
          </cell>
          <cell r="Y406">
            <v>0</v>
          </cell>
        </row>
        <row r="424">
          <cell r="G424" t="str">
            <v>Кабели и провода. Кабельные изделия.</v>
          </cell>
        </row>
        <row r="505">
          <cell r="G505" t="str">
            <v>Материалы, не учтённые в цене монтажа</v>
          </cell>
        </row>
        <row r="534">
          <cell r="G534" t="str">
            <v>Станционный комплекс "Аминьевское шоссе". Вестибюль №2, камера съездов, ТПП. Внутренние инженерные системы (не включая ТПП). Электрооборудование. Розеточные сети.</v>
          </cell>
        </row>
      </sheetData>
      <sheetData sheetId="2"/>
      <sheetData sheetId="3"/>
      <sheetData sheetId="4"/>
    </sheetDataSet>
  </externalBook>
</externalLink>
</file>

<file path=xl/externalLinks/externalLink8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Акт КС-2 по ТСН-2001"/>
      <sheetName val="Source"/>
      <sheetName val="SourceObSm"/>
      <sheetName val="SmtRes"/>
      <sheetName val="EtalonRes"/>
    </sheetNames>
    <sheetDataSet>
      <sheetData sheetId="0"/>
      <sheetData sheetId="1">
        <row r="20">
          <cell r="G20" t="str">
            <v>Станционный комплекс "Аминьевское шоссе". Вестибюль №2, камера съездов, ТПП. Внутренние инженерные системы (не включая ТПП). Электрооборудование. Электрообогрев</v>
          </cell>
        </row>
        <row r="24">
          <cell r="G24" t="str">
            <v>Монтажные работы</v>
          </cell>
        </row>
        <row r="28">
          <cell r="G28" t="str">
            <v>Низковольтное оборудование</v>
          </cell>
        </row>
        <row r="32">
          <cell r="E32" t="str">
            <v>1</v>
          </cell>
          <cell r="H32" t="str">
            <v>1  ШТ.</v>
          </cell>
          <cell r="I32">
            <v>4</v>
          </cell>
          <cell r="P32">
            <v>216.72</v>
          </cell>
          <cell r="Q32">
            <v>161.79</v>
          </cell>
          <cell r="R32">
            <v>24.76</v>
          </cell>
          <cell r="S32">
            <v>187.3</v>
          </cell>
          <cell r="U32">
            <v>8.6272800000000007</v>
          </cell>
          <cell r="X32">
            <v>209.78</v>
          </cell>
          <cell r="Y32">
            <v>131.11000000000001</v>
          </cell>
          <cell r="AL32">
            <v>54.18</v>
          </cell>
          <cell r="AM32">
            <v>36.26</v>
          </cell>
          <cell r="AN32">
            <v>3.54</v>
          </cell>
          <cell r="AO32">
            <v>26.78</v>
          </cell>
          <cell r="AQ32">
            <v>2.06</v>
          </cell>
          <cell r="DD32">
            <v>0</v>
          </cell>
          <cell r="DE32">
            <v>0</v>
          </cell>
          <cell r="DG32" t="str">
            <v>)*1,67</v>
          </cell>
          <cell r="DI32">
            <v>0</v>
          </cell>
        </row>
        <row r="33">
          <cell r="P33">
            <v>1209.3</v>
          </cell>
          <cell r="Q33">
            <v>1361.33</v>
          </cell>
          <cell r="R33">
            <v>599.92999999999995</v>
          </cell>
          <cell r="S33">
            <v>4538.28</v>
          </cell>
          <cell r="X33">
            <v>4084.45</v>
          </cell>
          <cell r="Y33">
            <v>1951.46</v>
          </cell>
          <cell r="AV33">
            <v>1.0469999999999999</v>
          </cell>
          <cell r="AW33">
            <v>1</v>
          </cell>
          <cell r="BA33">
            <v>24.23</v>
          </cell>
          <cell r="BB33">
            <v>7.38</v>
          </cell>
          <cell r="BC33">
            <v>5.58</v>
          </cell>
          <cell r="BS33">
            <v>24.23</v>
          </cell>
          <cell r="BZ33">
            <v>90</v>
          </cell>
          <cell r="CA33">
            <v>43</v>
          </cell>
          <cell r="DN33">
            <v>112</v>
          </cell>
          <cell r="DO33">
            <v>70</v>
          </cell>
        </row>
        <row r="47">
          <cell r="G47" t="str">
            <v>Низковольтное оборудование</v>
          </cell>
        </row>
        <row r="249">
          <cell r="G249" t="str">
            <v>Низковольтное оборудование</v>
          </cell>
        </row>
        <row r="253">
          <cell r="E253" t="str">
            <v>25</v>
          </cell>
          <cell r="R253">
            <v>0</v>
          </cell>
          <cell r="X253">
            <v>0</v>
          </cell>
          <cell r="Y253">
            <v>0</v>
          </cell>
        </row>
        <row r="254">
          <cell r="R254">
            <v>0</v>
          </cell>
          <cell r="X254">
            <v>0</v>
          </cell>
          <cell r="Y254">
            <v>0</v>
          </cell>
        </row>
        <row r="255">
          <cell r="E255" t="str">
            <v>26</v>
          </cell>
          <cell r="H255" t="str">
            <v>шт.</v>
          </cell>
          <cell r="I255">
            <v>3</v>
          </cell>
          <cell r="R255">
            <v>0</v>
          </cell>
          <cell r="X255">
            <v>0</v>
          </cell>
          <cell r="Y255">
            <v>0</v>
          </cell>
        </row>
        <row r="256">
          <cell r="R256">
            <v>0</v>
          </cell>
          <cell r="X256">
            <v>0</v>
          </cell>
          <cell r="Y256">
            <v>0</v>
          </cell>
        </row>
        <row r="264">
          <cell r="G264" t="str">
            <v>Низковольтное оборудование</v>
          </cell>
        </row>
        <row r="518">
          <cell r="G518" t="str">
            <v>Станционный комплекс "Аминьевское шоссе". Вестибюль №2, камера съездов, ТПП. Внутренние инженерные системы (не включая ТПП). Электрооборудование. Электрообогрев</v>
          </cell>
        </row>
      </sheetData>
      <sheetData sheetId="2" refreshError="1"/>
      <sheetData sheetId="3" refreshError="1"/>
      <sheetData sheetId="4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"/>
      <sheetName val="Ф"/>
      <sheetName val="ч. щ. 1"/>
      <sheetName val="ч. щ. 2"/>
      <sheetName val="К.С.М."/>
      <sheetName val="Тр."/>
      <sheetName val="Тр.(ж.д.)"/>
      <sheetName val="зим."/>
      <sheetName val="вах"/>
      <sheetName val="окно"/>
      <sheetName val="вр"/>
      <sheetName val="C.с"/>
      <sheetName val="П.з.л.см"/>
      <sheetName val="П.з.р.в"/>
      <sheetName val="Сод.л.см"/>
      <sheetName val="Сод.р.в."/>
      <sheetName val="ТрМ. "/>
      <sheetName val="К.С.М. м"/>
      <sheetName val="отгр ГОК"/>
      <sheetName val="коэф"/>
    </sheetNames>
    <sheetDataSet>
      <sheetData sheetId="0"/>
      <sheetData sheetId="1">
        <row r="57">
          <cell r="H57">
            <v>136.85</v>
          </cell>
        </row>
      </sheetData>
      <sheetData sheetId="2"/>
      <sheetData sheetId="3" refreshError="1">
        <row r="29">
          <cell r="F29">
            <v>14.603200000000001</v>
          </cell>
        </row>
      </sheetData>
      <sheetData sheetId="4">
        <row r="319">
          <cell r="P319">
            <v>10.35</v>
          </cell>
        </row>
      </sheetData>
      <sheetData sheetId="5" refreshError="1">
        <row r="17">
          <cell r="H17">
            <v>5.0599999999999996</v>
          </cell>
        </row>
        <row r="39">
          <cell r="H39">
            <v>3.08</v>
          </cell>
        </row>
        <row r="42">
          <cell r="H42">
            <v>2.6100000000000003</v>
          </cell>
        </row>
        <row r="47">
          <cell r="H47">
            <v>3.21</v>
          </cell>
        </row>
        <row r="50">
          <cell r="H50">
            <v>3.08</v>
          </cell>
        </row>
        <row r="53">
          <cell r="H53">
            <v>2.98</v>
          </cell>
        </row>
        <row r="56">
          <cell r="H56">
            <v>5.22</v>
          </cell>
        </row>
        <row r="59">
          <cell r="H59">
            <v>5.09</v>
          </cell>
        </row>
        <row r="62">
          <cell r="H62">
            <v>2.4300000000000002</v>
          </cell>
        </row>
        <row r="65">
          <cell r="H65">
            <v>1.4</v>
          </cell>
        </row>
      </sheetData>
      <sheetData sheetId="6" refreshError="1">
        <row r="43">
          <cell r="F43">
            <v>5.2489999999999997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9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Акт КС-2 по ТСН-2001"/>
      <sheetName val="Source"/>
      <sheetName val="SourceObSm"/>
      <sheetName val="SmtRes"/>
      <sheetName val="EtalonRes"/>
    </sheetNames>
    <sheetDataSet>
      <sheetData sheetId="0"/>
      <sheetData sheetId="1">
        <row r="20">
          <cell r="G20" t="str">
            <v>Станционный комплекс "Аминьевское шоссе". Вестибюль №2, камера съездов, ТПП. Внутренние инженерные системы (не включая ТПП). Электрооборудование. Силовое электрооборудование.</v>
          </cell>
        </row>
        <row r="24">
          <cell r="G24" t="str">
            <v>Монтажные работы</v>
          </cell>
        </row>
        <row r="28">
          <cell r="G28" t="str">
            <v>Низковольтное оборудование.</v>
          </cell>
        </row>
        <row r="32">
          <cell r="E32" t="str">
            <v>1</v>
          </cell>
          <cell r="H32" t="str">
            <v>1  ШТ.</v>
          </cell>
          <cell r="I32">
            <v>7</v>
          </cell>
          <cell r="P32">
            <v>906.5</v>
          </cell>
          <cell r="Q32">
            <v>514.34</v>
          </cell>
          <cell r="R32">
            <v>94.98</v>
          </cell>
          <cell r="S32">
            <v>491.66</v>
          </cell>
          <cell r="U32">
            <v>22.646609999999995</v>
          </cell>
          <cell r="X32">
            <v>550.66</v>
          </cell>
          <cell r="Y32">
            <v>344.16</v>
          </cell>
          <cell r="AL32">
            <v>129.5</v>
          </cell>
          <cell r="AM32">
            <v>64.98</v>
          </cell>
          <cell r="AN32">
            <v>7.76</v>
          </cell>
          <cell r="AO32">
            <v>40.17</v>
          </cell>
          <cell r="AQ32">
            <v>3.09</v>
          </cell>
          <cell r="DD32"/>
          <cell r="DE32"/>
          <cell r="DG32" t="str">
            <v>)*1,67</v>
          </cell>
          <cell r="DI32"/>
        </row>
        <row r="33">
          <cell r="P33">
            <v>5058.2700000000004</v>
          </cell>
          <cell r="Q33">
            <v>4633.07</v>
          </cell>
          <cell r="R33">
            <v>2301.37</v>
          </cell>
          <cell r="S33">
            <v>11912.92</v>
          </cell>
          <cell r="X33">
            <v>10721.63</v>
          </cell>
          <cell r="Y33">
            <v>5122.5600000000004</v>
          </cell>
          <cell r="AV33">
            <v>1.0469999999999999</v>
          </cell>
          <cell r="AW33">
            <v>1</v>
          </cell>
          <cell r="BA33">
            <v>24.23</v>
          </cell>
          <cell r="BB33">
            <v>7.79</v>
          </cell>
          <cell r="BC33">
            <v>5.58</v>
          </cell>
          <cell r="BS33">
            <v>24.23</v>
          </cell>
          <cell r="BZ33">
            <v>90</v>
          </cell>
          <cell r="CA33">
            <v>43</v>
          </cell>
          <cell r="DN33">
            <v>112</v>
          </cell>
          <cell r="DO33">
            <v>70</v>
          </cell>
        </row>
        <row r="35">
          <cell r="G35" t="str">
            <v>Низковольтное оборудование.</v>
          </cell>
        </row>
        <row r="114">
          <cell r="G114" t="str">
            <v>Кабель и провода</v>
          </cell>
        </row>
        <row r="118">
          <cell r="E118" t="str">
            <v>9</v>
          </cell>
          <cell r="H118" t="str">
            <v>100 М КАБЕЛЯ</v>
          </cell>
          <cell r="I118">
            <v>5.8310000000000004</v>
          </cell>
          <cell r="P118">
            <v>237.38</v>
          </cell>
          <cell r="Q118">
            <v>2880.1</v>
          </cell>
          <cell r="R118">
            <v>686.58</v>
          </cell>
          <cell r="S118">
            <v>1947.33</v>
          </cell>
          <cell r="U118">
            <v>94.569490400000007</v>
          </cell>
          <cell r="X118">
            <v>2181.0100000000002</v>
          </cell>
          <cell r="Y118">
            <v>1363.13</v>
          </cell>
          <cell r="AL118">
            <v>37.659999999999997</v>
          </cell>
          <cell r="AM118">
            <v>418.64</v>
          </cell>
          <cell r="AN118">
            <v>66.08</v>
          </cell>
          <cell r="AO118">
            <v>187.42</v>
          </cell>
          <cell r="AQ118">
            <v>15.2</v>
          </cell>
          <cell r="DD118"/>
          <cell r="DE118"/>
          <cell r="DG118" t="str">
            <v>)*1,67</v>
          </cell>
          <cell r="DI118"/>
        </row>
        <row r="119">
          <cell r="P119">
            <v>1324.58</v>
          </cell>
          <cell r="Q119">
            <v>28839.89</v>
          </cell>
          <cell r="R119">
            <v>16635.830000000002</v>
          </cell>
          <cell r="S119">
            <v>47183.81</v>
          </cell>
          <cell r="X119">
            <v>42465.43</v>
          </cell>
          <cell r="Y119">
            <v>20289.04</v>
          </cell>
          <cell r="AV119">
            <v>1.0669999999999999</v>
          </cell>
          <cell r="AW119">
            <v>1.081</v>
          </cell>
          <cell r="BA119">
            <v>24.23</v>
          </cell>
          <cell r="BB119">
            <v>8.51</v>
          </cell>
          <cell r="BC119">
            <v>5.58</v>
          </cell>
          <cell r="BS119">
            <v>24.23</v>
          </cell>
          <cell r="BZ119">
            <v>90</v>
          </cell>
          <cell r="CA119">
            <v>43</v>
          </cell>
          <cell r="DN119">
            <v>112</v>
          </cell>
          <cell r="DO119">
            <v>70</v>
          </cell>
        </row>
        <row r="120">
          <cell r="E120" t="str">
            <v>10</v>
          </cell>
          <cell r="H120" t="str">
            <v>100 М КАБЕЛЯ</v>
          </cell>
          <cell r="I120">
            <v>0.53900000000000003</v>
          </cell>
          <cell r="P120">
            <v>22.19</v>
          </cell>
          <cell r="Q120">
            <v>329.41</v>
          </cell>
          <cell r="R120">
            <v>79.13</v>
          </cell>
          <cell r="S120">
            <v>220.27</v>
          </cell>
          <cell r="U120">
            <v>10.6971018</v>
          </cell>
          <cell r="X120">
            <v>246.7</v>
          </cell>
          <cell r="Y120">
            <v>154.19</v>
          </cell>
          <cell r="AL120">
            <v>38.08</v>
          </cell>
          <cell r="AM120">
            <v>517.55999999999995</v>
          </cell>
          <cell r="AN120">
            <v>82.39</v>
          </cell>
          <cell r="AO120">
            <v>229.34</v>
          </cell>
          <cell r="AQ120">
            <v>18.600000000000001</v>
          </cell>
          <cell r="DD120"/>
          <cell r="DE120"/>
          <cell r="DG120" t="str">
            <v>)*1,67</v>
          </cell>
          <cell r="DI120"/>
        </row>
        <row r="121">
          <cell r="P121">
            <v>123.82</v>
          </cell>
          <cell r="Q121">
            <v>3308.34</v>
          </cell>
          <cell r="R121">
            <v>1917.32</v>
          </cell>
          <cell r="S121">
            <v>5337.14</v>
          </cell>
          <cell r="X121">
            <v>4803.43</v>
          </cell>
          <cell r="Y121">
            <v>2294.9699999999998</v>
          </cell>
          <cell r="AV121">
            <v>1.0669999999999999</v>
          </cell>
          <cell r="AW121">
            <v>1.081</v>
          </cell>
          <cell r="BA121">
            <v>24.23</v>
          </cell>
          <cell r="BB121">
            <v>8.5299999999999994</v>
          </cell>
          <cell r="BC121">
            <v>5.58</v>
          </cell>
          <cell r="BS121">
            <v>24.23</v>
          </cell>
          <cell r="BZ121">
            <v>90</v>
          </cell>
          <cell r="CA121">
            <v>43</v>
          </cell>
          <cell r="DN121">
            <v>112</v>
          </cell>
          <cell r="DO121">
            <v>70</v>
          </cell>
        </row>
        <row r="124">
          <cell r="E124" t="str">
            <v>12</v>
          </cell>
          <cell r="H124" t="str">
            <v>100 М КАБЕЛЯ</v>
          </cell>
          <cell r="I124">
            <v>0.53900000000000003</v>
          </cell>
          <cell r="P124">
            <v>22.6</v>
          </cell>
          <cell r="Q124">
            <v>401.72999999999996</v>
          </cell>
          <cell r="R124">
            <v>96.94</v>
          </cell>
          <cell r="S124">
            <v>265.26</v>
          </cell>
          <cell r="U124">
            <v>12.882531199999999</v>
          </cell>
          <cell r="X124">
            <v>297.08999999999997</v>
          </cell>
          <cell r="Y124">
            <v>185.68</v>
          </cell>
          <cell r="AL124">
            <v>38.78</v>
          </cell>
          <cell r="AM124">
            <v>630.9</v>
          </cell>
          <cell r="AN124">
            <v>100.93</v>
          </cell>
          <cell r="AO124">
            <v>276.19</v>
          </cell>
          <cell r="AQ124">
            <v>22.4</v>
          </cell>
          <cell r="DD124"/>
          <cell r="DE124"/>
          <cell r="DG124" t="str">
            <v>)*1,67</v>
          </cell>
          <cell r="DI124"/>
        </row>
        <row r="125">
          <cell r="P125">
            <v>126.11</v>
          </cell>
          <cell r="Q125">
            <v>4044.58</v>
          </cell>
          <cell r="R125">
            <v>2348.86</v>
          </cell>
          <cell r="S125">
            <v>6427.25</v>
          </cell>
          <cell r="X125">
            <v>5784.53</v>
          </cell>
          <cell r="Y125">
            <v>2763.72</v>
          </cell>
          <cell r="AV125">
            <v>1.0669999999999999</v>
          </cell>
          <cell r="AW125">
            <v>1.081</v>
          </cell>
          <cell r="BA125">
            <v>24.23</v>
          </cell>
          <cell r="BB125">
            <v>8.5500000000000007</v>
          </cell>
          <cell r="BC125">
            <v>5.58</v>
          </cell>
          <cell r="BS125">
            <v>24.23</v>
          </cell>
          <cell r="BZ125">
            <v>90</v>
          </cell>
          <cell r="CA125">
            <v>43</v>
          </cell>
          <cell r="DN125">
            <v>112</v>
          </cell>
          <cell r="DO125">
            <v>70</v>
          </cell>
        </row>
        <row r="126">
          <cell r="E126" t="str">
            <v>13</v>
          </cell>
          <cell r="H126" t="str">
            <v>100 М КАБЕЛЯ</v>
          </cell>
          <cell r="I126">
            <v>0.41894999999999999</v>
          </cell>
          <cell r="P126">
            <v>17.059999999999999</v>
          </cell>
          <cell r="Q126">
            <v>206.92999999999998</v>
          </cell>
          <cell r="R126">
            <v>49.33</v>
          </cell>
          <cell r="S126">
            <v>139.91</v>
          </cell>
          <cell r="U126">
            <v>6.7946986799999998</v>
          </cell>
          <cell r="X126">
            <v>156.69999999999999</v>
          </cell>
          <cell r="Y126">
            <v>97.94</v>
          </cell>
          <cell r="AL126">
            <v>37.659999999999997</v>
          </cell>
          <cell r="AM126">
            <v>418.64</v>
          </cell>
          <cell r="AN126">
            <v>66.08</v>
          </cell>
          <cell r="AO126">
            <v>187.42</v>
          </cell>
          <cell r="AQ126">
            <v>15.2</v>
          </cell>
          <cell r="DD126"/>
          <cell r="DE126"/>
          <cell r="DG126" t="str">
            <v>)*1,67</v>
          </cell>
          <cell r="DI126"/>
        </row>
        <row r="127">
          <cell r="P127">
            <v>95.19</v>
          </cell>
          <cell r="Q127">
            <v>2072.0699999999997</v>
          </cell>
          <cell r="R127">
            <v>1195.27</v>
          </cell>
          <cell r="S127">
            <v>3390.02</v>
          </cell>
          <cell r="X127">
            <v>3051.02</v>
          </cell>
          <cell r="Y127">
            <v>1457.71</v>
          </cell>
          <cell r="AV127">
            <v>1.0669999999999999</v>
          </cell>
          <cell r="AW127">
            <v>1.081</v>
          </cell>
          <cell r="BA127">
            <v>24.23</v>
          </cell>
          <cell r="BB127">
            <v>8.51</v>
          </cell>
          <cell r="BC127">
            <v>5.58</v>
          </cell>
          <cell r="BS127">
            <v>24.23</v>
          </cell>
          <cell r="BZ127">
            <v>90</v>
          </cell>
          <cell r="CA127">
            <v>43</v>
          </cell>
          <cell r="DN127">
            <v>112</v>
          </cell>
          <cell r="DO127">
            <v>70</v>
          </cell>
        </row>
        <row r="128">
          <cell r="E128" t="str">
            <v>14</v>
          </cell>
          <cell r="H128" t="str">
            <v>100 М КАБЕЛЯ</v>
          </cell>
          <cell r="I128">
            <v>0.13965</v>
          </cell>
          <cell r="P128">
            <v>5.69</v>
          </cell>
          <cell r="Q128">
            <v>68.98</v>
          </cell>
          <cell r="R128">
            <v>16.440000000000001</v>
          </cell>
          <cell r="S128">
            <v>46.64</v>
          </cell>
          <cell r="U128">
            <v>2.2648995599999999</v>
          </cell>
          <cell r="X128">
            <v>52.24</v>
          </cell>
          <cell r="Y128">
            <v>32.65</v>
          </cell>
          <cell r="AL128">
            <v>37.659999999999997</v>
          </cell>
          <cell r="AM128">
            <v>418.64</v>
          </cell>
          <cell r="AN128">
            <v>66.08</v>
          </cell>
          <cell r="AO128">
            <v>187.42</v>
          </cell>
          <cell r="AQ128">
            <v>15.2</v>
          </cell>
          <cell r="DD128"/>
          <cell r="DE128"/>
          <cell r="DG128" t="str">
            <v>)*1,67</v>
          </cell>
          <cell r="DI128"/>
        </row>
        <row r="129">
          <cell r="P129">
            <v>31.75</v>
          </cell>
          <cell r="Q129">
            <v>690.77</v>
          </cell>
          <cell r="R129">
            <v>398.34</v>
          </cell>
          <cell r="S129">
            <v>1130.0899999999999</v>
          </cell>
          <cell r="X129">
            <v>1017.08</v>
          </cell>
          <cell r="Y129">
            <v>485.94</v>
          </cell>
          <cell r="AV129">
            <v>1.0669999999999999</v>
          </cell>
          <cell r="AW129">
            <v>1.081</v>
          </cell>
          <cell r="BA129">
            <v>24.23</v>
          </cell>
          <cell r="BB129">
            <v>8.51</v>
          </cell>
          <cell r="BC129">
            <v>5.58</v>
          </cell>
          <cell r="BS129">
            <v>24.23</v>
          </cell>
          <cell r="BZ129">
            <v>90</v>
          </cell>
          <cell r="CA129">
            <v>43</v>
          </cell>
          <cell r="DN129">
            <v>112</v>
          </cell>
          <cell r="DO129">
            <v>70</v>
          </cell>
        </row>
        <row r="130">
          <cell r="E130" t="str">
            <v>15</v>
          </cell>
          <cell r="H130" t="str">
            <v>100 М КАБЕЛЯ</v>
          </cell>
          <cell r="I130">
            <v>9.5549999999999996E-2</v>
          </cell>
          <cell r="P130">
            <v>3.93</v>
          </cell>
          <cell r="Q130">
            <v>58.400000000000006</v>
          </cell>
          <cell r="R130">
            <v>14.03</v>
          </cell>
          <cell r="S130">
            <v>39.049999999999997</v>
          </cell>
          <cell r="U130">
            <v>1.8963044099999999</v>
          </cell>
          <cell r="X130">
            <v>43.74</v>
          </cell>
          <cell r="Y130">
            <v>27.34</v>
          </cell>
          <cell r="AL130">
            <v>38.08</v>
          </cell>
          <cell r="AM130">
            <v>517.55999999999995</v>
          </cell>
          <cell r="AN130">
            <v>82.39</v>
          </cell>
          <cell r="AO130">
            <v>229.34</v>
          </cell>
          <cell r="AQ130">
            <v>18.600000000000001</v>
          </cell>
          <cell r="DD130"/>
          <cell r="DE130"/>
          <cell r="DG130" t="str">
            <v>)*1,67</v>
          </cell>
          <cell r="DI130"/>
        </row>
        <row r="131">
          <cell r="P131">
            <v>21.93</v>
          </cell>
          <cell r="Q131">
            <v>586.54</v>
          </cell>
          <cell r="R131">
            <v>339.95</v>
          </cell>
          <cell r="S131">
            <v>946.18</v>
          </cell>
          <cell r="X131">
            <v>851.56</v>
          </cell>
          <cell r="Y131">
            <v>406.86</v>
          </cell>
          <cell r="AV131">
            <v>1.0669999999999999</v>
          </cell>
          <cell r="AW131">
            <v>1.081</v>
          </cell>
          <cell r="BA131">
            <v>24.23</v>
          </cell>
          <cell r="BB131">
            <v>8.5299999999999994</v>
          </cell>
          <cell r="BC131">
            <v>5.58</v>
          </cell>
          <cell r="BS131">
            <v>24.23</v>
          </cell>
          <cell r="BZ131">
            <v>90</v>
          </cell>
          <cell r="CA131">
            <v>43</v>
          </cell>
          <cell r="DN131">
            <v>112</v>
          </cell>
          <cell r="DO131">
            <v>70</v>
          </cell>
        </row>
        <row r="135">
          <cell r="G135" t="str">
            <v>Кабель и провода</v>
          </cell>
        </row>
        <row r="338">
          <cell r="G338" t="str">
            <v>Монтажные работы</v>
          </cell>
        </row>
        <row r="367">
          <cell r="G367" t="str">
            <v>Низковольтное оборудование</v>
          </cell>
        </row>
        <row r="371">
          <cell r="E371" t="str">
            <v>29</v>
          </cell>
          <cell r="F371" t="str">
            <v>Прайс-лист</v>
          </cell>
          <cell r="H371" t="str">
            <v>шт.</v>
          </cell>
          <cell r="I371">
            <v>4</v>
          </cell>
          <cell r="R371">
            <v>0</v>
          </cell>
          <cell r="X371">
            <v>0</v>
          </cell>
          <cell r="Y371">
            <v>0</v>
          </cell>
          <cell r="DD371"/>
        </row>
        <row r="372">
          <cell r="H372" t="str">
            <v>шт.</v>
          </cell>
          <cell r="R372">
            <v>0</v>
          </cell>
          <cell r="X372">
            <v>0</v>
          </cell>
          <cell r="Y372">
            <v>0</v>
          </cell>
        </row>
        <row r="373">
          <cell r="E373" t="str">
            <v>30</v>
          </cell>
          <cell r="F373" t="str">
            <v>Прайс-лист</v>
          </cell>
          <cell r="H373" t="str">
            <v>шт.</v>
          </cell>
          <cell r="R373">
            <v>0</v>
          </cell>
          <cell r="X373">
            <v>0</v>
          </cell>
          <cell r="Y373">
            <v>0</v>
          </cell>
        </row>
        <row r="374">
          <cell r="H374" t="str">
            <v>шт.</v>
          </cell>
          <cell r="R374">
            <v>0</v>
          </cell>
          <cell r="X374">
            <v>0</v>
          </cell>
          <cell r="Y374">
            <v>0</v>
          </cell>
        </row>
        <row r="375">
          <cell r="H375" t="str">
            <v>шт.</v>
          </cell>
        </row>
        <row r="396">
          <cell r="G396" t="str">
            <v>Низковольтное оборудование</v>
          </cell>
        </row>
        <row r="425">
          <cell r="G425" t="str">
            <v>Материалы, не учтённые в цене монтажа</v>
          </cell>
        </row>
        <row r="489">
          <cell r="G489" t="str">
            <v>Кабели и провода. Кабельные изделия.</v>
          </cell>
        </row>
        <row r="513">
          <cell r="E513" t="str">
            <v>64</v>
          </cell>
          <cell r="F513" t="str">
            <v>1.23-8-687</v>
          </cell>
          <cell r="R513">
            <v>0</v>
          </cell>
          <cell r="X513">
            <v>0</v>
          </cell>
          <cell r="Y513">
            <v>0</v>
          </cell>
        </row>
        <row r="514">
          <cell r="R514">
            <v>0</v>
          </cell>
          <cell r="X514">
            <v>0</v>
          </cell>
          <cell r="Y514">
            <v>0</v>
          </cell>
        </row>
        <row r="519">
          <cell r="E519" t="str">
            <v>67</v>
          </cell>
          <cell r="F519" t="str">
            <v>1.23-8-1037</v>
          </cell>
          <cell r="R519">
            <v>0</v>
          </cell>
          <cell r="X519">
            <v>0</v>
          </cell>
          <cell r="Y519">
            <v>0</v>
          </cell>
        </row>
        <row r="520">
          <cell r="R520">
            <v>0</v>
          </cell>
          <cell r="X520">
            <v>0</v>
          </cell>
          <cell r="Y520">
            <v>0</v>
          </cell>
        </row>
        <row r="521">
          <cell r="E521" t="str">
            <v>68</v>
          </cell>
          <cell r="F521" t="str">
            <v>1.23-8-866</v>
          </cell>
          <cell r="R521">
            <v>0</v>
          </cell>
          <cell r="X521">
            <v>0</v>
          </cell>
          <cell r="Y521">
            <v>0</v>
          </cell>
        </row>
        <row r="522">
          <cell r="R522">
            <v>0</v>
          </cell>
          <cell r="X522">
            <v>0</v>
          </cell>
          <cell r="Y522">
            <v>0</v>
          </cell>
        </row>
        <row r="527">
          <cell r="E527" t="str">
            <v>71</v>
          </cell>
          <cell r="F527" t="str">
            <v>1.23-8-863</v>
          </cell>
          <cell r="R527">
            <v>0</v>
          </cell>
          <cell r="X527">
            <v>0</v>
          </cell>
          <cell r="Y527">
            <v>0</v>
          </cell>
        </row>
        <row r="528">
          <cell r="R528">
            <v>0</v>
          </cell>
          <cell r="X528">
            <v>0</v>
          </cell>
          <cell r="Y528">
            <v>0</v>
          </cell>
        </row>
        <row r="533">
          <cell r="E533" t="str">
            <v>74</v>
          </cell>
          <cell r="F533" t="str">
            <v>1.23-8-852</v>
          </cell>
          <cell r="R533">
            <v>0</v>
          </cell>
          <cell r="X533">
            <v>0</v>
          </cell>
          <cell r="Y533">
            <v>0</v>
          </cell>
        </row>
        <row r="534">
          <cell r="R534">
            <v>0</v>
          </cell>
          <cell r="X534">
            <v>0</v>
          </cell>
          <cell r="Y534">
            <v>0</v>
          </cell>
        </row>
        <row r="535">
          <cell r="E535" t="str">
            <v>75</v>
          </cell>
          <cell r="F535" t="str">
            <v>1.23-8-851</v>
          </cell>
          <cell r="R535">
            <v>0</v>
          </cell>
          <cell r="X535">
            <v>0</v>
          </cell>
          <cell r="Y535">
            <v>0</v>
          </cell>
        </row>
        <row r="536">
          <cell r="R536">
            <v>0</v>
          </cell>
          <cell r="X536">
            <v>0</v>
          </cell>
          <cell r="Y536">
            <v>0</v>
          </cell>
        </row>
        <row r="588">
          <cell r="G588" t="str">
            <v>Кабели и провода. Кабельные изделия.</v>
          </cell>
        </row>
        <row r="617">
          <cell r="G617" t="str">
            <v>Материалы, не учтённые в цене монтажа</v>
          </cell>
        </row>
        <row r="646">
          <cell r="G646" t="str">
            <v>Станционный комплекс "Аминьевское шоссе". Вестибюль №2, камера съездов, ТПП. Внутренние инженерные системы (не включая ТПП). Электрооборудование. Силовое электрооборудование.</v>
          </cell>
        </row>
        <row r="675">
          <cell r="G675" t="str">
            <v>12-4017-Л-Р-11.4.3.3-ЭМ3-СМ1К (49688) (взамен СМ1) Правильная</v>
          </cell>
        </row>
      </sheetData>
      <sheetData sheetId="2"/>
      <sheetData sheetId="3"/>
      <sheetData sheetId="4"/>
    </sheetDataSet>
  </externalBook>
</externalLink>
</file>

<file path=xl/externalLinks/externalLink9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Акт КС-2 по ТСН-2001"/>
      <sheetName val="Source"/>
      <sheetName val="SourceObSm"/>
      <sheetName val="SmtRes"/>
      <sheetName val="EtalonRes"/>
    </sheetNames>
    <sheetDataSet>
      <sheetData sheetId="0" refreshError="1"/>
      <sheetData sheetId="1" refreshError="1">
        <row r="12">
          <cell r="G12" t="str">
            <v>12-4017-Л-Р-11.5.5.-ЭП1-СМ1К (48878) взамен 12-4017-Л-Р-11.5.5-ЭП1-СМ1)_Правильный вариант</v>
          </cell>
        </row>
        <row r="20">
          <cell r="G20" t="str">
            <v>Станционный комплекс "Аминьевское шоссе". Инженерные системы ТПП. Электрооборудование. Электроснабжение 20кВ.</v>
          </cell>
        </row>
        <row r="24">
          <cell r="G24" t="str">
            <v>Электрооборудование</v>
          </cell>
        </row>
        <row r="28">
          <cell r="E28" t="str">
            <v>1</v>
          </cell>
          <cell r="H28" t="str">
            <v>1  ШТ.</v>
          </cell>
          <cell r="I28">
            <v>4</v>
          </cell>
          <cell r="P28">
            <v>2293.1999999999998</v>
          </cell>
          <cell r="Q28">
            <v>5039.59</v>
          </cell>
          <cell r="R28">
            <v>1691.28</v>
          </cell>
          <cell r="S28">
            <v>5101.67</v>
          </cell>
          <cell r="U28">
            <v>242.06639999999996</v>
          </cell>
          <cell r="X28">
            <v>5713.87</v>
          </cell>
          <cell r="Y28">
            <v>3571.17</v>
          </cell>
          <cell r="AL28">
            <v>573.29999999999995</v>
          </cell>
          <cell r="AM28">
            <v>1041.32</v>
          </cell>
          <cell r="AN28">
            <v>241.82</v>
          </cell>
          <cell r="AO28">
            <v>729.44</v>
          </cell>
          <cell r="AQ28">
            <v>57.8</v>
          </cell>
          <cell r="DD28">
            <v>0</v>
          </cell>
          <cell r="DE28">
            <v>0</v>
          </cell>
          <cell r="DG28" t="str">
            <v>)*1,67</v>
          </cell>
          <cell r="DI28">
            <v>0</v>
          </cell>
        </row>
        <row r="29">
          <cell r="P29">
            <v>12796.06</v>
          </cell>
          <cell r="Q29">
            <v>59615.42</v>
          </cell>
          <cell r="R29">
            <v>40979.71</v>
          </cell>
          <cell r="S29">
            <v>123613.46</v>
          </cell>
          <cell r="X29">
            <v>111252.11</v>
          </cell>
          <cell r="Y29">
            <v>53153.79</v>
          </cell>
          <cell r="AV29">
            <v>1.0469999999999999</v>
          </cell>
          <cell r="AW29">
            <v>1</v>
          </cell>
          <cell r="BA29">
            <v>24.23</v>
          </cell>
          <cell r="BB29">
            <v>9.9</v>
          </cell>
          <cell r="BC29">
            <v>5.58</v>
          </cell>
          <cell r="BS29">
            <v>24.23</v>
          </cell>
          <cell r="BZ29">
            <v>90</v>
          </cell>
          <cell r="CA29">
            <v>43</v>
          </cell>
          <cell r="DN29">
            <v>112</v>
          </cell>
          <cell r="DO29">
            <v>70</v>
          </cell>
        </row>
        <row r="30">
          <cell r="E30" t="str">
            <v>2</v>
          </cell>
          <cell r="H30" t="str">
            <v>1  ШТ.</v>
          </cell>
          <cell r="I30">
            <v>2</v>
          </cell>
          <cell r="P30">
            <v>88.2</v>
          </cell>
          <cell r="R30">
            <v>0</v>
          </cell>
          <cell r="S30">
            <v>1725.55</v>
          </cell>
          <cell r="U30">
            <v>81.875399999999999</v>
          </cell>
          <cell r="X30">
            <v>1932.62</v>
          </cell>
          <cell r="Y30">
            <v>1207.8900000000001</v>
          </cell>
          <cell r="AL30">
            <v>44.1</v>
          </cell>
          <cell r="AO30">
            <v>493.44</v>
          </cell>
          <cell r="AQ30">
            <v>39.1</v>
          </cell>
          <cell r="DD30">
            <v>0</v>
          </cell>
          <cell r="DG30" t="str">
            <v>)*1,67</v>
          </cell>
          <cell r="DI30">
            <v>0</v>
          </cell>
        </row>
        <row r="31">
          <cell r="P31">
            <v>492.16</v>
          </cell>
          <cell r="R31">
            <v>0</v>
          </cell>
          <cell r="S31">
            <v>41810.080000000002</v>
          </cell>
          <cell r="X31">
            <v>37629.07</v>
          </cell>
          <cell r="Y31">
            <v>17978.330000000002</v>
          </cell>
          <cell r="AV31">
            <v>1.0469999999999999</v>
          </cell>
          <cell r="AW31">
            <v>1</v>
          </cell>
          <cell r="BA31">
            <v>24.23</v>
          </cell>
          <cell r="BC31">
            <v>5.58</v>
          </cell>
          <cell r="BZ31">
            <v>90</v>
          </cell>
          <cell r="CA31">
            <v>43</v>
          </cell>
          <cell r="DN31">
            <v>112</v>
          </cell>
          <cell r="DO31">
            <v>70</v>
          </cell>
        </row>
        <row r="32">
          <cell r="E32" t="str">
            <v>3</v>
          </cell>
          <cell r="H32" t="str">
            <v>1  ШТ.</v>
          </cell>
          <cell r="I32">
            <v>3</v>
          </cell>
          <cell r="P32">
            <v>833.7</v>
          </cell>
          <cell r="Q32">
            <v>1634.7800000000002</v>
          </cell>
          <cell r="R32">
            <v>548.62</v>
          </cell>
          <cell r="S32">
            <v>1827.05</v>
          </cell>
          <cell r="U32">
            <v>86.691599999999994</v>
          </cell>
          <cell r="X32">
            <v>2046.3</v>
          </cell>
          <cell r="Y32">
            <v>1278.94</v>
          </cell>
          <cell r="AL32">
            <v>277.89999999999998</v>
          </cell>
          <cell r="AM32">
            <v>450.39</v>
          </cell>
          <cell r="AN32">
            <v>104.59</v>
          </cell>
          <cell r="AO32">
            <v>348.31</v>
          </cell>
          <cell r="AQ32">
            <v>27.6</v>
          </cell>
          <cell r="DD32">
            <v>0</v>
          </cell>
          <cell r="DE32">
            <v>0</v>
          </cell>
          <cell r="DG32" t="str">
            <v>)*1,67</v>
          </cell>
          <cell r="DI32">
            <v>0</v>
          </cell>
        </row>
        <row r="33">
          <cell r="P33">
            <v>4652.05</v>
          </cell>
          <cell r="Q33">
            <v>19338.5</v>
          </cell>
          <cell r="R33">
            <v>13293.06</v>
          </cell>
          <cell r="S33">
            <v>44269.42</v>
          </cell>
          <cell r="X33">
            <v>39842.480000000003</v>
          </cell>
          <cell r="Y33">
            <v>19035.849999999999</v>
          </cell>
          <cell r="AV33">
            <v>1.0469999999999999</v>
          </cell>
          <cell r="AW33">
            <v>1</v>
          </cell>
          <cell r="BA33">
            <v>24.23</v>
          </cell>
          <cell r="BB33">
            <v>9.9</v>
          </cell>
          <cell r="BC33">
            <v>5.58</v>
          </cell>
          <cell r="BS33">
            <v>24.23</v>
          </cell>
          <cell r="BZ33">
            <v>90</v>
          </cell>
          <cell r="CA33">
            <v>43</v>
          </cell>
          <cell r="DN33">
            <v>112</v>
          </cell>
          <cell r="DO33">
            <v>70</v>
          </cell>
        </row>
        <row r="34">
          <cell r="E34" t="str">
            <v>4</v>
          </cell>
          <cell r="H34" t="str">
            <v>1  ШТ.</v>
          </cell>
          <cell r="I34">
            <v>1</v>
          </cell>
          <cell r="P34">
            <v>180.6</v>
          </cell>
          <cell r="Q34">
            <v>310.37</v>
          </cell>
          <cell r="R34">
            <v>104.16</v>
          </cell>
          <cell r="S34">
            <v>434.69</v>
          </cell>
          <cell r="U34">
            <v>20.625899999999998</v>
          </cell>
          <cell r="X34">
            <v>486.85</v>
          </cell>
          <cell r="Y34">
            <v>304.27999999999997</v>
          </cell>
          <cell r="AL34">
            <v>180.6</v>
          </cell>
          <cell r="AM34">
            <v>256.52</v>
          </cell>
          <cell r="AN34">
            <v>59.57</v>
          </cell>
          <cell r="AO34">
            <v>248.61</v>
          </cell>
          <cell r="AQ34">
            <v>19.7</v>
          </cell>
          <cell r="DD34">
            <v>0</v>
          </cell>
          <cell r="DE34">
            <v>0</v>
          </cell>
          <cell r="DG34" t="str">
            <v>)*1,67</v>
          </cell>
          <cell r="DI34">
            <v>0</v>
          </cell>
        </row>
        <row r="35">
          <cell r="P35">
            <v>1007.75</v>
          </cell>
          <cell r="Q35">
            <v>3671.51</v>
          </cell>
          <cell r="R35">
            <v>2523.8000000000002</v>
          </cell>
          <cell r="S35">
            <v>10532.54</v>
          </cell>
          <cell r="X35">
            <v>9479.2900000000009</v>
          </cell>
          <cell r="Y35">
            <v>4528.99</v>
          </cell>
          <cell r="AV35">
            <v>1.0469999999999999</v>
          </cell>
          <cell r="AW35">
            <v>1</v>
          </cell>
          <cell r="BA35">
            <v>24.23</v>
          </cell>
          <cell r="BB35">
            <v>9.9</v>
          </cell>
          <cell r="BC35">
            <v>5.58</v>
          </cell>
          <cell r="BS35">
            <v>24.23</v>
          </cell>
          <cell r="BZ35">
            <v>90</v>
          </cell>
          <cell r="CA35">
            <v>43</v>
          </cell>
          <cell r="DN35">
            <v>112</v>
          </cell>
          <cell r="DO35">
            <v>70</v>
          </cell>
        </row>
        <row r="59">
          <cell r="G59" t="str">
            <v>Электрооборудование</v>
          </cell>
        </row>
        <row r="178">
          <cell r="G178" t="str">
            <v>Оборудование</v>
          </cell>
        </row>
        <row r="182">
          <cell r="E182" t="str">
            <v>26</v>
          </cell>
          <cell r="F182" t="str">
            <v>МКЭ-33-1310/9-3 от 30.08.2019</v>
          </cell>
          <cell r="R182">
            <v>0</v>
          </cell>
          <cell r="X182">
            <v>0</v>
          </cell>
          <cell r="Y182">
            <v>0</v>
          </cell>
        </row>
        <row r="183">
          <cell r="H183" t="str">
            <v>шт.</v>
          </cell>
          <cell r="I183">
            <v>2</v>
          </cell>
          <cell r="R183">
            <v>0</v>
          </cell>
          <cell r="X183">
            <v>0</v>
          </cell>
          <cell r="Y183">
            <v>0</v>
          </cell>
        </row>
        <row r="184">
          <cell r="E184" t="str">
            <v>27</v>
          </cell>
          <cell r="F184" t="str">
            <v>МКЭ-33-1624/9-1 от 23.08.2019</v>
          </cell>
          <cell r="R184">
            <v>0</v>
          </cell>
          <cell r="X184">
            <v>0</v>
          </cell>
          <cell r="Y184">
            <v>0</v>
          </cell>
        </row>
        <row r="185">
          <cell r="H185" t="str">
            <v>шт.</v>
          </cell>
          <cell r="I185">
            <v>2</v>
          </cell>
          <cell r="R185">
            <v>0</v>
          </cell>
          <cell r="X185">
            <v>0</v>
          </cell>
          <cell r="Y185">
            <v>0</v>
          </cell>
        </row>
        <row r="186">
          <cell r="E186" t="str">
            <v>28</v>
          </cell>
          <cell r="F186" t="str">
            <v>МКЭ-33-1586/8-1 от 17.10.2018</v>
          </cell>
          <cell r="R186">
            <v>0</v>
          </cell>
          <cell r="X186">
            <v>0</v>
          </cell>
          <cell r="Y186">
            <v>0</v>
          </cell>
        </row>
        <row r="187">
          <cell r="H187" t="str">
            <v>шт.</v>
          </cell>
          <cell r="I187">
            <v>1</v>
          </cell>
          <cell r="R187">
            <v>0</v>
          </cell>
          <cell r="X187">
            <v>0</v>
          </cell>
          <cell r="Y187">
            <v>0</v>
          </cell>
        </row>
        <row r="188">
          <cell r="E188" t="str">
            <v>29</v>
          </cell>
          <cell r="F188" t="str">
            <v>13.1-1-224</v>
          </cell>
          <cell r="R188">
            <v>0</v>
          </cell>
          <cell r="X188">
            <v>0</v>
          </cell>
          <cell r="Y188">
            <v>0</v>
          </cell>
        </row>
        <row r="189">
          <cell r="R189">
            <v>0</v>
          </cell>
          <cell r="X189">
            <v>0</v>
          </cell>
          <cell r="Y189">
            <v>0</v>
          </cell>
        </row>
        <row r="190">
          <cell r="E190" t="str">
            <v>30</v>
          </cell>
          <cell r="F190" t="str">
            <v>МКЭ-33-1586/8-1 от 17.10.2018</v>
          </cell>
          <cell r="H190" t="str">
            <v>шт.</v>
          </cell>
          <cell r="I190">
            <v>1</v>
          </cell>
          <cell r="R190">
            <v>0</v>
          </cell>
          <cell r="X190">
            <v>0</v>
          </cell>
          <cell r="Y190">
            <v>0</v>
          </cell>
        </row>
        <row r="191">
          <cell r="R191">
            <v>0</v>
          </cell>
          <cell r="X191">
            <v>0</v>
          </cell>
          <cell r="Y191">
            <v>0</v>
          </cell>
        </row>
        <row r="192">
          <cell r="E192" t="str">
            <v>31</v>
          </cell>
          <cell r="F192" t="str">
            <v>13.1-1-774</v>
          </cell>
          <cell r="R192">
            <v>0</v>
          </cell>
          <cell r="X192">
            <v>0</v>
          </cell>
          <cell r="Y192">
            <v>0</v>
          </cell>
        </row>
        <row r="193">
          <cell r="R193">
            <v>0</v>
          </cell>
          <cell r="X193">
            <v>0</v>
          </cell>
          <cell r="Y193">
            <v>0</v>
          </cell>
        </row>
        <row r="194">
          <cell r="E194" t="str">
            <v>32</v>
          </cell>
          <cell r="F194" t="str">
            <v>13.1-1-222</v>
          </cell>
          <cell r="R194">
            <v>0</v>
          </cell>
          <cell r="X194">
            <v>0</v>
          </cell>
          <cell r="Y194">
            <v>0</v>
          </cell>
        </row>
        <row r="195">
          <cell r="R195">
            <v>0</v>
          </cell>
          <cell r="X195">
            <v>0</v>
          </cell>
          <cell r="Y195">
            <v>0</v>
          </cell>
        </row>
        <row r="203">
          <cell r="G203" t="str">
            <v>Оборудование</v>
          </cell>
        </row>
        <row r="717">
          <cell r="G717" t="str">
            <v>Станционный комплекс "Аминьевское шоссе". Инженерные системы ТПП. Электрооборудование. Электроснабжение 20кВ.</v>
          </cell>
        </row>
        <row r="746">
          <cell r="G746" t="str">
            <v>12-4017-Л-Р-11.5.5.-ЭП1-СМ1К (48878) взамен 12-4017-Л-Р-11.5.5-ЭП1-СМ1)_Правильный вариант</v>
          </cell>
        </row>
      </sheetData>
      <sheetData sheetId="2" refreshError="1"/>
      <sheetData sheetId="3" refreshError="1"/>
      <sheetData sheetId="4" refreshError="1"/>
    </sheetDataSet>
  </externalBook>
</externalLink>
</file>

<file path=xl/externalLinks/externalLink9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Акт КС-2 по ТСН-2001"/>
      <sheetName val="Source"/>
      <sheetName val="SourceObSm"/>
      <sheetName val="SmtRes"/>
      <sheetName val="EtalonR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9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Акт КС-2 по ТСН-2001"/>
      <sheetName val="Source"/>
      <sheetName val="SourceObSm"/>
      <sheetName val="SmtRes"/>
      <sheetName val="EtalonRes"/>
    </sheetNames>
    <sheetDataSet>
      <sheetData sheetId="0"/>
      <sheetData sheetId="1">
        <row r="26">
          <cell r="G26" t="str">
            <v>ТОННЕЛИ ЗА СТ. "АМИНЬЕВСКОЕ ШОССЕ". ХОЗЯЙСТВЕННО-ПИТЬЕВОЙ, ПРОИЗВОДСТВЕННЫЙ И ПРОТИВОПОЖАРНЫЙ ТОННЕЛЬНЫЙ ВОДОПРОВОД В1Т</v>
          </cell>
        </row>
        <row r="47">
          <cell r="E47" t="str">
            <v>8</v>
          </cell>
          <cell r="F47" t="str">
            <v>1.12-7-98</v>
          </cell>
          <cell r="H47" t="str">
            <v>м</v>
          </cell>
          <cell r="I47">
            <v>1.2</v>
          </cell>
          <cell r="P47">
            <v>1847.98</v>
          </cell>
          <cell r="X47">
            <v>0</v>
          </cell>
          <cell r="Y47">
            <v>0</v>
          </cell>
          <cell r="AC47">
            <v>451.61</v>
          </cell>
          <cell r="AE47">
            <v>0</v>
          </cell>
          <cell r="AF47">
            <v>0</v>
          </cell>
          <cell r="AL47">
            <v>451.61</v>
          </cell>
          <cell r="AV47">
            <v>1</v>
          </cell>
          <cell r="AW47">
            <v>1</v>
          </cell>
          <cell r="BC47">
            <v>3.41</v>
          </cell>
          <cell r="BI47">
            <v>1</v>
          </cell>
          <cell r="BS47">
            <v>1</v>
          </cell>
          <cell r="DD47"/>
          <cell r="DN47">
            <v>0</v>
          </cell>
          <cell r="DO47">
            <v>0</v>
          </cell>
        </row>
        <row r="49">
          <cell r="E49" t="str">
            <v>9</v>
          </cell>
          <cell r="F49" t="str">
            <v>1.12-10-23</v>
          </cell>
          <cell r="H49" t="str">
            <v>КОМПЛЕКТ</v>
          </cell>
          <cell r="I49">
            <v>12</v>
          </cell>
          <cell r="P49">
            <v>2076.88</v>
          </cell>
          <cell r="X49">
            <v>0</v>
          </cell>
          <cell r="Y49">
            <v>0</v>
          </cell>
          <cell r="AC49">
            <v>21.42</v>
          </cell>
          <cell r="AE49">
            <v>0</v>
          </cell>
          <cell r="AF49">
            <v>0</v>
          </cell>
          <cell r="AL49">
            <v>21.42</v>
          </cell>
          <cell r="AV49">
            <v>1</v>
          </cell>
          <cell r="AW49">
            <v>1</v>
          </cell>
          <cell r="BC49">
            <v>8.08</v>
          </cell>
          <cell r="BI49">
            <v>1</v>
          </cell>
          <cell r="BS49">
            <v>1</v>
          </cell>
          <cell r="DD49"/>
          <cell r="DN49">
            <v>125</v>
          </cell>
          <cell r="DO49">
            <v>94</v>
          </cell>
        </row>
        <row r="51">
          <cell r="E51" t="str">
            <v>10</v>
          </cell>
          <cell r="H51" t="str">
            <v>1 т фасонных частей</v>
          </cell>
          <cell r="I51">
            <v>8.6400000000000001E-3</v>
          </cell>
          <cell r="P51">
            <v>27.09</v>
          </cell>
          <cell r="Q51">
            <v>12.350000000000001</v>
          </cell>
          <cell r="R51">
            <v>8.7200000000000006</v>
          </cell>
          <cell r="S51">
            <v>208.38</v>
          </cell>
          <cell r="U51">
            <v>0.44342812799999998</v>
          </cell>
          <cell r="X51">
            <v>208.38</v>
          </cell>
          <cell r="Y51">
            <v>93.77</v>
          </cell>
          <cell r="AC51">
            <v>681.49</v>
          </cell>
          <cell r="AE51">
            <v>39.178199999999997</v>
          </cell>
          <cell r="AF51">
            <v>932.59479999999996</v>
          </cell>
          <cell r="AL51">
            <v>681.49</v>
          </cell>
          <cell r="AM51">
            <v>97.03</v>
          </cell>
          <cell r="AN51">
            <v>23.46</v>
          </cell>
          <cell r="AO51">
            <v>558.44000000000005</v>
          </cell>
          <cell r="AQ51">
            <v>48.1</v>
          </cell>
          <cell r="AV51">
            <v>1.0669999999999999</v>
          </cell>
          <cell r="AW51">
            <v>1</v>
          </cell>
          <cell r="BA51">
            <v>24.23</v>
          </cell>
          <cell r="BB51">
            <v>10.07</v>
          </cell>
          <cell r="BC51">
            <v>4.5999999999999996</v>
          </cell>
          <cell r="BI51">
            <v>1</v>
          </cell>
          <cell r="BS51">
            <v>24.23</v>
          </cell>
          <cell r="BZ51">
            <v>100</v>
          </cell>
          <cell r="CA51">
            <v>45</v>
          </cell>
          <cell r="DD51"/>
          <cell r="DE51"/>
          <cell r="DG51" t="str">
            <v>)*1,67</v>
          </cell>
          <cell r="DI51"/>
          <cell r="DN51">
            <v>125</v>
          </cell>
          <cell r="DO51">
            <v>94</v>
          </cell>
          <cell r="ET51">
            <v>97.03</v>
          </cell>
          <cell r="EU51">
            <v>23.46</v>
          </cell>
        </row>
        <row r="53">
          <cell r="E53" t="str">
            <v>11</v>
          </cell>
          <cell r="F53" t="str">
            <v>МКЭ-33-1820/8-2 от 16.11.2018</v>
          </cell>
          <cell r="H53" t="str">
            <v>шт.</v>
          </cell>
          <cell r="I53">
            <v>12</v>
          </cell>
          <cell r="X53">
            <v>0</v>
          </cell>
          <cell r="Y53">
            <v>0</v>
          </cell>
          <cell r="AE53">
            <v>0</v>
          </cell>
          <cell r="AF53">
            <v>0</v>
          </cell>
          <cell r="AV53">
            <v>1</v>
          </cell>
          <cell r="AW53">
            <v>1</v>
          </cell>
          <cell r="BC53">
            <v>5.58</v>
          </cell>
          <cell r="BI53">
            <v>1</v>
          </cell>
          <cell r="BS53">
            <v>1</v>
          </cell>
          <cell r="DD53"/>
          <cell r="DN53">
            <v>0</v>
          </cell>
          <cell r="DO53">
            <v>0</v>
          </cell>
        </row>
        <row r="59">
          <cell r="E59" t="str">
            <v>13</v>
          </cell>
          <cell r="F59" t="str">
            <v>1.12-7-62</v>
          </cell>
          <cell r="H59" t="str">
            <v>м</v>
          </cell>
          <cell r="I59">
            <v>2.8</v>
          </cell>
          <cell r="P59">
            <v>1481.2</v>
          </cell>
          <cell r="X59">
            <v>0</v>
          </cell>
          <cell r="Y59">
            <v>0</v>
          </cell>
          <cell r="AC59">
            <v>153.78</v>
          </cell>
          <cell r="AE59">
            <v>0</v>
          </cell>
          <cell r="AF59">
            <v>0</v>
          </cell>
          <cell r="AL59">
            <v>153.78</v>
          </cell>
          <cell r="AV59">
            <v>1</v>
          </cell>
          <cell r="AW59">
            <v>1</v>
          </cell>
          <cell r="BC59">
            <v>3.44</v>
          </cell>
          <cell r="BI59">
            <v>1</v>
          </cell>
          <cell r="BS59">
            <v>1</v>
          </cell>
          <cell r="DD59"/>
          <cell r="DN59">
            <v>0</v>
          </cell>
          <cell r="DO59">
            <v>0</v>
          </cell>
        </row>
        <row r="61">
          <cell r="E61" t="str">
            <v>14</v>
          </cell>
          <cell r="F61" t="str">
            <v>1.12-10-19</v>
          </cell>
          <cell r="H61" t="str">
            <v>КОМПЛЕКТ</v>
          </cell>
          <cell r="I61">
            <v>28</v>
          </cell>
          <cell r="P61">
            <v>1090.32</v>
          </cell>
          <cell r="X61">
            <v>0</v>
          </cell>
          <cell r="Y61">
            <v>0</v>
          </cell>
          <cell r="AC61">
            <v>6.49</v>
          </cell>
          <cell r="AE61">
            <v>0</v>
          </cell>
          <cell r="AF61">
            <v>0</v>
          </cell>
          <cell r="AL61">
            <v>6.49</v>
          </cell>
          <cell r="AV61">
            <v>1</v>
          </cell>
          <cell r="AW61">
            <v>1</v>
          </cell>
          <cell r="BC61">
            <v>6</v>
          </cell>
          <cell r="BI61">
            <v>1</v>
          </cell>
          <cell r="BS61">
            <v>1</v>
          </cell>
          <cell r="DD61"/>
          <cell r="DN61">
            <v>0</v>
          </cell>
          <cell r="DO61">
            <v>0</v>
          </cell>
        </row>
        <row r="63">
          <cell r="E63" t="str">
            <v>15</v>
          </cell>
          <cell r="H63" t="str">
            <v>1 т фасонных частей</v>
          </cell>
          <cell r="I63">
            <v>4.1999999999999997E-3</v>
          </cell>
          <cell r="P63">
            <v>13.16</v>
          </cell>
          <cell r="Q63">
            <v>6.03</v>
          </cell>
          <cell r="R63">
            <v>4.3600000000000003</v>
          </cell>
          <cell r="S63">
            <v>101.28</v>
          </cell>
          <cell r="U63">
            <v>0.21555533999999998</v>
          </cell>
          <cell r="X63">
            <v>101.28</v>
          </cell>
          <cell r="Y63">
            <v>45.58</v>
          </cell>
          <cell r="AC63">
            <v>681.49</v>
          </cell>
          <cell r="AE63">
            <v>39.178199999999997</v>
          </cell>
          <cell r="AF63">
            <v>932.59479999999996</v>
          </cell>
          <cell r="AL63">
            <v>681.49</v>
          </cell>
          <cell r="AM63">
            <v>97.03</v>
          </cell>
          <cell r="AN63">
            <v>23.46</v>
          </cell>
          <cell r="AO63">
            <v>558.44000000000005</v>
          </cell>
          <cell r="AQ63">
            <v>48.1</v>
          </cell>
          <cell r="AV63">
            <v>1.0669999999999999</v>
          </cell>
          <cell r="AW63">
            <v>1</v>
          </cell>
          <cell r="BA63">
            <v>24.23</v>
          </cell>
          <cell r="BB63">
            <v>10.07</v>
          </cell>
          <cell r="BC63">
            <v>4.5999999999999996</v>
          </cell>
          <cell r="BI63">
            <v>1</v>
          </cell>
          <cell r="BS63">
            <v>24.23</v>
          </cell>
          <cell r="BZ63">
            <v>100</v>
          </cell>
          <cell r="CA63">
            <v>45</v>
          </cell>
          <cell r="DD63"/>
          <cell r="DE63"/>
          <cell r="DG63" t="str">
            <v>)*1,67</v>
          </cell>
          <cell r="DI63"/>
          <cell r="DN63">
            <v>125</v>
          </cell>
          <cell r="DO63">
            <v>94</v>
          </cell>
          <cell r="ET63">
            <v>97.03</v>
          </cell>
          <cell r="EU63">
            <v>23.46</v>
          </cell>
        </row>
        <row r="65">
          <cell r="E65" t="str">
            <v>16</v>
          </cell>
          <cell r="F65" t="str">
            <v>МКЭ-33-168/8-5 от 14.09.2018</v>
          </cell>
          <cell r="H65" t="str">
            <v>шт.</v>
          </cell>
          <cell r="I65">
            <v>28</v>
          </cell>
          <cell r="X65">
            <v>0</v>
          </cell>
          <cell r="Y65">
            <v>0</v>
          </cell>
          <cell r="AE65">
            <v>0</v>
          </cell>
          <cell r="AF65">
            <v>0</v>
          </cell>
          <cell r="AV65">
            <v>1</v>
          </cell>
          <cell r="AW65">
            <v>1</v>
          </cell>
          <cell r="BC65">
            <v>5.58</v>
          </cell>
          <cell r="BI65">
            <v>1</v>
          </cell>
          <cell r="BS65">
            <v>1</v>
          </cell>
          <cell r="DD65"/>
          <cell r="DN65">
            <v>0</v>
          </cell>
          <cell r="DO65">
            <v>0</v>
          </cell>
        </row>
        <row r="73">
          <cell r="E73" t="str">
            <v>19</v>
          </cell>
          <cell r="F73" t="str">
            <v>1.12-7-98</v>
          </cell>
          <cell r="H73" t="str">
            <v>м</v>
          </cell>
          <cell r="I73">
            <v>0.1</v>
          </cell>
          <cell r="P73">
            <v>154</v>
          </cell>
          <cell r="X73">
            <v>0</v>
          </cell>
          <cell r="Y73">
            <v>0</v>
          </cell>
          <cell r="AC73">
            <v>451.61</v>
          </cell>
          <cell r="AE73">
            <v>0</v>
          </cell>
          <cell r="AF73">
            <v>0</v>
          </cell>
          <cell r="AL73">
            <v>451.61</v>
          </cell>
          <cell r="AV73">
            <v>1</v>
          </cell>
          <cell r="AW73">
            <v>1</v>
          </cell>
          <cell r="BC73">
            <v>3.41</v>
          </cell>
          <cell r="BI73">
            <v>1</v>
          </cell>
          <cell r="BS73">
            <v>1</v>
          </cell>
          <cell r="DD73"/>
          <cell r="DN73">
            <v>0</v>
          </cell>
          <cell r="DO73">
            <v>0</v>
          </cell>
        </row>
        <row r="75">
          <cell r="E75" t="str">
            <v>20</v>
          </cell>
          <cell r="F75" t="str">
            <v>1.12-10-23</v>
          </cell>
          <cell r="H75" t="str">
            <v>КОМПЛЕКТ</v>
          </cell>
          <cell r="I75">
            <v>1</v>
          </cell>
          <cell r="P75">
            <v>173.07</v>
          </cell>
          <cell r="X75">
            <v>0</v>
          </cell>
          <cell r="Y75">
            <v>0</v>
          </cell>
          <cell r="AC75">
            <v>21.42</v>
          </cell>
          <cell r="AE75">
            <v>0</v>
          </cell>
          <cell r="AF75">
            <v>0</v>
          </cell>
          <cell r="AL75">
            <v>21.42</v>
          </cell>
          <cell r="AV75">
            <v>1</v>
          </cell>
          <cell r="AW75">
            <v>1</v>
          </cell>
          <cell r="BC75">
            <v>8.08</v>
          </cell>
          <cell r="BI75">
            <v>1</v>
          </cell>
          <cell r="BS75">
            <v>1</v>
          </cell>
          <cell r="DD75"/>
          <cell r="DN75">
            <v>125</v>
          </cell>
          <cell r="DO75">
            <v>94</v>
          </cell>
        </row>
        <row r="133">
          <cell r="F133" t="str">
            <v>МКЭ-33-1163/7-1 от 27.06.2017</v>
          </cell>
          <cell r="H133" t="str">
            <v>шт.</v>
          </cell>
          <cell r="I133">
            <v>2</v>
          </cell>
          <cell r="X133">
            <v>0</v>
          </cell>
          <cell r="Y133">
            <v>0</v>
          </cell>
          <cell r="AE133">
            <v>0</v>
          </cell>
          <cell r="AF133">
            <v>0</v>
          </cell>
          <cell r="AV133">
            <v>1</v>
          </cell>
          <cell r="AW133">
            <v>1</v>
          </cell>
          <cell r="BC133">
            <v>5.58</v>
          </cell>
          <cell r="BI133">
            <v>1</v>
          </cell>
          <cell r="BS133">
            <v>1</v>
          </cell>
          <cell r="DD133"/>
          <cell r="DN133">
            <v>0</v>
          </cell>
          <cell r="DO133">
            <v>0</v>
          </cell>
        </row>
        <row r="231">
          <cell r="G231" t="str">
            <v>ТОННЕЛИ ЗА СТ. "АМИНЬЕВСКОЕ ШОССЕ". ХОЗЯЙСТВЕННО-ПИТЬЕВОЙ, ПРОИЗВОДСТВЕННЫЙ И ПРОТИВОПОЖАРНЫЙ ТОННЕЛЬНЫЙ ВОДОПРОВОД В1Т</v>
          </cell>
        </row>
      </sheetData>
      <sheetData sheetId="2"/>
      <sheetData sheetId="3"/>
      <sheetData sheetId="4"/>
    </sheetDataSet>
  </externalBook>
</externalLink>
</file>

<file path=xl/externalLinks/externalLink9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Акт КС-2 по ТСН-2001"/>
      <sheetName val="Source"/>
      <sheetName val="SourceObSm"/>
      <sheetName val="SmtRes"/>
      <sheetName val="EtalonRes"/>
    </sheetNames>
    <sheetDataSet>
      <sheetData sheetId="0" refreshError="1"/>
      <sheetData sheetId="1">
        <row r="2454">
          <cell r="G2454" t="str">
            <v>Дополнительные материалы и оборудование</v>
          </cell>
        </row>
        <row r="2707">
          <cell r="E2707" t="str">
            <v>432</v>
          </cell>
          <cell r="F2707" t="str">
            <v>3.20-1-4</v>
          </cell>
          <cell r="H2707" t="str">
            <v>100 м2 поверхности воздуховодов</v>
          </cell>
          <cell r="I2707">
            <v>6.1100000000000002E-2</v>
          </cell>
          <cell r="P2707">
            <v>111.7</v>
          </cell>
          <cell r="Q2707">
            <v>109.94</v>
          </cell>
          <cell r="R2707">
            <v>52.09</v>
          </cell>
          <cell r="S2707">
            <v>4598.8500000000004</v>
          </cell>
          <cell r="U2707">
            <v>10.0398298</v>
          </cell>
          <cell r="X2707">
            <v>4598.8500000000004</v>
          </cell>
          <cell r="Y2707">
            <v>2069.48</v>
          </cell>
          <cell r="AC2707">
            <v>499.52</v>
          </cell>
          <cell r="AE2707">
            <v>32.949100000000001</v>
          </cell>
          <cell r="AF2707">
            <v>2911.2775999999999</v>
          </cell>
          <cell r="AL2707">
            <v>499.52</v>
          </cell>
          <cell r="AM2707">
            <v>158.94999999999999</v>
          </cell>
          <cell r="AN2707">
            <v>19.73</v>
          </cell>
          <cell r="AO2707">
            <v>1743.28</v>
          </cell>
          <cell r="AQ2707">
            <v>154</v>
          </cell>
          <cell r="AV2707">
            <v>1.0669999999999999</v>
          </cell>
          <cell r="AW2707">
            <v>1</v>
          </cell>
          <cell r="BA2707">
            <v>24.23</v>
          </cell>
          <cell r="BB2707">
            <v>8.6</v>
          </cell>
          <cell r="BC2707">
            <v>3.66</v>
          </cell>
          <cell r="BI2707">
            <v>1</v>
          </cell>
          <cell r="BS2707">
            <v>24.23</v>
          </cell>
          <cell r="BZ2707">
            <v>100</v>
          </cell>
          <cell r="CA2707">
            <v>45</v>
          </cell>
          <cell r="DD2707"/>
          <cell r="DE2707"/>
          <cell r="DG2707" t="str">
            <v>)*1,67</v>
          </cell>
          <cell r="DI2707"/>
          <cell r="DN2707">
            <v>125</v>
          </cell>
          <cell r="DO2707">
            <v>94</v>
          </cell>
          <cell r="ET2707">
            <v>158.94999999999999</v>
          </cell>
          <cell r="EU2707">
            <v>19.73</v>
          </cell>
        </row>
        <row r="2709">
          <cell r="E2709" t="str">
            <v>432,1</v>
          </cell>
          <cell r="F2709" t="str">
            <v>1.19-3-6</v>
          </cell>
          <cell r="H2709" t="str">
            <v>м2</v>
          </cell>
          <cell r="I2709">
            <v>6.11</v>
          </cell>
          <cell r="O2709">
            <v>2374.14</v>
          </cell>
          <cell r="X2709">
            <v>0</v>
          </cell>
          <cell r="Y2709">
            <v>0</v>
          </cell>
          <cell r="AC2709">
            <v>156.05000000000001</v>
          </cell>
          <cell r="AE2709">
            <v>0</v>
          </cell>
          <cell r="AF2709">
            <v>0</v>
          </cell>
          <cell r="AK2709">
            <v>156.05000000000001</v>
          </cell>
          <cell r="AV2709">
            <v>1</v>
          </cell>
          <cell r="AW2709">
            <v>1</v>
          </cell>
          <cell r="BC2709">
            <v>2.4900000000000002</v>
          </cell>
          <cell r="BI2709">
            <v>1</v>
          </cell>
          <cell r="BS2709">
            <v>1</v>
          </cell>
          <cell r="DN2709">
            <v>125</v>
          </cell>
          <cell r="DO2709">
            <v>94</v>
          </cell>
          <cell r="ET2709">
            <v>0</v>
          </cell>
          <cell r="EU2709">
            <v>0</v>
          </cell>
        </row>
        <row r="2711">
          <cell r="E2711" t="str">
            <v>433</v>
          </cell>
          <cell r="F2711" t="str">
            <v>3.20-1-2</v>
          </cell>
          <cell r="H2711" t="str">
            <v>100 м2 поверхности воздуховодов</v>
          </cell>
          <cell r="I2711">
            <v>6.4000000000000003E-3</v>
          </cell>
          <cell r="P2711">
            <v>11.71</v>
          </cell>
          <cell r="Q2711">
            <v>11.469999999999999</v>
          </cell>
          <cell r="R2711">
            <v>5.33</v>
          </cell>
          <cell r="S2711">
            <v>481.69</v>
          </cell>
          <cell r="U2711">
            <v>1.0516352</v>
          </cell>
          <cell r="X2711">
            <v>481.69</v>
          </cell>
          <cell r="Y2711">
            <v>216.76</v>
          </cell>
          <cell r="AC2711">
            <v>499.52</v>
          </cell>
          <cell r="AE2711">
            <v>32.698599999999999</v>
          </cell>
          <cell r="AF2711">
            <v>2911.2775999999999</v>
          </cell>
          <cell r="AL2711">
            <v>499.52</v>
          </cell>
          <cell r="AM2711">
            <v>158.18</v>
          </cell>
          <cell r="AN2711">
            <v>19.579999999999998</v>
          </cell>
          <cell r="AO2711">
            <v>1743.28</v>
          </cell>
          <cell r="AQ2711">
            <v>154</v>
          </cell>
          <cell r="AV2711">
            <v>1.0669999999999999</v>
          </cell>
          <cell r="AW2711">
            <v>1</v>
          </cell>
          <cell r="BA2711">
            <v>24.23</v>
          </cell>
          <cell r="BB2711">
            <v>8.6</v>
          </cell>
          <cell r="BC2711">
            <v>3.66</v>
          </cell>
          <cell r="BI2711">
            <v>1</v>
          </cell>
          <cell r="BS2711">
            <v>24.23</v>
          </cell>
          <cell r="BZ2711">
            <v>100</v>
          </cell>
          <cell r="CA2711">
            <v>45</v>
          </cell>
          <cell r="DD2711"/>
          <cell r="DE2711"/>
          <cell r="DG2711" t="str">
            <v>)*1,67</v>
          </cell>
          <cell r="DI2711"/>
          <cell r="DN2711">
            <v>125</v>
          </cell>
          <cell r="DO2711">
            <v>94</v>
          </cell>
          <cell r="ET2711">
            <v>158.18</v>
          </cell>
          <cell r="EU2711">
            <v>19.579999999999998</v>
          </cell>
        </row>
        <row r="2713">
          <cell r="E2713" t="str">
            <v>433,1</v>
          </cell>
          <cell r="F2713" t="str">
            <v>1.19-3-12</v>
          </cell>
          <cell r="H2713" t="str">
            <v>м2</v>
          </cell>
          <cell r="I2713">
            <v>0.64</v>
          </cell>
          <cell r="O2713">
            <v>308.77</v>
          </cell>
          <cell r="X2713">
            <v>0</v>
          </cell>
          <cell r="Y2713">
            <v>0</v>
          </cell>
          <cell r="AC2713">
            <v>125.64</v>
          </cell>
          <cell r="AE2713">
            <v>0</v>
          </cell>
          <cell r="AF2713">
            <v>0</v>
          </cell>
          <cell r="AK2713">
            <v>125.64</v>
          </cell>
          <cell r="AV2713">
            <v>1</v>
          </cell>
          <cell r="AW2713">
            <v>1</v>
          </cell>
          <cell r="BC2713">
            <v>3.84</v>
          </cell>
          <cell r="BI2713">
            <v>1</v>
          </cell>
          <cell r="BS2713">
            <v>1</v>
          </cell>
          <cell r="DN2713">
            <v>125</v>
          </cell>
          <cell r="DO2713">
            <v>94</v>
          </cell>
          <cell r="ET2713">
            <v>0</v>
          </cell>
          <cell r="EU2713">
            <v>0</v>
          </cell>
        </row>
        <row r="2735">
          <cell r="E2735" t="str">
            <v>439</v>
          </cell>
          <cell r="F2735" t="str">
            <v>3.20-1-10</v>
          </cell>
          <cell r="H2735" t="str">
            <v>100 м2 поверхности воздуховодов</v>
          </cell>
          <cell r="I2735">
            <v>8.8400000000000006E-2</v>
          </cell>
          <cell r="P2735">
            <v>221.62</v>
          </cell>
          <cell r="Q2735">
            <v>116.39</v>
          </cell>
          <cell r="R2735">
            <v>54.52</v>
          </cell>
          <cell r="S2735">
            <v>5270.99</v>
          </cell>
          <cell r="U2735">
            <v>11.507381600000002</v>
          </cell>
          <cell r="X2735">
            <v>5270.99</v>
          </cell>
          <cell r="Y2735">
            <v>2371.9499999999998</v>
          </cell>
          <cell r="AC2735">
            <v>599.72</v>
          </cell>
          <cell r="AE2735">
            <v>23.8643</v>
          </cell>
          <cell r="AF2735">
            <v>2306.3368</v>
          </cell>
          <cell r="AL2735">
            <v>599.72</v>
          </cell>
          <cell r="AM2735">
            <v>116.7</v>
          </cell>
          <cell r="AN2735">
            <v>14.29</v>
          </cell>
          <cell r="AO2735">
            <v>1381.04</v>
          </cell>
          <cell r="AQ2735">
            <v>122</v>
          </cell>
          <cell r="AV2735">
            <v>1.0669999999999999</v>
          </cell>
          <cell r="AW2735">
            <v>1</v>
          </cell>
          <cell r="BA2735">
            <v>24.23</v>
          </cell>
          <cell r="BB2735">
            <v>8.59</v>
          </cell>
          <cell r="BC2735">
            <v>4.18</v>
          </cell>
          <cell r="BI2735">
            <v>1</v>
          </cell>
          <cell r="BS2735">
            <v>24.23</v>
          </cell>
          <cell r="BZ2735">
            <v>100</v>
          </cell>
          <cell r="CA2735">
            <v>45</v>
          </cell>
          <cell r="DD2735"/>
          <cell r="DE2735"/>
          <cell r="DG2735" t="str">
            <v>)*1,67</v>
          </cell>
          <cell r="DI2735"/>
          <cell r="DN2735">
            <v>125</v>
          </cell>
          <cell r="DO2735">
            <v>94</v>
          </cell>
          <cell r="ET2735">
            <v>116.7</v>
          </cell>
          <cell r="EU2735">
            <v>14.29</v>
          </cell>
        </row>
        <row r="2737">
          <cell r="E2737" t="str">
            <v>440</v>
          </cell>
          <cell r="F2737" t="str">
            <v>1.19-3-12</v>
          </cell>
          <cell r="H2737" t="str">
            <v>м2</v>
          </cell>
          <cell r="I2737">
            <v>1.28</v>
          </cell>
          <cell r="P2737">
            <v>617.54999999999995</v>
          </cell>
          <cell r="X2737">
            <v>0</v>
          </cell>
          <cell r="Y2737">
            <v>0</v>
          </cell>
          <cell r="AC2737">
            <v>125.64</v>
          </cell>
          <cell r="AE2737">
            <v>0</v>
          </cell>
          <cell r="AF2737">
            <v>0</v>
          </cell>
          <cell r="AL2737">
            <v>125.64</v>
          </cell>
          <cell r="AV2737">
            <v>1</v>
          </cell>
          <cell r="AW2737">
            <v>1</v>
          </cell>
          <cell r="BC2737">
            <v>3.84</v>
          </cell>
          <cell r="BI2737">
            <v>1</v>
          </cell>
          <cell r="BS2737">
            <v>1</v>
          </cell>
          <cell r="DD2737"/>
          <cell r="DN2737">
            <v>0</v>
          </cell>
          <cell r="DO2737">
            <v>0</v>
          </cell>
        </row>
        <row r="2739">
          <cell r="E2739" t="str">
            <v>441</v>
          </cell>
          <cell r="F2739" t="str">
            <v>1.19-3-13</v>
          </cell>
          <cell r="H2739" t="str">
            <v>м2</v>
          </cell>
          <cell r="I2739">
            <v>7.58</v>
          </cell>
          <cell r="X2739">
            <v>0</v>
          </cell>
          <cell r="Y2739">
            <v>0</v>
          </cell>
          <cell r="AE2739">
            <v>0</v>
          </cell>
          <cell r="AF2739">
            <v>0</v>
          </cell>
          <cell r="AL2739">
            <v>157.54</v>
          </cell>
          <cell r="AV2739">
            <v>1</v>
          </cell>
          <cell r="AW2739">
            <v>1</v>
          </cell>
          <cell r="BC2739">
            <v>3.07</v>
          </cell>
          <cell r="BI2739">
            <v>1</v>
          </cell>
          <cell r="BS2739">
            <v>1</v>
          </cell>
          <cell r="DD2739"/>
          <cell r="DN2739">
            <v>0</v>
          </cell>
          <cell r="DO2739">
            <v>0</v>
          </cell>
        </row>
        <row r="2741">
          <cell r="E2741" t="str">
            <v>442</v>
          </cell>
          <cell r="F2741" t="str">
            <v>3.20-1-11</v>
          </cell>
          <cell r="H2741" t="str">
            <v>100 м2 поверхности воздуховодов</v>
          </cell>
          <cell r="I2741">
            <v>0.18459999999999999</v>
          </cell>
          <cell r="P2741">
            <v>250.34</v>
          </cell>
          <cell r="Q2741">
            <v>182.34</v>
          </cell>
          <cell r="R2741">
            <v>85.29</v>
          </cell>
          <cell r="S2741">
            <v>8282.2999999999993</v>
          </cell>
          <cell r="U2741">
            <v>18.081680759999998</v>
          </cell>
          <cell r="X2741">
            <v>8282.2999999999993</v>
          </cell>
          <cell r="Y2741">
            <v>3727.04</v>
          </cell>
          <cell r="AC2741">
            <v>409.71</v>
          </cell>
          <cell r="AE2741">
            <v>17.8523</v>
          </cell>
          <cell r="AF2741">
            <v>1735.4305999999999</v>
          </cell>
          <cell r="AL2741">
            <v>409.71</v>
          </cell>
          <cell r="AM2741">
            <v>87.46</v>
          </cell>
          <cell r="AN2741">
            <v>10.69</v>
          </cell>
          <cell r="AO2741">
            <v>1039.18</v>
          </cell>
          <cell r="AQ2741">
            <v>91.8</v>
          </cell>
          <cell r="AV2741">
            <v>1.0669999999999999</v>
          </cell>
          <cell r="AW2741">
            <v>1</v>
          </cell>
          <cell r="BA2741">
            <v>24.23</v>
          </cell>
          <cell r="BB2741">
            <v>8.6</v>
          </cell>
          <cell r="BC2741">
            <v>3.31</v>
          </cell>
          <cell r="BI2741">
            <v>1</v>
          </cell>
          <cell r="BS2741">
            <v>24.23</v>
          </cell>
          <cell r="BZ2741">
            <v>100</v>
          </cell>
          <cell r="CA2741">
            <v>45</v>
          </cell>
          <cell r="DD2741"/>
          <cell r="DE2741"/>
          <cell r="DG2741" t="str">
            <v>)*1,67</v>
          </cell>
          <cell r="DI2741"/>
          <cell r="DN2741">
            <v>125</v>
          </cell>
          <cell r="DO2741">
            <v>94</v>
          </cell>
          <cell r="ET2741">
            <v>87.46</v>
          </cell>
          <cell r="EU2741">
            <v>10.69</v>
          </cell>
        </row>
        <row r="2743">
          <cell r="E2743" t="str">
            <v>442,1</v>
          </cell>
          <cell r="F2743" t="str">
            <v>1.19-3-13</v>
          </cell>
          <cell r="H2743" t="str">
            <v>м2</v>
          </cell>
          <cell r="I2743">
            <v>18.46</v>
          </cell>
          <cell r="O2743">
            <v>8928.14</v>
          </cell>
          <cell r="X2743">
            <v>0</v>
          </cell>
          <cell r="Y2743">
            <v>0</v>
          </cell>
          <cell r="AC2743">
            <v>157.54</v>
          </cell>
          <cell r="AE2743">
            <v>0</v>
          </cell>
          <cell r="AF2743">
            <v>0</v>
          </cell>
          <cell r="AK2743">
            <v>157.54</v>
          </cell>
          <cell r="AV2743">
            <v>1</v>
          </cell>
          <cell r="AW2743">
            <v>1</v>
          </cell>
          <cell r="BC2743">
            <v>3.07</v>
          </cell>
          <cell r="BI2743">
            <v>1</v>
          </cell>
          <cell r="BS2743">
            <v>1</v>
          </cell>
          <cell r="DN2743">
            <v>125</v>
          </cell>
          <cell r="DO2743">
            <v>94</v>
          </cell>
          <cell r="ET2743">
            <v>0</v>
          </cell>
          <cell r="EU2743">
            <v>0</v>
          </cell>
        </row>
        <row r="2745">
          <cell r="E2745" t="str">
            <v>443</v>
          </cell>
          <cell r="F2745" t="str">
            <v>3.20-1-12</v>
          </cell>
          <cell r="H2745" t="str">
            <v>100 м2 поверхности воздуховодов</v>
          </cell>
          <cell r="I2745">
            <v>1.34E-2</v>
          </cell>
          <cell r="P2745">
            <v>25.75</v>
          </cell>
          <cell r="Q2745">
            <v>14.11</v>
          </cell>
          <cell r="R2745">
            <v>6.54</v>
          </cell>
          <cell r="S2745">
            <v>486.05</v>
          </cell>
          <cell r="U2745">
            <v>1.0608967600000001</v>
          </cell>
          <cell r="X2745">
            <v>486.05</v>
          </cell>
          <cell r="Y2745">
            <v>218.72</v>
          </cell>
          <cell r="AC2745">
            <v>490.65</v>
          </cell>
          <cell r="AE2745">
            <v>18.937799999999999</v>
          </cell>
          <cell r="AF2745">
            <v>1402.6998000000001</v>
          </cell>
          <cell r="AL2745">
            <v>490.65</v>
          </cell>
          <cell r="AM2745">
            <v>92.82</v>
          </cell>
          <cell r="AN2745">
            <v>11.34</v>
          </cell>
          <cell r="AO2745">
            <v>839.94</v>
          </cell>
          <cell r="AQ2745">
            <v>74.2</v>
          </cell>
          <cell r="AV2745">
            <v>1.0669999999999999</v>
          </cell>
          <cell r="AW2745">
            <v>1</v>
          </cell>
          <cell r="BA2745">
            <v>24.23</v>
          </cell>
          <cell r="BB2745">
            <v>8.6</v>
          </cell>
          <cell r="BC2745">
            <v>3.92</v>
          </cell>
          <cell r="BI2745">
            <v>1</v>
          </cell>
          <cell r="BS2745">
            <v>24.23</v>
          </cell>
          <cell r="BZ2745">
            <v>100</v>
          </cell>
          <cell r="CA2745">
            <v>45</v>
          </cell>
          <cell r="DD2745"/>
          <cell r="DE2745"/>
          <cell r="DG2745" t="str">
            <v>)*1,67</v>
          </cell>
          <cell r="DI2745"/>
          <cell r="DN2745">
            <v>125</v>
          </cell>
          <cell r="DO2745">
            <v>94</v>
          </cell>
          <cell r="ET2745">
            <v>92.82</v>
          </cell>
          <cell r="EU2745">
            <v>11.34</v>
          </cell>
        </row>
        <row r="2747">
          <cell r="E2747" t="str">
            <v>443,1</v>
          </cell>
          <cell r="F2747" t="str">
            <v>1.19-3-13</v>
          </cell>
          <cell r="H2747" t="str">
            <v>м2</v>
          </cell>
          <cell r="I2747">
            <v>1.34</v>
          </cell>
          <cell r="O2747">
            <v>648.08000000000004</v>
          </cell>
          <cell r="X2747">
            <v>0</v>
          </cell>
          <cell r="Y2747">
            <v>0</v>
          </cell>
          <cell r="AC2747">
            <v>157.54</v>
          </cell>
          <cell r="AE2747">
            <v>0</v>
          </cell>
          <cell r="AF2747">
            <v>0</v>
          </cell>
          <cell r="AK2747">
            <v>157.54</v>
          </cell>
          <cell r="AV2747">
            <v>1</v>
          </cell>
          <cell r="AW2747">
            <v>1</v>
          </cell>
          <cell r="BC2747">
            <v>3.07</v>
          </cell>
          <cell r="BI2747">
            <v>1</v>
          </cell>
          <cell r="BS2747">
            <v>1</v>
          </cell>
          <cell r="DN2747">
            <v>125</v>
          </cell>
          <cell r="DO2747">
            <v>94</v>
          </cell>
          <cell r="ET2747">
            <v>0</v>
          </cell>
          <cell r="EU2747">
            <v>0</v>
          </cell>
        </row>
        <row r="2761">
          <cell r="E2761" t="str">
            <v>447</v>
          </cell>
          <cell r="F2761" t="str">
            <v>3.20-1-7</v>
          </cell>
          <cell r="H2761" t="str">
            <v>100 м2 поверхности воздуховодов</v>
          </cell>
          <cell r="I2761">
            <v>3.0999999999999999E-3</v>
          </cell>
          <cell r="P2761">
            <v>4.6100000000000003</v>
          </cell>
          <cell r="Q2761">
            <v>2.98</v>
          </cell>
          <cell r="R2761">
            <v>1.45</v>
          </cell>
          <cell r="S2761">
            <v>184.87</v>
          </cell>
          <cell r="U2761">
            <v>0.40353939999999999</v>
          </cell>
          <cell r="X2761">
            <v>184.87</v>
          </cell>
          <cell r="Y2761">
            <v>83.19</v>
          </cell>
          <cell r="AC2761">
            <v>417.44</v>
          </cell>
          <cell r="AE2761">
            <v>17.668600000000001</v>
          </cell>
          <cell r="AF2761">
            <v>2306.3368</v>
          </cell>
          <cell r="AL2761">
            <v>417.44</v>
          </cell>
          <cell r="AM2761">
            <v>87.08</v>
          </cell>
          <cell r="AN2761">
            <v>10.58</v>
          </cell>
          <cell r="AO2761">
            <v>1381.04</v>
          </cell>
          <cell r="AQ2761">
            <v>122</v>
          </cell>
          <cell r="AV2761">
            <v>1.0669999999999999</v>
          </cell>
          <cell r="AW2761">
            <v>1</v>
          </cell>
          <cell r="BA2761">
            <v>24.23</v>
          </cell>
          <cell r="BB2761">
            <v>8.61</v>
          </cell>
          <cell r="BC2761">
            <v>3.57</v>
          </cell>
          <cell r="BI2761">
            <v>1</v>
          </cell>
          <cell r="BS2761">
            <v>24.23</v>
          </cell>
          <cell r="BZ2761">
            <v>100</v>
          </cell>
          <cell r="CA2761">
            <v>45</v>
          </cell>
          <cell r="DD2761"/>
          <cell r="DE2761"/>
          <cell r="DG2761" t="str">
            <v>)*1,67</v>
          </cell>
          <cell r="DI2761"/>
          <cell r="DN2761">
            <v>125</v>
          </cell>
          <cell r="DO2761">
            <v>94</v>
          </cell>
          <cell r="ET2761">
            <v>87.08</v>
          </cell>
          <cell r="EU2761">
            <v>10.58</v>
          </cell>
        </row>
        <row r="2763">
          <cell r="E2763" t="str">
            <v>447,1</v>
          </cell>
          <cell r="F2763" t="str">
            <v>1.19-3-7</v>
          </cell>
          <cell r="H2763" t="str">
            <v>м2</v>
          </cell>
          <cell r="I2763">
            <v>0.31</v>
          </cell>
          <cell r="O2763">
            <v>125.48</v>
          </cell>
          <cell r="X2763">
            <v>0</v>
          </cell>
          <cell r="Y2763">
            <v>0</v>
          </cell>
          <cell r="AC2763">
            <v>153.88999999999999</v>
          </cell>
          <cell r="AE2763">
            <v>0</v>
          </cell>
          <cell r="AF2763">
            <v>0</v>
          </cell>
          <cell r="AK2763">
            <v>153.88999999999999</v>
          </cell>
          <cell r="AV2763">
            <v>1</v>
          </cell>
          <cell r="AW2763">
            <v>1</v>
          </cell>
          <cell r="BC2763">
            <v>2.63</v>
          </cell>
          <cell r="BI2763">
            <v>1</v>
          </cell>
          <cell r="BS2763">
            <v>1</v>
          </cell>
          <cell r="DN2763">
            <v>125</v>
          </cell>
          <cell r="DO2763">
            <v>94</v>
          </cell>
          <cell r="ET2763">
            <v>0</v>
          </cell>
          <cell r="EU2763">
            <v>0</v>
          </cell>
        </row>
        <row r="2771">
          <cell r="E2771" t="str">
            <v>451</v>
          </cell>
          <cell r="F2771" t="str">
            <v>3.20-1-11</v>
          </cell>
          <cell r="H2771" t="str">
            <v>100 м2 поверхности воздуховодов</v>
          </cell>
          <cell r="I2771">
            <v>0.11119999999999999</v>
          </cell>
          <cell r="P2771">
            <v>150.80000000000001</v>
          </cell>
          <cell r="Q2771">
            <v>109.87</v>
          </cell>
          <cell r="R2771">
            <v>51.37</v>
          </cell>
          <cell r="S2771">
            <v>4989.2</v>
          </cell>
          <cell r="U2771">
            <v>10.892106719999999</v>
          </cell>
          <cell r="X2771">
            <v>4989.2</v>
          </cell>
          <cell r="Y2771">
            <v>2245.14</v>
          </cell>
          <cell r="AC2771">
            <v>409.71</v>
          </cell>
          <cell r="AE2771">
            <v>17.8523</v>
          </cell>
          <cell r="AF2771">
            <v>1735.4305999999999</v>
          </cell>
          <cell r="AL2771">
            <v>409.71</v>
          </cell>
          <cell r="AM2771">
            <v>87.46</v>
          </cell>
          <cell r="AN2771">
            <v>10.69</v>
          </cell>
          <cell r="AO2771">
            <v>1039.18</v>
          </cell>
          <cell r="AQ2771">
            <v>91.8</v>
          </cell>
          <cell r="AV2771">
            <v>1.0669999999999999</v>
          </cell>
          <cell r="AW2771">
            <v>1</v>
          </cell>
          <cell r="BA2771">
            <v>24.23</v>
          </cell>
          <cell r="BB2771">
            <v>8.6</v>
          </cell>
          <cell r="BC2771">
            <v>3.31</v>
          </cell>
          <cell r="BI2771">
            <v>1</v>
          </cell>
          <cell r="BS2771">
            <v>24.23</v>
          </cell>
          <cell r="BZ2771">
            <v>100</v>
          </cell>
          <cell r="CA2771">
            <v>45</v>
          </cell>
          <cell r="DD2771"/>
          <cell r="DE2771"/>
          <cell r="DG2771" t="str">
            <v>)*1,67</v>
          </cell>
          <cell r="DI2771"/>
          <cell r="DN2771">
            <v>125</v>
          </cell>
          <cell r="DO2771">
            <v>94</v>
          </cell>
          <cell r="ET2771">
            <v>87.46</v>
          </cell>
          <cell r="EU2771">
            <v>10.69</v>
          </cell>
        </row>
        <row r="2773">
          <cell r="E2773" t="str">
            <v>451,1</v>
          </cell>
          <cell r="F2773" t="str">
            <v>1.19-3-13</v>
          </cell>
          <cell r="H2773" t="str">
            <v>м2</v>
          </cell>
          <cell r="I2773">
            <v>11.12</v>
          </cell>
          <cell r="O2773">
            <v>5378.15</v>
          </cell>
          <cell r="X2773">
            <v>0</v>
          </cell>
          <cell r="Y2773">
            <v>0</v>
          </cell>
          <cell r="AC2773">
            <v>157.54</v>
          </cell>
          <cell r="AE2773">
            <v>0</v>
          </cell>
          <cell r="AF2773">
            <v>0</v>
          </cell>
          <cell r="AK2773">
            <v>157.54</v>
          </cell>
          <cell r="AV2773">
            <v>1</v>
          </cell>
          <cell r="AW2773">
            <v>1</v>
          </cell>
          <cell r="BC2773">
            <v>3.07</v>
          </cell>
          <cell r="BI2773">
            <v>1</v>
          </cell>
          <cell r="BS2773">
            <v>1</v>
          </cell>
          <cell r="DN2773">
            <v>125</v>
          </cell>
          <cell r="DO2773">
            <v>94</v>
          </cell>
          <cell r="ET2773">
            <v>0</v>
          </cell>
          <cell r="EU2773">
            <v>0</v>
          </cell>
        </row>
        <row r="2891">
          <cell r="G2891" t="str">
            <v>Дополнительные материалы и оборудование</v>
          </cell>
        </row>
        <row r="2921">
          <cell r="G2921" t="str">
            <v>Вентиляция</v>
          </cell>
        </row>
      </sheetData>
      <sheetData sheetId="2" refreshError="1"/>
      <sheetData sheetId="3" refreshError="1"/>
      <sheetData sheetId="4" refreshError="1"/>
    </sheetDataSet>
  </externalBook>
</externalLink>
</file>

<file path=xl/externalLinks/externalLink9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Акт КС-2 по ТСН-2001"/>
      <sheetName val="Source"/>
      <sheetName val="SourceObSm"/>
      <sheetName val="SmtRes"/>
      <sheetName val="EtalonRes"/>
    </sheetNames>
    <sheetDataSet>
      <sheetData sheetId="0" refreshError="1"/>
      <sheetData sheetId="1">
        <row r="114">
          <cell r="G114" t="str">
            <v>П2-11, П2-11р</v>
          </cell>
        </row>
        <row r="127">
          <cell r="E127" t="str">
            <v>9</v>
          </cell>
          <cell r="F127" t="str">
            <v>3.20-24-3</v>
          </cell>
          <cell r="H127" t="str">
            <v>1  ШТ.</v>
          </cell>
          <cell r="I127">
            <v>1</v>
          </cell>
          <cell r="P127">
            <v>45.31</v>
          </cell>
          <cell r="Q127">
            <v>33.01</v>
          </cell>
          <cell r="R127">
            <v>22.78</v>
          </cell>
          <cell r="S127">
            <v>912.26</v>
          </cell>
          <cell r="U127">
            <v>1.94194</v>
          </cell>
          <cell r="X127">
            <v>912.26</v>
          </cell>
          <cell r="Y127">
            <v>410.52</v>
          </cell>
          <cell r="AC127">
            <v>8.1199999999999992</v>
          </cell>
          <cell r="AE127">
            <v>0.8851</v>
          </cell>
          <cell r="AF127">
            <v>35.287100000000002</v>
          </cell>
          <cell r="AL127">
            <v>8.1199999999999992</v>
          </cell>
          <cell r="AM127">
            <v>2.23</v>
          </cell>
          <cell r="AN127">
            <v>0.53</v>
          </cell>
          <cell r="AO127">
            <v>21.13</v>
          </cell>
          <cell r="AQ127">
            <v>1.82</v>
          </cell>
          <cell r="AV127">
            <v>1.0669999999999999</v>
          </cell>
          <cell r="AW127">
            <v>1</v>
          </cell>
          <cell r="BA127">
            <v>24.23</v>
          </cell>
          <cell r="BB127">
            <v>10</v>
          </cell>
          <cell r="BC127">
            <v>5.58</v>
          </cell>
          <cell r="BI127">
            <v>1</v>
          </cell>
          <cell r="BS127">
            <v>24.23</v>
          </cell>
          <cell r="BZ127">
            <v>100</v>
          </cell>
          <cell r="CA127">
            <v>45</v>
          </cell>
          <cell r="DD127"/>
          <cell r="DE127"/>
          <cell r="DG127" t="str">
            <v>)*1,67</v>
          </cell>
          <cell r="DI127"/>
          <cell r="DN127">
            <v>125</v>
          </cell>
          <cell r="DO127">
            <v>94</v>
          </cell>
          <cell r="ET127">
            <v>2.23</v>
          </cell>
          <cell r="EU127">
            <v>0.53</v>
          </cell>
        </row>
        <row r="129">
          <cell r="E129" t="str">
            <v>9,1</v>
          </cell>
          <cell r="F129" t="str">
            <v>1.19-11-15</v>
          </cell>
          <cell r="H129" t="str">
            <v>шт.</v>
          </cell>
          <cell r="I129">
            <v>1</v>
          </cell>
          <cell r="O129">
            <v>3494.16</v>
          </cell>
          <cell r="X129">
            <v>0</v>
          </cell>
          <cell r="Y129">
            <v>0</v>
          </cell>
          <cell r="AC129">
            <v>1318.55</v>
          </cell>
          <cell r="AE129">
            <v>0</v>
          </cell>
          <cell r="AF129">
            <v>0</v>
          </cell>
          <cell r="AK129">
            <v>1318.55</v>
          </cell>
          <cell r="AV129">
            <v>1</v>
          </cell>
          <cell r="AW129">
            <v>1</v>
          </cell>
          <cell r="BC129">
            <v>2.65</v>
          </cell>
          <cell r="BI129">
            <v>1</v>
          </cell>
          <cell r="BS129">
            <v>1</v>
          </cell>
          <cell r="DN129">
            <v>125</v>
          </cell>
          <cell r="DO129">
            <v>94</v>
          </cell>
          <cell r="ET129">
            <v>0</v>
          </cell>
          <cell r="EU129">
            <v>0</v>
          </cell>
        </row>
        <row r="161">
          <cell r="G161" t="str">
            <v>П2-11, П2-11р</v>
          </cell>
        </row>
        <row r="191">
          <cell r="G191" t="str">
            <v>П2-13</v>
          </cell>
        </row>
        <row r="200">
          <cell r="E200" t="str">
            <v>24</v>
          </cell>
          <cell r="F200" t="str">
            <v>3.20-24-2</v>
          </cell>
          <cell r="H200" t="str">
            <v>1  ШТ.</v>
          </cell>
          <cell r="I200">
            <v>1</v>
          </cell>
          <cell r="P200">
            <v>37.11</v>
          </cell>
          <cell r="Q200">
            <v>33.01</v>
          </cell>
          <cell r="R200">
            <v>22.78</v>
          </cell>
          <cell r="S200">
            <v>762.52</v>
          </cell>
          <cell r="U200">
            <v>1.6431800000000001</v>
          </cell>
          <cell r="X200">
            <v>762.52</v>
          </cell>
          <cell r="Y200">
            <v>343.13</v>
          </cell>
          <cell r="AC200">
            <v>6.65</v>
          </cell>
          <cell r="AE200">
            <v>0.8851</v>
          </cell>
          <cell r="AF200">
            <v>29.4922</v>
          </cell>
          <cell r="AL200">
            <v>6.65</v>
          </cell>
          <cell r="AM200">
            <v>2.23</v>
          </cell>
          <cell r="AN200">
            <v>0.53</v>
          </cell>
          <cell r="AO200">
            <v>17.66</v>
          </cell>
          <cell r="AQ200">
            <v>1.54</v>
          </cell>
          <cell r="AV200">
            <v>1.0669999999999999</v>
          </cell>
          <cell r="AW200">
            <v>1</v>
          </cell>
          <cell r="BA200">
            <v>24.23</v>
          </cell>
          <cell r="BB200">
            <v>10</v>
          </cell>
          <cell r="BC200">
            <v>5.58</v>
          </cell>
          <cell r="BI200">
            <v>1</v>
          </cell>
          <cell r="BS200">
            <v>24.23</v>
          </cell>
          <cell r="BZ200">
            <v>100</v>
          </cell>
          <cell r="CA200">
            <v>45</v>
          </cell>
          <cell r="DD200"/>
          <cell r="DE200"/>
          <cell r="DG200" t="str">
            <v>)*1,67</v>
          </cell>
          <cell r="DI200"/>
          <cell r="DN200">
            <v>125</v>
          </cell>
          <cell r="DO200">
            <v>94</v>
          </cell>
          <cell r="ET200">
            <v>2.23</v>
          </cell>
          <cell r="EU200">
            <v>0.53</v>
          </cell>
        </row>
        <row r="202">
          <cell r="E202" t="str">
            <v>24,1</v>
          </cell>
          <cell r="F202" t="str">
            <v>1.19-11-14</v>
          </cell>
          <cell r="H202" t="str">
            <v>шт.</v>
          </cell>
          <cell r="I202">
            <v>1</v>
          </cell>
          <cell r="O202">
            <v>3235.44</v>
          </cell>
          <cell r="X202">
            <v>0</v>
          </cell>
          <cell r="Y202">
            <v>0</v>
          </cell>
          <cell r="AC202">
            <v>1244.4000000000001</v>
          </cell>
          <cell r="AE202">
            <v>0</v>
          </cell>
          <cell r="AF202">
            <v>0</v>
          </cell>
          <cell r="AK202">
            <v>1244.4000000000001</v>
          </cell>
          <cell r="AV202">
            <v>1</v>
          </cell>
          <cell r="AW202">
            <v>1</v>
          </cell>
          <cell r="BC202">
            <v>2.6</v>
          </cell>
          <cell r="BI202">
            <v>1</v>
          </cell>
          <cell r="BS202">
            <v>1</v>
          </cell>
          <cell r="DN202">
            <v>125</v>
          </cell>
          <cell r="DO202">
            <v>94</v>
          </cell>
          <cell r="ET202">
            <v>0</v>
          </cell>
          <cell r="EU202">
            <v>0</v>
          </cell>
        </row>
        <row r="204">
          <cell r="G204" t="str">
            <v>П2-13</v>
          </cell>
        </row>
        <row r="671">
          <cell r="G671" t="str">
            <v>П2-25, П2-25р</v>
          </cell>
        </row>
        <row r="680">
          <cell r="E680" t="str">
            <v>82</v>
          </cell>
          <cell r="F680" t="str">
            <v>3.20-23-3</v>
          </cell>
          <cell r="H680" t="str">
            <v>1  ШТ.</v>
          </cell>
          <cell r="I680">
            <v>1</v>
          </cell>
          <cell r="P680">
            <v>34.76</v>
          </cell>
          <cell r="Q680">
            <v>21.88</v>
          </cell>
          <cell r="R680">
            <v>15.02</v>
          </cell>
          <cell r="S680">
            <v>539.6</v>
          </cell>
          <cell r="U680">
            <v>1.16303</v>
          </cell>
          <cell r="X680">
            <v>539.6</v>
          </cell>
          <cell r="Y680">
            <v>242.82</v>
          </cell>
          <cell r="AC680">
            <v>6.23</v>
          </cell>
          <cell r="AE680">
            <v>0.58450000000000002</v>
          </cell>
          <cell r="AF680">
            <v>20.875</v>
          </cell>
          <cell r="AL680">
            <v>6.23</v>
          </cell>
          <cell r="AM680">
            <v>1.49</v>
          </cell>
          <cell r="AN680">
            <v>0.35</v>
          </cell>
          <cell r="AO680">
            <v>12.5</v>
          </cell>
          <cell r="AQ680">
            <v>1.0900000000000001</v>
          </cell>
          <cell r="AV680">
            <v>1.0669999999999999</v>
          </cell>
          <cell r="AW680">
            <v>1</v>
          </cell>
          <cell r="BA680">
            <v>24.23</v>
          </cell>
          <cell r="BB680">
            <v>9.9499999999999993</v>
          </cell>
          <cell r="BC680">
            <v>5.58</v>
          </cell>
          <cell r="BI680">
            <v>1</v>
          </cell>
          <cell r="BS680">
            <v>24.23</v>
          </cell>
          <cell r="BZ680">
            <v>100</v>
          </cell>
          <cell r="CA680">
            <v>45</v>
          </cell>
          <cell r="DD680"/>
          <cell r="DE680"/>
          <cell r="DG680" t="str">
            <v>)*1,67</v>
          </cell>
          <cell r="DI680"/>
          <cell r="DN680">
            <v>125</v>
          </cell>
          <cell r="DO680">
            <v>94</v>
          </cell>
          <cell r="ET680">
            <v>1.49</v>
          </cell>
          <cell r="EU680">
            <v>0.35</v>
          </cell>
        </row>
        <row r="682">
          <cell r="E682" t="str">
            <v>82,1</v>
          </cell>
          <cell r="F682" t="str">
            <v>1.19-11-59</v>
          </cell>
          <cell r="H682" t="str">
            <v>шт.</v>
          </cell>
          <cell r="I682">
            <v>1</v>
          </cell>
          <cell r="O682">
            <v>1654.64</v>
          </cell>
          <cell r="X682">
            <v>0</v>
          </cell>
          <cell r="Y682">
            <v>0</v>
          </cell>
          <cell r="AC682">
            <v>738.68</v>
          </cell>
          <cell r="AE682">
            <v>0</v>
          </cell>
          <cell r="AF682">
            <v>0</v>
          </cell>
          <cell r="AK682">
            <v>738.68</v>
          </cell>
          <cell r="AV682">
            <v>1</v>
          </cell>
          <cell r="AW682">
            <v>1</v>
          </cell>
          <cell r="BC682">
            <v>2.2400000000000002</v>
          </cell>
          <cell r="BI682">
            <v>1</v>
          </cell>
          <cell r="BS682">
            <v>1</v>
          </cell>
          <cell r="DN682">
            <v>125</v>
          </cell>
          <cell r="DO682">
            <v>94</v>
          </cell>
          <cell r="ET682">
            <v>0</v>
          </cell>
          <cell r="EU682">
            <v>0</v>
          </cell>
        </row>
        <row r="714">
          <cell r="G714" t="str">
            <v>П2-25, П2-25р</v>
          </cell>
        </row>
        <row r="1012">
          <cell r="G1012" t="str">
            <v>В2-13</v>
          </cell>
        </row>
        <row r="1031">
          <cell r="E1031" t="str">
            <v>132</v>
          </cell>
          <cell r="F1031" t="str">
            <v>3.20-24-2</v>
          </cell>
          <cell r="H1031" t="str">
            <v>1  ШТ.</v>
          </cell>
          <cell r="I1031">
            <v>1</v>
          </cell>
          <cell r="P1031">
            <v>37.11</v>
          </cell>
          <cell r="Q1031">
            <v>33.01</v>
          </cell>
          <cell r="R1031">
            <v>22.78</v>
          </cell>
          <cell r="S1031">
            <v>762.52</v>
          </cell>
          <cell r="U1031">
            <v>1.6431800000000001</v>
          </cell>
          <cell r="X1031">
            <v>762.52</v>
          </cell>
          <cell r="Y1031">
            <v>343.13</v>
          </cell>
          <cell r="AC1031">
            <v>6.65</v>
          </cell>
          <cell r="AE1031">
            <v>0.8851</v>
          </cell>
          <cell r="AF1031">
            <v>29.4922</v>
          </cell>
          <cell r="AL1031">
            <v>6.65</v>
          </cell>
          <cell r="AM1031">
            <v>2.23</v>
          </cell>
          <cell r="AN1031">
            <v>0.53</v>
          </cell>
          <cell r="AO1031">
            <v>17.66</v>
          </cell>
          <cell r="AQ1031">
            <v>1.54</v>
          </cell>
          <cell r="AV1031">
            <v>1.0669999999999999</v>
          </cell>
          <cell r="AW1031">
            <v>1</v>
          </cell>
          <cell r="BA1031">
            <v>24.23</v>
          </cell>
          <cell r="BB1031">
            <v>10</v>
          </cell>
          <cell r="BC1031">
            <v>5.58</v>
          </cell>
          <cell r="BI1031">
            <v>1</v>
          </cell>
          <cell r="BS1031">
            <v>24.23</v>
          </cell>
          <cell r="BZ1031">
            <v>100</v>
          </cell>
          <cell r="CA1031">
            <v>45</v>
          </cell>
          <cell r="DD1031"/>
          <cell r="DE1031"/>
          <cell r="DG1031" t="str">
            <v>)*1,67</v>
          </cell>
          <cell r="DI1031"/>
          <cell r="DN1031">
            <v>125</v>
          </cell>
          <cell r="DO1031">
            <v>94</v>
          </cell>
          <cell r="ET1031">
            <v>2.23</v>
          </cell>
          <cell r="EU1031">
            <v>0.53</v>
          </cell>
        </row>
        <row r="1033">
          <cell r="E1033" t="str">
            <v>132,1</v>
          </cell>
          <cell r="F1033" t="str">
            <v>1.19-11-14</v>
          </cell>
          <cell r="H1033" t="str">
            <v>шт.</v>
          </cell>
          <cell r="I1033">
            <v>1</v>
          </cell>
          <cell r="O1033">
            <v>3235.44</v>
          </cell>
          <cell r="X1033">
            <v>0</v>
          </cell>
          <cell r="Y1033">
            <v>0</v>
          </cell>
          <cell r="AC1033">
            <v>1244.4000000000001</v>
          </cell>
          <cell r="AE1033">
            <v>0</v>
          </cell>
          <cell r="AF1033">
            <v>0</v>
          </cell>
          <cell r="AK1033">
            <v>1244.4000000000001</v>
          </cell>
          <cell r="AV1033">
            <v>1</v>
          </cell>
          <cell r="AW1033">
            <v>1</v>
          </cell>
          <cell r="BC1033">
            <v>2.6</v>
          </cell>
          <cell r="BI1033">
            <v>1</v>
          </cell>
          <cell r="BS1033">
            <v>1</v>
          </cell>
          <cell r="DN1033">
            <v>125</v>
          </cell>
          <cell r="DO1033">
            <v>94</v>
          </cell>
          <cell r="ET1033">
            <v>0</v>
          </cell>
          <cell r="EU1033">
            <v>0</v>
          </cell>
        </row>
        <row r="1035">
          <cell r="E1035" t="str">
            <v>133</v>
          </cell>
          <cell r="F1035" t="str">
            <v>3.20-23-4</v>
          </cell>
          <cell r="H1035" t="str">
            <v>1  ШТ.</v>
          </cell>
          <cell r="I1035">
            <v>1</v>
          </cell>
          <cell r="P1035">
            <v>37.11</v>
          </cell>
          <cell r="Q1035">
            <v>33.01</v>
          </cell>
          <cell r="R1035">
            <v>22.78</v>
          </cell>
          <cell r="S1035">
            <v>762.52</v>
          </cell>
          <cell r="U1035">
            <v>1.6431800000000001</v>
          </cell>
          <cell r="X1035">
            <v>762.52</v>
          </cell>
          <cell r="Y1035">
            <v>343.13</v>
          </cell>
          <cell r="AC1035">
            <v>6.65</v>
          </cell>
          <cell r="AE1035">
            <v>0.8851</v>
          </cell>
          <cell r="AF1035">
            <v>29.4922</v>
          </cell>
          <cell r="AL1035">
            <v>6.65</v>
          </cell>
          <cell r="AM1035">
            <v>2.23</v>
          </cell>
          <cell r="AN1035">
            <v>0.53</v>
          </cell>
          <cell r="AO1035">
            <v>17.66</v>
          </cell>
          <cell r="AQ1035">
            <v>1.54</v>
          </cell>
          <cell r="AV1035">
            <v>1.0669999999999999</v>
          </cell>
          <cell r="AW1035">
            <v>1</v>
          </cell>
          <cell r="BA1035">
            <v>24.23</v>
          </cell>
          <cell r="BB1035">
            <v>10</v>
          </cell>
          <cell r="BC1035">
            <v>5.58</v>
          </cell>
          <cell r="BI1035">
            <v>1</v>
          </cell>
          <cell r="BS1035">
            <v>24.23</v>
          </cell>
          <cell r="BZ1035">
            <v>100</v>
          </cell>
          <cell r="CA1035">
            <v>45</v>
          </cell>
          <cell r="DD1035"/>
          <cell r="DE1035"/>
          <cell r="DG1035" t="str">
            <v>)*1,67</v>
          </cell>
          <cell r="DI1035"/>
          <cell r="DN1035">
            <v>125</v>
          </cell>
          <cell r="DO1035">
            <v>94</v>
          </cell>
          <cell r="ET1035">
            <v>2.23</v>
          </cell>
          <cell r="EU1035">
            <v>0.53</v>
          </cell>
        </row>
        <row r="1037">
          <cell r="E1037" t="str">
            <v>133,1</v>
          </cell>
          <cell r="F1037" t="str">
            <v>1.19-11-62</v>
          </cell>
          <cell r="H1037" t="str">
            <v>шт.</v>
          </cell>
          <cell r="I1037">
            <v>1</v>
          </cell>
          <cell r="O1037">
            <v>1960.68</v>
          </cell>
          <cell r="X1037">
            <v>0</v>
          </cell>
          <cell r="Y1037">
            <v>0</v>
          </cell>
          <cell r="AC1037">
            <v>690.38</v>
          </cell>
          <cell r="AE1037">
            <v>0</v>
          </cell>
          <cell r="AF1037">
            <v>0</v>
          </cell>
          <cell r="AK1037">
            <v>690.38</v>
          </cell>
          <cell r="AV1037">
            <v>1</v>
          </cell>
          <cell r="AW1037">
            <v>1</v>
          </cell>
          <cell r="BC1037">
            <v>2.84</v>
          </cell>
          <cell r="BI1037">
            <v>1</v>
          </cell>
          <cell r="BS1037">
            <v>1</v>
          </cell>
          <cell r="DN1037">
            <v>125</v>
          </cell>
          <cell r="DO1037">
            <v>94</v>
          </cell>
          <cell r="ET1037">
            <v>0</v>
          </cell>
          <cell r="EU1037">
            <v>0</v>
          </cell>
        </row>
        <row r="1039">
          <cell r="G1039" t="str">
            <v>В2-13</v>
          </cell>
        </row>
        <row r="1423">
          <cell r="G1423" t="str">
            <v>В2-23</v>
          </cell>
        </row>
        <row r="1442">
          <cell r="E1442" t="str">
            <v>176</v>
          </cell>
          <cell r="F1442" t="str">
            <v>3.20-23-2</v>
          </cell>
          <cell r="H1442" t="str">
            <v>1  ШТ.</v>
          </cell>
          <cell r="I1442">
            <v>1</v>
          </cell>
          <cell r="P1442">
            <v>34.76</v>
          </cell>
          <cell r="Q1442">
            <v>21.88</v>
          </cell>
          <cell r="R1442">
            <v>15.02</v>
          </cell>
          <cell r="S1442">
            <v>539.6</v>
          </cell>
          <cell r="U1442">
            <v>1.16303</v>
          </cell>
          <cell r="X1442">
            <v>539.6</v>
          </cell>
          <cell r="Y1442">
            <v>242.82</v>
          </cell>
          <cell r="AC1442">
            <v>6.23</v>
          </cell>
          <cell r="AE1442">
            <v>0.58450000000000002</v>
          </cell>
          <cell r="AF1442">
            <v>20.875</v>
          </cell>
          <cell r="AL1442">
            <v>6.23</v>
          </cell>
          <cell r="AM1442">
            <v>1.49</v>
          </cell>
          <cell r="AN1442">
            <v>0.35</v>
          </cell>
          <cell r="AO1442">
            <v>12.5</v>
          </cell>
          <cell r="AQ1442">
            <v>1.0900000000000001</v>
          </cell>
          <cell r="AV1442">
            <v>1.0669999999999999</v>
          </cell>
          <cell r="AW1442">
            <v>1</v>
          </cell>
          <cell r="BA1442">
            <v>24.23</v>
          </cell>
          <cell r="BB1442">
            <v>9.9499999999999993</v>
          </cell>
          <cell r="BC1442">
            <v>5.58</v>
          </cell>
          <cell r="BI1442">
            <v>1</v>
          </cell>
          <cell r="BS1442">
            <v>24.23</v>
          </cell>
          <cell r="BZ1442">
            <v>100</v>
          </cell>
          <cell r="CA1442">
            <v>45</v>
          </cell>
          <cell r="DD1442"/>
          <cell r="DE1442"/>
          <cell r="DG1442" t="str">
            <v>)*1,67</v>
          </cell>
          <cell r="DI1442"/>
          <cell r="DN1442">
            <v>125</v>
          </cell>
          <cell r="DO1442">
            <v>94</v>
          </cell>
          <cell r="ET1442">
            <v>1.49</v>
          </cell>
          <cell r="EU1442">
            <v>0.35</v>
          </cell>
        </row>
        <row r="1444">
          <cell r="E1444" t="str">
            <v>176,1</v>
          </cell>
          <cell r="F1444" t="str">
            <v>1.19-11-56</v>
          </cell>
          <cell r="H1444" t="str">
            <v>шт.</v>
          </cell>
          <cell r="I1444">
            <v>1</v>
          </cell>
          <cell r="O1444">
            <v>1576.73</v>
          </cell>
          <cell r="X1444">
            <v>0</v>
          </cell>
          <cell r="Y1444">
            <v>0</v>
          </cell>
          <cell r="AC1444">
            <v>670.95</v>
          </cell>
          <cell r="AE1444">
            <v>0</v>
          </cell>
          <cell r="AF1444">
            <v>0</v>
          </cell>
          <cell r="AK1444">
            <v>670.95</v>
          </cell>
          <cell r="AV1444">
            <v>1</v>
          </cell>
          <cell r="AW1444">
            <v>1</v>
          </cell>
          <cell r="BC1444">
            <v>2.35</v>
          </cell>
          <cell r="BI1444">
            <v>1</v>
          </cell>
          <cell r="BS1444">
            <v>1</v>
          </cell>
          <cell r="DN1444">
            <v>125</v>
          </cell>
          <cell r="DO1444">
            <v>94</v>
          </cell>
          <cell r="ET1444">
            <v>0</v>
          </cell>
          <cell r="EU1444">
            <v>0</v>
          </cell>
        </row>
        <row r="1446">
          <cell r="G1446" t="str">
            <v>В2-23</v>
          </cell>
        </row>
        <row r="1621">
          <cell r="G1621" t="str">
            <v>В2-28</v>
          </cell>
        </row>
        <row r="1640">
          <cell r="E1640" t="str">
            <v>208</v>
          </cell>
          <cell r="F1640" t="str">
            <v>3.20-23-2</v>
          </cell>
          <cell r="H1640" t="str">
            <v>1  ШТ.</v>
          </cell>
          <cell r="I1640">
            <v>1</v>
          </cell>
          <cell r="P1640">
            <v>34.76</v>
          </cell>
          <cell r="Q1640">
            <v>21.88</v>
          </cell>
          <cell r="R1640">
            <v>15.02</v>
          </cell>
          <cell r="S1640">
            <v>539.6</v>
          </cell>
          <cell r="U1640">
            <v>1.16303</v>
          </cell>
          <cell r="X1640">
            <v>539.6</v>
          </cell>
          <cell r="Y1640">
            <v>242.82</v>
          </cell>
          <cell r="AC1640">
            <v>6.23</v>
          </cell>
          <cell r="AE1640">
            <v>0.58450000000000002</v>
          </cell>
          <cell r="AF1640">
            <v>20.875</v>
          </cell>
          <cell r="AL1640">
            <v>6.23</v>
          </cell>
          <cell r="AM1640">
            <v>1.49</v>
          </cell>
          <cell r="AN1640">
            <v>0.35</v>
          </cell>
          <cell r="AO1640">
            <v>12.5</v>
          </cell>
          <cell r="AQ1640">
            <v>1.0900000000000001</v>
          </cell>
          <cell r="AV1640">
            <v>1.0669999999999999</v>
          </cell>
          <cell r="AW1640">
            <v>1</v>
          </cell>
          <cell r="BA1640">
            <v>24.23</v>
          </cell>
          <cell r="BB1640">
            <v>9.9499999999999993</v>
          </cell>
          <cell r="BC1640">
            <v>5.58</v>
          </cell>
          <cell r="BI1640">
            <v>1</v>
          </cell>
          <cell r="BS1640">
            <v>24.23</v>
          </cell>
          <cell r="BZ1640">
            <v>100</v>
          </cell>
          <cell r="CA1640">
            <v>45</v>
          </cell>
          <cell r="DD1640"/>
          <cell r="DE1640"/>
          <cell r="DG1640" t="str">
            <v>)*1,67</v>
          </cell>
          <cell r="DI1640"/>
          <cell r="DN1640">
            <v>125</v>
          </cell>
          <cell r="DO1640">
            <v>94</v>
          </cell>
          <cell r="ET1640">
            <v>1.49</v>
          </cell>
          <cell r="EU1640">
            <v>0.35</v>
          </cell>
        </row>
        <row r="1642">
          <cell r="E1642" t="str">
            <v>208,1</v>
          </cell>
          <cell r="F1642" t="str">
            <v>1.19-11-54</v>
          </cell>
          <cell r="H1642" t="str">
            <v>шт.</v>
          </cell>
          <cell r="I1642">
            <v>1</v>
          </cell>
          <cell r="O1642">
            <v>1408.43</v>
          </cell>
          <cell r="X1642">
            <v>0</v>
          </cell>
          <cell r="Y1642">
            <v>0</v>
          </cell>
          <cell r="AC1642">
            <v>558.9</v>
          </cell>
          <cell r="AE1642">
            <v>0</v>
          </cell>
          <cell r="AF1642">
            <v>0</v>
          </cell>
          <cell r="AK1642">
            <v>558.9</v>
          </cell>
          <cell r="AV1642">
            <v>1</v>
          </cell>
          <cell r="AW1642">
            <v>1</v>
          </cell>
          <cell r="BC1642">
            <v>2.52</v>
          </cell>
          <cell r="BI1642">
            <v>1</v>
          </cell>
          <cell r="BS1642">
            <v>1</v>
          </cell>
          <cell r="DN1642">
            <v>125</v>
          </cell>
          <cell r="DO1642">
            <v>94</v>
          </cell>
          <cell r="ET1642">
            <v>0</v>
          </cell>
          <cell r="EU1642">
            <v>0</v>
          </cell>
        </row>
        <row r="1644">
          <cell r="G1644" t="str">
            <v>В2-28</v>
          </cell>
        </row>
        <row r="2454">
          <cell r="G2454" t="str">
            <v>Дополнительные материалы и оборудование</v>
          </cell>
        </row>
        <row r="2482">
          <cell r="AW2482">
            <v>1</v>
          </cell>
        </row>
        <row r="2499">
          <cell r="E2499" t="str">
            <v>334</v>
          </cell>
          <cell r="F2499" t="str">
            <v>4.21-39-2</v>
          </cell>
          <cell r="H2499" t="str">
            <v>1 клапан</v>
          </cell>
          <cell r="I2499">
            <v>1</v>
          </cell>
          <cell r="P2499">
            <v>31.19</v>
          </cell>
          <cell r="Q2499">
            <v>5.42</v>
          </cell>
          <cell r="R2499">
            <v>1.21</v>
          </cell>
          <cell r="S2499">
            <v>1691.5</v>
          </cell>
          <cell r="U2499">
            <v>3.59579</v>
          </cell>
          <cell r="X2499">
            <v>1150.22</v>
          </cell>
          <cell r="Y2499">
            <v>727.35</v>
          </cell>
          <cell r="AC2499">
            <v>5.44</v>
          </cell>
          <cell r="AE2499">
            <v>5.0099999999999999E-2</v>
          </cell>
          <cell r="AF2499">
            <v>65.430599999999998</v>
          </cell>
          <cell r="AL2499">
            <v>5.44</v>
          </cell>
          <cell r="AM2499">
            <v>0.73</v>
          </cell>
          <cell r="AN2499">
            <v>0.03</v>
          </cell>
          <cell r="AO2499">
            <v>39.18</v>
          </cell>
          <cell r="AQ2499">
            <v>3.37</v>
          </cell>
          <cell r="AV2499">
            <v>1.0669999999999999</v>
          </cell>
          <cell r="AW2499">
            <v>1.028</v>
          </cell>
          <cell r="BA2499">
            <v>24.23</v>
          </cell>
          <cell r="BB2499">
            <v>6.33</v>
          </cell>
          <cell r="BC2499">
            <v>5.58</v>
          </cell>
          <cell r="BI2499">
            <v>2</v>
          </cell>
          <cell r="BS2499">
            <v>24.23</v>
          </cell>
          <cell r="BZ2499">
            <v>68</v>
          </cell>
          <cell r="CA2499">
            <v>43</v>
          </cell>
          <cell r="DD2499"/>
          <cell r="DE2499"/>
          <cell r="DG2499" t="str">
            <v>)*1,67</v>
          </cell>
          <cell r="DI2499"/>
          <cell r="DN2499">
            <v>79</v>
          </cell>
          <cell r="DO2499">
            <v>70</v>
          </cell>
          <cell r="ET2499">
            <v>0.73</v>
          </cell>
          <cell r="EU2499">
            <v>0.03</v>
          </cell>
        </row>
        <row r="2501">
          <cell r="E2501" t="str">
            <v>335</v>
          </cell>
          <cell r="H2501" t="str">
            <v>шт.</v>
          </cell>
          <cell r="I2501">
            <v>1</v>
          </cell>
          <cell r="X2501">
            <v>0</v>
          </cell>
          <cell r="Y2501">
            <v>0</v>
          </cell>
          <cell r="AE2501">
            <v>0</v>
          </cell>
          <cell r="AF2501">
            <v>0</v>
          </cell>
          <cell r="AV2501">
            <v>1</v>
          </cell>
          <cell r="AW2501">
            <v>1</v>
          </cell>
          <cell r="BI2501">
            <v>1</v>
          </cell>
          <cell r="BS2501">
            <v>1</v>
          </cell>
          <cell r="DN2501">
            <v>0</v>
          </cell>
          <cell r="DO2501">
            <v>0</v>
          </cell>
        </row>
        <row r="2505">
          <cell r="E2505" t="str">
            <v>337</v>
          </cell>
          <cell r="F2505" t="str">
            <v>4.21-39-3</v>
          </cell>
          <cell r="H2505" t="str">
            <v>1 клапан</v>
          </cell>
          <cell r="I2505">
            <v>1</v>
          </cell>
          <cell r="P2505">
            <v>45.14</v>
          </cell>
          <cell r="Q2505">
            <v>5.42</v>
          </cell>
          <cell r="R2505">
            <v>1.21</v>
          </cell>
          <cell r="S2505">
            <v>1691.5</v>
          </cell>
          <cell r="U2505">
            <v>3.59579</v>
          </cell>
          <cell r="X2505">
            <v>1150.22</v>
          </cell>
          <cell r="Y2505">
            <v>727.35</v>
          </cell>
          <cell r="AC2505">
            <v>7.87</v>
          </cell>
          <cell r="AE2505">
            <v>5.0099999999999999E-2</v>
          </cell>
          <cell r="AF2505">
            <v>65.430599999999998</v>
          </cell>
          <cell r="AL2505">
            <v>7.87</v>
          </cell>
          <cell r="AM2505">
            <v>0.73</v>
          </cell>
          <cell r="AN2505">
            <v>0.03</v>
          </cell>
          <cell r="AO2505">
            <v>39.18</v>
          </cell>
          <cell r="AQ2505">
            <v>3.37</v>
          </cell>
          <cell r="AV2505">
            <v>1.0669999999999999</v>
          </cell>
          <cell r="AW2505">
            <v>1.028</v>
          </cell>
          <cell r="BA2505">
            <v>24.23</v>
          </cell>
          <cell r="BB2505">
            <v>6.33</v>
          </cell>
          <cell r="BC2505">
            <v>5.58</v>
          </cell>
          <cell r="BI2505">
            <v>2</v>
          </cell>
          <cell r="BS2505">
            <v>24.23</v>
          </cell>
          <cell r="BZ2505">
            <v>68</v>
          </cell>
          <cell r="CA2505">
            <v>43</v>
          </cell>
          <cell r="DD2505"/>
          <cell r="DE2505"/>
          <cell r="DG2505" t="str">
            <v>)*1,67</v>
          </cell>
          <cell r="DI2505"/>
          <cell r="DN2505">
            <v>79</v>
          </cell>
          <cell r="DO2505">
            <v>70</v>
          </cell>
          <cell r="ET2505">
            <v>0.73</v>
          </cell>
          <cell r="EU2505">
            <v>0.03</v>
          </cell>
        </row>
        <row r="2507">
          <cell r="E2507" t="str">
            <v>338</v>
          </cell>
          <cell r="F2507" t="str">
            <v>МКЭ-33-1005/8-1 от 26.07.2018г.</v>
          </cell>
          <cell r="H2507" t="str">
            <v>шт.</v>
          </cell>
          <cell r="I2507">
            <v>1</v>
          </cell>
          <cell r="X2507">
            <v>0</v>
          </cell>
          <cell r="Y2507">
            <v>0</v>
          </cell>
          <cell r="AE2507">
            <v>0</v>
          </cell>
          <cell r="AF2507">
            <v>0</v>
          </cell>
          <cell r="AV2507">
            <v>1</v>
          </cell>
          <cell r="BI2507">
            <v>1</v>
          </cell>
          <cell r="BS2507">
            <v>1</v>
          </cell>
          <cell r="DN2507">
            <v>0</v>
          </cell>
          <cell r="DO2507">
            <v>0</v>
          </cell>
        </row>
        <row r="2509">
          <cell r="E2509" t="str">
            <v>339</v>
          </cell>
          <cell r="F2509" t="str">
            <v>3.20-11-15</v>
          </cell>
          <cell r="H2509" t="str">
            <v>1 клапан</v>
          </cell>
          <cell r="I2509">
            <v>13</v>
          </cell>
          <cell r="P2509">
            <v>1680.61</v>
          </cell>
          <cell r="Q2509">
            <v>298.79000000000002</v>
          </cell>
          <cell r="R2509">
            <v>206.2</v>
          </cell>
          <cell r="S2509">
            <v>27864.02</v>
          </cell>
          <cell r="U2509">
            <v>58.549491000000003</v>
          </cell>
          <cell r="X2509">
            <v>27864.02</v>
          </cell>
          <cell r="Y2509">
            <v>12538.81</v>
          </cell>
          <cell r="AC2509">
            <v>15.67</v>
          </cell>
          <cell r="AE2509">
            <v>0.61372499999999997</v>
          </cell>
          <cell r="AF2509">
            <v>82.905479999999997</v>
          </cell>
          <cell r="AL2509">
            <v>15.67</v>
          </cell>
          <cell r="AM2509">
            <v>1.49</v>
          </cell>
          <cell r="AN2509">
            <v>0.35</v>
          </cell>
          <cell r="AO2509">
            <v>47.28</v>
          </cell>
          <cell r="AQ2509">
            <v>4.0199999999999996</v>
          </cell>
          <cell r="AV2509">
            <v>1.0669999999999999</v>
          </cell>
          <cell r="AW2509">
            <v>1</v>
          </cell>
          <cell r="BA2509">
            <v>24.23</v>
          </cell>
          <cell r="BB2509">
            <v>9.9499999999999993</v>
          </cell>
          <cell r="BC2509">
            <v>8.25</v>
          </cell>
          <cell r="BI2509">
            <v>1</v>
          </cell>
          <cell r="BS2509">
            <v>24.23</v>
          </cell>
          <cell r="BZ2509">
            <v>100</v>
          </cell>
          <cell r="CA2509">
            <v>45</v>
          </cell>
          <cell r="DD2509"/>
          <cell r="DE2509" t="str">
            <v>)*1,05</v>
          </cell>
          <cell r="DG2509" t="str">
            <v>)*1,05)*1,67</v>
          </cell>
          <cell r="DI2509" t="str">
            <v>)*1,05</v>
          </cell>
          <cell r="DN2509">
            <v>125</v>
          </cell>
          <cell r="DO2509">
            <v>94</v>
          </cell>
          <cell r="ET2509">
            <v>1.49</v>
          </cell>
          <cell r="EU2509">
            <v>0.35</v>
          </cell>
        </row>
        <row r="2517">
          <cell r="E2517" t="str">
            <v>343</v>
          </cell>
          <cell r="F2517" t="str">
            <v>МКЭ-33-1005/8-1 от 26.07.2018г.</v>
          </cell>
          <cell r="H2517" t="str">
            <v>шт.</v>
          </cell>
          <cell r="I2517">
            <v>3</v>
          </cell>
          <cell r="X2517">
            <v>0</v>
          </cell>
          <cell r="Y2517">
            <v>0</v>
          </cell>
          <cell r="AE2517">
            <v>0</v>
          </cell>
          <cell r="AF2517">
            <v>0</v>
          </cell>
          <cell r="AV2517">
            <v>1</v>
          </cell>
          <cell r="BI2517">
            <v>1</v>
          </cell>
          <cell r="BS2517">
            <v>1</v>
          </cell>
          <cell r="DN2517">
            <v>0</v>
          </cell>
          <cell r="DO2517">
            <v>0</v>
          </cell>
        </row>
        <row r="2520">
          <cell r="AW2520">
            <v>1</v>
          </cell>
        </row>
        <row r="2521">
          <cell r="E2521" t="str">
            <v>345</v>
          </cell>
          <cell r="H2521" t="str">
            <v>шт.</v>
          </cell>
          <cell r="I2521">
            <v>1</v>
          </cell>
          <cell r="X2521">
            <v>0</v>
          </cell>
          <cell r="Y2521">
            <v>0</v>
          </cell>
          <cell r="AE2521">
            <v>0</v>
          </cell>
          <cell r="AF2521">
            <v>0</v>
          </cell>
          <cell r="AV2521">
            <v>1</v>
          </cell>
          <cell r="BI2521">
            <v>1</v>
          </cell>
          <cell r="BS2521">
            <v>1</v>
          </cell>
          <cell r="DN2521">
            <v>0</v>
          </cell>
          <cell r="DO2521">
            <v>0</v>
          </cell>
        </row>
        <row r="2522">
          <cell r="AW2522">
            <v>1</v>
          </cell>
        </row>
        <row r="2524">
          <cell r="AW2524">
            <v>1</v>
          </cell>
        </row>
        <row r="2525">
          <cell r="E2525" t="str">
            <v>347</v>
          </cell>
          <cell r="F2525" t="str">
            <v>МКЭ-28-2762/6-7  20.04.2017</v>
          </cell>
          <cell r="H2525" t="str">
            <v>шт.</v>
          </cell>
          <cell r="I2525">
            <v>2</v>
          </cell>
          <cell r="X2525">
            <v>0</v>
          </cell>
          <cell r="Y2525">
            <v>0</v>
          </cell>
          <cell r="AE2525">
            <v>0</v>
          </cell>
          <cell r="AF2525">
            <v>0</v>
          </cell>
          <cell r="AV2525">
            <v>1</v>
          </cell>
          <cell r="BI2525">
            <v>1</v>
          </cell>
          <cell r="BS2525">
            <v>1</v>
          </cell>
          <cell r="DN2525">
            <v>0</v>
          </cell>
          <cell r="DO2525">
            <v>0</v>
          </cell>
        </row>
        <row r="2526">
          <cell r="AW2526">
            <v>1</v>
          </cell>
        </row>
        <row r="2527">
          <cell r="E2527" t="str">
            <v>348</v>
          </cell>
          <cell r="F2527" t="str">
            <v>МКЭ-33-1005/8-1 от 26.07.2018г.</v>
          </cell>
          <cell r="H2527" t="str">
            <v>шт.</v>
          </cell>
          <cell r="I2527">
            <v>1</v>
          </cell>
          <cell r="X2527">
            <v>0</v>
          </cell>
          <cell r="Y2527">
            <v>0</v>
          </cell>
          <cell r="AE2527">
            <v>0</v>
          </cell>
          <cell r="AF2527">
            <v>0</v>
          </cell>
          <cell r="AV2527">
            <v>1</v>
          </cell>
          <cell r="BI2527">
            <v>1</v>
          </cell>
          <cell r="BS2527">
            <v>1</v>
          </cell>
          <cell r="DN2527">
            <v>0</v>
          </cell>
          <cell r="DO2527">
            <v>0</v>
          </cell>
        </row>
        <row r="2528">
          <cell r="AW2528">
            <v>1</v>
          </cell>
        </row>
        <row r="2530">
          <cell r="AW2530">
            <v>1</v>
          </cell>
        </row>
        <row r="2531">
          <cell r="E2531" t="str">
            <v>350</v>
          </cell>
          <cell r="F2531" t="str">
            <v>МКЭ-33-1005/8-1 от 26.07.2018г.</v>
          </cell>
          <cell r="H2531" t="str">
            <v>шт.</v>
          </cell>
          <cell r="I2531">
            <v>4</v>
          </cell>
          <cell r="X2531">
            <v>0</v>
          </cell>
          <cell r="Y2531">
            <v>0</v>
          </cell>
          <cell r="AE2531">
            <v>0</v>
          </cell>
          <cell r="AF2531">
            <v>0</v>
          </cell>
          <cell r="AV2531">
            <v>1</v>
          </cell>
          <cell r="BI2531">
            <v>1</v>
          </cell>
          <cell r="BS2531">
            <v>1</v>
          </cell>
          <cell r="DN2531">
            <v>0</v>
          </cell>
          <cell r="DO2531">
            <v>0</v>
          </cell>
        </row>
        <row r="2532">
          <cell r="AW2532">
            <v>1</v>
          </cell>
        </row>
        <row r="2539">
          <cell r="E2539" t="str">
            <v>354</v>
          </cell>
          <cell r="F2539" t="str">
            <v>МКЭ-33-1005/8-1 от 26.07.2018г.</v>
          </cell>
          <cell r="H2539" t="str">
            <v>шт.</v>
          </cell>
          <cell r="I2539">
            <v>1</v>
          </cell>
          <cell r="X2539">
            <v>0</v>
          </cell>
          <cell r="Y2539">
            <v>0</v>
          </cell>
          <cell r="AE2539">
            <v>0</v>
          </cell>
          <cell r="AF2539">
            <v>0</v>
          </cell>
          <cell r="AV2539">
            <v>1</v>
          </cell>
          <cell r="BI2539">
            <v>1</v>
          </cell>
          <cell r="BS2539">
            <v>1</v>
          </cell>
          <cell r="DN2539">
            <v>0</v>
          </cell>
          <cell r="DO2539">
            <v>0</v>
          </cell>
        </row>
        <row r="2543">
          <cell r="E2543" t="str">
            <v>356</v>
          </cell>
          <cell r="F2543" t="str">
            <v>МКЭ-33-1005/8-1 от 26.07.2018г.</v>
          </cell>
          <cell r="H2543" t="str">
            <v>шт.</v>
          </cell>
          <cell r="I2543">
            <v>1</v>
          </cell>
          <cell r="X2543">
            <v>0</v>
          </cell>
          <cell r="Y2543">
            <v>0</v>
          </cell>
          <cell r="AE2543">
            <v>0</v>
          </cell>
          <cell r="AF2543">
            <v>0</v>
          </cell>
          <cell r="AV2543">
            <v>1</v>
          </cell>
          <cell r="BI2543">
            <v>1</v>
          </cell>
          <cell r="BS2543">
            <v>1</v>
          </cell>
          <cell r="DN2543">
            <v>0</v>
          </cell>
          <cell r="DO2543">
            <v>0</v>
          </cell>
        </row>
        <row r="2551">
          <cell r="AW2551">
            <v>1</v>
          </cell>
        </row>
        <row r="2553">
          <cell r="AW2553">
            <v>1</v>
          </cell>
        </row>
        <row r="2559">
          <cell r="E2559" t="str">
            <v>364</v>
          </cell>
          <cell r="F2559" t="str">
            <v>3.20-11-16</v>
          </cell>
          <cell r="H2559" t="str">
            <v>1 клапан</v>
          </cell>
          <cell r="I2559">
            <v>2</v>
          </cell>
          <cell r="P2559">
            <v>355.51</v>
          </cell>
          <cell r="Q2559">
            <v>230.34</v>
          </cell>
          <cell r="R2559">
            <v>159.68</v>
          </cell>
          <cell r="S2559">
            <v>5747.36</v>
          </cell>
          <cell r="U2559">
            <v>12.234222000000001</v>
          </cell>
          <cell r="X2559">
            <v>5747.36</v>
          </cell>
          <cell r="Y2559">
            <v>2586.31</v>
          </cell>
          <cell r="AC2559">
            <v>24.35</v>
          </cell>
          <cell r="AE2559">
            <v>3.08616</v>
          </cell>
          <cell r="AF2559">
            <v>111.154365</v>
          </cell>
          <cell r="AL2559">
            <v>24.35</v>
          </cell>
          <cell r="AM2559">
            <v>7.44</v>
          </cell>
          <cell r="AN2559">
            <v>1.76</v>
          </cell>
          <cell r="AO2559">
            <v>63.39</v>
          </cell>
          <cell r="AQ2559">
            <v>5.46</v>
          </cell>
          <cell r="AV2559">
            <v>1.0669999999999999</v>
          </cell>
          <cell r="AW2559">
            <v>1</v>
          </cell>
          <cell r="BA2559">
            <v>24.23</v>
          </cell>
          <cell r="BB2559">
            <v>9.98</v>
          </cell>
          <cell r="BC2559">
            <v>7.3</v>
          </cell>
          <cell r="BI2559">
            <v>1</v>
          </cell>
          <cell r="BS2559">
            <v>24.23</v>
          </cell>
          <cell r="BZ2559">
            <v>100</v>
          </cell>
          <cell r="CA2559">
            <v>45</v>
          </cell>
          <cell r="DD2559"/>
          <cell r="DE2559" t="str">
            <v>)*1,05</v>
          </cell>
          <cell r="DG2559" t="str">
            <v>)*1,05)*1,67</v>
          </cell>
          <cell r="DI2559" t="str">
            <v>)*1,05</v>
          </cell>
          <cell r="DN2559">
            <v>125</v>
          </cell>
          <cell r="DO2559">
            <v>94</v>
          </cell>
          <cell r="ET2559">
            <v>7.44</v>
          </cell>
          <cell r="EU2559">
            <v>1.76</v>
          </cell>
        </row>
        <row r="2563">
          <cell r="E2563" t="str">
            <v>366</v>
          </cell>
          <cell r="F2563" t="str">
            <v>МКЭ-33-1714/7-1 от 14.09.2017г.</v>
          </cell>
          <cell r="H2563" t="str">
            <v>шт.</v>
          </cell>
          <cell r="I2563">
            <v>1</v>
          </cell>
          <cell r="X2563">
            <v>0</v>
          </cell>
          <cell r="Y2563">
            <v>0</v>
          </cell>
          <cell r="AE2563">
            <v>0</v>
          </cell>
          <cell r="AF2563">
            <v>0</v>
          </cell>
          <cell r="AV2563">
            <v>1</v>
          </cell>
          <cell r="BI2563">
            <v>1</v>
          </cell>
          <cell r="BS2563">
            <v>1</v>
          </cell>
          <cell r="DN2563">
            <v>0</v>
          </cell>
          <cell r="DO2563">
            <v>0</v>
          </cell>
        </row>
        <row r="2577">
          <cell r="E2577" t="str">
            <v>373</v>
          </cell>
          <cell r="F2577" t="str">
            <v>МКЭ-33-1714/7-1 от 14.09.2017г.</v>
          </cell>
          <cell r="H2577" t="str">
            <v>шт.</v>
          </cell>
          <cell r="I2577">
            <v>1</v>
          </cell>
          <cell r="X2577">
            <v>0</v>
          </cell>
          <cell r="Y2577">
            <v>0</v>
          </cell>
          <cell r="AE2577">
            <v>0</v>
          </cell>
          <cell r="AF2577">
            <v>0</v>
          </cell>
          <cell r="AV2577">
            <v>1</v>
          </cell>
          <cell r="BI2577">
            <v>1</v>
          </cell>
          <cell r="BS2577">
            <v>1</v>
          </cell>
          <cell r="DN2577">
            <v>0</v>
          </cell>
          <cell r="DO2577">
            <v>0</v>
          </cell>
        </row>
        <row r="2590">
          <cell r="AW2590">
            <v>1</v>
          </cell>
        </row>
        <row r="2599">
          <cell r="E2599" t="str">
            <v>384</v>
          </cell>
          <cell r="F2599" t="str">
            <v>3.20-11-15</v>
          </cell>
          <cell r="H2599" t="str">
            <v>1 клапан</v>
          </cell>
          <cell r="I2599">
            <v>1</v>
          </cell>
          <cell r="P2599">
            <v>129.28</v>
          </cell>
          <cell r="Q2599">
            <v>22.92</v>
          </cell>
          <cell r="R2599">
            <v>15.75</v>
          </cell>
          <cell r="S2599">
            <v>2143.39</v>
          </cell>
          <cell r="U2599">
            <v>4.5038070000000001</v>
          </cell>
          <cell r="X2599">
            <v>2143.39</v>
          </cell>
          <cell r="Y2599">
            <v>964.53</v>
          </cell>
          <cell r="AC2599">
            <v>15.67</v>
          </cell>
          <cell r="AE2599">
            <v>0.61372499999999997</v>
          </cell>
          <cell r="AF2599">
            <v>82.905479999999997</v>
          </cell>
          <cell r="AL2599">
            <v>15.67</v>
          </cell>
          <cell r="AM2599">
            <v>1.49</v>
          </cell>
          <cell r="AN2599">
            <v>0.35</v>
          </cell>
          <cell r="AO2599">
            <v>47.28</v>
          </cell>
          <cell r="AQ2599">
            <v>4.0199999999999996</v>
          </cell>
          <cell r="AV2599">
            <v>1.0669999999999999</v>
          </cell>
          <cell r="AW2599">
            <v>1</v>
          </cell>
          <cell r="BA2599">
            <v>24.23</v>
          </cell>
          <cell r="BB2599">
            <v>9.9499999999999993</v>
          </cell>
          <cell r="BC2599">
            <v>8.25</v>
          </cell>
          <cell r="BI2599">
            <v>1</v>
          </cell>
          <cell r="BS2599">
            <v>24.23</v>
          </cell>
          <cell r="BZ2599">
            <v>100</v>
          </cell>
          <cell r="CA2599">
            <v>45</v>
          </cell>
          <cell r="DD2599"/>
          <cell r="DE2599" t="str">
            <v>)*1,05</v>
          </cell>
          <cell r="DG2599" t="str">
            <v>)*1,05)*1,67</v>
          </cell>
          <cell r="DI2599" t="str">
            <v>)*1,05</v>
          </cell>
          <cell r="DN2599">
            <v>125</v>
          </cell>
          <cell r="DO2599">
            <v>94</v>
          </cell>
          <cell r="ET2599">
            <v>1.49</v>
          </cell>
          <cell r="EU2599">
            <v>0.35</v>
          </cell>
        </row>
        <row r="2605">
          <cell r="E2605" t="str">
            <v>384,3</v>
          </cell>
          <cell r="F2605" t="str">
            <v>МКЭ-28-1205/6-7  26.10.2016</v>
          </cell>
          <cell r="H2605" t="str">
            <v>шт.</v>
          </cell>
          <cell r="I2605">
            <v>1</v>
          </cell>
          <cell r="X2605">
            <v>0</v>
          </cell>
          <cell r="Y2605">
            <v>0</v>
          </cell>
          <cell r="AE2605">
            <v>0</v>
          </cell>
          <cell r="AF2605">
            <v>0</v>
          </cell>
          <cell r="AK2605">
            <v>5674.12</v>
          </cell>
          <cell r="AV2605">
            <v>1</v>
          </cell>
          <cell r="AW2605">
            <v>1</v>
          </cell>
          <cell r="BC2605">
            <v>5.58</v>
          </cell>
          <cell r="BI2605">
            <v>1</v>
          </cell>
          <cell r="BS2605">
            <v>1</v>
          </cell>
          <cell r="DN2605">
            <v>125</v>
          </cell>
          <cell r="DO2605">
            <v>94</v>
          </cell>
        </row>
        <row r="2615">
          <cell r="E2615" t="str">
            <v>388</v>
          </cell>
          <cell r="F2615" t="str">
            <v>3.20-11-16</v>
          </cell>
          <cell r="H2615" t="str">
            <v>1 клапан</v>
          </cell>
          <cell r="I2615">
            <v>1</v>
          </cell>
          <cell r="P2615">
            <v>177.76</v>
          </cell>
          <cell r="Q2615">
            <v>115.21</v>
          </cell>
          <cell r="R2615">
            <v>79.72</v>
          </cell>
          <cell r="S2615">
            <v>2873.68</v>
          </cell>
          <cell r="U2615">
            <v>6.1171110000000004</v>
          </cell>
          <cell r="X2615">
            <v>2873.68</v>
          </cell>
          <cell r="Y2615">
            <v>1293.1600000000001</v>
          </cell>
          <cell r="AC2615">
            <v>24.35</v>
          </cell>
          <cell r="AE2615">
            <v>3.08616</v>
          </cell>
          <cell r="AF2615">
            <v>111.154365</v>
          </cell>
          <cell r="AL2615">
            <v>24.35</v>
          </cell>
          <cell r="AM2615">
            <v>7.44</v>
          </cell>
          <cell r="AN2615">
            <v>1.76</v>
          </cell>
          <cell r="AO2615">
            <v>63.39</v>
          </cell>
          <cell r="AQ2615">
            <v>5.46</v>
          </cell>
          <cell r="AV2615">
            <v>1.0669999999999999</v>
          </cell>
          <cell r="AW2615">
            <v>1</v>
          </cell>
          <cell r="BA2615">
            <v>24.23</v>
          </cell>
          <cell r="BB2615">
            <v>9.98</v>
          </cell>
          <cell r="BC2615">
            <v>7.3</v>
          </cell>
          <cell r="BI2615">
            <v>1</v>
          </cell>
          <cell r="BS2615">
            <v>24.23</v>
          </cell>
          <cell r="BZ2615">
            <v>100</v>
          </cell>
          <cell r="CA2615">
            <v>45</v>
          </cell>
          <cell r="DD2615"/>
          <cell r="DE2615" t="str">
            <v>)*1,05</v>
          </cell>
          <cell r="DG2615" t="str">
            <v>)*1,05)*1,67</v>
          </cell>
          <cell r="DI2615" t="str">
            <v>)*1,05</v>
          </cell>
          <cell r="DN2615">
            <v>125</v>
          </cell>
          <cell r="DO2615">
            <v>94</v>
          </cell>
          <cell r="ET2615">
            <v>7.44</v>
          </cell>
          <cell r="EU2615">
            <v>1.76</v>
          </cell>
        </row>
        <row r="2619">
          <cell r="E2619" t="str">
            <v>390</v>
          </cell>
          <cell r="F2619" t="str">
            <v>МКЭ-28-2762/6-7  20.04.2017</v>
          </cell>
          <cell r="H2619" t="str">
            <v>шт.</v>
          </cell>
          <cell r="I2619">
            <v>1</v>
          </cell>
          <cell r="X2619">
            <v>0</v>
          </cell>
          <cell r="Y2619">
            <v>0</v>
          </cell>
          <cell r="AE2619">
            <v>0</v>
          </cell>
          <cell r="AF2619">
            <v>0</v>
          </cell>
          <cell r="AV2619">
            <v>1</v>
          </cell>
          <cell r="BI2619">
            <v>1</v>
          </cell>
          <cell r="BS2619">
            <v>1</v>
          </cell>
          <cell r="DN2619">
            <v>0</v>
          </cell>
          <cell r="DO2619">
            <v>0</v>
          </cell>
        </row>
        <row r="2689">
          <cell r="E2689" t="str">
            <v>424</v>
          </cell>
          <cell r="F2689" t="str">
            <v>1.19-10-1</v>
          </cell>
          <cell r="H2689" t="str">
            <v>шт.</v>
          </cell>
          <cell r="I2689">
            <v>8</v>
          </cell>
          <cell r="P2689">
            <v>5575.2</v>
          </cell>
          <cell r="X2689">
            <v>0</v>
          </cell>
          <cell r="Y2689">
            <v>0</v>
          </cell>
          <cell r="AC2689">
            <v>351.97</v>
          </cell>
          <cell r="AE2689">
            <v>0</v>
          </cell>
          <cell r="AF2689">
            <v>0</v>
          </cell>
          <cell r="AL2689">
            <v>351.97</v>
          </cell>
          <cell r="AV2689">
            <v>1</v>
          </cell>
          <cell r="AW2689">
            <v>1</v>
          </cell>
          <cell r="BC2689">
            <v>1.98</v>
          </cell>
          <cell r="BI2689">
            <v>1</v>
          </cell>
          <cell r="BS2689">
            <v>1</v>
          </cell>
          <cell r="DD2689"/>
          <cell r="DN2689">
            <v>0</v>
          </cell>
          <cell r="DO2689">
            <v>0</v>
          </cell>
        </row>
        <row r="2693">
          <cell r="E2693" t="str">
            <v>426</v>
          </cell>
          <cell r="F2693" t="str">
            <v>1.19-10-6</v>
          </cell>
          <cell r="H2693" t="str">
            <v>шт.</v>
          </cell>
          <cell r="I2693">
            <v>4</v>
          </cell>
          <cell r="P2693">
            <v>2596.98</v>
          </cell>
          <cell r="X2693">
            <v>0</v>
          </cell>
          <cell r="Y2693">
            <v>0</v>
          </cell>
          <cell r="AC2693">
            <v>388.77</v>
          </cell>
          <cell r="AE2693">
            <v>0</v>
          </cell>
          <cell r="AF2693">
            <v>0</v>
          </cell>
          <cell r="AL2693">
            <v>388.77</v>
          </cell>
          <cell r="AV2693">
            <v>1</v>
          </cell>
          <cell r="AW2693">
            <v>1</v>
          </cell>
          <cell r="BC2693">
            <v>1.67</v>
          </cell>
          <cell r="BI2693">
            <v>1</v>
          </cell>
          <cell r="BS2693">
            <v>1</v>
          </cell>
          <cell r="DD2693"/>
          <cell r="DN2693">
            <v>0</v>
          </cell>
          <cell r="DO2693">
            <v>0</v>
          </cell>
        </row>
        <row r="2695">
          <cell r="E2695" t="str">
            <v>427</v>
          </cell>
          <cell r="F2695" t="str">
            <v>1.19-10-7</v>
          </cell>
          <cell r="H2695" t="str">
            <v>шт.</v>
          </cell>
          <cell r="I2695">
            <v>12</v>
          </cell>
          <cell r="P2695">
            <v>16558.88</v>
          </cell>
          <cell r="X2695">
            <v>0</v>
          </cell>
          <cell r="Y2695">
            <v>0</v>
          </cell>
          <cell r="AC2695">
            <v>443.7</v>
          </cell>
          <cell r="AE2695">
            <v>0</v>
          </cell>
          <cell r="AF2695">
            <v>0</v>
          </cell>
          <cell r="AL2695">
            <v>443.7</v>
          </cell>
          <cell r="AV2695">
            <v>1</v>
          </cell>
          <cell r="AW2695">
            <v>1</v>
          </cell>
          <cell r="BC2695">
            <v>3.11</v>
          </cell>
          <cell r="BI2695">
            <v>1</v>
          </cell>
          <cell r="BS2695">
            <v>1</v>
          </cell>
          <cell r="DD2695"/>
          <cell r="DN2695">
            <v>0</v>
          </cell>
          <cell r="DO2695">
            <v>0</v>
          </cell>
        </row>
        <row r="2697">
          <cell r="E2697" t="str">
            <v>428</v>
          </cell>
          <cell r="F2697" t="str">
            <v>1.19-10-8</v>
          </cell>
          <cell r="H2697" t="str">
            <v>шт.</v>
          </cell>
          <cell r="I2697">
            <v>6</v>
          </cell>
          <cell r="P2697">
            <v>9585.98</v>
          </cell>
          <cell r="X2697">
            <v>0</v>
          </cell>
          <cell r="Y2697">
            <v>0</v>
          </cell>
          <cell r="AC2697">
            <v>654.78</v>
          </cell>
          <cell r="AE2697">
            <v>0</v>
          </cell>
          <cell r="AF2697">
            <v>0</v>
          </cell>
          <cell r="AL2697">
            <v>654.78</v>
          </cell>
          <cell r="AV2697">
            <v>1</v>
          </cell>
          <cell r="AW2697">
            <v>1</v>
          </cell>
          <cell r="BC2697">
            <v>2.44</v>
          </cell>
          <cell r="BI2697">
            <v>1</v>
          </cell>
          <cell r="BS2697">
            <v>1</v>
          </cell>
          <cell r="DD2697"/>
          <cell r="DN2697">
            <v>0</v>
          </cell>
          <cell r="DO2697">
            <v>0</v>
          </cell>
        </row>
        <row r="2701">
          <cell r="E2701" t="str">
            <v>430</v>
          </cell>
          <cell r="F2701" t="str">
            <v>1.19-10-10</v>
          </cell>
          <cell r="H2701" t="str">
            <v>шт.</v>
          </cell>
          <cell r="I2701">
            <v>7</v>
          </cell>
          <cell r="P2701">
            <v>21638.639999999999</v>
          </cell>
          <cell r="X2701">
            <v>0</v>
          </cell>
          <cell r="Y2701">
            <v>0</v>
          </cell>
          <cell r="AC2701">
            <v>1051.44</v>
          </cell>
          <cell r="AE2701">
            <v>0</v>
          </cell>
          <cell r="AF2701">
            <v>0</v>
          </cell>
          <cell r="AL2701">
            <v>1051.44</v>
          </cell>
          <cell r="AV2701">
            <v>1</v>
          </cell>
          <cell r="AW2701">
            <v>1</v>
          </cell>
          <cell r="BC2701">
            <v>2.94</v>
          </cell>
          <cell r="BI2701">
            <v>1</v>
          </cell>
          <cell r="BS2701">
            <v>1</v>
          </cell>
          <cell r="DD2701"/>
          <cell r="DN2701">
            <v>0</v>
          </cell>
          <cell r="DO2701">
            <v>0</v>
          </cell>
        </row>
        <row r="2703">
          <cell r="E2703" t="str">
            <v>431</v>
          </cell>
          <cell r="F2703" t="str">
            <v>3.20-1-1</v>
          </cell>
          <cell r="H2703" t="str">
            <v>100 м2 поверхности воздуховодов</v>
          </cell>
          <cell r="I2703">
            <v>0.1114</v>
          </cell>
          <cell r="P2703">
            <v>203.68</v>
          </cell>
          <cell r="Q2703">
            <v>199.48</v>
          </cell>
          <cell r="R2703">
            <v>94.25</v>
          </cell>
          <cell r="S2703">
            <v>8384.7900000000009</v>
          </cell>
          <cell r="U2703">
            <v>18.305025199999999</v>
          </cell>
          <cell r="X2703">
            <v>8384.7900000000009</v>
          </cell>
          <cell r="Y2703">
            <v>3773.16</v>
          </cell>
          <cell r="AC2703">
            <v>499.52</v>
          </cell>
          <cell r="AE2703">
            <v>32.698599999999999</v>
          </cell>
          <cell r="AF2703">
            <v>2911.2775999999999</v>
          </cell>
          <cell r="AL2703">
            <v>499.52</v>
          </cell>
          <cell r="AM2703">
            <v>158.18</v>
          </cell>
          <cell r="AN2703">
            <v>19.579999999999998</v>
          </cell>
          <cell r="AO2703">
            <v>1743.28</v>
          </cell>
          <cell r="AQ2703">
            <v>154</v>
          </cell>
          <cell r="AV2703">
            <v>1.0669999999999999</v>
          </cell>
          <cell r="AW2703">
            <v>1</v>
          </cell>
          <cell r="BA2703">
            <v>24.23</v>
          </cell>
          <cell r="BB2703">
            <v>8.6</v>
          </cell>
          <cell r="BC2703">
            <v>3.66</v>
          </cell>
          <cell r="BI2703">
            <v>1</v>
          </cell>
          <cell r="BS2703">
            <v>24.23</v>
          </cell>
          <cell r="BZ2703">
            <v>100</v>
          </cell>
          <cell r="CA2703">
            <v>45</v>
          </cell>
          <cell r="DD2703"/>
          <cell r="DE2703"/>
          <cell r="DG2703" t="str">
            <v>)*1,67</v>
          </cell>
          <cell r="DI2703"/>
          <cell r="DN2703">
            <v>125</v>
          </cell>
          <cell r="DO2703">
            <v>94</v>
          </cell>
          <cell r="ET2703">
            <v>158.18</v>
          </cell>
          <cell r="EU2703">
            <v>19.579999999999998</v>
          </cell>
        </row>
        <row r="2705">
          <cell r="E2705" t="str">
            <v>431,1</v>
          </cell>
          <cell r="F2705" t="str">
            <v>1.19-3-5</v>
          </cell>
          <cell r="H2705" t="str">
            <v>м2</v>
          </cell>
          <cell r="I2705">
            <v>11.14</v>
          </cell>
          <cell r="O2705">
            <v>3471.75</v>
          </cell>
          <cell r="X2705">
            <v>0</v>
          </cell>
          <cell r="Y2705">
            <v>0</v>
          </cell>
          <cell r="AC2705">
            <v>147.69999999999999</v>
          </cell>
          <cell r="AE2705">
            <v>0</v>
          </cell>
          <cell r="AF2705">
            <v>0</v>
          </cell>
          <cell r="AK2705">
            <v>147.69999999999999</v>
          </cell>
          <cell r="AV2705">
            <v>1</v>
          </cell>
          <cell r="AW2705">
            <v>1</v>
          </cell>
          <cell r="BC2705">
            <v>2.11</v>
          </cell>
          <cell r="BI2705">
            <v>1</v>
          </cell>
          <cell r="BS2705">
            <v>1</v>
          </cell>
          <cell r="DN2705">
            <v>125</v>
          </cell>
          <cell r="DO2705">
            <v>94</v>
          </cell>
          <cell r="ET2705">
            <v>0</v>
          </cell>
          <cell r="EU2705">
            <v>0</v>
          </cell>
        </row>
        <row r="2707">
          <cell r="E2707" t="str">
            <v>432</v>
          </cell>
          <cell r="F2707" t="str">
            <v>3.20-1-4</v>
          </cell>
          <cell r="H2707" t="str">
            <v>100 м2 поверхности воздуховодов</v>
          </cell>
          <cell r="I2707">
            <v>0.1191</v>
          </cell>
          <cell r="P2707">
            <v>217.73</v>
          </cell>
          <cell r="Q2707">
            <v>214.43</v>
          </cell>
          <cell r="R2707">
            <v>101.52</v>
          </cell>
          <cell r="S2707">
            <v>8964.1299999999992</v>
          </cell>
          <cell r="U2707">
            <v>19.570273799999999</v>
          </cell>
          <cell r="X2707">
            <v>8964.1299999999992</v>
          </cell>
          <cell r="Y2707">
            <v>4033.86</v>
          </cell>
          <cell r="AC2707">
            <v>499.52</v>
          </cell>
          <cell r="AE2707">
            <v>32.949100000000001</v>
          </cell>
          <cell r="AF2707">
            <v>2911.2775999999999</v>
          </cell>
          <cell r="AL2707">
            <v>499.52</v>
          </cell>
          <cell r="AM2707">
            <v>158.94999999999999</v>
          </cell>
          <cell r="AN2707">
            <v>19.73</v>
          </cell>
          <cell r="AO2707">
            <v>1743.28</v>
          </cell>
          <cell r="AQ2707">
            <v>154</v>
          </cell>
          <cell r="AV2707">
            <v>1.0669999999999999</v>
          </cell>
          <cell r="AW2707">
            <v>1</v>
          </cell>
          <cell r="BA2707">
            <v>24.23</v>
          </cell>
          <cell r="BB2707">
            <v>8.6</v>
          </cell>
          <cell r="BC2707">
            <v>3.66</v>
          </cell>
          <cell r="BI2707">
            <v>1</v>
          </cell>
          <cell r="BS2707">
            <v>24.23</v>
          </cell>
          <cell r="BZ2707">
            <v>100</v>
          </cell>
          <cell r="CA2707">
            <v>45</v>
          </cell>
          <cell r="DD2707"/>
          <cell r="DE2707"/>
          <cell r="DG2707" t="str">
            <v>)*1,67</v>
          </cell>
          <cell r="DI2707"/>
          <cell r="DN2707">
            <v>125</v>
          </cell>
          <cell r="DO2707">
            <v>94</v>
          </cell>
          <cell r="ET2707">
            <v>158.94999999999999</v>
          </cell>
          <cell r="EU2707">
            <v>19.73</v>
          </cell>
        </row>
        <row r="2709">
          <cell r="E2709" t="str">
            <v>432,1</v>
          </cell>
          <cell r="F2709" t="str">
            <v>1.19-3-6</v>
          </cell>
          <cell r="H2709" t="str">
            <v>м2</v>
          </cell>
          <cell r="I2709">
            <v>11.91</v>
          </cell>
          <cell r="O2709">
            <v>4627.8100000000004</v>
          </cell>
          <cell r="X2709">
            <v>0</v>
          </cell>
          <cell r="Y2709">
            <v>0</v>
          </cell>
          <cell r="AC2709">
            <v>156.05000000000001</v>
          </cell>
          <cell r="AE2709">
            <v>0</v>
          </cell>
          <cell r="AF2709">
            <v>0</v>
          </cell>
          <cell r="AK2709">
            <v>156.05000000000001</v>
          </cell>
          <cell r="AV2709">
            <v>1</v>
          </cell>
          <cell r="AW2709">
            <v>1</v>
          </cell>
          <cell r="BC2709">
            <v>2.4900000000000002</v>
          </cell>
          <cell r="BI2709">
            <v>1</v>
          </cell>
          <cell r="BS2709">
            <v>1</v>
          </cell>
          <cell r="DN2709">
            <v>125</v>
          </cell>
          <cell r="DO2709">
            <v>94</v>
          </cell>
          <cell r="ET2709">
            <v>0</v>
          </cell>
          <cell r="EU2709">
            <v>0</v>
          </cell>
        </row>
        <row r="2711">
          <cell r="E2711" t="str">
            <v>433</v>
          </cell>
          <cell r="F2711" t="str">
            <v>3.20-1-2</v>
          </cell>
          <cell r="H2711" t="str">
            <v>100 м2 поверхности воздуховодов</v>
          </cell>
          <cell r="I2711">
            <v>0.17100000000000001</v>
          </cell>
          <cell r="P2711">
            <v>312.64</v>
          </cell>
          <cell r="Q2711">
            <v>306.11</v>
          </cell>
          <cell r="R2711">
            <v>144.65</v>
          </cell>
          <cell r="S2711">
            <v>12870.49</v>
          </cell>
          <cell r="U2711">
            <v>28.098378</v>
          </cell>
          <cell r="X2711">
            <v>12870.49</v>
          </cell>
          <cell r="Y2711">
            <v>5791.72</v>
          </cell>
          <cell r="AC2711">
            <v>499.52</v>
          </cell>
          <cell r="AE2711">
            <v>32.698599999999999</v>
          </cell>
          <cell r="AF2711">
            <v>2911.2775999999999</v>
          </cell>
          <cell r="AL2711">
            <v>499.52</v>
          </cell>
          <cell r="AM2711">
            <v>158.18</v>
          </cell>
          <cell r="AN2711">
            <v>19.579999999999998</v>
          </cell>
          <cell r="AO2711">
            <v>1743.28</v>
          </cell>
          <cell r="AQ2711">
            <v>154</v>
          </cell>
          <cell r="AV2711">
            <v>1.0669999999999999</v>
          </cell>
          <cell r="AW2711">
            <v>1</v>
          </cell>
          <cell r="BA2711">
            <v>24.23</v>
          </cell>
          <cell r="BB2711">
            <v>8.6</v>
          </cell>
          <cell r="BC2711">
            <v>3.66</v>
          </cell>
          <cell r="BI2711">
            <v>1</v>
          </cell>
          <cell r="BS2711">
            <v>24.23</v>
          </cell>
          <cell r="BZ2711">
            <v>100</v>
          </cell>
          <cell r="CA2711">
            <v>45</v>
          </cell>
          <cell r="DD2711"/>
          <cell r="DE2711"/>
          <cell r="DG2711" t="str">
            <v>)*1,67</v>
          </cell>
          <cell r="DI2711"/>
          <cell r="DN2711">
            <v>125</v>
          </cell>
          <cell r="DO2711">
            <v>94</v>
          </cell>
          <cell r="ET2711">
            <v>158.18</v>
          </cell>
          <cell r="EU2711">
            <v>19.579999999999998</v>
          </cell>
        </row>
        <row r="2713">
          <cell r="E2713" t="str">
            <v>433,1</v>
          </cell>
          <cell r="F2713" t="str">
            <v>1.19-3-12</v>
          </cell>
          <cell r="H2713" t="str">
            <v>м2</v>
          </cell>
          <cell r="I2713">
            <v>17.100000000000001</v>
          </cell>
          <cell r="O2713">
            <v>8250.01</v>
          </cell>
          <cell r="X2713">
            <v>0</v>
          </cell>
          <cell r="Y2713">
            <v>0</v>
          </cell>
          <cell r="AC2713">
            <v>125.64</v>
          </cell>
          <cell r="AE2713">
            <v>0</v>
          </cell>
          <cell r="AF2713">
            <v>0</v>
          </cell>
          <cell r="AK2713">
            <v>125.64</v>
          </cell>
          <cell r="AV2713">
            <v>1</v>
          </cell>
          <cell r="AW2713">
            <v>1</v>
          </cell>
          <cell r="BC2713">
            <v>3.84</v>
          </cell>
          <cell r="BI2713">
            <v>1</v>
          </cell>
          <cell r="BS2713">
            <v>1</v>
          </cell>
          <cell r="DN2713">
            <v>125</v>
          </cell>
          <cell r="DO2713">
            <v>94</v>
          </cell>
          <cell r="ET2713">
            <v>0</v>
          </cell>
          <cell r="EU2713">
            <v>0</v>
          </cell>
        </row>
        <row r="2715">
          <cell r="E2715" t="str">
            <v>434</v>
          </cell>
          <cell r="F2715" t="str">
            <v>3.20-1-3</v>
          </cell>
          <cell r="H2715" t="str">
            <v>100 м2 поверхности воздуховодов</v>
          </cell>
          <cell r="I2715">
            <v>0.27529999999999999</v>
          </cell>
          <cell r="P2715">
            <v>501.58</v>
          </cell>
          <cell r="Q2715">
            <v>391.4</v>
          </cell>
          <cell r="R2715">
            <v>183.42</v>
          </cell>
          <cell r="S2715">
            <v>18971.61</v>
          </cell>
          <cell r="U2715">
            <v>41.418059100000001</v>
          </cell>
          <cell r="X2715">
            <v>18971.61</v>
          </cell>
          <cell r="Y2715">
            <v>8537.2199999999993</v>
          </cell>
          <cell r="AC2715">
            <v>499.17</v>
          </cell>
          <cell r="AE2715">
            <v>25.7681</v>
          </cell>
          <cell r="AF2715">
            <v>2665.5203999999999</v>
          </cell>
          <cell r="AL2715">
            <v>499.17</v>
          </cell>
          <cell r="AM2715">
            <v>125.93</v>
          </cell>
          <cell r="AN2715">
            <v>15.43</v>
          </cell>
          <cell r="AO2715">
            <v>1596.12</v>
          </cell>
          <cell r="AQ2715">
            <v>141</v>
          </cell>
          <cell r="AV2715">
            <v>1.0669999999999999</v>
          </cell>
          <cell r="AW2715">
            <v>1</v>
          </cell>
          <cell r="BA2715">
            <v>24.23</v>
          </cell>
          <cell r="BB2715">
            <v>8.59</v>
          </cell>
          <cell r="BC2715">
            <v>3.65</v>
          </cell>
          <cell r="BI2715">
            <v>1</v>
          </cell>
          <cell r="BS2715">
            <v>24.23</v>
          </cell>
          <cell r="BZ2715">
            <v>100</v>
          </cell>
          <cell r="CA2715">
            <v>45</v>
          </cell>
          <cell r="DD2715"/>
          <cell r="DE2715"/>
          <cell r="DG2715" t="str">
            <v>)*1,67</v>
          </cell>
          <cell r="DI2715"/>
          <cell r="DN2715">
            <v>125</v>
          </cell>
          <cell r="DO2715">
            <v>94</v>
          </cell>
          <cell r="ET2715">
            <v>125.93</v>
          </cell>
          <cell r="EU2715">
            <v>15.43</v>
          </cell>
        </row>
        <row r="2717">
          <cell r="E2717" t="str">
            <v>434,1</v>
          </cell>
          <cell r="F2717" t="str">
            <v>1.19-3-12</v>
          </cell>
          <cell r="H2717" t="str">
            <v>м2</v>
          </cell>
          <cell r="I2717">
            <v>27.53</v>
          </cell>
          <cell r="O2717">
            <v>13282.06</v>
          </cell>
          <cell r="X2717">
            <v>0</v>
          </cell>
          <cell r="Y2717">
            <v>0</v>
          </cell>
          <cell r="AC2717">
            <v>125.64</v>
          </cell>
          <cell r="AE2717">
            <v>0</v>
          </cell>
          <cell r="AF2717">
            <v>0</v>
          </cell>
          <cell r="AK2717">
            <v>125.64</v>
          </cell>
          <cell r="AV2717">
            <v>1</v>
          </cell>
          <cell r="AW2717">
            <v>1</v>
          </cell>
          <cell r="BC2717">
            <v>3.84</v>
          </cell>
          <cell r="BI2717">
            <v>1</v>
          </cell>
          <cell r="BS2717">
            <v>1</v>
          </cell>
          <cell r="DN2717">
            <v>125</v>
          </cell>
          <cell r="DO2717">
            <v>94</v>
          </cell>
          <cell r="ET2717">
            <v>0</v>
          </cell>
          <cell r="EU2717">
            <v>0</v>
          </cell>
        </row>
        <row r="2719">
          <cell r="E2719" t="str">
            <v>435</v>
          </cell>
          <cell r="F2719" t="str">
            <v>3.20-1-5</v>
          </cell>
          <cell r="H2719" t="str">
            <v>100 м2 поверхности воздуховодов</v>
          </cell>
          <cell r="I2719">
            <v>1.4E-2</v>
          </cell>
          <cell r="P2719">
            <v>21.26</v>
          </cell>
          <cell r="Q2719">
            <v>20.37</v>
          </cell>
          <cell r="R2719">
            <v>9.4499999999999993</v>
          </cell>
          <cell r="S2719">
            <v>964.84</v>
          </cell>
          <cell r="U2719">
            <v>2.106258</v>
          </cell>
          <cell r="X2719">
            <v>964.84</v>
          </cell>
          <cell r="Y2719">
            <v>434.18</v>
          </cell>
          <cell r="AC2719">
            <v>427.67</v>
          </cell>
          <cell r="AE2719">
            <v>26.302499999999998</v>
          </cell>
          <cell r="AF2719">
            <v>2665.5203999999999</v>
          </cell>
          <cell r="AL2719">
            <v>427.67</v>
          </cell>
          <cell r="AM2719">
            <v>128.62</v>
          </cell>
          <cell r="AN2719">
            <v>15.75</v>
          </cell>
          <cell r="AO2719">
            <v>1596.12</v>
          </cell>
          <cell r="AQ2719">
            <v>141</v>
          </cell>
          <cell r="AV2719">
            <v>1.0669999999999999</v>
          </cell>
          <cell r="AW2719">
            <v>1</v>
          </cell>
          <cell r="BA2719">
            <v>24.23</v>
          </cell>
          <cell r="BB2719">
            <v>8.59</v>
          </cell>
          <cell r="BC2719">
            <v>3.55</v>
          </cell>
          <cell r="BI2719">
            <v>1</v>
          </cell>
          <cell r="BS2719">
            <v>24.23</v>
          </cell>
          <cell r="BZ2719">
            <v>100</v>
          </cell>
          <cell r="CA2719">
            <v>45</v>
          </cell>
          <cell r="DD2719"/>
          <cell r="DE2719"/>
          <cell r="DG2719" t="str">
            <v>)*1,67</v>
          </cell>
          <cell r="DI2719"/>
          <cell r="DN2719">
            <v>125</v>
          </cell>
          <cell r="DO2719">
            <v>94</v>
          </cell>
          <cell r="ET2719">
            <v>128.62</v>
          </cell>
          <cell r="EU2719">
            <v>15.75</v>
          </cell>
        </row>
        <row r="2721">
          <cell r="E2721" t="str">
            <v>435,1</v>
          </cell>
          <cell r="F2721" t="str">
            <v>1.19-3-6</v>
          </cell>
          <cell r="H2721" t="str">
            <v>м2</v>
          </cell>
          <cell r="I2721">
            <v>1.4</v>
          </cell>
          <cell r="O2721">
            <v>543.99</v>
          </cell>
          <cell r="X2721">
            <v>0</v>
          </cell>
          <cell r="Y2721">
            <v>0</v>
          </cell>
          <cell r="AC2721">
            <v>156.05000000000001</v>
          </cell>
          <cell r="AE2721">
            <v>0</v>
          </cell>
          <cell r="AF2721">
            <v>0</v>
          </cell>
          <cell r="AK2721">
            <v>156.05000000000001</v>
          </cell>
          <cell r="AV2721">
            <v>1</v>
          </cell>
          <cell r="AW2721">
            <v>1</v>
          </cell>
          <cell r="BC2721">
            <v>2.4900000000000002</v>
          </cell>
          <cell r="BI2721">
            <v>1</v>
          </cell>
          <cell r="BS2721">
            <v>1</v>
          </cell>
          <cell r="DN2721">
            <v>125</v>
          </cell>
          <cell r="DO2721">
            <v>94</v>
          </cell>
          <cell r="ET2721">
            <v>0</v>
          </cell>
          <cell r="EU2721">
            <v>0</v>
          </cell>
        </row>
        <row r="2735">
          <cell r="E2735" t="str">
            <v>439</v>
          </cell>
          <cell r="F2735" t="str">
            <v>3.20-1-10</v>
          </cell>
          <cell r="H2735" t="str">
            <v>100 м2 поверхности воздуховодов</v>
          </cell>
          <cell r="I2735">
            <v>0.55100000000000005</v>
          </cell>
          <cell r="P2735">
            <v>1381.28</v>
          </cell>
          <cell r="Q2735">
            <v>725.77</v>
          </cell>
          <cell r="R2735">
            <v>339.95</v>
          </cell>
          <cell r="S2735">
            <v>32854.18</v>
          </cell>
          <cell r="U2735">
            <v>71.725874000000005</v>
          </cell>
          <cell r="X2735">
            <v>32854.18</v>
          </cell>
          <cell r="Y2735">
            <v>14784.38</v>
          </cell>
          <cell r="AC2735">
            <v>599.72</v>
          </cell>
          <cell r="AE2735">
            <v>23.8643</v>
          </cell>
          <cell r="AF2735">
            <v>2306.3368</v>
          </cell>
          <cell r="AL2735">
            <v>599.72</v>
          </cell>
          <cell r="AM2735">
            <v>116.7</v>
          </cell>
          <cell r="AN2735">
            <v>14.29</v>
          </cell>
          <cell r="AO2735">
            <v>1381.04</v>
          </cell>
          <cell r="AQ2735">
            <v>122</v>
          </cell>
          <cell r="AV2735">
            <v>1.0669999999999999</v>
          </cell>
          <cell r="AW2735">
            <v>1</v>
          </cell>
          <cell r="BA2735">
            <v>24.23</v>
          </cell>
          <cell r="BB2735">
            <v>8.59</v>
          </cell>
          <cell r="BC2735">
            <v>4.18</v>
          </cell>
          <cell r="BI2735">
            <v>1</v>
          </cell>
          <cell r="BS2735">
            <v>24.23</v>
          </cell>
          <cell r="BZ2735">
            <v>100</v>
          </cell>
          <cell r="CA2735">
            <v>45</v>
          </cell>
          <cell r="DD2735"/>
          <cell r="DE2735"/>
          <cell r="DG2735" t="str">
            <v>)*1,67</v>
          </cell>
          <cell r="DI2735"/>
          <cell r="DN2735">
            <v>125</v>
          </cell>
          <cell r="DO2735">
            <v>94</v>
          </cell>
          <cell r="ET2735">
            <v>116.7</v>
          </cell>
          <cell r="EU2735">
            <v>14.29</v>
          </cell>
        </row>
        <row r="2737">
          <cell r="E2737" t="str">
            <v>440</v>
          </cell>
          <cell r="F2737" t="str">
            <v>1.19-3-12</v>
          </cell>
          <cell r="H2737" t="str">
            <v>м2</v>
          </cell>
          <cell r="I2737">
            <v>13.14</v>
          </cell>
          <cell r="P2737">
            <v>6339.49</v>
          </cell>
          <cell r="X2737">
            <v>0</v>
          </cell>
          <cell r="Y2737">
            <v>0</v>
          </cell>
          <cell r="AC2737">
            <v>125.64</v>
          </cell>
          <cell r="AE2737">
            <v>0</v>
          </cell>
          <cell r="AF2737">
            <v>0</v>
          </cell>
          <cell r="AL2737">
            <v>125.64</v>
          </cell>
          <cell r="AV2737">
            <v>1</v>
          </cell>
          <cell r="AW2737">
            <v>1</v>
          </cell>
          <cell r="BC2737">
            <v>3.84</v>
          </cell>
          <cell r="BI2737">
            <v>1</v>
          </cell>
          <cell r="BS2737">
            <v>1</v>
          </cell>
          <cell r="DD2737"/>
          <cell r="DN2737">
            <v>0</v>
          </cell>
          <cell r="DO2737">
            <v>0</v>
          </cell>
        </row>
        <row r="2739">
          <cell r="E2739" t="str">
            <v>441</v>
          </cell>
          <cell r="F2739" t="str">
            <v>1.19-3-13</v>
          </cell>
          <cell r="H2739" t="str">
            <v>м2</v>
          </cell>
          <cell r="I2739">
            <v>41.96</v>
          </cell>
          <cell r="P2739">
            <v>20293.87</v>
          </cell>
          <cell r="X2739">
            <v>0</v>
          </cell>
          <cell r="Y2739">
            <v>0</v>
          </cell>
          <cell r="AC2739">
            <v>157.54</v>
          </cell>
          <cell r="AE2739">
            <v>0</v>
          </cell>
          <cell r="AF2739">
            <v>0</v>
          </cell>
          <cell r="AL2739">
            <v>157.54</v>
          </cell>
          <cell r="AV2739">
            <v>1</v>
          </cell>
          <cell r="AW2739">
            <v>1</v>
          </cell>
          <cell r="BC2739">
            <v>3.07</v>
          </cell>
          <cell r="BI2739">
            <v>1</v>
          </cell>
          <cell r="BS2739">
            <v>1</v>
          </cell>
          <cell r="DD2739"/>
          <cell r="DN2739">
            <v>0</v>
          </cell>
          <cell r="DO2739">
            <v>0</v>
          </cell>
        </row>
        <row r="2741">
          <cell r="E2741" t="str">
            <v>442</v>
          </cell>
          <cell r="F2741" t="str">
            <v>3.20-1-11</v>
          </cell>
          <cell r="H2741" t="str">
            <v>100 м2 поверхности воздуховодов</v>
          </cell>
          <cell r="I2741">
            <v>0.3422</v>
          </cell>
          <cell r="P2741">
            <v>464.06</v>
          </cell>
          <cell r="Q2741">
            <v>338.08</v>
          </cell>
          <cell r="R2741">
            <v>157.97999999999999</v>
          </cell>
          <cell r="S2741">
            <v>15353.34</v>
          </cell>
          <cell r="U2741">
            <v>33.518695319999999</v>
          </cell>
          <cell r="X2741">
            <v>15353.34</v>
          </cell>
          <cell r="Y2741">
            <v>6909</v>
          </cell>
          <cell r="AC2741">
            <v>409.71</v>
          </cell>
          <cell r="AE2741">
            <v>17.8523</v>
          </cell>
          <cell r="AF2741">
            <v>1735.4305999999999</v>
          </cell>
          <cell r="AL2741">
            <v>409.71</v>
          </cell>
          <cell r="AM2741">
            <v>87.46</v>
          </cell>
          <cell r="AN2741">
            <v>10.69</v>
          </cell>
          <cell r="AO2741">
            <v>1039.18</v>
          </cell>
          <cell r="AQ2741">
            <v>91.8</v>
          </cell>
          <cell r="AV2741">
            <v>1.0669999999999999</v>
          </cell>
          <cell r="AW2741">
            <v>1</v>
          </cell>
          <cell r="BA2741">
            <v>24.23</v>
          </cell>
          <cell r="BB2741">
            <v>8.6</v>
          </cell>
          <cell r="BC2741">
            <v>3.31</v>
          </cell>
          <cell r="BI2741">
            <v>1</v>
          </cell>
          <cell r="BS2741">
            <v>24.23</v>
          </cell>
          <cell r="BZ2741">
            <v>100</v>
          </cell>
          <cell r="CA2741">
            <v>45</v>
          </cell>
          <cell r="DD2741"/>
          <cell r="DE2741"/>
          <cell r="DG2741" t="str">
            <v>)*1,67</v>
          </cell>
          <cell r="DI2741"/>
          <cell r="DN2741">
            <v>125</v>
          </cell>
          <cell r="DO2741">
            <v>94</v>
          </cell>
          <cell r="ET2741">
            <v>87.46</v>
          </cell>
          <cell r="EU2741">
            <v>10.69</v>
          </cell>
        </row>
        <row r="2743">
          <cell r="E2743" t="str">
            <v>442,1</v>
          </cell>
          <cell r="F2743" t="str">
            <v>1.19-3-13</v>
          </cell>
          <cell r="H2743" t="str">
            <v>м2</v>
          </cell>
          <cell r="I2743">
            <v>34.22</v>
          </cell>
          <cell r="O2743">
            <v>16550.43</v>
          </cell>
          <cell r="X2743">
            <v>0</v>
          </cell>
          <cell r="Y2743">
            <v>0</v>
          </cell>
          <cell r="AC2743">
            <v>157.54</v>
          </cell>
          <cell r="AE2743">
            <v>0</v>
          </cell>
          <cell r="AF2743">
            <v>0</v>
          </cell>
          <cell r="AK2743">
            <v>157.54</v>
          </cell>
          <cell r="AV2743">
            <v>1</v>
          </cell>
          <cell r="AW2743">
            <v>1</v>
          </cell>
          <cell r="BC2743">
            <v>3.07</v>
          </cell>
          <cell r="BI2743">
            <v>1</v>
          </cell>
          <cell r="BS2743">
            <v>1</v>
          </cell>
          <cell r="DN2743">
            <v>125</v>
          </cell>
          <cell r="DO2743">
            <v>94</v>
          </cell>
          <cell r="ET2743">
            <v>0</v>
          </cell>
          <cell r="EU2743">
            <v>0</v>
          </cell>
        </row>
        <row r="2745">
          <cell r="E2745" t="str">
            <v>443</v>
          </cell>
          <cell r="F2745" t="str">
            <v>3.20-1-12</v>
          </cell>
          <cell r="H2745" t="str">
            <v>100 м2 поверхности воздуховодов</v>
          </cell>
          <cell r="I2745">
            <v>0.12920000000000001</v>
          </cell>
          <cell r="P2745">
            <v>248.49</v>
          </cell>
          <cell r="Q2745">
            <v>135.52000000000001</v>
          </cell>
          <cell r="R2745">
            <v>63.24</v>
          </cell>
          <cell r="S2745">
            <v>4685.3599999999997</v>
          </cell>
          <cell r="U2745">
            <v>10.22894488</v>
          </cell>
          <cell r="X2745">
            <v>4685.3599999999997</v>
          </cell>
          <cell r="Y2745">
            <v>2108.41</v>
          </cell>
          <cell r="AC2745">
            <v>490.65</v>
          </cell>
          <cell r="AE2745">
            <v>18.937799999999999</v>
          </cell>
          <cell r="AF2745">
            <v>1402.6998000000001</v>
          </cell>
          <cell r="AL2745">
            <v>490.65</v>
          </cell>
          <cell r="AM2745">
            <v>92.82</v>
          </cell>
          <cell r="AN2745">
            <v>11.34</v>
          </cell>
          <cell r="AO2745">
            <v>839.94</v>
          </cell>
          <cell r="AQ2745">
            <v>74.2</v>
          </cell>
          <cell r="AV2745">
            <v>1.0669999999999999</v>
          </cell>
          <cell r="AW2745">
            <v>1</v>
          </cell>
          <cell r="BA2745">
            <v>24.23</v>
          </cell>
          <cell r="BB2745">
            <v>8.6</v>
          </cell>
          <cell r="BC2745">
            <v>3.92</v>
          </cell>
          <cell r="BI2745">
            <v>1</v>
          </cell>
          <cell r="BS2745">
            <v>24.23</v>
          </cell>
          <cell r="BZ2745">
            <v>100</v>
          </cell>
          <cell r="CA2745">
            <v>45</v>
          </cell>
          <cell r="DD2745"/>
          <cell r="DE2745"/>
          <cell r="DG2745" t="str">
            <v>)*1,67</v>
          </cell>
          <cell r="DI2745"/>
          <cell r="DN2745">
            <v>125</v>
          </cell>
          <cell r="DO2745">
            <v>94</v>
          </cell>
          <cell r="ET2745">
            <v>92.82</v>
          </cell>
          <cell r="EU2745">
            <v>11.34</v>
          </cell>
        </row>
        <row r="2747">
          <cell r="E2747" t="str">
            <v>443,1</v>
          </cell>
          <cell r="F2747" t="str">
            <v>1.19-3-13</v>
          </cell>
          <cell r="H2747" t="str">
            <v>м2</v>
          </cell>
          <cell r="I2747">
            <v>12.92</v>
          </cell>
          <cell r="O2747">
            <v>6248.74</v>
          </cell>
          <cell r="X2747">
            <v>0</v>
          </cell>
          <cell r="Y2747">
            <v>0</v>
          </cell>
          <cell r="AC2747">
            <v>157.54</v>
          </cell>
          <cell r="AE2747">
            <v>0</v>
          </cell>
          <cell r="AF2747">
            <v>0</v>
          </cell>
          <cell r="AK2747">
            <v>157.54</v>
          </cell>
          <cell r="AV2747">
            <v>1</v>
          </cell>
          <cell r="AW2747">
            <v>1</v>
          </cell>
          <cell r="BC2747">
            <v>3.07</v>
          </cell>
          <cell r="BI2747">
            <v>1</v>
          </cell>
          <cell r="BS2747">
            <v>1</v>
          </cell>
          <cell r="DN2747">
            <v>125</v>
          </cell>
          <cell r="DO2747">
            <v>94</v>
          </cell>
          <cell r="ET2747">
            <v>0</v>
          </cell>
          <cell r="EU2747">
            <v>0</v>
          </cell>
        </row>
        <row r="2761">
          <cell r="E2761" t="str">
            <v>447</v>
          </cell>
          <cell r="F2761" t="str">
            <v>3.20-1-7</v>
          </cell>
          <cell r="H2761" t="str">
            <v>100 м2 поверхности воздуховодов</v>
          </cell>
          <cell r="I2761">
            <v>0.2218</v>
          </cell>
          <cell r="P2761">
            <v>330.55</v>
          </cell>
          <cell r="Q2761">
            <v>218.16</v>
          </cell>
          <cell r="R2761">
            <v>101.28</v>
          </cell>
          <cell r="S2761">
            <v>13225.22</v>
          </cell>
          <cell r="U2761">
            <v>28.872593200000001</v>
          </cell>
          <cell r="X2761">
            <v>13225.22</v>
          </cell>
          <cell r="Y2761">
            <v>5951.35</v>
          </cell>
          <cell r="AC2761">
            <v>417.44</v>
          </cell>
          <cell r="AE2761">
            <v>17.668600000000001</v>
          </cell>
          <cell r="AF2761">
            <v>2306.3368</v>
          </cell>
          <cell r="AL2761">
            <v>417.44</v>
          </cell>
          <cell r="AM2761">
            <v>87.08</v>
          </cell>
          <cell r="AN2761">
            <v>10.58</v>
          </cell>
          <cell r="AO2761">
            <v>1381.04</v>
          </cell>
          <cell r="AQ2761">
            <v>122</v>
          </cell>
          <cell r="AV2761">
            <v>1.0669999999999999</v>
          </cell>
          <cell r="AW2761">
            <v>1</v>
          </cell>
          <cell r="BA2761">
            <v>24.23</v>
          </cell>
          <cell r="BB2761">
            <v>8.61</v>
          </cell>
          <cell r="BC2761">
            <v>3.57</v>
          </cell>
          <cell r="BI2761">
            <v>1</v>
          </cell>
          <cell r="BS2761">
            <v>24.23</v>
          </cell>
          <cell r="BZ2761">
            <v>100</v>
          </cell>
          <cell r="CA2761">
            <v>45</v>
          </cell>
          <cell r="DD2761"/>
          <cell r="DE2761"/>
          <cell r="DG2761" t="str">
            <v>)*1,67</v>
          </cell>
          <cell r="DI2761"/>
          <cell r="DN2761">
            <v>125</v>
          </cell>
          <cell r="DO2761">
            <v>94</v>
          </cell>
          <cell r="ET2761">
            <v>87.08</v>
          </cell>
          <cell r="EU2761">
            <v>10.58</v>
          </cell>
        </row>
        <row r="2763">
          <cell r="E2763" t="str">
            <v>447,1</v>
          </cell>
          <cell r="F2763" t="str">
            <v>1.19-3-7</v>
          </cell>
          <cell r="H2763" t="str">
            <v>м2</v>
          </cell>
          <cell r="I2763">
            <v>22.18</v>
          </cell>
          <cell r="O2763">
            <v>8976.93</v>
          </cell>
          <cell r="X2763">
            <v>0</v>
          </cell>
          <cell r="Y2763">
            <v>0</v>
          </cell>
          <cell r="AC2763">
            <v>153.88999999999999</v>
          </cell>
          <cell r="AE2763">
            <v>0</v>
          </cell>
          <cell r="AF2763">
            <v>0</v>
          </cell>
          <cell r="AK2763">
            <v>153.88999999999999</v>
          </cell>
          <cell r="AV2763">
            <v>1</v>
          </cell>
          <cell r="AW2763">
            <v>1</v>
          </cell>
          <cell r="BC2763">
            <v>2.63</v>
          </cell>
          <cell r="BI2763">
            <v>1</v>
          </cell>
          <cell r="BS2763">
            <v>1</v>
          </cell>
          <cell r="DN2763">
            <v>125</v>
          </cell>
          <cell r="DO2763">
            <v>94</v>
          </cell>
          <cell r="ET2763">
            <v>0</v>
          </cell>
          <cell r="EU2763">
            <v>0</v>
          </cell>
        </row>
        <row r="2765">
          <cell r="E2765" t="str">
            <v>448</v>
          </cell>
          <cell r="F2765" t="str">
            <v>3.20-1-10</v>
          </cell>
          <cell r="H2765" t="str">
            <v>100 м2 поверхности воздуховодов</v>
          </cell>
          <cell r="I2765">
            <v>0.39300000000000002</v>
          </cell>
          <cell r="P2765">
            <v>985.18</v>
          </cell>
          <cell r="Q2765">
            <v>517.54999999999995</v>
          </cell>
          <cell r="R2765">
            <v>242.54</v>
          </cell>
          <cell r="S2765">
            <v>23433.32</v>
          </cell>
          <cell r="U2765">
            <v>51.158382000000003</v>
          </cell>
          <cell r="X2765">
            <v>23433.32</v>
          </cell>
          <cell r="Y2765">
            <v>10544.99</v>
          </cell>
          <cell r="AC2765">
            <v>599.72</v>
          </cell>
          <cell r="AE2765">
            <v>23.8643</v>
          </cell>
          <cell r="AF2765">
            <v>2306.3368</v>
          </cell>
          <cell r="AL2765">
            <v>599.72</v>
          </cell>
          <cell r="AM2765">
            <v>116.7</v>
          </cell>
          <cell r="AN2765">
            <v>14.29</v>
          </cell>
          <cell r="AO2765">
            <v>1381.04</v>
          </cell>
          <cell r="AQ2765">
            <v>122</v>
          </cell>
          <cell r="AV2765">
            <v>1.0669999999999999</v>
          </cell>
          <cell r="AW2765">
            <v>1</v>
          </cell>
          <cell r="BA2765">
            <v>24.23</v>
          </cell>
          <cell r="BB2765">
            <v>8.59</v>
          </cell>
          <cell r="BC2765">
            <v>4.18</v>
          </cell>
          <cell r="BI2765">
            <v>1</v>
          </cell>
          <cell r="BS2765">
            <v>24.23</v>
          </cell>
          <cell r="BZ2765">
            <v>100</v>
          </cell>
          <cell r="CA2765">
            <v>45</v>
          </cell>
          <cell r="DD2765"/>
          <cell r="DE2765"/>
          <cell r="DG2765" t="str">
            <v>)*1,67</v>
          </cell>
          <cell r="DI2765"/>
          <cell r="DN2765">
            <v>125</v>
          </cell>
          <cell r="DO2765">
            <v>94</v>
          </cell>
          <cell r="ET2765">
            <v>116.7</v>
          </cell>
          <cell r="EU2765">
            <v>14.29</v>
          </cell>
        </row>
        <row r="2767">
          <cell r="E2767" t="str">
            <v>449</v>
          </cell>
          <cell r="F2767" t="str">
            <v>1.19-3-12</v>
          </cell>
          <cell r="H2767" t="str">
            <v>м2</v>
          </cell>
          <cell r="I2767">
            <v>28.13</v>
          </cell>
          <cell r="P2767">
            <v>13571.52</v>
          </cell>
          <cell r="X2767">
            <v>0</v>
          </cell>
          <cell r="Y2767">
            <v>0</v>
          </cell>
          <cell r="AC2767">
            <v>125.64</v>
          </cell>
          <cell r="AE2767">
            <v>0</v>
          </cell>
          <cell r="AF2767">
            <v>0</v>
          </cell>
          <cell r="AL2767">
            <v>125.64</v>
          </cell>
          <cell r="AV2767">
            <v>1</v>
          </cell>
          <cell r="AW2767">
            <v>1</v>
          </cell>
          <cell r="BC2767">
            <v>3.84</v>
          </cell>
          <cell r="BI2767">
            <v>1</v>
          </cell>
          <cell r="BS2767">
            <v>1</v>
          </cell>
          <cell r="DD2767"/>
          <cell r="DN2767">
            <v>0</v>
          </cell>
          <cell r="DO2767">
            <v>0</v>
          </cell>
        </row>
        <row r="2769">
          <cell r="E2769" t="str">
            <v>450</v>
          </cell>
          <cell r="F2769" t="str">
            <v>1.19-3-13</v>
          </cell>
          <cell r="H2769" t="str">
            <v>м2</v>
          </cell>
          <cell r="I2769">
            <v>11.17</v>
          </cell>
          <cell r="P2769">
            <v>5402.34</v>
          </cell>
          <cell r="X2769">
            <v>0</v>
          </cell>
          <cell r="Y2769">
            <v>0</v>
          </cell>
          <cell r="AC2769">
            <v>157.54</v>
          </cell>
          <cell r="AE2769">
            <v>0</v>
          </cell>
          <cell r="AF2769">
            <v>0</v>
          </cell>
          <cell r="AL2769">
            <v>157.54</v>
          </cell>
          <cell r="AV2769">
            <v>1</v>
          </cell>
          <cell r="AW2769">
            <v>1</v>
          </cell>
          <cell r="BC2769">
            <v>3.07</v>
          </cell>
          <cell r="BI2769">
            <v>1</v>
          </cell>
          <cell r="BS2769">
            <v>1</v>
          </cell>
          <cell r="DD2769"/>
          <cell r="DN2769">
            <v>0</v>
          </cell>
          <cell r="DO2769">
            <v>0</v>
          </cell>
        </row>
        <row r="2771">
          <cell r="E2771" t="str">
            <v>451</v>
          </cell>
          <cell r="F2771" t="str">
            <v>3.20-1-11</v>
          </cell>
          <cell r="H2771" t="str">
            <v>100 м2 поверхности воздуховодов</v>
          </cell>
          <cell r="I2771">
            <v>3.9399999999999998E-2</v>
          </cell>
          <cell r="P2771">
            <v>53.42</v>
          </cell>
          <cell r="Q2771">
            <v>38.92</v>
          </cell>
          <cell r="R2771">
            <v>18.170000000000002</v>
          </cell>
          <cell r="S2771">
            <v>1767.82</v>
          </cell>
          <cell r="U2771">
            <v>3.8592536399999999</v>
          </cell>
          <cell r="X2771">
            <v>1767.82</v>
          </cell>
          <cell r="Y2771">
            <v>795.52</v>
          </cell>
          <cell r="AC2771">
            <v>409.71</v>
          </cell>
          <cell r="AE2771">
            <v>17.8523</v>
          </cell>
          <cell r="AF2771">
            <v>1735.4305999999999</v>
          </cell>
          <cell r="AL2771">
            <v>409.71</v>
          </cell>
          <cell r="AM2771">
            <v>87.46</v>
          </cell>
          <cell r="AN2771">
            <v>10.69</v>
          </cell>
          <cell r="AO2771">
            <v>1039.18</v>
          </cell>
          <cell r="AQ2771">
            <v>91.8</v>
          </cell>
          <cell r="AV2771">
            <v>1.0669999999999999</v>
          </cell>
          <cell r="AW2771">
            <v>1</v>
          </cell>
          <cell r="BA2771">
            <v>24.23</v>
          </cell>
          <cell r="BB2771">
            <v>8.6</v>
          </cell>
          <cell r="BC2771">
            <v>3.31</v>
          </cell>
          <cell r="BI2771">
            <v>1</v>
          </cell>
          <cell r="BS2771">
            <v>24.23</v>
          </cell>
          <cell r="BZ2771">
            <v>100</v>
          </cell>
          <cell r="CA2771">
            <v>45</v>
          </cell>
          <cell r="DD2771"/>
          <cell r="DE2771"/>
          <cell r="DG2771" t="str">
            <v>)*1,67</v>
          </cell>
          <cell r="DI2771"/>
          <cell r="DN2771">
            <v>125</v>
          </cell>
          <cell r="DO2771">
            <v>94</v>
          </cell>
          <cell r="ET2771">
            <v>87.46</v>
          </cell>
          <cell r="EU2771">
            <v>10.69</v>
          </cell>
        </row>
        <row r="2773">
          <cell r="E2773" t="str">
            <v>451,1</v>
          </cell>
          <cell r="F2773" t="str">
            <v>1.19-3-13</v>
          </cell>
          <cell r="H2773" t="str">
            <v>м2</v>
          </cell>
          <cell r="I2773">
            <v>3.94</v>
          </cell>
          <cell r="O2773">
            <v>1905.58</v>
          </cell>
          <cell r="X2773">
            <v>0</v>
          </cell>
          <cell r="Y2773">
            <v>0</v>
          </cell>
          <cell r="AC2773">
            <v>157.54</v>
          </cell>
          <cell r="AE2773">
            <v>0</v>
          </cell>
          <cell r="AF2773">
            <v>0</v>
          </cell>
          <cell r="AK2773">
            <v>157.54</v>
          </cell>
          <cell r="AV2773">
            <v>1</v>
          </cell>
          <cell r="AW2773">
            <v>1</v>
          </cell>
          <cell r="BC2773">
            <v>3.07</v>
          </cell>
          <cell r="BI2773">
            <v>1</v>
          </cell>
          <cell r="BS2773">
            <v>1</v>
          </cell>
          <cell r="DN2773">
            <v>125</v>
          </cell>
          <cell r="DO2773">
            <v>94</v>
          </cell>
          <cell r="ET2773">
            <v>0</v>
          </cell>
          <cell r="EU2773">
            <v>0</v>
          </cell>
        </row>
        <row r="2775">
          <cell r="E2775" t="str">
            <v>452</v>
          </cell>
          <cell r="F2775" t="str">
            <v>3.20-1-12</v>
          </cell>
          <cell r="H2775" t="str">
            <v>100 м2 поверхности воздуховодов</v>
          </cell>
          <cell r="I2775">
            <v>0.1656</v>
          </cell>
          <cell r="P2775">
            <v>318.5</v>
          </cell>
          <cell r="Q2775">
            <v>173.51</v>
          </cell>
          <cell r="R2775">
            <v>81.17</v>
          </cell>
          <cell r="S2775">
            <v>6005.41</v>
          </cell>
          <cell r="U2775">
            <v>13.11078384</v>
          </cell>
          <cell r="X2775">
            <v>6005.41</v>
          </cell>
          <cell r="Y2775">
            <v>2702.43</v>
          </cell>
          <cell r="AC2775">
            <v>490.65</v>
          </cell>
          <cell r="AE2775">
            <v>18.937799999999999</v>
          </cell>
          <cell r="AF2775">
            <v>1402.6998000000001</v>
          </cell>
          <cell r="AL2775">
            <v>490.65</v>
          </cell>
          <cell r="AM2775">
            <v>92.82</v>
          </cell>
          <cell r="AN2775">
            <v>11.34</v>
          </cell>
          <cell r="AO2775">
            <v>839.94</v>
          </cell>
          <cell r="AQ2775">
            <v>74.2</v>
          </cell>
          <cell r="AV2775">
            <v>1.0669999999999999</v>
          </cell>
          <cell r="AW2775">
            <v>1</v>
          </cell>
          <cell r="BA2775">
            <v>24.23</v>
          </cell>
          <cell r="BB2775">
            <v>8.6</v>
          </cell>
          <cell r="BC2775">
            <v>3.92</v>
          </cell>
          <cell r="BI2775">
            <v>1</v>
          </cell>
          <cell r="BS2775">
            <v>24.23</v>
          </cell>
          <cell r="BZ2775">
            <v>100</v>
          </cell>
          <cell r="CA2775">
            <v>45</v>
          </cell>
          <cell r="DD2775"/>
          <cell r="DE2775"/>
          <cell r="DG2775" t="str">
            <v>)*1,67</v>
          </cell>
          <cell r="DI2775"/>
          <cell r="DN2775">
            <v>125</v>
          </cell>
          <cell r="DO2775">
            <v>94</v>
          </cell>
          <cell r="ET2775">
            <v>92.82</v>
          </cell>
          <cell r="EU2775">
            <v>11.34</v>
          </cell>
        </row>
        <row r="2777">
          <cell r="E2777" t="str">
            <v>452,1</v>
          </cell>
          <cell r="F2777" t="str">
            <v>1.19-3-13</v>
          </cell>
          <cell r="H2777" t="str">
            <v>м2</v>
          </cell>
          <cell r="I2777">
            <v>16.559999999999999</v>
          </cell>
          <cell r="O2777">
            <v>8009.2</v>
          </cell>
          <cell r="X2777">
            <v>0</v>
          </cell>
          <cell r="Y2777">
            <v>0</v>
          </cell>
          <cell r="AC2777">
            <v>157.54</v>
          </cell>
          <cell r="AE2777">
            <v>0</v>
          </cell>
          <cell r="AF2777">
            <v>0</v>
          </cell>
          <cell r="AK2777">
            <v>157.54</v>
          </cell>
          <cell r="AV2777">
            <v>1</v>
          </cell>
          <cell r="AW2777">
            <v>1</v>
          </cell>
          <cell r="BC2777">
            <v>3.07</v>
          </cell>
          <cell r="BI2777">
            <v>1</v>
          </cell>
          <cell r="BS2777">
            <v>1</v>
          </cell>
          <cell r="DN2777">
            <v>125</v>
          </cell>
          <cell r="DO2777">
            <v>94</v>
          </cell>
          <cell r="ET2777">
            <v>0</v>
          </cell>
          <cell r="EU2777">
            <v>0</v>
          </cell>
        </row>
        <row r="2839">
          <cell r="E2839" t="str">
            <v>475</v>
          </cell>
          <cell r="F2839" t="str">
            <v>3.26-38-1</v>
          </cell>
          <cell r="H2839" t="str">
            <v>1 м2 поверхности</v>
          </cell>
          <cell r="I2839">
            <v>98.39</v>
          </cell>
          <cell r="P2839">
            <v>67.13</v>
          </cell>
          <cell r="Q2839">
            <v>587.41</v>
          </cell>
          <cell r="R2839">
            <v>375.08</v>
          </cell>
          <cell r="S2839">
            <v>23843.05</v>
          </cell>
          <cell r="U2839">
            <v>45.3263052</v>
          </cell>
          <cell r="X2839">
            <v>18836.009999999998</v>
          </cell>
          <cell r="Y2839">
            <v>9775.65</v>
          </cell>
          <cell r="AC2839">
            <v>0.12</v>
          </cell>
          <cell r="AE2839">
            <v>0.15029999999999999</v>
          </cell>
          <cell r="AF2839">
            <v>9.5524000000000004</v>
          </cell>
          <cell r="AL2839">
            <v>0.12</v>
          </cell>
          <cell r="AM2839">
            <v>0.46</v>
          </cell>
          <cell r="AN2839">
            <v>0.09</v>
          </cell>
          <cell r="AO2839">
            <v>5.72</v>
          </cell>
          <cell r="AQ2839">
            <v>0.44</v>
          </cell>
          <cell r="AV2839">
            <v>1.0469999999999999</v>
          </cell>
          <cell r="AW2839">
            <v>1.0189999999999999</v>
          </cell>
          <cell r="BA2839">
            <v>24.23</v>
          </cell>
          <cell r="BB2839">
            <v>9.2200000000000006</v>
          </cell>
          <cell r="BC2839">
            <v>5.58</v>
          </cell>
          <cell r="BI2839">
            <v>1</v>
          </cell>
          <cell r="BS2839">
            <v>24.23</v>
          </cell>
          <cell r="BZ2839">
            <v>79</v>
          </cell>
          <cell r="CA2839">
            <v>41</v>
          </cell>
          <cell r="DD2839"/>
          <cell r="DE2839"/>
          <cell r="DG2839" t="str">
            <v>)*1,67</v>
          </cell>
          <cell r="DI2839"/>
          <cell r="DN2839">
            <v>98</v>
          </cell>
          <cell r="DO2839">
            <v>73</v>
          </cell>
          <cell r="ET2839">
            <v>0.46</v>
          </cell>
          <cell r="EU2839">
            <v>0.09</v>
          </cell>
        </row>
        <row r="2841">
          <cell r="E2841" t="str">
            <v>476</v>
          </cell>
          <cell r="H2841" t="str">
            <v>м2</v>
          </cell>
          <cell r="I2841">
            <v>89.74</v>
          </cell>
          <cell r="X2841">
            <v>0</v>
          </cell>
          <cell r="Y2841">
            <v>0</v>
          </cell>
          <cell r="AE2841">
            <v>0</v>
          </cell>
          <cell r="AF2841">
            <v>0</v>
          </cell>
          <cell r="AV2841">
            <v>1</v>
          </cell>
          <cell r="AW2841">
            <v>1</v>
          </cell>
          <cell r="BI2841">
            <v>1</v>
          </cell>
          <cell r="BS2841">
            <v>1</v>
          </cell>
          <cell r="DN2841">
            <v>0</v>
          </cell>
          <cell r="DO2841">
            <v>0</v>
          </cell>
        </row>
        <row r="2843">
          <cell r="E2843" t="str">
            <v>477</v>
          </cell>
          <cell r="H2843" t="str">
            <v>м2</v>
          </cell>
          <cell r="I2843">
            <v>8.65</v>
          </cell>
          <cell r="X2843">
            <v>0</v>
          </cell>
          <cell r="Y2843">
            <v>0</v>
          </cell>
          <cell r="AE2843">
            <v>0</v>
          </cell>
          <cell r="AF2843">
            <v>0</v>
          </cell>
          <cell r="AV2843">
            <v>1</v>
          </cell>
          <cell r="AW2843">
            <v>1</v>
          </cell>
          <cell r="BI2843">
            <v>1</v>
          </cell>
          <cell r="BS2843">
            <v>1</v>
          </cell>
          <cell r="DN2843">
            <v>0</v>
          </cell>
          <cell r="DO2843">
            <v>0</v>
          </cell>
        </row>
        <row r="2891">
          <cell r="G2891" t="str">
            <v>Дополнительные материалы и оборудование</v>
          </cell>
        </row>
        <row r="2921">
          <cell r="G2921" t="str">
            <v>Вентиляция</v>
          </cell>
        </row>
      </sheetData>
      <sheetData sheetId="2" refreshError="1"/>
      <sheetData sheetId="3" refreshError="1"/>
      <sheetData sheetId="4" refreshError="1"/>
    </sheetDataSet>
  </externalBook>
</externalLink>
</file>

<file path=xl/externalLinks/externalLink9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Акт КС-2 по ТСН-2001"/>
      <sheetName val="Source"/>
      <sheetName val="SourceObSm"/>
      <sheetName val="SmtRes"/>
      <sheetName val="EtalonRes"/>
    </sheetNames>
    <sheetDataSet>
      <sheetData sheetId="0" refreshError="1"/>
      <sheetData sheetId="1">
        <row r="1016">
          <cell r="G1016" t="str">
            <v>В2-35</v>
          </cell>
        </row>
        <row r="1122">
          <cell r="E1122" t="str">
            <v>134</v>
          </cell>
          <cell r="F1122" t="str">
            <v>3.20-12-6</v>
          </cell>
          <cell r="H1122" t="str">
            <v>1  ШТ.</v>
          </cell>
          <cell r="I1122">
            <v>15</v>
          </cell>
          <cell r="P1122">
            <v>629.79</v>
          </cell>
          <cell r="Q1122">
            <v>150.56</v>
          </cell>
          <cell r="R1122">
            <v>90.62</v>
          </cell>
          <cell r="S1122">
            <v>8075.86</v>
          </cell>
          <cell r="U1122">
            <v>16.965299999999999</v>
          </cell>
          <cell r="X1122">
            <v>8075.86</v>
          </cell>
          <cell r="Y1122">
            <v>3634.14</v>
          </cell>
          <cell r="AC1122">
            <v>16.53</v>
          </cell>
          <cell r="AE1122">
            <v>0.23380000000000001</v>
          </cell>
          <cell r="AF1122">
            <v>20.8249</v>
          </cell>
          <cell r="AL1122">
            <v>16.53</v>
          </cell>
          <cell r="AM1122">
            <v>0.77</v>
          </cell>
          <cell r="AN1122">
            <v>0.14000000000000001</v>
          </cell>
          <cell r="AO1122">
            <v>12.47</v>
          </cell>
          <cell r="AQ1122">
            <v>1.06</v>
          </cell>
          <cell r="AV1122">
            <v>1.0669999999999999</v>
          </cell>
          <cell r="AW1122">
            <v>1</v>
          </cell>
          <cell r="BA1122">
            <v>24.23</v>
          </cell>
          <cell r="BB1122">
            <v>9.27</v>
          </cell>
          <cell r="BC1122">
            <v>2.54</v>
          </cell>
          <cell r="BI1122">
            <v>1</v>
          </cell>
          <cell r="BS1122">
            <v>24.23</v>
          </cell>
          <cell r="BZ1122">
            <v>100</v>
          </cell>
          <cell r="CA1122">
            <v>45</v>
          </cell>
          <cell r="DD1122"/>
          <cell r="DE1122"/>
          <cell r="DG1122" t="str">
            <v>)*1,67</v>
          </cell>
          <cell r="DI1122"/>
          <cell r="DN1122">
            <v>125</v>
          </cell>
          <cell r="DO1122">
            <v>94</v>
          </cell>
          <cell r="ET1122">
            <v>0.77</v>
          </cell>
          <cell r="EU1122">
            <v>0.14000000000000001</v>
          </cell>
        </row>
        <row r="1124">
          <cell r="E1124" t="str">
            <v>134,1</v>
          </cell>
          <cell r="F1124" t="str">
            <v>1.19-6-78</v>
          </cell>
          <cell r="H1124" t="str">
            <v>шт.</v>
          </cell>
          <cell r="I1124">
            <v>4.0000000000000098</v>
          </cell>
          <cell r="O1124">
            <v>9666.27</v>
          </cell>
          <cell r="X1124">
            <v>0</v>
          </cell>
          <cell r="Y1124">
            <v>0</v>
          </cell>
          <cell r="AC1124">
            <v>299.08</v>
          </cell>
          <cell r="AE1124">
            <v>0</v>
          </cell>
          <cell r="AF1124">
            <v>0</v>
          </cell>
          <cell r="AK1124">
            <v>299.08</v>
          </cell>
          <cell r="AV1124">
            <v>1</v>
          </cell>
          <cell r="AW1124">
            <v>1</v>
          </cell>
          <cell r="BC1124">
            <v>8.08</v>
          </cell>
          <cell r="BI1124">
            <v>1</v>
          </cell>
          <cell r="BS1124">
            <v>1</v>
          </cell>
          <cell r="DN1124">
            <v>125</v>
          </cell>
          <cell r="DO1124">
            <v>94</v>
          </cell>
          <cell r="ET1124">
            <v>0</v>
          </cell>
          <cell r="EU1124">
            <v>0</v>
          </cell>
        </row>
        <row r="1126">
          <cell r="E1126" t="str">
            <v>134,2</v>
          </cell>
          <cell r="F1126" t="str">
            <v>1.19-6-76</v>
          </cell>
          <cell r="H1126" t="str">
            <v>шт.</v>
          </cell>
          <cell r="I1126">
            <v>1</v>
          </cell>
          <cell r="O1126">
            <v>1530.74</v>
          </cell>
          <cell r="X1126">
            <v>0</v>
          </cell>
          <cell r="Y1126">
            <v>0</v>
          </cell>
          <cell r="AC1126">
            <v>319.57</v>
          </cell>
          <cell r="AE1126">
            <v>0</v>
          </cell>
          <cell r="AF1126">
            <v>0</v>
          </cell>
          <cell r="AK1126">
            <v>319.57</v>
          </cell>
          <cell r="AV1126">
            <v>1</v>
          </cell>
          <cell r="AW1126">
            <v>1</v>
          </cell>
          <cell r="BC1126">
            <v>4.79</v>
          </cell>
          <cell r="BI1126">
            <v>1</v>
          </cell>
          <cell r="BS1126">
            <v>1</v>
          </cell>
          <cell r="DN1126">
            <v>125</v>
          </cell>
          <cell r="DO1126">
            <v>94</v>
          </cell>
          <cell r="ET1126">
            <v>0</v>
          </cell>
          <cell r="EU1126">
            <v>0</v>
          </cell>
        </row>
        <row r="1128">
          <cell r="E1128" t="str">
            <v>135</v>
          </cell>
          <cell r="F1128" t="str">
            <v>1.19-6-75</v>
          </cell>
          <cell r="H1128" t="str">
            <v>шт.</v>
          </cell>
          <cell r="I1128">
            <v>10</v>
          </cell>
          <cell r="P1128">
            <v>9077.91</v>
          </cell>
          <cell r="X1128">
            <v>0</v>
          </cell>
          <cell r="Y1128">
            <v>0</v>
          </cell>
          <cell r="AC1128">
            <v>258.63</v>
          </cell>
          <cell r="AE1128">
            <v>0</v>
          </cell>
          <cell r="AF1128">
            <v>0</v>
          </cell>
          <cell r="AL1128">
            <v>258.63</v>
          </cell>
          <cell r="AV1128">
            <v>1</v>
          </cell>
          <cell r="AW1128">
            <v>1</v>
          </cell>
          <cell r="BC1128">
            <v>3.51</v>
          </cell>
          <cell r="BI1128">
            <v>1</v>
          </cell>
          <cell r="BS1128">
            <v>1</v>
          </cell>
          <cell r="DD1128"/>
          <cell r="DN1128">
            <v>0</v>
          </cell>
          <cell r="DO1128">
            <v>0</v>
          </cell>
        </row>
        <row r="1130">
          <cell r="E1130" t="str">
            <v>136</v>
          </cell>
          <cell r="F1130" t="str">
            <v>3.20-12-7</v>
          </cell>
          <cell r="H1130" t="str">
            <v>1  ШТ.</v>
          </cell>
          <cell r="I1130">
            <v>1</v>
          </cell>
          <cell r="P1130">
            <v>55.83</v>
          </cell>
          <cell r="Q1130">
            <v>10.02</v>
          </cell>
          <cell r="R1130">
            <v>6.06</v>
          </cell>
          <cell r="S1130">
            <v>606.23</v>
          </cell>
          <cell r="U1130">
            <v>1.2590600000000001</v>
          </cell>
          <cell r="X1130">
            <v>606.23</v>
          </cell>
          <cell r="Y1130">
            <v>272.8</v>
          </cell>
          <cell r="AC1130">
            <v>21.31</v>
          </cell>
          <cell r="AE1130">
            <v>0.23380000000000001</v>
          </cell>
          <cell r="AF1130">
            <v>23.4468</v>
          </cell>
          <cell r="AL1130">
            <v>21.31</v>
          </cell>
          <cell r="AM1130">
            <v>0.77</v>
          </cell>
          <cell r="AN1130">
            <v>0.14000000000000001</v>
          </cell>
          <cell r="AO1130">
            <v>14.04</v>
          </cell>
          <cell r="AQ1130">
            <v>1.18</v>
          </cell>
          <cell r="AV1130">
            <v>1.0669999999999999</v>
          </cell>
          <cell r="AW1130">
            <v>1</v>
          </cell>
          <cell r="BA1130">
            <v>24.23</v>
          </cell>
          <cell r="BB1130">
            <v>9.27</v>
          </cell>
          <cell r="BC1130">
            <v>2.62</v>
          </cell>
          <cell r="BI1130">
            <v>1</v>
          </cell>
          <cell r="BS1130">
            <v>24.23</v>
          </cell>
          <cell r="BZ1130">
            <v>100</v>
          </cell>
          <cell r="CA1130">
            <v>45</v>
          </cell>
          <cell r="DD1130"/>
          <cell r="DE1130"/>
          <cell r="DG1130" t="str">
            <v>)*1,67</v>
          </cell>
          <cell r="DI1130"/>
          <cell r="DN1130">
            <v>125</v>
          </cell>
          <cell r="DO1130">
            <v>94</v>
          </cell>
          <cell r="ET1130">
            <v>0.77</v>
          </cell>
          <cell r="EU1130">
            <v>0.14000000000000001</v>
          </cell>
        </row>
        <row r="1132">
          <cell r="E1132" t="str">
            <v>137</v>
          </cell>
          <cell r="F1132" t="str">
            <v>1.19-6-81</v>
          </cell>
          <cell r="H1132" t="str">
            <v>шт.</v>
          </cell>
          <cell r="I1132">
            <v>1</v>
          </cell>
          <cell r="P1132">
            <v>1986.19</v>
          </cell>
          <cell r="X1132">
            <v>0</v>
          </cell>
          <cell r="Y1132">
            <v>0</v>
          </cell>
          <cell r="AC1132">
            <v>468.44</v>
          </cell>
          <cell r="AE1132">
            <v>0</v>
          </cell>
          <cell r="AF1132">
            <v>0</v>
          </cell>
          <cell r="AL1132">
            <v>468.44</v>
          </cell>
          <cell r="AV1132">
            <v>1</v>
          </cell>
          <cell r="AW1132">
            <v>1</v>
          </cell>
          <cell r="BC1132">
            <v>4.24</v>
          </cell>
          <cell r="BI1132">
            <v>1</v>
          </cell>
          <cell r="BS1132">
            <v>1</v>
          </cell>
          <cell r="DD1132"/>
          <cell r="DN1132">
            <v>0</v>
          </cell>
          <cell r="DO1132">
            <v>0</v>
          </cell>
        </row>
        <row r="1152">
          <cell r="E1152" t="str">
            <v>147</v>
          </cell>
          <cell r="F1152" t="str">
            <v>3.20-11-15</v>
          </cell>
          <cell r="H1152" t="str">
            <v>1 клапан</v>
          </cell>
          <cell r="I1152">
            <v>19</v>
          </cell>
          <cell r="P1152">
            <v>2456.27</v>
          </cell>
          <cell r="Q1152">
            <v>436.52</v>
          </cell>
          <cell r="R1152">
            <v>301.42</v>
          </cell>
          <cell r="S1152">
            <v>40724.33</v>
          </cell>
          <cell r="U1152">
            <v>85.572333</v>
          </cell>
          <cell r="X1152">
            <v>40724.33</v>
          </cell>
          <cell r="Y1152">
            <v>18325.95</v>
          </cell>
          <cell r="AC1152">
            <v>15.67</v>
          </cell>
          <cell r="AE1152">
            <v>0.61372499999999997</v>
          </cell>
          <cell r="AF1152">
            <v>82.905479999999997</v>
          </cell>
          <cell r="AL1152">
            <v>15.67</v>
          </cell>
          <cell r="AM1152">
            <v>1.49</v>
          </cell>
          <cell r="AN1152">
            <v>0.35</v>
          </cell>
          <cell r="AO1152">
            <v>47.28</v>
          </cell>
          <cell r="AQ1152">
            <v>4.0199999999999996</v>
          </cell>
          <cell r="AV1152">
            <v>1.0669999999999999</v>
          </cell>
          <cell r="AW1152">
            <v>1</v>
          </cell>
          <cell r="BA1152">
            <v>24.23</v>
          </cell>
          <cell r="BB1152">
            <v>9.9499999999999993</v>
          </cell>
          <cell r="BC1152">
            <v>8.25</v>
          </cell>
          <cell r="BI1152">
            <v>1</v>
          </cell>
          <cell r="BS1152">
            <v>24.23</v>
          </cell>
          <cell r="BZ1152">
            <v>100</v>
          </cell>
          <cell r="CA1152">
            <v>45</v>
          </cell>
          <cell r="DD1152"/>
          <cell r="DE1152" t="str">
            <v>)*1,05</v>
          </cell>
          <cell r="DG1152" t="str">
            <v>)*1,67)*1,05</v>
          </cell>
          <cell r="DI1152" t="str">
            <v>)*1,05</v>
          </cell>
          <cell r="DN1152">
            <v>125</v>
          </cell>
          <cell r="DO1152">
            <v>94</v>
          </cell>
          <cell r="ET1152">
            <v>1.49</v>
          </cell>
          <cell r="EU1152">
            <v>0.35</v>
          </cell>
        </row>
        <row r="1154">
          <cell r="E1154" t="str">
            <v>148</v>
          </cell>
          <cell r="F1154" t="str">
            <v>МКЭ-33-1005/8-1 от 26.07.2018г.</v>
          </cell>
          <cell r="H1154" t="str">
            <v>шт.</v>
          </cell>
          <cell r="I1154">
            <v>4</v>
          </cell>
          <cell r="X1154">
            <v>0</v>
          </cell>
          <cell r="Y1154">
            <v>0</v>
          </cell>
          <cell r="AC1154">
            <v>2689.0056</v>
          </cell>
          <cell r="AE1154">
            <v>0</v>
          </cell>
          <cell r="AF1154">
            <v>0</v>
          </cell>
          <cell r="AL1154">
            <v>2636.28</v>
          </cell>
          <cell r="AV1154">
            <v>1</v>
          </cell>
          <cell r="AW1154">
            <v>1</v>
          </cell>
          <cell r="BC1154">
            <v>5.58</v>
          </cell>
          <cell r="BI1154">
            <v>1</v>
          </cell>
          <cell r="BS1154">
            <v>1</v>
          </cell>
          <cell r="DN1154">
            <v>0</v>
          </cell>
          <cell r="DO1154">
            <v>0</v>
          </cell>
        </row>
        <row r="1156">
          <cell r="E1156" t="str">
            <v>149</v>
          </cell>
          <cell r="F1156" t="str">
            <v>МКЭ-33-1005/8-1  26.07.2018</v>
          </cell>
          <cell r="H1156" t="str">
            <v>шт.</v>
          </cell>
          <cell r="I1156">
            <v>5</v>
          </cell>
          <cell r="X1156">
            <v>0</v>
          </cell>
          <cell r="Y1156">
            <v>0</v>
          </cell>
          <cell r="AC1156">
            <v>2539.27</v>
          </cell>
          <cell r="AE1156">
            <v>0</v>
          </cell>
          <cell r="AF1156">
            <v>0</v>
          </cell>
          <cell r="AL1156">
            <v>2539.27</v>
          </cell>
          <cell r="AV1156">
            <v>1</v>
          </cell>
          <cell r="AW1156">
            <v>1</v>
          </cell>
          <cell r="BC1156">
            <v>5.58</v>
          </cell>
          <cell r="BI1156">
            <v>1</v>
          </cell>
          <cell r="BS1156">
            <v>1</v>
          </cell>
          <cell r="DD1156"/>
          <cell r="DN1156">
            <v>0</v>
          </cell>
          <cell r="DO1156">
            <v>0</v>
          </cell>
        </row>
        <row r="1158">
          <cell r="E1158" t="str">
            <v>150</v>
          </cell>
          <cell r="F1158" t="str">
            <v>МКЭ-33-1142/8-1  15.08.2018</v>
          </cell>
          <cell r="H1158" t="str">
            <v>шт.</v>
          </cell>
          <cell r="I1158">
            <v>3</v>
          </cell>
          <cell r="X1158">
            <v>0</v>
          </cell>
          <cell r="Y1158">
            <v>0</v>
          </cell>
          <cell r="AC1158">
            <v>2808.1212</v>
          </cell>
          <cell r="AE1158">
            <v>0</v>
          </cell>
          <cell r="AF1158">
            <v>0</v>
          </cell>
          <cell r="AL1158">
            <v>2753.06</v>
          </cell>
          <cell r="AV1158">
            <v>1</v>
          </cell>
          <cell r="AW1158">
            <v>1</v>
          </cell>
          <cell r="BC1158">
            <v>5.58</v>
          </cell>
          <cell r="BI1158">
            <v>1</v>
          </cell>
          <cell r="BS1158">
            <v>1</v>
          </cell>
          <cell r="DN1158">
            <v>0</v>
          </cell>
          <cell r="DO1158">
            <v>0</v>
          </cell>
        </row>
        <row r="1160">
          <cell r="E1160" t="str">
            <v>151</v>
          </cell>
          <cell r="F1160" t="str">
            <v>МКЭ-33-1005/8-1 от 26.07.2018г.</v>
          </cell>
          <cell r="H1160" t="str">
            <v>шт.</v>
          </cell>
          <cell r="I1160">
            <v>2</v>
          </cell>
          <cell r="X1160">
            <v>0</v>
          </cell>
          <cell r="Y1160">
            <v>0</v>
          </cell>
          <cell r="AC1160">
            <v>2719.0547999999999</v>
          </cell>
          <cell r="AE1160">
            <v>0</v>
          </cell>
          <cell r="AF1160">
            <v>0</v>
          </cell>
          <cell r="AL1160">
            <v>2665.74</v>
          </cell>
          <cell r="AV1160">
            <v>1</v>
          </cell>
          <cell r="AW1160">
            <v>1</v>
          </cell>
          <cell r="BC1160">
            <v>5.58</v>
          </cell>
          <cell r="BI1160">
            <v>1</v>
          </cell>
          <cell r="BS1160">
            <v>1</v>
          </cell>
          <cell r="DN1160">
            <v>0</v>
          </cell>
          <cell r="DO1160">
            <v>0</v>
          </cell>
        </row>
        <row r="1166">
          <cell r="E1166" t="str">
            <v>154</v>
          </cell>
          <cell r="F1166" t="str">
            <v>МКЭ-28-1896/5-1  18.01.2016</v>
          </cell>
          <cell r="H1166" t="str">
            <v>шт.</v>
          </cell>
          <cell r="I1166">
            <v>1</v>
          </cell>
          <cell r="X1166">
            <v>0</v>
          </cell>
          <cell r="Y1166">
            <v>0</v>
          </cell>
          <cell r="AC1166">
            <v>2594.5944</v>
          </cell>
          <cell r="AE1166">
            <v>0</v>
          </cell>
          <cell r="AF1166">
            <v>0</v>
          </cell>
          <cell r="AL1166">
            <v>2543.7199999999998</v>
          </cell>
          <cell r="AV1166">
            <v>1</v>
          </cell>
          <cell r="AW1166">
            <v>1</v>
          </cell>
          <cell r="BC1166">
            <v>5.58</v>
          </cell>
          <cell r="BI1166">
            <v>1</v>
          </cell>
          <cell r="BS1166">
            <v>1</v>
          </cell>
          <cell r="DN1166">
            <v>0</v>
          </cell>
          <cell r="DO1166">
            <v>0</v>
          </cell>
        </row>
        <row r="1168">
          <cell r="E1168" t="str">
            <v>155</v>
          </cell>
          <cell r="F1168" t="str">
            <v>МКЭ-33-1005/8-1 от 26.07.2018г.</v>
          </cell>
          <cell r="H1168" t="str">
            <v>шт.</v>
          </cell>
          <cell r="I1168">
            <v>2</v>
          </cell>
          <cell r="X1168">
            <v>0</v>
          </cell>
          <cell r="Y1168">
            <v>0</v>
          </cell>
          <cell r="AC1168">
            <v>2696.12</v>
          </cell>
          <cell r="AE1168">
            <v>0</v>
          </cell>
          <cell r="AF1168">
            <v>0</v>
          </cell>
          <cell r="AL1168">
            <v>2696.12</v>
          </cell>
          <cell r="AV1168">
            <v>1</v>
          </cell>
          <cell r="AW1168">
            <v>1</v>
          </cell>
          <cell r="BC1168">
            <v>5.58</v>
          </cell>
          <cell r="BI1168">
            <v>1</v>
          </cell>
          <cell r="BS1168">
            <v>1</v>
          </cell>
          <cell r="DD1168"/>
          <cell r="DN1168">
            <v>0</v>
          </cell>
          <cell r="DO1168">
            <v>0</v>
          </cell>
        </row>
        <row r="1170">
          <cell r="E1170" t="str">
            <v>156</v>
          </cell>
          <cell r="F1170" t="str">
            <v>МКЭ-33-1005/8-1  26.07.2018</v>
          </cell>
          <cell r="H1170" t="str">
            <v>шт.</v>
          </cell>
          <cell r="I1170">
            <v>1</v>
          </cell>
          <cell r="X1170">
            <v>0</v>
          </cell>
          <cell r="Y1170">
            <v>0</v>
          </cell>
          <cell r="AC1170">
            <v>2940.2928000000002</v>
          </cell>
          <cell r="AE1170">
            <v>0</v>
          </cell>
          <cell r="AF1170">
            <v>0</v>
          </cell>
          <cell r="AL1170">
            <v>2882.64</v>
          </cell>
          <cell r="AV1170">
            <v>1</v>
          </cell>
          <cell r="AW1170">
            <v>1</v>
          </cell>
          <cell r="BC1170">
            <v>5.58</v>
          </cell>
          <cell r="BI1170">
            <v>1</v>
          </cell>
          <cell r="BS1170">
            <v>1</v>
          </cell>
          <cell r="DN1170">
            <v>0</v>
          </cell>
          <cell r="DO1170">
            <v>0</v>
          </cell>
        </row>
        <row r="1172">
          <cell r="E1172" t="str">
            <v>157</v>
          </cell>
          <cell r="F1172" t="str">
            <v>МКЭ-33-1005/8-1 от 26.07.2018г.</v>
          </cell>
          <cell r="H1172" t="str">
            <v>шт.</v>
          </cell>
          <cell r="I1172">
            <v>1</v>
          </cell>
          <cell r="X1172">
            <v>0</v>
          </cell>
          <cell r="Y1172">
            <v>0</v>
          </cell>
          <cell r="AC1172">
            <v>2940.2928000000002</v>
          </cell>
          <cell r="AE1172">
            <v>0</v>
          </cell>
          <cell r="AF1172">
            <v>0</v>
          </cell>
          <cell r="AL1172">
            <v>2882.64</v>
          </cell>
          <cell r="AV1172">
            <v>1</v>
          </cell>
          <cell r="AW1172">
            <v>1</v>
          </cell>
          <cell r="BC1172">
            <v>5.58</v>
          </cell>
          <cell r="BI1172">
            <v>1</v>
          </cell>
          <cell r="BS1172">
            <v>1</v>
          </cell>
          <cell r="DD1172" t="str">
            <v>*1,02</v>
          </cell>
          <cell r="DN1172">
            <v>0</v>
          </cell>
          <cell r="DO1172">
            <v>0</v>
          </cell>
        </row>
        <row r="1176">
          <cell r="E1176" t="str">
            <v>159</v>
          </cell>
          <cell r="F1176" t="str">
            <v>3.20-11-16</v>
          </cell>
          <cell r="H1176" t="str">
            <v>1 клапан</v>
          </cell>
          <cell r="I1176">
            <v>6</v>
          </cell>
          <cell r="P1176">
            <v>1066.53</v>
          </cell>
          <cell r="Q1176">
            <v>691.24</v>
          </cell>
          <cell r="R1176">
            <v>478.78</v>
          </cell>
          <cell r="S1176">
            <v>17242.310000000001</v>
          </cell>
          <cell r="U1176">
            <v>36.702666000000001</v>
          </cell>
          <cell r="X1176">
            <v>17242.310000000001</v>
          </cell>
          <cell r="Y1176">
            <v>7759.04</v>
          </cell>
          <cell r="AC1176">
            <v>24.35</v>
          </cell>
          <cell r="AE1176">
            <v>3.08616</v>
          </cell>
          <cell r="AF1176">
            <v>111.154365</v>
          </cell>
          <cell r="AL1176">
            <v>24.35</v>
          </cell>
          <cell r="AM1176">
            <v>7.44</v>
          </cell>
          <cell r="AN1176">
            <v>1.76</v>
          </cell>
          <cell r="AO1176">
            <v>63.39</v>
          </cell>
          <cell r="AQ1176">
            <v>5.46</v>
          </cell>
          <cell r="AV1176">
            <v>1.0669999999999999</v>
          </cell>
          <cell r="AW1176">
            <v>1</v>
          </cell>
          <cell r="BA1176">
            <v>24.23</v>
          </cell>
          <cell r="BB1176">
            <v>9.98</v>
          </cell>
          <cell r="BC1176">
            <v>7.3</v>
          </cell>
          <cell r="BI1176">
            <v>1</v>
          </cell>
          <cell r="BS1176">
            <v>24.23</v>
          </cell>
          <cell r="BZ1176">
            <v>100</v>
          </cell>
          <cell r="CA1176">
            <v>45</v>
          </cell>
          <cell r="DD1176"/>
          <cell r="DE1176" t="str">
            <v>)*1,05</v>
          </cell>
          <cell r="DG1176" t="str">
            <v>)*1,67)*1,05</v>
          </cell>
          <cell r="DI1176" t="str">
            <v>)*1,05</v>
          </cell>
          <cell r="DN1176">
            <v>125</v>
          </cell>
          <cell r="DO1176">
            <v>94</v>
          </cell>
          <cell r="ET1176">
            <v>7.44</v>
          </cell>
          <cell r="EU1176">
            <v>1.76</v>
          </cell>
        </row>
        <row r="1180">
          <cell r="E1180" t="str">
            <v>161</v>
          </cell>
          <cell r="F1180" t="str">
            <v>МКЭ-33-442/7-1  29.03.2017</v>
          </cell>
          <cell r="H1180" t="str">
            <v>шт.</v>
          </cell>
          <cell r="I1180">
            <v>3</v>
          </cell>
          <cell r="X1180">
            <v>0</v>
          </cell>
          <cell r="Y1180">
            <v>0</v>
          </cell>
          <cell r="AC1180">
            <v>2754.2</v>
          </cell>
          <cell r="AE1180">
            <v>0</v>
          </cell>
          <cell r="AF1180">
            <v>0</v>
          </cell>
          <cell r="AL1180">
            <v>2754.2</v>
          </cell>
          <cell r="AV1180">
            <v>1</v>
          </cell>
          <cell r="AW1180">
            <v>1</v>
          </cell>
          <cell r="BC1180">
            <v>5.58</v>
          </cell>
          <cell r="BI1180">
            <v>1</v>
          </cell>
          <cell r="BS1180">
            <v>1</v>
          </cell>
          <cell r="DD1180"/>
          <cell r="DN1180">
            <v>0</v>
          </cell>
          <cell r="DO1180">
            <v>0</v>
          </cell>
        </row>
        <row r="1182">
          <cell r="E1182" t="str">
            <v>162</v>
          </cell>
          <cell r="F1182" t="str">
            <v>МКЭ-33-1714/7-1  14.09.2017</v>
          </cell>
          <cell r="H1182" t="str">
            <v>шт.</v>
          </cell>
          <cell r="I1182">
            <v>2</v>
          </cell>
          <cell r="X1182">
            <v>0</v>
          </cell>
          <cell r="Y1182">
            <v>0</v>
          </cell>
          <cell r="AC1182">
            <v>3091.7321999999999</v>
          </cell>
          <cell r="AE1182">
            <v>0</v>
          </cell>
          <cell r="AF1182">
            <v>0</v>
          </cell>
          <cell r="AL1182">
            <v>3031.11</v>
          </cell>
          <cell r="AV1182">
            <v>1</v>
          </cell>
          <cell r="AW1182">
            <v>1</v>
          </cell>
          <cell r="BC1182">
            <v>5.58</v>
          </cell>
          <cell r="BI1182">
            <v>1</v>
          </cell>
          <cell r="BS1182">
            <v>1</v>
          </cell>
          <cell r="DN1182">
            <v>0</v>
          </cell>
          <cell r="DO1182">
            <v>0</v>
          </cell>
        </row>
        <row r="1184">
          <cell r="E1184" t="str">
            <v>163</v>
          </cell>
          <cell r="F1184" t="str">
            <v>МКЭ-33-1005/8-1  26.07.2018</v>
          </cell>
          <cell r="H1184" t="str">
            <v>шт.</v>
          </cell>
          <cell r="I1184">
            <v>1</v>
          </cell>
          <cell r="X1184">
            <v>0</v>
          </cell>
          <cell r="Y1184">
            <v>0</v>
          </cell>
          <cell r="AC1184">
            <v>3323.2824000000001</v>
          </cell>
          <cell r="AE1184">
            <v>0</v>
          </cell>
          <cell r="AF1184">
            <v>0</v>
          </cell>
          <cell r="AL1184">
            <v>3258.12</v>
          </cell>
          <cell r="AV1184">
            <v>1</v>
          </cell>
          <cell r="AW1184">
            <v>1</v>
          </cell>
          <cell r="BC1184">
            <v>5.58</v>
          </cell>
          <cell r="BI1184">
            <v>1</v>
          </cell>
          <cell r="BS1184">
            <v>1</v>
          </cell>
          <cell r="DN1184">
            <v>0</v>
          </cell>
          <cell r="DO1184">
            <v>0</v>
          </cell>
        </row>
        <row r="1186">
          <cell r="E1186" t="str">
            <v>164</v>
          </cell>
          <cell r="F1186" t="str">
            <v>3.20-11-17</v>
          </cell>
          <cell r="H1186" t="str">
            <v>1 клапан</v>
          </cell>
          <cell r="I1186">
            <v>4</v>
          </cell>
          <cell r="P1186">
            <v>997.37</v>
          </cell>
          <cell r="Q1186">
            <v>829.97</v>
          </cell>
          <cell r="R1186">
            <v>574.74</v>
          </cell>
          <cell r="S1186">
            <v>14697.19</v>
          </cell>
          <cell r="U1186">
            <v>32.086824</v>
          </cell>
          <cell r="X1186">
            <v>14697.19</v>
          </cell>
          <cell r="Y1186">
            <v>6613.74</v>
          </cell>
          <cell r="AC1186">
            <v>37.159999999999997</v>
          </cell>
          <cell r="AE1186">
            <v>5.5585950000000004</v>
          </cell>
          <cell r="AF1186">
            <v>142.12117499999999</v>
          </cell>
          <cell r="AL1186">
            <v>37.159999999999997</v>
          </cell>
          <cell r="AM1186">
            <v>13.4</v>
          </cell>
          <cell r="AN1186">
            <v>3.17</v>
          </cell>
          <cell r="AO1186">
            <v>81.05</v>
          </cell>
          <cell r="AQ1186">
            <v>7.16</v>
          </cell>
          <cell r="AV1186">
            <v>1.0669999999999999</v>
          </cell>
          <cell r="AW1186">
            <v>1</v>
          </cell>
          <cell r="BA1186">
            <v>24.23</v>
          </cell>
          <cell r="BB1186">
            <v>9.98</v>
          </cell>
          <cell r="BC1186">
            <v>6.71</v>
          </cell>
          <cell r="BI1186">
            <v>1</v>
          </cell>
          <cell r="BS1186">
            <v>24.23</v>
          </cell>
          <cell r="BZ1186">
            <v>100</v>
          </cell>
          <cell r="CA1186">
            <v>45</v>
          </cell>
          <cell r="DD1186"/>
          <cell r="DE1186" t="str">
            <v>)*1,05</v>
          </cell>
          <cell r="DG1186" t="str">
            <v>)*1,67)*1,05</v>
          </cell>
          <cell r="DI1186" t="str">
            <v>)*1,05</v>
          </cell>
          <cell r="DN1186">
            <v>125</v>
          </cell>
          <cell r="DO1186">
            <v>94</v>
          </cell>
          <cell r="ET1186">
            <v>13.4</v>
          </cell>
          <cell r="EU1186">
            <v>3.17</v>
          </cell>
        </row>
        <row r="1196">
          <cell r="E1196" t="str">
            <v>169</v>
          </cell>
          <cell r="F1196" t="str">
            <v>МКЭ-33-1714/7-1  14.09.2017</v>
          </cell>
          <cell r="H1196" t="str">
            <v>шт.</v>
          </cell>
          <cell r="I1196">
            <v>4</v>
          </cell>
          <cell r="X1196">
            <v>0</v>
          </cell>
          <cell r="Y1196">
            <v>0</v>
          </cell>
          <cell r="AC1196">
            <v>4719.7439999999997</v>
          </cell>
          <cell r="AE1196">
            <v>0</v>
          </cell>
          <cell r="AF1196">
            <v>0</v>
          </cell>
          <cell r="AL1196">
            <v>4627.2</v>
          </cell>
          <cell r="AV1196">
            <v>1</v>
          </cell>
          <cell r="AW1196">
            <v>1</v>
          </cell>
          <cell r="BC1196">
            <v>5.58</v>
          </cell>
          <cell r="BI1196">
            <v>1</v>
          </cell>
          <cell r="BS1196">
            <v>1</v>
          </cell>
          <cell r="DN1196">
            <v>0</v>
          </cell>
          <cell r="DO1196">
            <v>0</v>
          </cell>
        </row>
        <row r="1216">
          <cell r="E1216" t="str">
            <v>179</v>
          </cell>
          <cell r="F1216" t="str">
            <v>3.20-1-2</v>
          </cell>
          <cell r="H1216" t="str">
            <v>100 м2 поверхности воздуховодов</v>
          </cell>
          <cell r="I1216">
            <v>7.3400000000000007E-2</v>
          </cell>
          <cell r="P1216">
            <v>134.18</v>
          </cell>
          <cell r="Q1216">
            <v>131.51</v>
          </cell>
          <cell r="R1216">
            <v>62.03</v>
          </cell>
          <cell r="S1216">
            <v>5524.44</v>
          </cell>
          <cell r="U1216">
            <v>12.0609412</v>
          </cell>
          <cell r="X1216">
            <v>5524.44</v>
          </cell>
          <cell r="Y1216">
            <v>2486</v>
          </cell>
          <cell r="AC1216">
            <v>499.52</v>
          </cell>
          <cell r="AE1216">
            <v>32.698599999999999</v>
          </cell>
          <cell r="AF1216">
            <v>2911.2775999999999</v>
          </cell>
          <cell r="AL1216">
            <v>499.52</v>
          </cell>
          <cell r="AM1216">
            <v>158.18</v>
          </cell>
          <cell r="AN1216">
            <v>19.579999999999998</v>
          </cell>
          <cell r="AO1216">
            <v>1743.28</v>
          </cell>
          <cell r="AQ1216">
            <v>154</v>
          </cell>
          <cell r="AV1216">
            <v>1.0669999999999999</v>
          </cell>
          <cell r="AW1216">
            <v>1</v>
          </cell>
          <cell r="BA1216">
            <v>24.23</v>
          </cell>
          <cell r="BB1216">
            <v>8.6</v>
          </cell>
          <cell r="BC1216">
            <v>3.66</v>
          </cell>
          <cell r="BI1216">
            <v>1</v>
          </cell>
          <cell r="BS1216">
            <v>24.23</v>
          </cell>
          <cell r="BZ1216">
            <v>100</v>
          </cell>
          <cell r="CA1216">
            <v>45</v>
          </cell>
          <cell r="DD1216"/>
          <cell r="DE1216"/>
          <cell r="DG1216" t="str">
            <v>)*1,67</v>
          </cell>
          <cell r="DI1216"/>
          <cell r="DN1216">
            <v>125</v>
          </cell>
          <cell r="DO1216">
            <v>94</v>
          </cell>
          <cell r="ET1216">
            <v>158.18</v>
          </cell>
          <cell r="EU1216">
            <v>19.579999999999998</v>
          </cell>
        </row>
        <row r="1218">
          <cell r="E1218" t="str">
            <v>179,1</v>
          </cell>
          <cell r="F1218" t="str">
            <v>1.19-3-12</v>
          </cell>
          <cell r="H1218" t="str">
            <v>м2</v>
          </cell>
          <cell r="I1218">
            <v>7.34</v>
          </cell>
          <cell r="O1218">
            <v>3541.25</v>
          </cell>
          <cell r="X1218">
            <v>0</v>
          </cell>
          <cell r="Y1218">
            <v>0</v>
          </cell>
          <cell r="AC1218">
            <v>125.64</v>
          </cell>
          <cell r="AE1218">
            <v>0</v>
          </cell>
          <cell r="AF1218">
            <v>0</v>
          </cell>
          <cell r="AK1218">
            <v>125.64</v>
          </cell>
          <cell r="AV1218">
            <v>1</v>
          </cell>
          <cell r="AW1218">
            <v>1</v>
          </cell>
          <cell r="BC1218">
            <v>3.84</v>
          </cell>
          <cell r="BI1218">
            <v>1</v>
          </cell>
          <cell r="BS1218">
            <v>1</v>
          </cell>
          <cell r="DN1218">
            <v>125</v>
          </cell>
          <cell r="DO1218">
            <v>94</v>
          </cell>
          <cell r="ET1218">
            <v>0</v>
          </cell>
          <cell r="EU1218">
            <v>0</v>
          </cell>
        </row>
        <row r="1220">
          <cell r="E1220" t="str">
            <v>180</v>
          </cell>
          <cell r="F1220" t="str">
            <v>3.20-1-3</v>
          </cell>
          <cell r="H1220" t="str">
            <v>100 м2 поверхности воздуховодов</v>
          </cell>
          <cell r="I1220">
            <v>1.06E-2</v>
          </cell>
          <cell r="P1220">
            <v>19.309999999999999</v>
          </cell>
          <cell r="Q1220">
            <v>15.11</v>
          </cell>
          <cell r="R1220">
            <v>7.03</v>
          </cell>
          <cell r="S1220">
            <v>730.53</v>
          </cell>
          <cell r="U1220">
            <v>1.5947382000000001</v>
          </cell>
          <cell r="X1220">
            <v>730.53</v>
          </cell>
          <cell r="Y1220">
            <v>328.74</v>
          </cell>
          <cell r="AC1220">
            <v>499.17</v>
          </cell>
          <cell r="AE1220">
            <v>25.7681</v>
          </cell>
          <cell r="AF1220">
            <v>2665.5203999999999</v>
          </cell>
          <cell r="AL1220">
            <v>499.17</v>
          </cell>
          <cell r="AM1220">
            <v>125.93</v>
          </cell>
          <cell r="AN1220">
            <v>15.43</v>
          </cell>
          <cell r="AO1220">
            <v>1596.12</v>
          </cell>
          <cell r="AQ1220">
            <v>141</v>
          </cell>
          <cell r="AV1220">
            <v>1.0669999999999999</v>
          </cell>
          <cell r="AW1220">
            <v>1</v>
          </cell>
          <cell r="BA1220">
            <v>24.23</v>
          </cell>
          <cell r="BB1220">
            <v>8.59</v>
          </cell>
          <cell r="BC1220">
            <v>3.65</v>
          </cell>
          <cell r="BI1220">
            <v>1</v>
          </cell>
          <cell r="BS1220">
            <v>24.23</v>
          </cell>
          <cell r="BZ1220">
            <v>100</v>
          </cell>
          <cell r="CA1220">
            <v>45</v>
          </cell>
          <cell r="DD1220"/>
          <cell r="DE1220"/>
          <cell r="DG1220" t="str">
            <v>)*1,67</v>
          </cell>
          <cell r="DI1220"/>
          <cell r="DN1220">
            <v>125</v>
          </cell>
          <cell r="DO1220">
            <v>94</v>
          </cell>
          <cell r="ET1220">
            <v>125.93</v>
          </cell>
          <cell r="EU1220">
            <v>15.43</v>
          </cell>
        </row>
        <row r="1222">
          <cell r="E1222" t="str">
            <v>180,1</v>
          </cell>
          <cell r="F1222" t="str">
            <v>1.19-3-12</v>
          </cell>
          <cell r="H1222" t="str">
            <v>м2</v>
          </cell>
          <cell r="I1222">
            <v>1.06</v>
          </cell>
          <cell r="O1222">
            <v>511.41</v>
          </cell>
          <cell r="X1222">
            <v>0</v>
          </cell>
          <cell r="Y1222">
            <v>0</v>
          </cell>
          <cell r="AC1222">
            <v>125.64</v>
          </cell>
          <cell r="AE1222">
            <v>0</v>
          </cell>
          <cell r="AF1222">
            <v>0</v>
          </cell>
          <cell r="AK1222">
            <v>125.64</v>
          </cell>
          <cell r="AV1222">
            <v>1</v>
          </cell>
          <cell r="AW1222">
            <v>1</v>
          </cell>
          <cell r="BC1222">
            <v>3.84</v>
          </cell>
          <cell r="BI1222">
            <v>1</v>
          </cell>
          <cell r="BS1222">
            <v>1</v>
          </cell>
          <cell r="DN1222">
            <v>125</v>
          </cell>
          <cell r="DO1222">
            <v>94</v>
          </cell>
          <cell r="ET1222">
            <v>0</v>
          </cell>
          <cell r="EU1222">
            <v>0</v>
          </cell>
        </row>
        <row r="1228">
          <cell r="E1228" t="str">
            <v>182</v>
          </cell>
          <cell r="F1228" t="str">
            <v>3.20-1-9</v>
          </cell>
          <cell r="H1228" t="str">
            <v>100 м2 поверхности воздуховодов</v>
          </cell>
          <cell r="I1228">
            <v>9.7999999999999997E-3</v>
          </cell>
          <cell r="P1228">
            <v>17.850000000000001</v>
          </cell>
          <cell r="Q1228">
            <v>14.01</v>
          </cell>
          <cell r="R1228">
            <v>6.54</v>
          </cell>
          <cell r="S1228">
            <v>675.29</v>
          </cell>
          <cell r="U1228">
            <v>1.4743805999999999</v>
          </cell>
          <cell r="X1228">
            <v>675.29</v>
          </cell>
          <cell r="Y1228">
            <v>303.88</v>
          </cell>
          <cell r="AC1228">
            <v>499.17</v>
          </cell>
          <cell r="AE1228">
            <v>25.7681</v>
          </cell>
          <cell r="AF1228">
            <v>2665.5203999999999</v>
          </cell>
          <cell r="AL1228">
            <v>499.17</v>
          </cell>
          <cell r="AM1228">
            <v>125.93</v>
          </cell>
          <cell r="AN1228">
            <v>15.43</v>
          </cell>
          <cell r="AO1228">
            <v>1596.12</v>
          </cell>
          <cell r="AQ1228">
            <v>141</v>
          </cell>
          <cell r="AV1228">
            <v>1.0669999999999999</v>
          </cell>
          <cell r="AW1228">
            <v>1</v>
          </cell>
          <cell r="BA1228">
            <v>24.23</v>
          </cell>
          <cell r="BB1228">
            <v>8.59</v>
          </cell>
          <cell r="BC1228">
            <v>3.65</v>
          </cell>
          <cell r="BI1228">
            <v>1</v>
          </cell>
          <cell r="BS1228">
            <v>24.23</v>
          </cell>
          <cell r="BZ1228">
            <v>100</v>
          </cell>
          <cell r="CA1228">
            <v>45</v>
          </cell>
          <cell r="DD1228"/>
          <cell r="DE1228"/>
          <cell r="DG1228" t="str">
            <v>)*1,67</v>
          </cell>
          <cell r="DI1228"/>
          <cell r="DN1228">
            <v>125</v>
          </cell>
          <cell r="DO1228">
            <v>94</v>
          </cell>
          <cell r="ET1228">
            <v>125.93</v>
          </cell>
          <cell r="EU1228">
            <v>15.43</v>
          </cell>
        </row>
        <row r="1230">
          <cell r="E1230" t="str">
            <v>182,1</v>
          </cell>
          <cell r="F1230" t="str">
            <v>1.19-3-12</v>
          </cell>
          <cell r="H1230" t="str">
            <v>м2</v>
          </cell>
          <cell r="I1230">
            <v>0.98</v>
          </cell>
          <cell r="O1230">
            <v>472.82</v>
          </cell>
          <cell r="X1230">
            <v>0</v>
          </cell>
          <cell r="Y1230">
            <v>0</v>
          </cell>
          <cell r="AC1230">
            <v>125.64</v>
          </cell>
          <cell r="AE1230">
            <v>0</v>
          </cell>
          <cell r="AF1230">
            <v>0</v>
          </cell>
          <cell r="AK1230">
            <v>125.64</v>
          </cell>
          <cell r="AV1230">
            <v>1</v>
          </cell>
          <cell r="AW1230">
            <v>1</v>
          </cell>
          <cell r="BC1230">
            <v>3.84</v>
          </cell>
          <cell r="BI1230">
            <v>1</v>
          </cell>
          <cell r="BS1230">
            <v>1</v>
          </cell>
          <cell r="DN1230">
            <v>125</v>
          </cell>
          <cell r="DO1230">
            <v>94</v>
          </cell>
          <cell r="ET1230">
            <v>0</v>
          </cell>
          <cell r="EU1230">
            <v>0</v>
          </cell>
        </row>
        <row r="1240">
          <cell r="E1240" t="str">
            <v>185</v>
          </cell>
          <cell r="F1240" t="str">
            <v>3.20-1-9</v>
          </cell>
          <cell r="H1240" t="str">
            <v>100 м2 поверхности воздуховодов</v>
          </cell>
          <cell r="I1240">
            <v>7.6799999999999993E-2</v>
          </cell>
          <cell r="P1240">
            <v>139.94</v>
          </cell>
          <cell r="Q1240">
            <v>109.25</v>
          </cell>
          <cell r="R1240">
            <v>51.13</v>
          </cell>
          <cell r="S1240">
            <v>5292.56</v>
          </cell>
          <cell r="U1240">
            <v>11.554329600000001</v>
          </cell>
          <cell r="X1240">
            <v>5292.56</v>
          </cell>
          <cell r="Y1240">
            <v>2381.65</v>
          </cell>
          <cell r="AC1240">
            <v>499.17</v>
          </cell>
          <cell r="AE1240">
            <v>25.7681</v>
          </cell>
          <cell r="AF1240">
            <v>2665.5203999999999</v>
          </cell>
          <cell r="AL1240">
            <v>499.17</v>
          </cell>
          <cell r="AM1240">
            <v>125.93</v>
          </cell>
          <cell r="AN1240">
            <v>15.43</v>
          </cell>
          <cell r="AO1240">
            <v>1596.12</v>
          </cell>
          <cell r="AQ1240">
            <v>141</v>
          </cell>
          <cell r="AV1240">
            <v>1.0669999999999999</v>
          </cell>
          <cell r="AW1240">
            <v>1</v>
          </cell>
          <cell r="BA1240">
            <v>24.23</v>
          </cell>
          <cell r="BB1240">
            <v>8.59</v>
          </cell>
          <cell r="BC1240">
            <v>3.65</v>
          </cell>
          <cell r="BI1240">
            <v>1</v>
          </cell>
          <cell r="BS1240">
            <v>24.23</v>
          </cell>
          <cell r="BZ1240">
            <v>100</v>
          </cell>
          <cell r="CA1240">
            <v>45</v>
          </cell>
          <cell r="DD1240"/>
          <cell r="DE1240"/>
          <cell r="DG1240" t="str">
            <v>)*1,67</v>
          </cell>
          <cell r="DI1240"/>
          <cell r="DN1240">
            <v>125</v>
          </cell>
          <cell r="DO1240">
            <v>94</v>
          </cell>
          <cell r="ET1240">
            <v>125.93</v>
          </cell>
          <cell r="EU1240">
            <v>15.43</v>
          </cell>
        </row>
        <row r="1242">
          <cell r="E1242" t="str">
            <v>185,1</v>
          </cell>
          <cell r="F1242" t="str">
            <v>1.19-3-12</v>
          </cell>
          <cell r="H1242" t="str">
            <v>м2</v>
          </cell>
          <cell r="I1242">
            <v>7.68</v>
          </cell>
          <cell r="O1242">
            <v>3705.29</v>
          </cell>
          <cell r="X1242">
            <v>0</v>
          </cell>
          <cell r="Y1242">
            <v>0</v>
          </cell>
          <cell r="AC1242">
            <v>125.64</v>
          </cell>
          <cell r="AE1242">
            <v>0</v>
          </cell>
          <cell r="AF1242">
            <v>0</v>
          </cell>
          <cell r="AK1242">
            <v>125.64</v>
          </cell>
          <cell r="AV1242">
            <v>1</v>
          </cell>
          <cell r="AW1242">
            <v>1</v>
          </cell>
          <cell r="BC1242">
            <v>3.84</v>
          </cell>
          <cell r="BI1242">
            <v>1</v>
          </cell>
          <cell r="BS1242">
            <v>1</v>
          </cell>
          <cell r="DN1242">
            <v>125</v>
          </cell>
          <cell r="DO1242">
            <v>94</v>
          </cell>
          <cell r="ET1242">
            <v>0</v>
          </cell>
          <cell r="EU1242">
            <v>0</v>
          </cell>
        </row>
        <row r="1244">
          <cell r="E1244" t="str">
            <v>186</v>
          </cell>
          <cell r="F1244" t="str">
            <v>3.20-1-10</v>
          </cell>
          <cell r="H1244" t="str">
            <v>100 м2 поверхности воздуховодов</v>
          </cell>
          <cell r="I1244">
            <v>0.2208</v>
          </cell>
          <cell r="P1244">
            <v>553.52</v>
          </cell>
          <cell r="Q1244">
            <v>290.89999999999998</v>
          </cell>
          <cell r="R1244">
            <v>136.16999999999999</v>
          </cell>
          <cell r="S1244">
            <v>13165.61</v>
          </cell>
          <cell r="U1244">
            <v>28.742419200000001</v>
          </cell>
          <cell r="X1244">
            <v>13165.61</v>
          </cell>
          <cell r="Y1244">
            <v>5924.52</v>
          </cell>
          <cell r="AC1244">
            <v>599.72</v>
          </cell>
          <cell r="AE1244">
            <v>23.8643</v>
          </cell>
          <cell r="AF1244">
            <v>2306.3368</v>
          </cell>
          <cell r="AL1244">
            <v>599.72</v>
          </cell>
          <cell r="AM1244">
            <v>116.7</v>
          </cell>
          <cell r="AN1244">
            <v>14.29</v>
          </cell>
          <cell r="AO1244">
            <v>1381.04</v>
          </cell>
          <cell r="AQ1244">
            <v>122</v>
          </cell>
          <cell r="AV1244">
            <v>1.0669999999999999</v>
          </cell>
          <cell r="AW1244">
            <v>1</v>
          </cell>
          <cell r="BA1244">
            <v>24.23</v>
          </cell>
          <cell r="BB1244">
            <v>8.59</v>
          </cell>
          <cell r="BC1244">
            <v>4.18</v>
          </cell>
          <cell r="BI1244">
            <v>1</v>
          </cell>
          <cell r="BS1244">
            <v>24.23</v>
          </cell>
          <cell r="BZ1244">
            <v>100</v>
          </cell>
          <cell r="CA1244">
            <v>45</v>
          </cell>
          <cell r="DD1244"/>
          <cell r="DE1244"/>
          <cell r="DG1244" t="str">
            <v>)*1,67</v>
          </cell>
          <cell r="DI1244"/>
          <cell r="DN1244">
            <v>125</v>
          </cell>
          <cell r="DO1244">
            <v>94</v>
          </cell>
          <cell r="ET1244">
            <v>116.7</v>
          </cell>
          <cell r="EU1244">
            <v>14.29</v>
          </cell>
        </row>
        <row r="1246">
          <cell r="E1246" t="str">
            <v>186,1</v>
          </cell>
          <cell r="F1246" t="str">
            <v>1.19-3-13</v>
          </cell>
          <cell r="H1246" t="str">
            <v>м2</v>
          </cell>
          <cell r="I1246">
            <v>22.08</v>
          </cell>
          <cell r="O1246">
            <v>10678.93</v>
          </cell>
          <cell r="X1246">
            <v>0</v>
          </cell>
          <cell r="Y1246">
            <v>0</v>
          </cell>
          <cell r="AC1246">
            <v>157.54</v>
          </cell>
          <cell r="AE1246">
            <v>0</v>
          </cell>
          <cell r="AF1246">
            <v>0</v>
          </cell>
          <cell r="AK1246">
            <v>157.54</v>
          </cell>
          <cell r="AV1246">
            <v>1</v>
          </cell>
          <cell r="AW1246">
            <v>1</v>
          </cell>
          <cell r="BC1246">
            <v>3.07</v>
          </cell>
          <cell r="BI1246">
            <v>1</v>
          </cell>
          <cell r="BS1246">
            <v>1</v>
          </cell>
          <cell r="DN1246">
            <v>125</v>
          </cell>
          <cell r="DO1246">
            <v>94</v>
          </cell>
          <cell r="ET1246">
            <v>0</v>
          </cell>
          <cell r="EU1246">
            <v>0</v>
          </cell>
        </row>
        <row r="1256">
          <cell r="E1256" t="str">
            <v>189</v>
          </cell>
          <cell r="F1256" t="str">
            <v>3.20-1-11</v>
          </cell>
          <cell r="H1256" t="str">
            <v>100 м2 поверхности воздуховодов</v>
          </cell>
          <cell r="I1256">
            <v>0.26700000000000002</v>
          </cell>
          <cell r="P1256">
            <v>362.08</v>
          </cell>
          <cell r="Q1256">
            <v>263.74</v>
          </cell>
          <cell r="R1256">
            <v>123.33</v>
          </cell>
          <cell r="S1256">
            <v>11979.55</v>
          </cell>
          <cell r="U1256">
            <v>26.152810200000001</v>
          </cell>
          <cell r="X1256">
            <v>11979.55</v>
          </cell>
          <cell r="Y1256">
            <v>5390.8</v>
          </cell>
          <cell r="AC1256">
            <v>409.71</v>
          </cell>
          <cell r="AE1256">
            <v>17.8523</v>
          </cell>
          <cell r="AF1256">
            <v>1735.4305999999999</v>
          </cell>
          <cell r="AL1256">
            <v>409.71</v>
          </cell>
          <cell r="AM1256">
            <v>87.46</v>
          </cell>
          <cell r="AN1256">
            <v>10.69</v>
          </cell>
          <cell r="AO1256">
            <v>1039.18</v>
          </cell>
          <cell r="AQ1256">
            <v>91.8</v>
          </cell>
          <cell r="AV1256">
            <v>1.0669999999999999</v>
          </cell>
          <cell r="AW1256">
            <v>1</v>
          </cell>
          <cell r="BA1256">
            <v>24.23</v>
          </cell>
          <cell r="BB1256">
            <v>8.6</v>
          </cell>
          <cell r="BC1256">
            <v>3.31</v>
          </cell>
          <cell r="BI1256">
            <v>1</v>
          </cell>
          <cell r="BS1256">
            <v>24.23</v>
          </cell>
          <cell r="BZ1256">
            <v>100</v>
          </cell>
          <cell r="CA1256">
            <v>45</v>
          </cell>
          <cell r="DD1256"/>
          <cell r="DE1256"/>
          <cell r="DG1256" t="str">
            <v>)*1,67</v>
          </cell>
          <cell r="DI1256"/>
          <cell r="DN1256">
            <v>125</v>
          </cell>
          <cell r="DO1256">
            <v>94</v>
          </cell>
          <cell r="ET1256">
            <v>87.46</v>
          </cell>
          <cell r="EU1256">
            <v>10.69</v>
          </cell>
        </row>
        <row r="1258">
          <cell r="E1258" t="str">
            <v>189,1</v>
          </cell>
          <cell r="F1258" t="str">
            <v>1.19-3-13</v>
          </cell>
          <cell r="H1258" t="str">
            <v>м2</v>
          </cell>
          <cell r="I1258">
            <v>26.7</v>
          </cell>
          <cell r="O1258">
            <v>12913.4</v>
          </cell>
          <cell r="X1258">
            <v>0</v>
          </cell>
          <cell r="Y1258">
            <v>0</v>
          </cell>
          <cell r="AC1258">
            <v>157.54</v>
          </cell>
          <cell r="AE1258">
            <v>0</v>
          </cell>
          <cell r="AF1258">
            <v>0</v>
          </cell>
          <cell r="AK1258">
            <v>157.54</v>
          </cell>
          <cell r="AV1258">
            <v>1</v>
          </cell>
          <cell r="AW1258">
            <v>1</v>
          </cell>
          <cell r="BC1258">
            <v>3.07</v>
          </cell>
          <cell r="BI1258">
            <v>1</v>
          </cell>
          <cell r="BS1258">
            <v>1</v>
          </cell>
          <cell r="DN1258">
            <v>125</v>
          </cell>
          <cell r="DO1258">
            <v>94</v>
          </cell>
          <cell r="ET1258">
            <v>0</v>
          </cell>
          <cell r="EU1258">
            <v>0</v>
          </cell>
        </row>
        <row r="1260">
          <cell r="E1260" t="str">
            <v>190</v>
          </cell>
          <cell r="F1260" t="str">
            <v>3.20-1-12</v>
          </cell>
          <cell r="H1260" t="str">
            <v>100 м2 поверхности воздуховодов</v>
          </cell>
          <cell r="I1260">
            <v>1.23E-2</v>
          </cell>
          <cell r="P1260">
            <v>23.64</v>
          </cell>
          <cell r="Q1260">
            <v>12.91</v>
          </cell>
          <cell r="R1260">
            <v>6.06</v>
          </cell>
          <cell r="S1260">
            <v>446.07</v>
          </cell>
          <cell r="U1260">
            <v>0.97380822</v>
          </cell>
          <cell r="X1260">
            <v>446.07</v>
          </cell>
          <cell r="Y1260">
            <v>200.73</v>
          </cell>
          <cell r="AC1260">
            <v>490.65</v>
          </cell>
          <cell r="AE1260">
            <v>18.937799999999999</v>
          </cell>
          <cell r="AF1260">
            <v>1402.6998000000001</v>
          </cell>
          <cell r="AL1260">
            <v>490.65</v>
          </cell>
          <cell r="AM1260">
            <v>92.82</v>
          </cell>
          <cell r="AN1260">
            <v>11.34</v>
          </cell>
          <cell r="AO1260">
            <v>839.94</v>
          </cell>
          <cell r="AQ1260">
            <v>74.2</v>
          </cell>
          <cell r="AV1260">
            <v>1.0669999999999999</v>
          </cell>
          <cell r="AW1260">
            <v>1</v>
          </cell>
          <cell r="BA1260">
            <v>24.23</v>
          </cell>
          <cell r="BB1260">
            <v>8.6</v>
          </cell>
          <cell r="BC1260">
            <v>3.92</v>
          </cell>
          <cell r="BI1260">
            <v>1</v>
          </cell>
          <cell r="BS1260">
            <v>24.23</v>
          </cell>
          <cell r="BZ1260">
            <v>100</v>
          </cell>
          <cell r="CA1260">
            <v>45</v>
          </cell>
          <cell r="DD1260"/>
          <cell r="DE1260"/>
          <cell r="DG1260" t="str">
            <v>)*1,67</v>
          </cell>
          <cell r="DI1260"/>
          <cell r="DN1260">
            <v>125</v>
          </cell>
          <cell r="DO1260">
            <v>94</v>
          </cell>
          <cell r="ET1260">
            <v>92.82</v>
          </cell>
          <cell r="EU1260">
            <v>11.34</v>
          </cell>
        </row>
        <row r="1262">
          <cell r="E1262" t="str">
            <v>190,1</v>
          </cell>
          <cell r="F1262" t="str">
            <v>1.19-3-13</v>
          </cell>
          <cell r="H1262" t="str">
            <v>м2</v>
          </cell>
          <cell r="I1262">
            <v>1.23</v>
          </cell>
          <cell r="O1262">
            <v>594.87</v>
          </cell>
          <cell r="X1262">
            <v>0</v>
          </cell>
          <cell r="Y1262">
            <v>0</v>
          </cell>
          <cell r="AC1262">
            <v>157.54</v>
          </cell>
          <cell r="AE1262">
            <v>0</v>
          </cell>
          <cell r="AF1262">
            <v>0</v>
          </cell>
          <cell r="AK1262">
            <v>157.54</v>
          </cell>
          <cell r="AV1262">
            <v>1</v>
          </cell>
          <cell r="AW1262">
            <v>1</v>
          </cell>
          <cell r="BC1262">
            <v>3.07</v>
          </cell>
          <cell r="BI1262">
            <v>1</v>
          </cell>
          <cell r="BS1262">
            <v>1</v>
          </cell>
          <cell r="DN1262">
            <v>125</v>
          </cell>
          <cell r="DO1262">
            <v>94</v>
          </cell>
          <cell r="ET1262">
            <v>0</v>
          </cell>
          <cell r="EU1262">
            <v>0</v>
          </cell>
        </row>
        <row r="1268">
          <cell r="E1268" t="str">
            <v>192</v>
          </cell>
          <cell r="F1268" t="str">
            <v>3.20-1-15</v>
          </cell>
          <cell r="H1268" t="str">
            <v>100 м2 поверхности воздуховодов</v>
          </cell>
          <cell r="I1268">
            <v>1.0500000000000001E-2</v>
          </cell>
          <cell r="P1268">
            <v>20.76</v>
          </cell>
          <cell r="Q1268">
            <v>10.81</v>
          </cell>
          <cell r="R1268">
            <v>5.09</v>
          </cell>
          <cell r="S1268">
            <v>324.44</v>
          </cell>
          <cell r="U1268">
            <v>0.69909840000000001</v>
          </cell>
          <cell r="X1268">
            <v>324.44</v>
          </cell>
          <cell r="Y1268">
            <v>146</v>
          </cell>
          <cell r="AC1268">
            <v>516.49</v>
          </cell>
          <cell r="AE1268">
            <v>18.436800000000002</v>
          </cell>
          <cell r="AF1268">
            <v>1195.2691</v>
          </cell>
          <cell r="AL1268">
            <v>516.49</v>
          </cell>
          <cell r="AM1268">
            <v>92.5</v>
          </cell>
          <cell r="AN1268">
            <v>11.04</v>
          </cell>
          <cell r="AO1268">
            <v>715.73</v>
          </cell>
          <cell r="AQ1268">
            <v>62.4</v>
          </cell>
          <cell r="AV1268">
            <v>1.0669999999999999</v>
          </cell>
          <cell r="AW1268">
            <v>1</v>
          </cell>
          <cell r="BA1268">
            <v>24.23</v>
          </cell>
          <cell r="BB1268">
            <v>8.5299999999999994</v>
          </cell>
          <cell r="BC1268">
            <v>3.83</v>
          </cell>
          <cell r="BI1268">
            <v>1</v>
          </cell>
          <cell r="BS1268">
            <v>24.23</v>
          </cell>
          <cell r="BZ1268">
            <v>100</v>
          </cell>
          <cell r="CA1268">
            <v>45</v>
          </cell>
          <cell r="DD1268"/>
          <cell r="DE1268"/>
          <cell r="DG1268" t="str">
            <v>)*1,67</v>
          </cell>
          <cell r="DI1268"/>
          <cell r="DN1268">
            <v>125</v>
          </cell>
          <cell r="DO1268">
            <v>94</v>
          </cell>
          <cell r="ET1268">
            <v>92.5</v>
          </cell>
          <cell r="EU1268">
            <v>11.04</v>
          </cell>
        </row>
        <row r="1272">
          <cell r="E1272" t="str">
            <v>192,2</v>
          </cell>
          <cell r="F1272" t="str">
            <v>1.19-3-14</v>
          </cell>
          <cell r="H1272" t="str">
            <v>м2</v>
          </cell>
          <cell r="I1272">
            <v>1.05</v>
          </cell>
          <cell r="O1272">
            <v>507.13</v>
          </cell>
          <cell r="X1272">
            <v>0</v>
          </cell>
          <cell r="Y1272">
            <v>0</v>
          </cell>
          <cell r="AC1272">
            <v>159.4</v>
          </cell>
          <cell r="AE1272">
            <v>0</v>
          </cell>
          <cell r="AF1272">
            <v>0</v>
          </cell>
          <cell r="AK1272">
            <v>159.4</v>
          </cell>
          <cell r="AV1272">
            <v>1</v>
          </cell>
          <cell r="AW1272">
            <v>1</v>
          </cell>
          <cell r="BC1272">
            <v>3.03</v>
          </cell>
          <cell r="BI1272">
            <v>1</v>
          </cell>
          <cell r="BS1272">
            <v>1</v>
          </cell>
          <cell r="DN1272">
            <v>125</v>
          </cell>
          <cell r="DO1272">
            <v>94</v>
          </cell>
          <cell r="ET1272">
            <v>0</v>
          </cell>
          <cell r="EU1272">
            <v>0</v>
          </cell>
        </row>
        <row r="1278">
          <cell r="E1278" t="str">
            <v>194</v>
          </cell>
          <cell r="F1278" t="str">
            <v>3.20-1-9</v>
          </cell>
          <cell r="H1278" t="str">
            <v>100 м2 поверхности воздуховодов</v>
          </cell>
          <cell r="I1278">
            <v>0.33489999999999998</v>
          </cell>
          <cell r="P1278">
            <v>610.16999999999996</v>
          </cell>
          <cell r="Q1278">
            <v>475.96</v>
          </cell>
          <cell r="R1278">
            <v>223.16</v>
          </cell>
          <cell r="S1278">
            <v>23078.83</v>
          </cell>
          <cell r="U1278">
            <v>50.384700299999999</v>
          </cell>
          <cell r="X1278">
            <v>23078.83</v>
          </cell>
          <cell r="Y1278">
            <v>10385.469999999999</v>
          </cell>
          <cell r="AC1278">
            <v>499.17</v>
          </cell>
          <cell r="AE1278">
            <v>25.7681</v>
          </cell>
          <cell r="AF1278">
            <v>2665.5203999999999</v>
          </cell>
          <cell r="AL1278">
            <v>499.17</v>
          </cell>
          <cell r="AM1278">
            <v>125.93</v>
          </cell>
          <cell r="AN1278">
            <v>15.43</v>
          </cell>
          <cell r="AO1278">
            <v>1596.12</v>
          </cell>
          <cell r="AQ1278">
            <v>141</v>
          </cell>
          <cell r="AV1278">
            <v>1.0669999999999999</v>
          </cell>
          <cell r="AW1278">
            <v>1</v>
          </cell>
          <cell r="BA1278">
            <v>24.23</v>
          </cell>
          <cell r="BB1278">
            <v>8.59</v>
          </cell>
          <cell r="BC1278">
            <v>3.65</v>
          </cell>
          <cell r="BI1278">
            <v>1</v>
          </cell>
          <cell r="BS1278">
            <v>24.23</v>
          </cell>
          <cell r="BZ1278">
            <v>100</v>
          </cell>
          <cell r="CA1278">
            <v>45</v>
          </cell>
          <cell r="DD1278"/>
          <cell r="DE1278"/>
          <cell r="DG1278" t="str">
            <v>)*1,67</v>
          </cell>
          <cell r="DI1278"/>
          <cell r="DN1278">
            <v>125</v>
          </cell>
          <cell r="DO1278">
            <v>94</v>
          </cell>
          <cell r="ET1278">
            <v>125.93</v>
          </cell>
          <cell r="EU1278">
            <v>15.43</v>
          </cell>
        </row>
        <row r="1280">
          <cell r="E1280" t="str">
            <v>194,1</v>
          </cell>
          <cell r="F1280" t="str">
            <v>1.19-3-12</v>
          </cell>
          <cell r="H1280" t="str">
            <v>м2</v>
          </cell>
          <cell r="I1280">
            <v>33.49</v>
          </cell>
          <cell r="O1280">
            <v>16157.49</v>
          </cell>
          <cell r="X1280">
            <v>0</v>
          </cell>
          <cell r="Y1280">
            <v>0</v>
          </cell>
          <cell r="AC1280">
            <v>125.64</v>
          </cell>
          <cell r="AE1280">
            <v>0</v>
          </cell>
          <cell r="AF1280">
            <v>0</v>
          </cell>
          <cell r="AK1280">
            <v>125.64</v>
          </cell>
          <cell r="AV1280">
            <v>1</v>
          </cell>
          <cell r="AW1280">
            <v>1</v>
          </cell>
          <cell r="BC1280">
            <v>3.84</v>
          </cell>
          <cell r="BI1280">
            <v>1</v>
          </cell>
          <cell r="BS1280">
            <v>1</v>
          </cell>
          <cell r="DN1280">
            <v>125</v>
          </cell>
          <cell r="DO1280">
            <v>94</v>
          </cell>
          <cell r="ET1280">
            <v>0</v>
          </cell>
          <cell r="EU1280">
            <v>0</v>
          </cell>
        </row>
        <row r="1282">
          <cell r="E1282" t="str">
            <v>195</v>
          </cell>
          <cell r="F1282" t="str">
            <v>3.20-1-10</v>
          </cell>
          <cell r="H1282" t="str">
            <v>100 м2 поверхности воздуховодов</v>
          </cell>
          <cell r="I1282">
            <v>3.8100000000000002E-2</v>
          </cell>
          <cell r="P1282">
            <v>95.51</v>
          </cell>
          <cell r="Q1282">
            <v>50.17</v>
          </cell>
          <cell r="R1282">
            <v>23.5</v>
          </cell>
          <cell r="S1282">
            <v>2271.8000000000002</v>
          </cell>
          <cell r="U1282">
            <v>4.9596293999999999</v>
          </cell>
          <cell r="X1282">
            <v>2271.8000000000002</v>
          </cell>
          <cell r="Y1282">
            <v>1022.31</v>
          </cell>
          <cell r="AC1282">
            <v>599.72</v>
          </cell>
          <cell r="AE1282">
            <v>23.8643</v>
          </cell>
          <cell r="AF1282">
            <v>2306.3368</v>
          </cell>
          <cell r="AL1282">
            <v>599.72</v>
          </cell>
          <cell r="AM1282">
            <v>116.7</v>
          </cell>
          <cell r="AN1282">
            <v>14.29</v>
          </cell>
          <cell r="AO1282">
            <v>1381.04</v>
          </cell>
          <cell r="AQ1282">
            <v>122</v>
          </cell>
          <cell r="AV1282">
            <v>1.0669999999999999</v>
          </cell>
          <cell r="AW1282">
            <v>1</v>
          </cell>
          <cell r="BA1282">
            <v>24.23</v>
          </cell>
          <cell r="BB1282">
            <v>8.59</v>
          </cell>
          <cell r="BC1282">
            <v>4.18</v>
          </cell>
          <cell r="BI1282">
            <v>1</v>
          </cell>
          <cell r="BS1282">
            <v>24.23</v>
          </cell>
          <cell r="BZ1282">
            <v>100</v>
          </cell>
          <cell r="CA1282">
            <v>45</v>
          </cell>
          <cell r="DD1282"/>
          <cell r="DE1282"/>
          <cell r="DG1282" t="str">
            <v>)*1,67</v>
          </cell>
          <cell r="DI1282"/>
          <cell r="DN1282">
            <v>125</v>
          </cell>
          <cell r="DO1282">
            <v>94</v>
          </cell>
          <cell r="ET1282">
            <v>116.7</v>
          </cell>
          <cell r="EU1282">
            <v>14.29</v>
          </cell>
        </row>
        <row r="1284">
          <cell r="E1284" t="str">
            <v>195,1</v>
          </cell>
          <cell r="F1284" t="str">
            <v>1.19-3-13</v>
          </cell>
          <cell r="H1284" t="str">
            <v>м2</v>
          </cell>
          <cell r="I1284">
            <v>3.81</v>
          </cell>
          <cell r="O1284">
            <v>1842.71</v>
          </cell>
          <cell r="X1284">
            <v>0</v>
          </cell>
          <cell r="Y1284">
            <v>0</v>
          </cell>
          <cell r="AC1284">
            <v>157.54</v>
          </cell>
          <cell r="AE1284">
            <v>0</v>
          </cell>
          <cell r="AF1284">
            <v>0</v>
          </cell>
          <cell r="AK1284">
            <v>157.54</v>
          </cell>
          <cell r="AV1284">
            <v>1</v>
          </cell>
          <cell r="AW1284">
            <v>1</v>
          </cell>
          <cell r="BC1284">
            <v>3.07</v>
          </cell>
          <cell r="BI1284">
            <v>1</v>
          </cell>
          <cell r="BS1284">
            <v>1</v>
          </cell>
          <cell r="DN1284">
            <v>125</v>
          </cell>
          <cell r="DO1284">
            <v>94</v>
          </cell>
          <cell r="ET1284">
            <v>0</v>
          </cell>
          <cell r="EU1284">
            <v>0</v>
          </cell>
        </row>
        <row r="1286">
          <cell r="E1286" t="str">
            <v>196</v>
          </cell>
          <cell r="F1286" t="str">
            <v>3.20-1-11</v>
          </cell>
          <cell r="H1286" t="str">
            <v>100 м2 поверхности воздуховодов</v>
          </cell>
          <cell r="I1286">
            <v>4.3999999999999997E-2</v>
          </cell>
          <cell r="P1286">
            <v>59.68</v>
          </cell>
          <cell r="Q1286">
            <v>43.59</v>
          </cell>
          <cell r="R1286">
            <v>20.350000000000001</v>
          </cell>
          <cell r="S1286">
            <v>1974.02</v>
          </cell>
          <cell r="U1286">
            <v>4.3098264000000004</v>
          </cell>
          <cell r="X1286">
            <v>1974.02</v>
          </cell>
          <cell r="Y1286">
            <v>888.31</v>
          </cell>
          <cell r="AC1286">
            <v>409.71</v>
          </cell>
          <cell r="AE1286">
            <v>17.8523</v>
          </cell>
          <cell r="AF1286">
            <v>1735.4305999999999</v>
          </cell>
          <cell r="AL1286">
            <v>409.71</v>
          </cell>
          <cell r="AM1286">
            <v>87.46</v>
          </cell>
          <cell r="AN1286">
            <v>10.69</v>
          </cell>
          <cell r="AO1286">
            <v>1039.18</v>
          </cell>
          <cell r="AQ1286">
            <v>91.8</v>
          </cell>
          <cell r="AV1286">
            <v>1.0669999999999999</v>
          </cell>
          <cell r="AW1286">
            <v>1</v>
          </cell>
          <cell r="BA1286">
            <v>24.23</v>
          </cell>
          <cell r="BB1286">
            <v>8.6</v>
          </cell>
          <cell r="BC1286">
            <v>3.31</v>
          </cell>
          <cell r="BI1286">
            <v>1</v>
          </cell>
          <cell r="BS1286">
            <v>24.23</v>
          </cell>
          <cell r="BZ1286">
            <v>100</v>
          </cell>
          <cell r="CA1286">
            <v>45</v>
          </cell>
          <cell r="DD1286"/>
          <cell r="DE1286"/>
          <cell r="DG1286" t="str">
            <v>)*1,67</v>
          </cell>
          <cell r="DI1286"/>
          <cell r="DN1286">
            <v>125</v>
          </cell>
          <cell r="DO1286">
            <v>94</v>
          </cell>
          <cell r="ET1286">
            <v>87.46</v>
          </cell>
          <cell r="EU1286">
            <v>10.69</v>
          </cell>
        </row>
        <row r="1288">
          <cell r="E1288" t="str">
            <v>196,1</v>
          </cell>
          <cell r="F1288" t="str">
            <v>1.19-3-13</v>
          </cell>
          <cell r="H1288" t="str">
            <v>м2</v>
          </cell>
          <cell r="I1288">
            <v>4.4000000000000004</v>
          </cell>
          <cell r="O1288">
            <v>2128.06</v>
          </cell>
          <cell r="X1288">
            <v>0</v>
          </cell>
          <cell r="Y1288">
            <v>0</v>
          </cell>
          <cell r="AC1288">
            <v>157.54</v>
          </cell>
          <cell r="AE1288">
            <v>0</v>
          </cell>
          <cell r="AF1288">
            <v>0</v>
          </cell>
          <cell r="AK1288">
            <v>157.54</v>
          </cell>
          <cell r="AV1288">
            <v>1</v>
          </cell>
          <cell r="AW1288">
            <v>1</v>
          </cell>
          <cell r="BC1288">
            <v>3.07</v>
          </cell>
          <cell r="BI1288">
            <v>1</v>
          </cell>
          <cell r="BS1288">
            <v>1</v>
          </cell>
          <cell r="DN1288">
            <v>125</v>
          </cell>
          <cell r="DO1288">
            <v>94</v>
          </cell>
          <cell r="ET1288">
            <v>0</v>
          </cell>
          <cell r="EU1288">
            <v>0</v>
          </cell>
        </row>
        <row r="1316">
          <cell r="E1316" t="str">
            <v>204</v>
          </cell>
          <cell r="F1316" t="str">
            <v>МКЭ-33-355/9-1  21.03.2019</v>
          </cell>
          <cell r="H1316" t="str">
            <v>м2</v>
          </cell>
          <cell r="I1316">
            <v>73.58</v>
          </cell>
          <cell r="X1316">
            <v>0</v>
          </cell>
          <cell r="Y1316">
            <v>0</v>
          </cell>
          <cell r="AC1316">
            <v>33.81</v>
          </cell>
          <cell r="AE1316">
            <v>0</v>
          </cell>
          <cell r="AF1316">
            <v>0</v>
          </cell>
          <cell r="AL1316">
            <v>33.81</v>
          </cell>
          <cell r="AV1316">
            <v>1</v>
          </cell>
          <cell r="AW1316">
            <v>1</v>
          </cell>
          <cell r="BC1316">
            <v>5.58</v>
          </cell>
          <cell r="BI1316">
            <v>1</v>
          </cell>
          <cell r="BS1316">
            <v>1</v>
          </cell>
          <cell r="DD1316"/>
          <cell r="DN1316">
            <v>0</v>
          </cell>
          <cell r="DO1316">
            <v>0</v>
          </cell>
        </row>
        <row r="1318">
          <cell r="E1318" t="str">
            <v>205</v>
          </cell>
          <cell r="F1318" t="str">
            <v>МКЭ-28-2296/6-10 14.06.2018</v>
          </cell>
          <cell r="H1318" t="str">
            <v>м2</v>
          </cell>
          <cell r="I1318">
            <v>3.56</v>
          </cell>
          <cell r="X1318">
            <v>0</v>
          </cell>
          <cell r="Y1318">
            <v>0</v>
          </cell>
          <cell r="AC1318">
            <v>38.897736999999999</v>
          </cell>
          <cell r="AE1318">
            <v>0</v>
          </cell>
          <cell r="AF1318">
            <v>0</v>
          </cell>
          <cell r="AL1318">
            <v>38.135036496350402</v>
          </cell>
          <cell r="AV1318">
            <v>1</v>
          </cell>
          <cell r="AW1318">
            <v>1</v>
          </cell>
          <cell r="BC1318">
            <v>5.48</v>
          </cell>
          <cell r="BI1318">
            <v>1</v>
          </cell>
          <cell r="BS1318">
            <v>1</v>
          </cell>
          <cell r="DD1318" t="str">
            <v>*1,02</v>
          </cell>
          <cell r="DN1318">
            <v>0</v>
          </cell>
          <cell r="DO1318">
            <v>0</v>
          </cell>
        </row>
        <row r="1357">
          <cell r="G1357" t="str">
            <v>В2-35</v>
          </cell>
        </row>
        <row r="2396">
          <cell r="G2396" t="str">
            <v>48961-ТПК_5-0786-Р-ССР2 изм. 1.1 12-4017-Л-Р-11.5.3-ОВ-СМ1К Станционный комплекс Аминьевское шоссе. Инженерные системы ТПП. Отопление, вентиляция, кондиционирование, дымоудаление</v>
          </cell>
        </row>
      </sheetData>
      <sheetData sheetId="2" refreshError="1"/>
      <sheetData sheetId="3" refreshError="1"/>
      <sheetData sheetId="4" refreshError="1"/>
    </sheetDataSet>
  </externalBook>
</externalLink>
</file>

<file path=xl/externalLinks/externalLink9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Акт КС-2 по ТСН-2001"/>
      <sheetName val="Source"/>
      <sheetName val="SourceObSm"/>
      <sheetName val="SmtRes"/>
      <sheetName val="EtalonRes"/>
    </sheetNames>
    <sheetDataSet>
      <sheetData sheetId="0" refreshError="1"/>
      <sheetData sheetId="1">
        <row r="1016">
          <cell r="G1016" t="str">
            <v>В2-35</v>
          </cell>
        </row>
        <row r="1122">
          <cell r="E1122" t="str">
            <v>134</v>
          </cell>
          <cell r="F1122" t="str">
            <v>3.20-12-6</v>
          </cell>
          <cell r="H1122" t="str">
            <v>1  ШТ.</v>
          </cell>
          <cell r="I1122">
            <v>8</v>
          </cell>
          <cell r="P1122">
            <v>335.89</v>
          </cell>
          <cell r="Q1122">
            <v>80.42</v>
          </cell>
          <cell r="R1122">
            <v>48.46</v>
          </cell>
          <cell r="S1122">
            <v>4307.12</v>
          </cell>
          <cell r="U1122">
            <v>9.0481599999999993</v>
          </cell>
          <cell r="X1122">
            <v>4307.12</v>
          </cell>
          <cell r="Y1122">
            <v>1938.2</v>
          </cell>
          <cell r="AC1122">
            <v>16.53</v>
          </cell>
          <cell r="AE1122">
            <v>0.23380000000000001</v>
          </cell>
          <cell r="AF1122">
            <v>20.8249</v>
          </cell>
          <cell r="AL1122">
            <v>16.53</v>
          </cell>
          <cell r="AM1122">
            <v>0.77</v>
          </cell>
          <cell r="AN1122">
            <v>0.14000000000000001</v>
          </cell>
          <cell r="AO1122">
            <v>12.47</v>
          </cell>
          <cell r="AQ1122">
            <v>1.06</v>
          </cell>
          <cell r="AV1122">
            <v>1.0669999999999999</v>
          </cell>
          <cell r="AW1122">
            <v>1</v>
          </cell>
          <cell r="BA1122">
            <v>24.23</v>
          </cell>
          <cell r="BB1122">
            <v>9.2899999999999991</v>
          </cell>
          <cell r="BC1122">
            <v>2.54</v>
          </cell>
          <cell r="BI1122">
            <v>1</v>
          </cell>
          <cell r="BS1122">
            <v>24.23</v>
          </cell>
          <cell r="BZ1122">
            <v>100</v>
          </cell>
          <cell r="CA1122">
            <v>45</v>
          </cell>
          <cell r="DD1122"/>
          <cell r="DE1122"/>
          <cell r="DG1122" t="str">
            <v>)*1,67</v>
          </cell>
          <cell r="DI1122"/>
          <cell r="DN1122">
            <v>125</v>
          </cell>
          <cell r="DO1122">
            <v>94</v>
          </cell>
          <cell r="ET1122">
            <v>0.77</v>
          </cell>
          <cell r="EU1122">
            <v>0.14000000000000001</v>
          </cell>
        </row>
        <row r="1128">
          <cell r="E1128" t="str">
            <v>135</v>
          </cell>
          <cell r="F1128" t="str">
            <v>1.19-6-75</v>
          </cell>
          <cell r="H1128" t="str">
            <v>шт.</v>
          </cell>
          <cell r="I1128">
            <v>8</v>
          </cell>
          <cell r="P1128">
            <v>7262.33</v>
          </cell>
          <cell r="X1128">
            <v>0</v>
          </cell>
          <cell r="Y1128">
            <v>0</v>
          </cell>
          <cell r="AC1128">
            <v>258.63</v>
          </cell>
          <cell r="AE1128">
            <v>0</v>
          </cell>
          <cell r="AF1128">
            <v>0</v>
          </cell>
          <cell r="AL1128">
            <v>258.63</v>
          </cell>
          <cell r="AV1128">
            <v>1</v>
          </cell>
          <cell r="AW1128">
            <v>1</v>
          </cell>
          <cell r="BC1128">
            <v>3.51</v>
          </cell>
          <cell r="BI1128">
            <v>1</v>
          </cell>
          <cell r="BS1128">
            <v>1</v>
          </cell>
          <cell r="DD1128"/>
          <cell r="DN1128">
            <v>0</v>
          </cell>
          <cell r="DO1128">
            <v>0</v>
          </cell>
        </row>
        <row r="1152">
          <cell r="E1152" t="str">
            <v>147</v>
          </cell>
          <cell r="F1152" t="str">
            <v>3.20-11-15</v>
          </cell>
          <cell r="H1152" t="str">
            <v>1 клапан</v>
          </cell>
          <cell r="I1152">
            <v>4</v>
          </cell>
          <cell r="P1152">
            <v>517.11</v>
          </cell>
          <cell r="Q1152">
            <v>91.91</v>
          </cell>
          <cell r="R1152">
            <v>63.48</v>
          </cell>
          <cell r="S1152">
            <v>8573.5400000000009</v>
          </cell>
          <cell r="U1152">
            <v>18.015228</v>
          </cell>
          <cell r="X1152">
            <v>8573.5400000000009</v>
          </cell>
          <cell r="Y1152">
            <v>3858.09</v>
          </cell>
          <cell r="AC1152">
            <v>15.67</v>
          </cell>
          <cell r="AE1152">
            <v>0.61372499999999997</v>
          </cell>
          <cell r="AF1152">
            <v>82.905479999999997</v>
          </cell>
          <cell r="AL1152">
            <v>15.67</v>
          </cell>
          <cell r="AM1152">
            <v>1.49</v>
          </cell>
          <cell r="AN1152">
            <v>0.35</v>
          </cell>
          <cell r="AO1152">
            <v>47.28</v>
          </cell>
          <cell r="AQ1152">
            <v>4.0199999999999996</v>
          </cell>
          <cell r="AV1152">
            <v>1.0669999999999999</v>
          </cell>
          <cell r="AW1152">
            <v>1</v>
          </cell>
          <cell r="BA1152">
            <v>24.23</v>
          </cell>
          <cell r="BB1152">
            <v>9.9499999999999993</v>
          </cell>
          <cell r="BC1152">
            <v>8.25</v>
          </cell>
          <cell r="BI1152">
            <v>1</v>
          </cell>
          <cell r="BS1152">
            <v>24.23</v>
          </cell>
          <cell r="BZ1152">
            <v>100</v>
          </cell>
          <cell r="CA1152">
            <v>45</v>
          </cell>
          <cell r="DD1152"/>
          <cell r="DE1152" t="str">
            <v>)*1,05</v>
          </cell>
          <cell r="DG1152" t="str">
            <v>)*1,67)*1,05</v>
          </cell>
          <cell r="DI1152" t="str">
            <v>)*1,05</v>
          </cell>
          <cell r="DN1152">
            <v>125</v>
          </cell>
          <cell r="DO1152">
            <v>94</v>
          </cell>
          <cell r="ET1152">
            <v>1.49</v>
          </cell>
          <cell r="EU1152">
            <v>0.35</v>
          </cell>
        </row>
        <row r="1154">
          <cell r="E1154" t="str">
            <v>148</v>
          </cell>
          <cell r="F1154" t="str">
            <v>МКЭ-33-1005/8-1 от 26.07.2018г.</v>
          </cell>
          <cell r="H1154" t="str">
            <v>шт.</v>
          </cell>
          <cell r="I1154">
            <v>1</v>
          </cell>
          <cell r="X1154">
            <v>0</v>
          </cell>
          <cell r="Y1154">
            <v>0</v>
          </cell>
          <cell r="AC1154">
            <v>2689.0056</v>
          </cell>
          <cell r="AE1154">
            <v>0</v>
          </cell>
          <cell r="AF1154">
            <v>0</v>
          </cell>
          <cell r="AV1154">
            <v>1</v>
          </cell>
          <cell r="AW1154">
            <v>1</v>
          </cell>
          <cell r="BI1154">
            <v>1</v>
          </cell>
          <cell r="BS1154">
            <v>1</v>
          </cell>
          <cell r="DN1154">
            <v>0</v>
          </cell>
          <cell r="DO1154">
            <v>0</v>
          </cell>
        </row>
        <row r="1156">
          <cell r="E1156" t="str">
            <v>149</v>
          </cell>
          <cell r="F1156" t="str">
            <v>МКЭ-33-1005/8-1  26.07.2018</v>
          </cell>
          <cell r="H1156" t="str">
            <v>шт.</v>
          </cell>
          <cell r="I1156">
            <v>1</v>
          </cell>
          <cell r="X1156">
            <v>0</v>
          </cell>
          <cell r="Y1156">
            <v>0</v>
          </cell>
          <cell r="AC1156">
            <v>2539.27</v>
          </cell>
          <cell r="AE1156">
            <v>0</v>
          </cell>
          <cell r="AF1156">
            <v>0</v>
          </cell>
          <cell r="AV1156">
            <v>1</v>
          </cell>
          <cell r="AW1156">
            <v>1</v>
          </cell>
          <cell r="BI1156">
            <v>1</v>
          </cell>
          <cell r="BS1156">
            <v>1</v>
          </cell>
          <cell r="DD1156"/>
          <cell r="DN1156">
            <v>0</v>
          </cell>
          <cell r="DO1156">
            <v>0</v>
          </cell>
        </row>
        <row r="1160">
          <cell r="E1160" t="str">
            <v>151</v>
          </cell>
          <cell r="F1160" t="str">
            <v>МКЭ-33-1005/8-1 от 26.07.2018г.</v>
          </cell>
          <cell r="H1160" t="str">
            <v>шт.</v>
          </cell>
          <cell r="I1160">
            <v>1</v>
          </cell>
          <cell r="X1160">
            <v>0</v>
          </cell>
          <cell r="Y1160">
            <v>0</v>
          </cell>
          <cell r="AC1160">
            <v>2719.0547999999999</v>
          </cell>
          <cell r="AE1160">
            <v>0</v>
          </cell>
          <cell r="AF1160">
            <v>0</v>
          </cell>
          <cell r="AV1160">
            <v>1</v>
          </cell>
          <cell r="AW1160">
            <v>1</v>
          </cell>
          <cell r="BI1160">
            <v>1</v>
          </cell>
          <cell r="BS1160">
            <v>1</v>
          </cell>
          <cell r="DN1160">
            <v>0</v>
          </cell>
          <cell r="DO1160">
            <v>0</v>
          </cell>
        </row>
        <row r="1164">
          <cell r="E1164" t="str">
            <v>153</v>
          </cell>
          <cell r="F1164" t="str">
            <v>МКЭ-33-1714/7-1  14.09.2017</v>
          </cell>
          <cell r="H1164" t="str">
            <v>шт.</v>
          </cell>
          <cell r="I1164">
            <v>1</v>
          </cell>
          <cell r="X1164">
            <v>0</v>
          </cell>
          <cell r="Y1164">
            <v>0</v>
          </cell>
          <cell r="AC1164">
            <v>2625.25</v>
          </cell>
          <cell r="AE1164">
            <v>0</v>
          </cell>
          <cell r="AF1164">
            <v>0</v>
          </cell>
          <cell r="AV1164">
            <v>1</v>
          </cell>
          <cell r="AW1164">
            <v>1</v>
          </cell>
          <cell r="BI1164">
            <v>1</v>
          </cell>
          <cell r="BS1164">
            <v>1</v>
          </cell>
          <cell r="DD1164"/>
          <cell r="DN1164">
            <v>0</v>
          </cell>
          <cell r="DO1164">
            <v>0</v>
          </cell>
        </row>
        <row r="1176">
          <cell r="E1176" t="str">
            <v>159</v>
          </cell>
          <cell r="F1176" t="str">
            <v>3.20-11-16</v>
          </cell>
          <cell r="H1176" t="str">
            <v>1 клапан</v>
          </cell>
          <cell r="I1176">
            <v>1</v>
          </cell>
          <cell r="P1176">
            <v>177.76</v>
          </cell>
          <cell r="Q1176">
            <v>115.21000000000001</v>
          </cell>
          <cell r="R1176">
            <v>79.72</v>
          </cell>
          <cell r="S1176">
            <v>2873.68</v>
          </cell>
          <cell r="U1176">
            <v>6.1171110000000004</v>
          </cell>
          <cell r="X1176">
            <v>2873.68</v>
          </cell>
          <cell r="Y1176">
            <v>1293.1600000000001</v>
          </cell>
          <cell r="AC1176">
            <v>24.35</v>
          </cell>
          <cell r="AE1176">
            <v>3.08616</v>
          </cell>
          <cell r="AF1176">
            <v>111.154365</v>
          </cell>
          <cell r="AL1176">
            <v>24.35</v>
          </cell>
          <cell r="AM1176">
            <v>7.44</v>
          </cell>
          <cell r="AN1176">
            <v>1.76</v>
          </cell>
          <cell r="AO1176">
            <v>63.39</v>
          </cell>
          <cell r="AQ1176">
            <v>5.46</v>
          </cell>
          <cell r="AV1176">
            <v>1.0669999999999999</v>
          </cell>
          <cell r="AW1176">
            <v>1</v>
          </cell>
          <cell r="BA1176">
            <v>24.23</v>
          </cell>
          <cell r="BB1176">
            <v>9.98</v>
          </cell>
          <cell r="BC1176">
            <v>7.3</v>
          </cell>
          <cell r="BI1176">
            <v>1</v>
          </cell>
          <cell r="BS1176">
            <v>24.23</v>
          </cell>
          <cell r="BZ1176">
            <v>100</v>
          </cell>
          <cell r="CA1176">
            <v>45</v>
          </cell>
          <cell r="DD1176"/>
          <cell r="DE1176" t="str">
            <v>)*1,05</v>
          </cell>
          <cell r="DG1176" t="str">
            <v>)*1,67)*1,05</v>
          </cell>
          <cell r="DI1176" t="str">
            <v>)*1,05</v>
          </cell>
          <cell r="DN1176">
            <v>125</v>
          </cell>
          <cell r="DO1176">
            <v>94</v>
          </cell>
          <cell r="ET1176">
            <v>7.44</v>
          </cell>
          <cell r="EU1176">
            <v>1.76</v>
          </cell>
        </row>
        <row r="1178">
          <cell r="E1178" t="str">
            <v>160</v>
          </cell>
          <cell r="F1178" t="str">
            <v>МКЭ-33-1714/7-1  14.09.2017</v>
          </cell>
          <cell r="H1178" t="str">
            <v>шт.</v>
          </cell>
          <cell r="I1178">
            <v>1</v>
          </cell>
          <cell r="X1178">
            <v>0</v>
          </cell>
          <cell r="Y1178">
            <v>0</v>
          </cell>
          <cell r="AC1178">
            <v>2981.0418</v>
          </cell>
          <cell r="AE1178">
            <v>0</v>
          </cell>
          <cell r="AF1178">
            <v>0</v>
          </cell>
          <cell r="AV1178">
            <v>1</v>
          </cell>
          <cell r="AW1178">
            <v>1</v>
          </cell>
          <cell r="BI1178">
            <v>1</v>
          </cell>
          <cell r="BS1178">
            <v>1</v>
          </cell>
          <cell r="DN1178">
            <v>0</v>
          </cell>
          <cell r="DO1178">
            <v>0</v>
          </cell>
        </row>
        <row r="1216">
          <cell r="E1216" t="str">
            <v>179</v>
          </cell>
          <cell r="F1216" t="str">
            <v>3.20-1-2</v>
          </cell>
          <cell r="H1216" t="str">
            <v>100 м2 поверхности воздуховодов</v>
          </cell>
          <cell r="I1216">
            <v>6.9199999999999998E-2</v>
          </cell>
          <cell r="P1216">
            <v>126.53</v>
          </cell>
          <cell r="Q1216">
            <v>124.06</v>
          </cell>
          <cell r="R1216">
            <v>58.39</v>
          </cell>
          <cell r="S1216">
            <v>5208.4799999999996</v>
          </cell>
          <cell r="U1216">
            <v>11.370805599999999</v>
          </cell>
          <cell r="X1216">
            <v>5208.4799999999996</v>
          </cell>
          <cell r="Y1216">
            <v>2343.8200000000002</v>
          </cell>
          <cell r="AC1216">
            <v>499.52</v>
          </cell>
          <cell r="AE1216">
            <v>32.698599999999999</v>
          </cell>
          <cell r="AF1216">
            <v>2911.2775999999999</v>
          </cell>
          <cell r="AL1216">
            <v>499.52</v>
          </cell>
          <cell r="AM1216">
            <v>158.18</v>
          </cell>
          <cell r="AN1216">
            <v>19.579999999999998</v>
          </cell>
          <cell r="AO1216">
            <v>1743.28</v>
          </cell>
          <cell r="AQ1216">
            <v>154</v>
          </cell>
          <cell r="AV1216">
            <v>1.0669999999999999</v>
          </cell>
          <cell r="AW1216">
            <v>1</v>
          </cell>
          <cell r="BA1216">
            <v>24.23</v>
          </cell>
          <cell r="BB1216">
            <v>8.61</v>
          </cell>
          <cell r="BC1216">
            <v>3.66</v>
          </cell>
          <cell r="BI1216">
            <v>1</v>
          </cell>
          <cell r="BS1216">
            <v>24.23</v>
          </cell>
          <cell r="BZ1216">
            <v>100</v>
          </cell>
          <cell r="CA1216">
            <v>45</v>
          </cell>
          <cell r="DD1216"/>
          <cell r="DE1216"/>
          <cell r="DG1216" t="str">
            <v>)*1,67</v>
          </cell>
          <cell r="DI1216"/>
          <cell r="DN1216">
            <v>125</v>
          </cell>
          <cell r="DO1216">
            <v>94</v>
          </cell>
          <cell r="ET1216">
            <v>158.18</v>
          </cell>
          <cell r="EU1216">
            <v>19.579999999999998</v>
          </cell>
        </row>
        <row r="1218">
          <cell r="E1218" t="str">
            <v>179,1</v>
          </cell>
          <cell r="F1218" t="str">
            <v>1.19-3-12</v>
          </cell>
          <cell r="H1218" t="str">
            <v>м2</v>
          </cell>
          <cell r="I1218">
            <v>6.92</v>
          </cell>
          <cell r="O1218">
            <v>3338.61</v>
          </cell>
          <cell r="X1218">
            <v>0</v>
          </cell>
          <cell r="Y1218">
            <v>0</v>
          </cell>
          <cell r="AC1218">
            <v>125.64</v>
          </cell>
          <cell r="AE1218">
            <v>0</v>
          </cell>
          <cell r="AF1218">
            <v>0</v>
          </cell>
          <cell r="AK1218">
            <v>125.64</v>
          </cell>
          <cell r="AV1218">
            <v>1</v>
          </cell>
          <cell r="AW1218">
            <v>1</v>
          </cell>
          <cell r="BC1218">
            <v>3.84</v>
          </cell>
          <cell r="BI1218">
            <v>1</v>
          </cell>
          <cell r="BS1218">
            <v>1</v>
          </cell>
          <cell r="DN1218">
            <v>125</v>
          </cell>
          <cell r="DO1218">
            <v>94</v>
          </cell>
          <cell r="ET1218">
            <v>0</v>
          </cell>
          <cell r="EU1218">
            <v>0</v>
          </cell>
        </row>
        <row r="1282">
          <cell r="E1282" t="str">
            <v>195</v>
          </cell>
          <cell r="F1282" t="str">
            <v>3.20-1-10</v>
          </cell>
          <cell r="H1282" t="str">
            <v>100 м2 поверхности воздуховодов</v>
          </cell>
          <cell r="I1282">
            <v>0.19289999999999999</v>
          </cell>
          <cell r="P1282">
            <v>483.58</v>
          </cell>
          <cell r="Q1282">
            <v>254.29999999999998</v>
          </cell>
          <cell r="R1282">
            <v>118.97</v>
          </cell>
          <cell r="S1282">
            <v>11501.98</v>
          </cell>
          <cell r="U1282">
            <v>25.1105646</v>
          </cell>
          <cell r="X1282">
            <v>11501.98</v>
          </cell>
          <cell r="Y1282">
            <v>5175.8900000000003</v>
          </cell>
          <cell r="AC1282">
            <v>599.72</v>
          </cell>
          <cell r="AE1282">
            <v>23.8643</v>
          </cell>
          <cell r="AF1282">
            <v>2306.3368</v>
          </cell>
          <cell r="AL1282">
            <v>599.72</v>
          </cell>
          <cell r="AM1282">
            <v>116.7</v>
          </cell>
          <cell r="AN1282">
            <v>14.29</v>
          </cell>
          <cell r="AO1282">
            <v>1381.04</v>
          </cell>
          <cell r="AQ1282">
            <v>122</v>
          </cell>
          <cell r="AV1282">
            <v>1.0669999999999999</v>
          </cell>
          <cell r="AW1282">
            <v>1</v>
          </cell>
          <cell r="BA1282">
            <v>24.23</v>
          </cell>
          <cell r="BB1282">
            <v>8.6</v>
          </cell>
          <cell r="BC1282">
            <v>4.18</v>
          </cell>
          <cell r="BI1282">
            <v>1</v>
          </cell>
          <cell r="BS1282">
            <v>24.23</v>
          </cell>
          <cell r="BZ1282">
            <v>100</v>
          </cell>
          <cell r="CA1282">
            <v>45</v>
          </cell>
          <cell r="DD1282"/>
          <cell r="DE1282"/>
          <cell r="DG1282" t="str">
            <v>)*1,67</v>
          </cell>
          <cell r="DI1282"/>
          <cell r="DN1282">
            <v>125</v>
          </cell>
          <cell r="DO1282">
            <v>94</v>
          </cell>
          <cell r="ET1282">
            <v>116.7</v>
          </cell>
          <cell r="EU1282">
            <v>14.29</v>
          </cell>
        </row>
        <row r="1284">
          <cell r="E1284" t="str">
            <v>195,1</v>
          </cell>
          <cell r="F1284" t="str">
            <v>1.19-3-13</v>
          </cell>
          <cell r="H1284" t="str">
            <v>м2</v>
          </cell>
          <cell r="I1284">
            <v>19.29</v>
          </cell>
          <cell r="O1284">
            <v>9329.58</v>
          </cell>
          <cell r="X1284">
            <v>0</v>
          </cell>
          <cell r="Y1284">
            <v>0</v>
          </cell>
          <cell r="AC1284">
            <v>157.54</v>
          </cell>
          <cell r="AE1284">
            <v>0</v>
          </cell>
          <cell r="AF1284">
            <v>0</v>
          </cell>
          <cell r="AK1284">
            <v>157.54</v>
          </cell>
          <cell r="AV1284">
            <v>1</v>
          </cell>
          <cell r="AW1284">
            <v>1</v>
          </cell>
          <cell r="BC1284">
            <v>3.07</v>
          </cell>
          <cell r="BI1284">
            <v>1</v>
          </cell>
          <cell r="BS1284">
            <v>1</v>
          </cell>
          <cell r="DN1284">
            <v>125</v>
          </cell>
          <cell r="DO1284">
            <v>94</v>
          </cell>
          <cell r="ET1284">
            <v>0</v>
          </cell>
          <cell r="EU1284">
            <v>0</v>
          </cell>
        </row>
        <row r="1286">
          <cell r="E1286" t="str">
            <v>196</v>
          </cell>
          <cell r="F1286" t="str">
            <v>3.20-1-11</v>
          </cell>
          <cell r="H1286" t="str">
            <v>100 м2 поверхности воздуховодов</v>
          </cell>
          <cell r="I1286">
            <v>2.4199999999999999E-2</v>
          </cell>
          <cell r="P1286">
            <v>32.799999999999997</v>
          </cell>
          <cell r="Q1286">
            <v>23.82</v>
          </cell>
          <cell r="R1286">
            <v>11.15</v>
          </cell>
          <cell r="S1286">
            <v>1085.75</v>
          </cell>
          <cell r="U1286">
            <v>2.3704045199999997</v>
          </cell>
          <cell r="X1286">
            <v>1085.75</v>
          </cell>
          <cell r="Y1286">
            <v>488.59</v>
          </cell>
          <cell r="AC1286">
            <v>409.71</v>
          </cell>
          <cell r="AE1286">
            <v>17.8523</v>
          </cell>
          <cell r="AF1286">
            <v>1735.4305999999999</v>
          </cell>
          <cell r="AL1286">
            <v>409.71</v>
          </cell>
          <cell r="AM1286">
            <v>87.46</v>
          </cell>
          <cell r="AN1286">
            <v>10.69</v>
          </cell>
          <cell r="AO1286">
            <v>1039.18</v>
          </cell>
          <cell r="AQ1286">
            <v>91.8</v>
          </cell>
          <cell r="AV1286">
            <v>1.0669999999999999</v>
          </cell>
          <cell r="AW1286">
            <v>1</v>
          </cell>
          <cell r="BA1286">
            <v>24.23</v>
          </cell>
          <cell r="BB1286">
            <v>8.61</v>
          </cell>
          <cell r="BC1286">
            <v>3.31</v>
          </cell>
          <cell r="BI1286">
            <v>1</v>
          </cell>
          <cell r="BS1286">
            <v>24.23</v>
          </cell>
          <cell r="BZ1286">
            <v>100</v>
          </cell>
          <cell r="CA1286">
            <v>45</v>
          </cell>
          <cell r="DD1286"/>
          <cell r="DE1286"/>
          <cell r="DG1286" t="str">
            <v>)*1,67</v>
          </cell>
          <cell r="DI1286"/>
          <cell r="DN1286">
            <v>125</v>
          </cell>
          <cell r="DO1286">
            <v>94</v>
          </cell>
          <cell r="ET1286">
            <v>87.46</v>
          </cell>
          <cell r="EU1286">
            <v>10.69</v>
          </cell>
        </row>
        <row r="1288">
          <cell r="E1288" t="str">
            <v>196,1</v>
          </cell>
          <cell r="F1288" t="str">
            <v>1.19-3-13</v>
          </cell>
          <cell r="H1288" t="str">
            <v>м2</v>
          </cell>
          <cell r="I1288">
            <v>2.42</v>
          </cell>
          <cell r="O1288">
            <v>1170.44</v>
          </cell>
          <cell r="X1288">
            <v>0</v>
          </cell>
          <cell r="Y1288">
            <v>0</v>
          </cell>
          <cell r="AC1288">
            <v>157.54</v>
          </cell>
          <cell r="AE1288">
            <v>0</v>
          </cell>
          <cell r="AF1288">
            <v>0</v>
          </cell>
          <cell r="AK1288">
            <v>157.54</v>
          </cell>
          <cell r="AV1288">
            <v>1</v>
          </cell>
          <cell r="AW1288">
            <v>1</v>
          </cell>
          <cell r="BC1288">
            <v>3.07</v>
          </cell>
          <cell r="BI1288">
            <v>1</v>
          </cell>
          <cell r="BS1288">
            <v>1</v>
          </cell>
          <cell r="DN1288">
            <v>125</v>
          </cell>
          <cell r="DO1288">
            <v>94</v>
          </cell>
          <cell r="ET1288">
            <v>0</v>
          </cell>
          <cell r="EU1288">
            <v>0</v>
          </cell>
        </row>
        <row r="1357">
          <cell r="G1357" t="str">
            <v>В2-35</v>
          </cell>
        </row>
        <row r="2396">
          <cell r="G2396" t="str">
            <v>48961-ТПК_5-0786-Р-ССР2 изм. 1.1 12-4017-Л-Р-11.5.3-ОВ-СМ1К Станционный комплекс Аминьевское шоссе. Инженерные системы ТПП. Отопление, вентиляция, кондиционирование, дымоудаление</v>
          </cell>
        </row>
        <row r="2425">
          <cell r="H2425" t="str">
            <v>Стоимость материалов (всего)</v>
          </cell>
        </row>
        <row r="2426">
          <cell r="H2426" t="str">
            <v>ЗП машинистов</v>
          </cell>
          <cell r="P2426">
            <v>380.17</v>
          </cell>
        </row>
        <row r="2427">
          <cell r="H2427" t="str">
            <v>Основная ЗП рабочих</v>
          </cell>
          <cell r="P2427">
            <v>33550.550000000003</v>
          </cell>
        </row>
        <row r="2428">
          <cell r="H2428"/>
          <cell r="P2428">
            <v>0</v>
          </cell>
        </row>
      </sheetData>
      <sheetData sheetId="2" refreshError="1"/>
      <sheetData sheetId="3" refreshError="1"/>
      <sheetData sheetId="4" refreshError="1"/>
    </sheetDataSet>
  </externalBook>
</externalLink>
</file>

<file path=xl/externalLinks/externalLink9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Акт КС-2 по ТСН-2001"/>
      <sheetName val="Source"/>
      <sheetName val="SourceObSm"/>
      <sheetName val="SmtRes"/>
      <sheetName val="EtalonRes"/>
    </sheetNames>
    <sheetDataSet>
      <sheetData sheetId="0" refreshError="1"/>
      <sheetData sheetId="1">
        <row r="1">
          <cell r="B1" t="str">
            <v>Smeta.RU  (495) 974-1589</v>
          </cell>
        </row>
        <row r="2454">
          <cell r="G2454" t="str">
            <v>Дополнительные материалы и оборудование</v>
          </cell>
        </row>
        <row r="2509">
          <cell r="E2509" t="str">
            <v>339</v>
          </cell>
          <cell r="F2509" t="str">
            <v>3.20-11-15</v>
          </cell>
          <cell r="H2509" t="str">
            <v>1 клапан</v>
          </cell>
          <cell r="I2509">
            <v>3</v>
          </cell>
          <cell r="P2509">
            <v>387.83</v>
          </cell>
          <cell r="Q2509">
            <v>68.990000000000009</v>
          </cell>
          <cell r="R2509">
            <v>47.49</v>
          </cell>
          <cell r="S2509">
            <v>6430.16</v>
          </cell>
          <cell r="U2509">
            <v>13.511421</v>
          </cell>
          <cell r="X2509">
            <v>6430.16</v>
          </cell>
          <cell r="Y2509">
            <v>2893.57</v>
          </cell>
          <cell r="AC2509">
            <v>15.67</v>
          </cell>
          <cell r="AE2509">
            <v>0.61372499999999997</v>
          </cell>
          <cell r="AF2509">
            <v>82.905479999999997</v>
          </cell>
          <cell r="AL2509">
            <v>15.67</v>
          </cell>
          <cell r="AM2509">
            <v>1.49</v>
          </cell>
          <cell r="AN2509">
            <v>0.35</v>
          </cell>
          <cell r="AO2509">
            <v>47.28</v>
          </cell>
          <cell r="AQ2509">
            <v>4.0199999999999996</v>
          </cell>
          <cell r="AV2509">
            <v>1.0669999999999999</v>
          </cell>
          <cell r="AW2509">
            <v>1</v>
          </cell>
          <cell r="BA2509">
            <v>24.23</v>
          </cell>
          <cell r="BB2509">
            <v>9.9499999999999993</v>
          </cell>
          <cell r="BC2509">
            <v>8.25</v>
          </cell>
          <cell r="BI2509">
            <v>1</v>
          </cell>
          <cell r="BS2509">
            <v>24.23</v>
          </cell>
          <cell r="BZ2509">
            <v>100</v>
          </cell>
          <cell r="CA2509">
            <v>45</v>
          </cell>
          <cell r="DD2509"/>
          <cell r="DE2509" t="str">
            <v>)*1,05</v>
          </cell>
          <cell r="DG2509" t="str">
            <v>)*1,05)*1,67</v>
          </cell>
          <cell r="DI2509" t="str">
            <v>)*1,05</v>
          </cell>
          <cell r="DN2509">
            <v>125</v>
          </cell>
          <cell r="DO2509">
            <v>94</v>
          </cell>
          <cell r="ET2509">
            <v>1.49</v>
          </cell>
          <cell r="EU2509">
            <v>0.35</v>
          </cell>
        </row>
        <row r="2547">
          <cell r="E2547" t="str">
            <v>358</v>
          </cell>
          <cell r="F2547" t="str">
            <v>МКЭ-33-1714/7-1 от 14.09.2017г.</v>
          </cell>
          <cell r="H2547" t="str">
            <v>шт.</v>
          </cell>
          <cell r="I2547">
            <v>3</v>
          </cell>
          <cell r="X2547">
            <v>0</v>
          </cell>
          <cell r="Y2547">
            <v>0</v>
          </cell>
          <cell r="AE2547">
            <v>0</v>
          </cell>
          <cell r="AF2547">
            <v>0</v>
          </cell>
          <cell r="AV2547">
            <v>1</v>
          </cell>
          <cell r="AW2547">
            <v>1</v>
          </cell>
          <cell r="BI2547">
            <v>1</v>
          </cell>
          <cell r="BS2547">
            <v>1</v>
          </cell>
          <cell r="DD2547"/>
          <cell r="DN2547">
            <v>0</v>
          </cell>
          <cell r="DO2547">
            <v>0</v>
          </cell>
        </row>
        <row r="2921">
          <cell r="G2921" t="str">
            <v>Вентиляция</v>
          </cell>
        </row>
      </sheetData>
      <sheetData sheetId="2" refreshError="1"/>
      <sheetData sheetId="3" refreshError="1"/>
      <sheetData sheetId="4" refreshError="1"/>
    </sheetDataSet>
  </externalBook>
</externalLink>
</file>

<file path=xl/externalLinks/externalLink9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Акт КС-2 по ТСН-2001"/>
      <sheetName val="Source"/>
      <sheetName val="SourceObSm"/>
      <sheetName val="SmtRes"/>
      <sheetName val="EtalonRes"/>
    </sheetNames>
    <sheetDataSet>
      <sheetData sheetId="0" refreshError="1"/>
      <sheetData sheetId="1">
        <row r="91">
          <cell r="G91" t="str">
            <v>Кондиционирование</v>
          </cell>
        </row>
        <row r="95">
          <cell r="G95" t="str">
            <v>К2-1, К2-1р</v>
          </cell>
        </row>
        <row r="124">
          <cell r="E124" t="str">
            <v>20</v>
          </cell>
          <cell r="F124" t="str">
            <v>МКЭ-28-1837/5-1 от 12.01.2016</v>
          </cell>
          <cell r="H124" t="str">
            <v>шт.</v>
          </cell>
          <cell r="I124">
            <v>4</v>
          </cell>
          <cell r="X124">
            <v>0</v>
          </cell>
          <cell r="Y124">
            <v>0</v>
          </cell>
          <cell r="AE124">
            <v>0</v>
          </cell>
          <cell r="AF124">
            <v>0</v>
          </cell>
          <cell r="AV124">
            <v>1</v>
          </cell>
          <cell r="AW124">
            <v>1</v>
          </cell>
          <cell r="BI124">
            <v>1</v>
          </cell>
          <cell r="BS124">
            <v>1</v>
          </cell>
          <cell r="DN124">
            <v>0</v>
          </cell>
          <cell r="DO124">
            <v>0</v>
          </cell>
        </row>
        <row r="126">
          <cell r="E126" t="str">
            <v>21</v>
          </cell>
          <cell r="F126" t="str">
            <v>МКЭ-28-1837/5-1 от 12.01.2016</v>
          </cell>
          <cell r="H126" t="str">
            <v>шт.</v>
          </cell>
          <cell r="I126">
            <v>2</v>
          </cell>
          <cell r="X126">
            <v>0</v>
          </cell>
          <cell r="Y126">
            <v>0</v>
          </cell>
          <cell r="AE126">
            <v>0</v>
          </cell>
          <cell r="AF126">
            <v>0</v>
          </cell>
          <cell r="AV126">
            <v>1</v>
          </cell>
          <cell r="AW126">
            <v>1</v>
          </cell>
          <cell r="BI126">
            <v>1</v>
          </cell>
          <cell r="BS126">
            <v>1</v>
          </cell>
          <cell r="DN126">
            <v>0</v>
          </cell>
          <cell r="DO126">
            <v>0</v>
          </cell>
        </row>
        <row r="128">
          <cell r="E128" t="str">
            <v>22</v>
          </cell>
          <cell r="F128" t="str">
            <v>МКЭ-28-1837/5-1 от 12.01.2016</v>
          </cell>
          <cell r="H128" t="str">
            <v>шт.</v>
          </cell>
          <cell r="I128">
            <v>1</v>
          </cell>
          <cell r="X128">
            <v>0</v>
          </cell>
          <cell r="Y128">
            <v>0</v>
          </cell>
          <cell r="AE128">
            <v>0</v>
          </cell>
          <cell r="AF128">
            <v>0</v>
          </cell>
          <cell r="AV128">
            <v>1</v>
          </cell>
          <cell r="AW128">
            <v>1</v>
          </cell>
          <cell r="BI128">
            <v>1</v>
          </cell>
          <cell r="BS128">
            <v>1</v>
          </cell>
          <cell r="DN128">
            <v>0</v>
          </cell>
          <cell r="DO128">
            <v>0</v>
          </cell>
        </row>
        <row r="134">
          <cell r="E134" t="str">
            <v>25</v>
          </cell>
          <cell r="F134" t="str">
            <v>3.29-1939-1</v>
          </cell>
          <cell r="H134" t="str">
            <v>1 М</v>
          </cell>
          <cell r="I134">
            <v>29.68</v>
          </cell>
          <cell r="P134">
            <v>1171.79</v>
          </cell>
          <cell r="Q134">
            <v>10.77</v>
          </cell>
          <cell r="S134">
            <v>11712.3</v>
          </cell>
          <cell r="U134">
            <v>23.751419999999996</v>
          </cell>
          <cell r="X134">
            <v>7964.36</v>
          </cell>
          <cell r="Y134">
            <v>5036.29</v>
          </cell>
          <cell r="AC134">
            <v>15.18</v>
          </cell>
          <cell r="AE134">
            <v>0</v>
          </cell>
          <cell r="AF134">
            <v>15.2638</v>
          </cell>
          <cell r="AL134">
            <v>15.18</v>
          </cell>
          <cell r="AM134">
            <v>0.09</v>
          </cell>
          <cell r="AO134">
            <v>9.14</v>
          </cell>
          <cell r="AQ134">
            <v>0.75</v>
          </cell>
          <cell r="AV134">
            <v>1.0669999999999999</v>
          </cell>
          <cell r="AW134">
            <v>1.028</v>
          </cell>
          <cell r="BA134">
            <v>24.23</v>
          </cell>
          <cell r="BB134">
            <v>3.78</v>
          </cell>
          <cell r="BC134">
            <v>2.5299999999999998</v>
          </cell>
          <cell r="BI134">
            <v>1</v>
          </cell>
          <cell r="BS134">
            <v>24.23</v>
          </cell>
          <cell r="BZ134">
            <v>68</v>
          </cell>
          <cell r="CA134">
            <v>43</v>
          </cell>
          <cell r="DD134"/>
          <cell r="DE134"/>
          <cell r="DG134" t="str">
            <v>)*1,67</v>
          </cell>
          <cell r="DI134"/>
          <cell r="DN134">
            <v>79</v>
          </cell>
          <cell r="DO134">
            <v>70</v>
          </cell>
          <cell r="ET134">
            <v>0.09</v>
          </cell>
          <cell r="EU134">
            <v>0</v>
          </cell>
        </row>
        <row r="136">
          <cell r="E136" t="str">
            <v>25,1</v>
          </cell>
          <cell r="F136" t="str">
            <v>1.12-7-186</v>
          </cell>
          <cell r="H136" t="str">
            <v>м</v>
          </cell>
          <cell r="I136">
            <v>29.68</v>
          </cell>
          <cell r="O136">
            <v>2231.94</v>
          </cell>
          <cell r="X136">
            <v>0</v>
          </cell>
          <cell r="Y136">
            <v>0</v>
          </cell>
          <cell r="AC136">
            <v>4.37</v>
          </cell>
          <cell r="AE136">
            <v>0</v>
          </cell>
          <cell r="AF136">
            <v>0</v>
          </cell>
          <cell r="AK136">
            <v>4.37</v>
          </cell>
          <cell r="AV136">
            <v>1</v>
          </cell>
          <cell r="AW136">
            <v>1.028</v>
          </cell>
          <cell r="BC136">
            <v>16.739999999999998</v>
          </cell>
          <cell r="BI136">
            <v>1</v>
          </cell>
          <cell r="BS136">
            <v>1</v>
          </cell>
          <cell r="DN136">
            <v>79</v>
          </cell>
          <cell r="DO136">
            <v>70</v>
          </cell>
          <cell r="ET136">
            <v>0</v>
          </cell>
          <cell r="EU136">
            <v>0</v>
          </cell>
        </row>
        <row r="138">
          <cell r="E138" t="str">
            <v>26</v>
          </cell>
          <cell r="F138" t="str">
            <v>3.29-1939-2</v>
          </cell>
          <cell r="H138" t="str">
            <v>1 М</v>
          </cell>
          <cell r="I138">
            <v>39.19</v>
          </cell>
          <cell r="P138">
            <v>1534.02</v>
          </cell>
          <cell r="Q138">
            <v>10.87</v>
          </cell>
          <cell r="S138">
            <v>14450.05</v>
          </cell>
          <cell r="U138">
            <v>29.271010999999994</v>
          </cell>
          <cell r="X138">
            <v>9826.0300000000007</v>
          </cell>
          <cell r="Y138">
            <v>6213.52</v>
          </cell>
          <cell r="AC138">
            <v>15.11</v>
          </cell>
          <cell r="AE138">
            <v>0</v>
          </cell>
          <cell r="AF138">
            <v>14.261799999999999</v>
          </cell>
          <cell r="AL138">
            <v>15.11</v>
          </cell>
          <cell r="AM138">
            <v>7.0000000000000007E-2</v>
          </cell>
          <cell r="AO138">
            <v>8.5399999999999991</v>
          </cell>
          <cell r="AQ138">
            <v>0.7</v>
          </cell>
          <cell r="AV138">
            <v>1.0669999999999999</v>
          </cell>
          <cell r="AW138">
            <v>1.028</v>
          </cell>
          <cell r="BA138">
            <v>24.23</v>
          </cell>
          <cell r="BB138">
            <v>3.71</v>
          </cell>
          <cell r="BC138">
            <v>2.52</v>
          </cell>
          <cell r="BI138">
            <v>1</v>
          </cell>
          <cell r="BS138">
            <v>24.23</v>
          </cell>
          <cell r="BZ138">
            <v>68</v>
          </cell>
          <cell r="CA138">
            <v>43</v>
          </cell>
          <cell r="DD138"/>
          <cell r="DE138"/>
          <cell r="DG138" t="str">
            <v>)*1,67</v>
          </cell>
          <cell r="DI138"/>
          <cell r="DN138">
            <v>79</v>
          </cell>
          <cell r="DO138">
            <v>70</v>
          </cell>
          <cell r="ET138">
            <v>7.0000000000000007E-2</v>
          </cell>
          <cell r="EU138">
            <v>0</v>
          </cell>
        </row>
        <row r="140">
          <cell r="E140" t="str">
            <v>26,1</v>
          </cell>
          <cell r="F140" t="str">
            <v>1.12-7-187</v>
          </cell>
          <cell r="H140" t="str">
            <v>м</v>
          </cell>
          <cell r="I140">
            <v>39.19</v>
          </cell>
          <cell r="O140">
            <v>4303.82</v>
          </cell>
          <cell r="X140">
            <v>0</v>
          </cell>
          <cell r="Y140">
            <v>0</v>
          </cell>
          <cell r="AC140">
            <v>7.73</v>
          </cell>
          <cell r="AE140">
            <v>0</v>
          </cell>
          <cell r="AF140">
            <v>0</v>
          </cell>
          <cell r="AK140">
            <v>7.73</v>
          </cell>
          <cell r="AV140">
            <v>1</v>
          </cell>
          <cell r="AW140">
            <v>1.028</v>
          </cell>
          <cell r="BC140">
            <v>13.82</v>
          </cell>
          <cell r="BI140">
            <v>1</v>
          </cell>
          <cell r="BS140">
            <v>1</v>
          </cell>
          <cell r="DN140">
            <v>79</v>
          </cell>
          <cell r="DO140">
            <v>70</v>
          </cell>
          <cell r="ET140">
            <v>0</v>
          </cell>
          <cell r="EU140">
            <v>0</v>
          </cell>
        </row>
        <row r="142">
          <cell r="E142" t="str">
            <v>27</v>
          </cell>
          <cell r="F142" t="str">
            <v>3.29-1939-3</v>
          </cell>
          <cell r="H142" t="str">
            <v>1 М</v>
          </cell>
          <cell r="I142">
            <v>43.04</v>
          </cell>
          <cell r="P142">
            <v>1725.06</v>
          </cell>
          <cell r="Q142">
            <v>15.61</v>
          </cell>
          <cell r="S142">
            <v>16984.5</v>
          </cell>
          <cell r="U142">
            <v>34.442759999999993</v>
          </cell>
          <cell r="X142">
            <v>11549.46</v>
          </cell>
          <cell r="Y142">
            <v>7303.34</v>
          </cell>
          <cell r="AC142">
            <v>15.23</v>
          </cell>
          <cell r="AE142">
            <v>0</v>
          </cell>
          <cell r="AF142">
            <v>15.2638</v>
          </cell>
          <cell r="AL142">
            <v>15.23</v>
          </cell>
          <cell r="AM142">
            <v>0.09</v>
          </cell>
          <cell r="AO142">
            <v>9.14</v>
          </cell>
          <cell r="AQ142">
            <v>0.75</v>
          </cell>
          <cell r="AV142">
            <v>1.0669999999999999</v>
          </cell>
          <cell r="AW142">
            <v>1.028</v>
          </cell>
          <cell r="BA142">
            <v>24.23</v>
          </cell>
          <cell r="BB142">
            <v>3.78</v>
          </cell>
          <cell r="BC142">
            <v>2.56</v>
          </cell>
          <cell r="BI142">
            <v>1</v>
          </cell>
          <cell r="BS142">
            <v>24.23</v>
          </cell>
          <cell r="BZ142">
            <v>68</v>
          </cell>
          <cell r="CA142">
            <v>43</v>
          </cell>
          <cell r="DD142"/>
          <cell r="DE142"/>
          <cell r="DG142" t="str">
            <v>)*1,67</v>
          </cell>
          <cell r="DI142"/>
          <cell r="DN142">
            <v>79</v>
          </cell>
          <cell r="DO142">
            <v>70</v>
          </cell>
          <cell r="ET142">
            <v>0.09</v>
          </cell>
          <cell r="EU142">
            <v>0</v>
          </cell>
        </row>
        <row r="144">
          <cell r="E144" t="str">
            <v>27,1</v>
          </cell>
          <cell r="F144" t="str">
            <v>1.12-7-188</v>
          </cell>
          <cell r="H144" t="str">
            <v>м</v>
          </cell>
          <cell r="I144">
            <v>43.04</v>
          </cell>
          <cell r="O144">
            <v>6422.34</v>
          </cell>
          <cell r="X144">
            <v>0</v>
          </cell>
          <cell r="Y144">
            <v>0</v>
          </cell>
          <cell r="AC144">
            <v>10.28</v>
          </cell>
          <cell r="AE144">
            <v>0</v>
          </cell>
          <cell r="AF144">
            <v>0</v>
          </cell>
          <cell r="AK144">
            <v>10.28</v>
          </cell>
          <cell r="AV144">
            <v>1</v>
          </cell>
          <cell r="AW144">
            <v>1.028</v>
          </cell>
          <cell r="BC144">
            <v>14.12</v>
          </cell>
          <cell r="BI144">
            <v>1</v>
          </cell>
          <cell r="BS144">
            <v>1</v>
          </cell>
          <cell r="DN144">
            <v>79</v>
          </cell>
          <cell r="DO144">
            <v>70</v>
          </cell>
          <cell r="ET144">
            <v>0</v>
          </cell>
          <cell r="EU144">
            <v>0</v>
          </cell>
        </row>
        <row r="146">
          <cell r="E146" t="str">
            <v>28</v>
          </cell>
          <cell r="F146" t="str">
            <v>3.29-1939-4</v>
          </cell>
          <cell r="H146" t="str">
            <v>1 М</v>
          </cell>
          <cell r="I146">
            <v>8.2799999999999994</v>
          </cell>
          <cell r="P146">
            <v>330.14</v>
          </cell>
          <cell r="Q146">
            <v>2.2999999999999998</v>
          </cell>
          <cell r="S146">
            <v>3185.28</v>
          </cell>
          <cell r="U146">
            <v>6.4493747999999993</v>
          </cell>
          <cell r="X146">
            <v>2165.9899999999998</v>
          </cell>
          <cell r="Y146">
            <v>1369.67</v>
          </cell>
          <cell r="AC146">
            <v>15.33</v>
          </cell>
          <cell r="AE146">
            <v>0</v>
          </cell>
          <cell r="AF146">
            <v>14.8797</v>
          </cell>
          <cell r="AL146">
            <v>15.33</v>
          </cell>
          <cell r="AM146">
            <v>7.0000000000000007E-2</v>
          </cell>
          <cell r="AO146">
            <v>8.91</v>
          </cell>
          <cell r="AQ146">
            <v>0.73</v>
          </cell>
          <cell r="AV146">
            <v>1.0669999999999999</v>
          </cell>
          <cell r="AW146">
            <v>1.028</v>
          </cell>
          <cell r="BA146">
            <v>24.23</v>
          </cell>
          <cell r="BB146">
            <v>3.71</v>
          </cell>
          <cell r="BC146">
            <v>2.5299999999999998</v>
          </cell>
          <cell r="BI146">
            <v>1</v>
          </cell>
          <cell r="BS146">
            <v>24.23</v>
          </cell>
          <cell r="BZ146">
            <v>68</v>
          </cell>
          <cell r="CA146">
            <v>43</v>
          </cell>
          <cell r="DD146"/>
          <cell r="DE146"/>
          <cell r="DG146" t="str">
            <v>)*1,67</v>
          </cell>
          <cell r="DI146"/>
          <cell r="DN146">
            <v>79</v>
          </cell>
          <cell r="DO146">
            <v>70</v>
          </cell>
          <cell r="ET146">
            <v>7.0000000000000007E-2</v>
          </cell>
          <cell r="EU146">
            <v>0</v>
          </cell>
        </row>
        <row r="148">
          <cell r="E148" t="str">
            <v>28,1</v>
          </cell>
          <cell r="F148" t="str">
            <v>1.12-7-192</v>
          </cell>
          <cell r="H148" t="str">
            <v>м</v>
          </cell>
          <cell r="I148">
            <v>8.2799999999999994</v>
          </cell>
          <cell r="O148">
            <v>2043.63</v>
          </cell>
          <cell r="X148">
            <v>0</v>
          </cell>
          <cell r="Y148">
            <v>0</v>
          </cell>
          <cell r="AC148">
            <v>15.1</v>
          </cell>
          <cell r="AE148">
            <v>0</v>
          </cell>
          <cell r="AF148">
            <v>0</v>
          </cell>
          <cell r="AK148">
            <v>15.1</v>
          </cell>
          <cell r="AV148">
            <v>1</v>
          </cell>
          <cell r="AW148">
            <v>1.028</v>
          </cell>
          <cell r="BC148">
            <v>15.9</v>
          </cell>
          <cell r="BI148">
            <v>1</v>
          </cell>
          <cell r="BS148">
            <v>1</v>
          </cell>
          <cell r="DN148">
            <v>79</v>
          </cell>
          <cell r="DO148">
            <v>70</v>
          </cell>
          <cell r="ET148">
            <v>0</v>
          </cell>
          <cell r="EU148">
            <v>0</v>
          </cell>
        </row>
        <row r="150">
          <cell r="E150" t="str">
            <v>29</v>
          </cell>
          <cell r="F150" t="str">
            <v>3.29-1939-5</v>
          </cell>
          <cell r="H150" t="str">
            <v>1 М</v>
          </cell>
          <cell r="I150">
            <v>30.71</v>
          </cell>
          <cell r="P150">
            <v>1171.32</v>
          </cell>
          <cell r="Q150">
            <v>14.07</v>
          </cell>
          <cell r="S150">
            <v>13206.08</v>
          </cell>
          <cell r="U150">
            <v>26.8694074</v>
          </cell>
          <cell r="X150">
            <v>8980.1299999999992</v>
          </cell>
          <cell r="Y150">
            <v>5678.61</v>
          </cell>
          <cell r="AC150">
            <v>14.55</v>
          </cell>
          <cell r="AE150">
            <v>0</v>
          </cell>
          <cell r="AF150">
            <v>16.633199999999999</v>
          </cell>
          <cell r="AL150">
            <v>14.55</v>
          </cell>
          <cell r="AM150">
            <v>0.12</v>
          </cell>
          <cell r="AO150">
            <v>9.9600000000000009</v>
          </cell>
          <cell r="AQ150">
            <v>0.82</v>
          </cell>
          <cell r="AV150">
            <v>1.0669999999999999</v>
          </cell>
          <cell r="AW150">
            <v>1.028</v>
          </cell>
          <cell r="BA150">
            <v>24.23</v>
          </cell>
          <cell r="BB150">
            <v>3.58</v>
          </cell>
          <cell r="BC150">
            <v>2.5499999999999998</v>
          </cell>
          <cell r="BI150">
            <v>1</v>
          </cell>
          <cell r="BS150">
            <v>24.23</v>
          </cell>
          <cell r="BZ150">
            <v>68</v>
          </cell>
          <cell r="CA150">
            <v>43</v>
          </cell>
          <cell r="DD150"/>
          <cell r="DE150"/>
          <cell r="DG150" t="str">
            <v>)*1,67</v>
          </cell>
          <cell r="DI150"/>
          <cell r="DN150">
            <v>79</v>
          </cell>
          <cell r="DO150">
            <v>70</v>
          </cell>
          <cell r="ET150">
            <v>0.12</v>
          </cell>
          <cell r="EU150">
            <v>0</v>
          </cell>
        </row>
        <row r="152">
          <cell r="E152" t="str">
            <v>29,1</v>
          </cell>
          <cell r="F152" t="str">
            <v>1.12-7-189</v>
          </cell>
          <cell r="H152" t="str">
            <v>м</v>
          </cell>
          <cell r="I152">
            <v>30.71</v>
          </cell>
          <cell r="O152">
            <v>8321.83</v>
          </cell>
          <cell r="X152">
            <v>0</v>
          </cell>
          <cell r="Y152">
            <v>0</v>
          </cell>
          <cell r="AC152">
            <v>17.55</v>
          </cell>
          <cell r="AE152">
            <v>0</v>
          </cell>
          <cell r="AF152">
            <v>0</v>
          </cell>
          <cell r="AK152">
            <v>17.55</v>
          </cell>
          <cell r="AV152">
            <v>1</v>
          </cell>
          <cell r="AW152">
            <v>1.028</v>
          </cell>
          <cell r="BC152">
            <v>15.02</v>
          </cell>
          <cell r="BI152">
            <v>1</v>
          </cell>
          <cell r="BS152">
            <v>1</v>
          </cell>
          <cell r="DN152">
            <v>79</v>
          </cell>
          <cell r="DO152">
            <v>70</v>
          </cell>
          <cell r="ET152">
            <v>0</v>
          </cell>
          <cell r="EU152">
            <v>0</v>
          </cell>
        </row>
        <row r="154">
          <cell r="E154" t="str">
            <v>30</v>
          </cell>
          <cell r="F154" t="str">
            <v>3.29-1939-6</v>
          </cell>
          <cell r="H154" t="str">
            <v>1 М</v>
          </cell>
          <cell r="I154">
            <v>0.2</v>
          </cell>
          <cell r="P154">
            <v>8</v>
          </cell>
          <cell r="Q154">
            <v>0.08</v>
          </cell>
          <cell r="S154">
            <v>78.75</v>
          </cell>
          <cell r="U154">
            <v>0.16005</v>
          </cell>
          <cell r="X154">
            <v>53.55</v>
          </cell>
          <cell r="Y154">
            <v>33.86</v>
          </cell>
          <cell r="AC154">
            <v>15.04</v>
          </cell>
          <cell r="AE154">
            <v>0</v>
          </cell>
          <cell r="AF154">
            <v>15.2471</v>
          </cell>
          <cell r="AL154">
            <v>15.04</v>
          </cell>
          <cell r="AM154">
            <v>0.09</v>
          </cell>
          <cell r="AO154">
            <v>9.1300000000000008</v>
          </cell>
          <cell r="AQ154">
            <v>0.75</v>
          </cell>
          <cell r="AV154">
            <v>1.0669999999999999</v>
          </cell>
          <cell r="AW154">
            <v>1.028</v>
          </cell>
          <cell r="BA154">
            <v>24.23</v>
          </cell>
          <cell r="BB154">
            <v>3.78</v>
          </cell>
          <cell r="BC154">
            <v>2.59</v>
          </cell>
          <cell r="BI154">
            <v>1</v>
          </cell>
          <cell r="BS154">
            <v>24.23</v>
          </cell>
          <cell r="BZ154">
            <v>68</v>
          </cell>
          <cell r="CA154">
            <v>43</v>
          </cell>
          <cell r="DD154"/>
          <cell r="DE154"/>
          <cell r="DG154" t="str">
            <v>)*1,67</v>
          </cell>
          <cell r="DI154"/>
          <cell r="DN154">
            <v>79</v>
          </cell>
          <cell r="DO154">
            <v>70</v>
          </cell>
          <cell r="ET154">
            <v>0.09</v>
          </cell>
          <cell r="EU154">
            <v>0</v>
          </cell>
        </row>
        <row r="156">
          <cell r="E156" t="str">
            <v>30,1</v>
          </cell>
          <cell r="F156" t="str">
            <v>1.12-7-190</v>
          </cell>
          <cell r="H156" t="str">
            <v>м</v>
          </cell>
          <cell r="I156">
            <v>0.2</v>
          </cell>
          <cell r="O156">
            <v>70.599999999999994</v>
          </cell>
          <cell r="X156">
            <v>0</v>
          </cell>
          <cell r="Y156">
            <v>0</v>
          </cell>
          <cell r="AC156">
            <v>26.84</v>
          </cell>
          <cell r="AE156">
            <v>0</v>
          </cell>
          <cell r="AF156">
            <v>0</v>
          </cell>
          <cell r="AK156">
            <v>26.84</v>
          </cell>
          <cell r="AV156">
            <v>1</v>
          </cell>
          <cell r="AW156">
            <v>1.028</v>
          </cell>
          <cell r="BC156">
            <v>12.79</v>
          </cell>
          <cell r="BI156">
            <v>1</v>
          </cell>
          <cell r="BS156">
            <v>1</v>
          </cell>
          <cell r="DN156">
            <v>79</v>
          </cell>
          <cell r="DO156">
            <v>70</v>
          </cell>
          <cell r="ET156">
            <v>0</v>
          </cell>
          <cell r="EU156">
            <v>0</v>
          </cell>
        </row>
        <row r="158">
          <cell r="E158" t="str">
            <v>31</v>
          </cell>
          <cell r="F158" t="str">
            <v>3.29-1939-7</v>
          </cell>
          <cell r="H158" t="str">
            <v>1 М</v>
          </cell>
          <cell r="I158">
            <v>13.36</v>
          </cell>
          <cell r="P158">
            <v>530.58000000000004</v>
          </cell>
          <cell r="Q158">
            <v>3.71</v>
          </cell>
          <cell r="S158">
            <v>5560.54</v>
          </cell>
          <cell r="U158">
            <v>11.404095999999999</v>
          </cell>
          <cell r="X158">
            <v>3781.17</v>
          </cell>
          <cell r="Y158">
            <v>2391.0300000000002</v>
          </cell>
          <cell r="AC158">
            <v>15.15</v>
          </cell>
          <cell r="AE158">
            <v>0</v>
          </cell>
          <cell r="AF158">
            <v>16.098800000000001</v>
          </cell>
          <cell r="AL158">
            <v>15.15</v>
          </cell>
          <cell r="AM158">
            <v>7.0000000000000007E-2</v>
          </cell>
          <cell r="AO158">
            <v>9.64</v>
          </cell>
          <cell r="AQ158">
            <v>0.8</v>
          </cell>
          <cell r="AV158">
            <v>1.0669999999999999</v>
          </cell>
          <cell r="AW158">
            <v>1.028</v>
          </cell>
          <cell r="BA158">
            <v>24.23</v>
          </cell>
          <cell r="BB158">
            <v>3.71</v>
          </cell>
          <cell r="BC158">
            <v>2.5499999999999998</v>
          </cell>
          <cell r="BI158">
            <v>1</v>
          </cell>
          <cell r="BS158">
            <v>24.23</v>
          </cell>
          <cell r="BZ158">
            <v>68</v>
          </cell>
          <cell r="CA158">
            <v>43</v>
          </cell>
          <cell r="DD158"/>
          <cell r="DE158"/>
          <cell r="DG158" t="str">
            <v>)*1,67</v>
          </cell>
          <cell r="DI158"/>
          <cell r="DN158">
            <v>79</v>
          </cell>
          <cell r="DO158">
            <v>70</v>
          </cell>
          <cell r="ET158">
            <v>7.0000000000000007E-2</v>
          </cell>
          <cell r="EU158">
            <v>0</v>
          </cell>
        </row>
        <row r="160">
          <cell r="E160" t="str">
            <v>31,1</v>
          </cell>
          <cell r="F160" t="str">
            <v>1.12-7-191</v>
          </cell>
          <cell r="H160" t="str">
            <v>м</v>
          </cell>
          <cell r="I160">
            <v>13.36</v>
          </cell>
          <cell r="O160">
            <v>5974.39</v>
          </cell>
          <cell r="X160">
            <v>0</v>
          </cell>
          <cell r="Y160">
            <v>0</v>
          </cell>
          <cell r="AC160">
            <v>44.57</v>
          </cell>
          <cell r="AE160">
            <v>0</v>
          </cell>
          <cell r="AF160">
            <v>0</v>
          </cell>
          <cell r="AK160">
            <v>44.57</v>
          </cell>
          <cell r="AV160">
            <v>1</v>
          </cell>
          <cell r="AW160">
            <v>1.028</v>
          </cell>
          <cell r="BC160">
            <v>9.76</v>
          </cell>
          <cell r="BI160">
            <v>1</v>
          </cell>
          <cell r="BS160">
            <v>1</v>
          </cell>
          <cell r="DN160">
            <v>79</v>
          </cell>
          <cell r="DO160">
            <v>70</v>
          </cell>
          <cell r="ET160">
            <v>0</v>
          </cell>
          <cell r="EU160">
            <v>0</v>
          </cell>
        </row>
        <row r="162">
          <cell r="E162" t="str">
            <v>32</v>
          </cell>
          <cell r="F162" t="str">
            <v>3.26-16-1</v>
          </cell>
          <cell r="H162" t="str">
            <v>10 м изоляции</v>
          </cell>
          <cell r="I162">
            <v>16.446000000000002</v>
          </cell>
          <cell r="P162">
            <v>19899.43</v>
          </cell>
          <cell r="Q162">
            <v>2849.5699999999997</v>
          </cell>
          <cell r="R162">
            <v>1839.3</v>
          </cell>
          <cell r="S162">
            <v>19926.990000000002</v>
          </cell>
          <cell r="U162">
            <v>37.881716400000002</v>
          </cell>
          <cell r="X162">
            <v>15742.32</v>
          </cell>
          <cell r="Y162">
            <v>8170.07</v>
          </cell>
          <cell r="AC162">
            <v>59.82</v>
          </cell>
          <cell r="AE162">
            <v>4.4088000000000003</v>
          </cell>
          <cell r="AF162">
            <v>47.762</v>
          </cell>
          <cell r="AL162">
            <v>59.82</v>
          </cell>
          <cell r="AM162">
            <v>13.2</v>
          </cell>
          <cell r="AN162">
            <v>2.64</v>
          </cell>
          <cell r="AO162">
            <v>28.6</v>
          </cell>
          <cell r="AQ162">
            <v>2.2000000000000002</v>
          </cell>
          <cell r="AV162">
            <v>1.0469999999999999</v>
          </cell>
          <cell r="AW162">
            <v>1.0189999999999999</v>
          </cell>
          <cell r="BA162">
            <v>24.23</v>
          </cell>
          <cell r="BB162">
            <v>9.2899999999999991</v>
          </cell>
          <cell r="BC162">
            <v>19.850000000000001</v>
          </cell>
          <cell r="BI162">
            <v>1</v>
          </cell>
          <cell r="BS162">
            <v>24.23</v>
          </cell>
          <cell r="BZ162">
            <v>79</v>
          </cell>
          <cell r="CA162">
            <v>41</v>
          </cell>
          <cell r="DD162"/>
          <cell r="DE162"/>
          <cell r="DG162" t="str">
            <v>)*1,67</v>
          </cell>
          <cell r="DI162"/>
          <cell r="DN162">
            <v>98</v>
          </cell>
          <cell r="DO162">
            <v>73</v>
          </cell>
          <cell r="ET162">
            <v>13.2</v>
          </cell>
          <cell r="EU162">
            <v>2.64</v>
          </cell>
        </row>
        <row r="166">
          <cell r="E166" t="str">
            <v>33</v>
          </cell>
          <cell r="F166" t="str">
            <v>1.1-1-1289</v>
          </cell>
          <cell r="H166" t="str">
            <v>м</v>
          </cell>
          <cell r="I166">
            <v>120.9</v>
          </cell>
          <cell r="X166">
            <v>0</v>
          </cell>
          <cell r="Y166">
            <v>0</v>
          </cell>
          <cell r="AE166">
            <v>0</v>
          </cell>
          <cell r="AF166">
            <v>0</v>
          </cell>
          <cell r="AL166">
            <v>5.85</v>
          </cell>
          <cell r="AV166">
            <v>1</v>
          </cell>
          <cell r="AW166">
            <v>1.0189999999999999</v>
          </cell>
          <cell r="BI166">
            <v>1</v>
          </cell>
          <cell r="BS166">
            <v>1</v>
          </cell>
          <cell r="DD166"/>
          <cell r="DN166">
            <v>0</v>
          </cell>
          <cell r="DO166">
            <v>0</v>
          </cell>
        </row>
        <row r="168">
          <cell r="E168" t="str">
            <v>34</v>
          </cell>
          <cell r="F168" t="str">
            <v>1.1-1-1273</v>
          </cell>
          <cell r="H168" t="str">
            <v>м</v>
          </cell>
          <cell r="I168">
            <v>30.71</v>
          </cell>
          <cell r="X168">
            <v>0</v>
          </cell>
          <cell r="Y168">
            <v>0</v>
          </cell>
          <cell r="AE168">
            <v>0</v>
          </cell>
          <cell r="AF168">
            <v>0</v>
          </cell>
          <cell r="AL168">
            <v>10.38</v>
          </cell>
          <cell r="AV168">
            <v>1</v>
          </cell>
          <cell r="AW168">
            <v>1.0189999999999999</v>
          </cell>
          <cell r="BI168">
            <v>1</v>
          </cell>
          <cell r="BS168">
            <v>1</v>
          </cell>
          <cell r="DD168"/>
          <cell r="DN168">
            <v>0</v>
          </cell>
          <cell r="DO168">
            <v>0</v>
          </cell>
        </row>
        <row r="170">
          <cell r="E170" t="str">
            <v>35</v>
          </cell>
          <cell r="F170" t="str">
            <v>1.1-1-1273</v>
          </cell>
          <cell r="H170" t="str">
            <v>м</v>
          </cell>
          <cell r="I170">
            <v>0.2</v>
          </cell>
          <cell r="X170">
            <v>0</v>
          </cell>
          <cell r="Y170">
            <v>0</v>
          </cell>
          <cell r="AE170">
            <v>0</v>
          </cell>
          <cell r="AF170">
            <v>0</v>
          </cell>
          <cell r="AL170">
            <v>10.38</v>
          </cell>
          <cell r="AV170">
            <v>1</v>
          </cell>
          <cell r="AW170">
            <v>1.0189999999999999</v>
          </cell>
          <cell r="BI170">
            <v>1</v>
          </cell>
          <cell r="BS170">
            <v>1</v>
          </cell>
          <cell r="DD170"/>
          <cell r="DN170">
            <v>0</v>
          </cell>
          <cell r="DO170">
            <v>0</v>
          </cell>
        </row>
        <row r="172">
          <cell r="E172" t="str">
            <v>36</v>
          </cell>
          <cell r="F172" t="str">
            <v>1.1-1-1274</v>
          </cell>
          <cell r="H172" t="str">
            <v>м</v>
          </cell>
          <cell r="I172">
            <v>13.36</v>
          </cell>
          <cell r="X172">
            <v>0</v>
          </cell>
          <cell r="Y172">
            <v>0</v>
          </cell>
          <cell r="AE172">
            <v>0</v>
          </cell>
          <cell r="AF172">
            <v>0</v>
          </cell>
          <cell r="AL172">
            <v>12.04</v>
          </cell>
          <cell r="AV172">
            <v>1</v>
          </cell>
          <cell r="AW172">
            <v>1.0189999999999999</v>
          </cell>
          <cell r="BI172">
            <v>1</v>
          </cell>
          <cell r="BS172">
            <v>1</v>
          </cell>
          <cell r="DD172"/>
          <cell r="DN172">
            <v>0</v>
          </cell>
          <cell r="DO172">
            <v>0</v>
          </cell>
        </row>
        <row r="188">
          <cell r="G188" t="str">
            <v>К2-1, К2-1р</v>
          </cell>
        </row>
        <row r="218">
          <cell r="G218" t="str">
            <v>К2-3, К2-4р</v>
          </cell>
        </row>
        <row r="224">
          <cell r="AW224">
            <v>1</v>
          </cell>
        </row>
        <row r="226">
          <cell r="AW226">
            <v>1</v>
          </cell>
        </row>
        <row r="239">
          <cell r="E239" t="str">
            <v>47</v>
          </cell>
          <cell r="F239" t="str">
            <v>МКЭ-28-1837/5-1 от 12.01.2016</v>
          </cell>
          <cell r="H239" t="str">
            <v>шт.</v>
          </cell>
          <cell r="I239">
            <v>12</v>
          </cell>
          <cell r="X239">
            <v>0</v>
          </cell>
          <cell r="Y239">
            <v>0</v>
          </cell>
          <cell r="AE239">
            <v>0</v>
          </cell>
          <cell r="AF239">
            <v>0</v>
          </cell>
          <cell r="AV239">
            <v>1</v>
          </cell>
          <cell r="BI239">
            <v>1</v>
          </cell>
          <cell r="BS239">
            <v>1</v>
          </cell>
          <cell r="DN239">
            <v>0</v>
          </cell>
          <cell r="DO239">
            <v>0</v>
          </cell>
        </row>
        <row r="243">
          <cell r="E243" t="str">
            <v>48</v>
          </cell>
          <cell r="F243" t="str">
            <v>МКЭ-28-1837/5-1 от 12.01.2016</v>
          </cell>
          <cell r="H243" t="str">
            <v>шт.</v>
          </cell>
          <cell r="I243">
            <v>4</v>
          </cell>
          <cell r="X243">
            <v>0</v>
          </cell>
          <cell r="Y243">
            <v>0</v>
          </cell>
          <cell r="AE243">
            <v>0</v>
          </cell>
          <cell r="AF243">
            <v>0</v>
          </cell>
          <cell r="AV243">
            <v>1</v>
          </cell>
          <cell r="BI243">
            <v>1</v>
          </cell>
          <cell r="BS243">
            <v>1</v>
          </cell>
          <cell r="DN243">
            <v>0</v>
          </cell>
          <cell r="DO243">
            <v>0</v>
          </cell>
        </row>
        <row r="249">
          <cell r="E249" t="str">
            <v>51</v>
          </cell>
          <cell r="F249" t="str">
            <v>3.29-1939-1</v>
          </cell>
          <cell r="H249" t="str">
            <v>1 М</v>
          </cell>
          <cell r="I249">
            <v>3.94</v>
          </cell>
          <cell r="P249">
            <v>155.54</v>
          </cell>
          <cell r="Q249">
            <v>1.44</v>
          </cell>
          <cell r="S249">
            <v>1554.84</v>
          </cell>
          <cell r="U249">
            <v>3.1529849999999997</v>
          </cell>
          <cell r="X249">
            <v>1057.29</v>
          </cell>
          <cell r="Y249">
            <v>668.58</v>
          </cell>
          <cell r="AC249">
            <v>15.18</v>
          </cell>
          <cell r="AE249">
            <v>0</v>
          </cell>
          <cell r="AF249">
            <v>15.2638</v>
          </cell>
          <cell r="AL249">
            <v>15.18</v>
          </cell>
          <cell r="AM249">
            <v>0.09</v>
          </cell>
          <cell r="AO249">
            <v>9.14</v>
          </cell>
          <cell r="AQ249">
            <v>0.75</v>
          </cell>
          <cell r="AV249">
            <v>1.0669999999999999</v>
          </cell>
          <cell r="AW249">
            <v>1.028</v>
          </cell>
          <cell r="BA249">
            <v>24.23</v>
          </cell>
          <cell r="BB249">
            <v>3.78</v>
          </cell>
          <cell r="BC249">
            <v>2.5299999999999998</v>
          </cell>
          <cell r="BI249">
            <v>1</v>
          </cell>
          <cell r="BS249">
            <v>24.23</v>
          </cell>
          <cell r="BZ249">
            <v>68</v>
          </cell>
          <cell r="CA249">
            <v>43</v>
          </cell>
          <cell r="DD249"/>
          <cell r="DE249"/>
          <cell r="DG249" t="str">
            <v>)*1,67</v>
          </cell>
          <cell r="DI249"/>
          <cell r="DN249">
            <v>79</v>
          </cell>
          <cell r="DO249">
            <v>70</v>
          </cell>
          <cell r="ET249">
            <v>0.09</v>
          </cell>
          <cell r="EU249">
            <v>0</v>
          </cell>
        </row>
        <row r="251">
          <cell r="E251" t="str">
            <v>51,1</v>
          </cell>
          <cell r="F251" t="str">
            <v>1.12-7-186</v>
          </cell>
          <cell r="H251" t="str">
            <v>м</v>
          </cell>
          <cell r="I251">
            <v>3.94</v>
          </cell>
          <cell r="O251">
            <v>296.3</v>
          </cell>
          <cell r="X251">
            <v>0</v>
          </cell>
          <cell r="Y251">
            <v>0</v>
          </cell>
          <cell r="AC251">
            <v>4.37</v>
          </cell>
          <cell r="AE251">
            <v>0</v>
          </cell>
          <cell r="AF251">
            <v>0</v>
          </cell>
          <cell r="AK251">
            <v>4.37</v>
          </cell>
          <cell r="AV251">
            <v>1</v>
          </cell>
          <cell r="AW251">
            <v>1.028</v>
          </cell>
          <cell r="BC251">
            <v>16.739999999999998</v>
          </cell>
          <cell r="BI251">
            <v>1</v>
          </cell>
          <cell r="BS251">
            <v>1</v>
          </cell>
          <cell r="DN251">
            <v>79</v>
          </cell>
          <cell r="DO251">
            <v>70</v>
          </cell>
          <cell r="ET251">
            <v>0</v>
          </cell>
          <cell r="EU251">
            <v>0</v>
          </cell>
        </row>
        <row r="253">
          <cell r="E253" t="str">
            <v>52</v>
          </cell>
          <cell r="F253" t="str">
            <v>3.29-1939-2</v>
          </cell>
          <cell r="H253" t="str">
            <v>1 М</v>
          </cell>
          <cell r="I253">
            <v>25.72</v>
          </cell>
          <cell r="P253">
            <v>1006.77</v>
          </cell>
          <cell r="Q253">
            <v>7.12</v>
          </cell>
          <cell r="S253">
            <v>9483.3799999999992</v>
          </cell>
          <cell r="U253">
            <v>19.210267999999996</v>
          </cell>
          <cell r="X253">
            <v>6448.7</v>
          </cell>
          <cell r="Y253">
            <v>4077.85</v>
          </cell>
          <cell r="AC253">
            <v>15.11</v>
          </cell>
          <cell r="AE253">
            <v>0</v>
          </cell>
          <cell r="AF253">
            <v>14.261799999999999</v>
          </cell>
          <cell r="AL253">
            <v>15.11</v>
          </cell>
          <cell r="AM253">
            <v>7.0000000000000007E-2</v>
          </cell>
          <cell r="AO253">
            <v>8.5399999999999991</v>
          </cell>
          <cell r="AQ253">
            <v>0.7</v>
          </cell>
          <cell r="AV253">
            <v>1.0669999999999999</v>
          </cell>
          <cell r="AW253">
            <v>1.028</v>
          </cell>
          <cell r="BA253">
            <v>24.23</v>
          </cell>
          <cell r="BB253">
            <v>3.71</v>
          </cell>
          <cell r="BC253">
            <v>2.52</v>
          </cell>
          <cell r="BI253">
            <v>1</v>
          </cell>
          <cell r="BS253">
            <v>24.23</v>
          </cell>
          <cell r="BZ253">
            <v>68</v>
          </cell>
          <cell r="CA253">
            <v>43</v>
          </cell>
          <cell r="DD253"/>
          <cell r="DE253"/>
          <cell r="DG253" t="str">
            <v>)*1,67</v>
          </cell>
          <cell r="DI253"/>
          <cell r="DN253">
            <v>79</v>
          </cell>
          <cell r="DO253">
            <v>70</v>
          </cell>
          <cell r="ET253">
            <v>7.0000000000000007E-2</v>
          </cell>
          <cell r="EU253">
            <v>0</v>
          </cell>
        </row>
        <row r="255">
          <cell r="E255" t="str">
            <v>52,1</v>
          </cell>
          <cell r="F255" t="str">
            <v>1.12-7-187</v>
          </cell>
          <cell r="H255" t="str">
            <v>м</v>
          </cell>
          <cell r="I255">
            <v>25.72</v>
          </cell>
          <cell r="O255">
            <v>2824.53</v>
          </cell>
          <cell r="X255">
            <v>0</v>
          </cell>
          <cell r="Y255">
            <v>0</v>
          </cell>
          <cell r="AC255">
            <v>7.73</v>
          </cell>
          <cell r="AE255">
            <v>0</v>
          </cell>
          <cell r="AF255">
            <v>0</v>
          </cell>
          <cell r="AK255">
            <v>7.73</v>
          </cell>
          <cell r="AV255">
            <v>1</v>
          </cell>
          <cell r="AW255">
            <v>1.028</v>
          </cell>
          <cell r="BC255">
            <v>13.82</v>
          </cell>
          <cell r="BI255">
            <v>1</v>
          </cell>
          <cell r="BS255">
            <v>1</v>
          </cell>
          <cell r="DN255">
            <v>79</v>
          </cell>
          <cell r="DO255">
            <v>70</v>
          </cell>
          <cell r="ET255">
            <v>0</v>
          </cell>
          <cell r="EU255">
            <v>0</v>
          </cell>
        </row>
        <row r="257">
          <cell r="E257" t="str">
            <v>53</v>
          </cell>
          <cell r="F257" t="str">
            <v>3.29-1939-3</v>
          </cell>
          <cell r="H257" t="str">
            <v>1 М</v>
          </cell>
          <cell r="I257">
            <v>124.44</v>
          </cell>
          <cell r="P257">
            <v>4987.62</v>
          </cell>
          <cell r="Q257">
            <v>45.17</v>
          </cell>
          <cell r="S257">
            <v>49106.7</v>
          </cell>
          <cell r="U257">
            <v>99.583109999999991</v>
          </cell>
          <cell r="X257">
            <v>33392.559999999998</v>
          </cell>
          <cell r="Y257">
            <v>21115.88</v>
          </cell>
          <cell r="AC257">
            <v>15.23</v>
          </cell>
          <cell r="AE257">
            <v>0</v>
          </cell>
          <cell r="AF257">
            <v>15.2638</v>
          </cell>
          <cell r="AL257">
            <v>15.23</v>
          </cell>
          <cell r="AM257">
            <v>0.09</v>
          </cell>
          <cell r="AO257">
            <v>9.14</v>
          </cell>
          <cell r="AQ257">
            <v>0.75</v>
          </cell>
          <cell r="AV257">
            <v>1.0669999999999999</v>
          </cell>
          <cell r="AW257">
            <v>1.028</v>
          </cell>
          <cell r="BA257">
            <v>24.23</v>
          </cell>
          <cell r="BB257">
            <v>3.78</v>
          </cell>
          <cell r="BC257">
            <v>2.56</v>
          </cell>
          <cell r="BI257">
            <v>1</v>
          </cell>
          <cell r="BS257">
            <v>24.23</v>
          </cell>
          <cell r="BZ257">
            <v>68</v>
          </cell>
          <cell r="CA257">
            <v>43</v>
          </cell>
          <cell r="DD257"/>
          <cell r="DE257"/>
          <cell r="DG257" t="str">
            <v>)*1,67</v>
          </cell>
          <cell r="DI257"/>
          <cell r="DN257">
            <v>79</v>
          </cell>
          <cell r="DO257">
            <v>70</v>
          </cell>
          <cell r="ET257">
            <v>0.09</v>
          </cell>
          <cell r="EU257">
            <v>0</v>
          </cell>
        </row>
        <row r="259">
          <cell r="E259" t="str">
            <v>53,1</v>
          </cell>
          <cell r="F259" t="str">
            <v>1.12-7-188</v>
          </cell>
          <cell r="H259" t="str">
            <v>м</v>
          </cell>
          <cell r="I259">
            <v>124.44</v>
          </cell>
          <cell r="O259">
            <v>18568.650000000001</v>
          </cell>
          <cell r="X259">
            <v>0</v>
          </cell>
          <cell r="Y259">
            <v>0</v>
          </cell>
          <cell r="AC259">
            <v>10.28</v>
          </cell>
          <cell r="AE259">
            <v>0</v>
          </cell>
          <cell r="AF259">
            <v>0</v>
          </cell>
          <cell r="AK259">
            <v>10.28</v>
          </cell>
          <cell r="AV259">
            <v>1</v>
          </cell>
          <cell r="AW259">
            <v>1.028</v>
          </cell>
          <cell r="BC259">
            <v>14.12</v>
          </cell>
          <cell r="BI259">
            <v>1</v>
          </cell>
          <cell r="BS259">
            <v>1</v>
          </cell>
          <cell r="DN259">
            <v>79</v>
          </cell>
          <cell r="DO259">
            <v>70</v>
          </cell>
          <cell r="ET259">
            <v>0</v>
          </cell>
          <cell r="EU259">
            <v>0</v>
          </cell>
        </row>
        <row r="261">
          <cell r="E261" t="str">
            <v>54</v>
          </cell>
          <cell r="F261" t="str">
            <v>3.29-1939-4</v>
          </cell>
          <cell r="H261" t="str">
            <v>1 М</v>
          </cell>
          <cell r="I261">
            <v>25.72</v>
          </cell>
          <cell r="P261">
            <v>1025.48</v>
          </cell>
          <cell r="Q261">
            <v>7.12</v>
          </cell>
          <cell r="S261">
            <v>9894.32</v>
          </cell>
          <cell r="U261">
            <v>20.033565199999998</v>
          </cell>
          <cell r="X261">
            <v>6728.14</v>
          </cell>
          <cell r="Y261">
            <v>4254.5600000000004</v>
          </cell>
          <cell r="AC261">
            <v>15.33</v>
          </cell>
          <cell r="AE261">
            <v>0</v>
          </cell>
          <cell r="AF261">
            <v>14.8797</v>
          </cell>
          <cell r="AL261">
            <v>15.33</v>
          </cell>
          <cell r="AM261">
            <v>7.0000000000000007E-2</v>
          </cell>
          <cell r="AO261">
            <v>8.91</v>
          </cell>
          <cell r="AQ261">
            <v>0.73</v>
          </cell>
          <cell r="AV261">
            <v>1.0669999999999999</v>
          </cell>
          <cell r="AW261">
            <v>1.028</v>
          </cell>
          <cell r="BA261">
            <v>24.23</v>
          </cell>
          <cell r="BB261">
            <v>3.71</v>
          </cell>
          <cell r="BC261">
            <v>2.5299999999999998</v>
          </cell>
          <cell r="BI261">
            <v>1</v>
          </cell>
          <cell r="BS261">
            <v>24.23</v>
          </cell>
          <cell r="BZ261">
            <v>68</v>
          </cell>
          <cell r="CA261">
            <v>43</v>
          </cell>
          <cell r="DD261"/>
          <cell r="DE261"/>
          <cell r="DG261" t="str">
            <v>)*1,67</v>
          </cell>
          <cell r="DI261"/>
          <cell r="DN261">
            <v>79</v>
          </cell>
          <cell r="DO261">
            <v>70</v>
          </cell>
          <cell r="ET261">
            <v>7.0000000000000007E-2</v>
          </cell>
          <cell r="EU261">
            <v>0</v>
          </cell>
        </row>
        <row r="263">
          <cell r="E263" t="str">
            <v>54,1</v>
          </cell>
          <cell r="F263" t="str">
            <v>1.12-7-192</v>
          </cell>
          <cell r="H263" t="str">
            <v>м</v>
          </cell>
          <cell r="I263">
            <v>25.72</v>
          </cell>
          <cell r="O263">
            <v>6348.08</v>
          </cell>
          <cell r="X263">
            <v>0</v>
          </cell>
          <cell r="Y263">
            <v>0</v>
          </cell>
          <cell r="AC263">
            <v>15.1</v>
          </cell>
          <cell r="AE263">
            <v>0</v>
          </cell>
          <cell r="AF263">
            <v>0</v>
          </cell>
          <cell r="AK263">
            <v>15.1</v>
          </cell>
          <cell r="AV263">
            <v>1</v>
          </cell>
          <cell r="AW263">
            <v>1.028</v>
          </cell>
          <cell r="BC263">
            <v>15.9</v>
          </cell>
          <cell r="BI263">
            <v>1</v>
          </cell>
          <cell r="BS263">
            <v>1</v>
          </cell>
          <cell r="DN263">
            <v>79</v>
          </cell>
          <cell r="DO263">
            <v>70</v>
          </cell>
          <cell r="ET263">
            <v>0</v>
          </cell>
          <cell r="EU263">
            <v>0</v>
          </cell>
        </row>
        <row r="265">
          <cell r="E265" t="str">
            <v>55</v>
          </cell>
          <cell r="F265" t="str">
            <v>3.29-1939-5</v>
          </cell>
          <cell r="H265" t="str">
            <v>1 М</v>
          </cell>
          <cell r="I265">
            <v>42</v>
          </cell>
          <cell r="P265">
            <v>1601.94</v>
          </cell>
          <cell r="Q265">
            <v>19.260000000000002</v>
          </cell>
          <cell r="S265">
            <v>18061.04</v>
          </cell>
          <cell r="U265">
            <v>36.747479999999996</v>
          </cell>
          <cell r="X265">
            <v>12281.51</v>
          </cell>
          <cell r="Y265">
            <v>7766.25</v>
          </cell>
          <cell r="AC265">
            <v>14.55</v>
          </cell>
          <cell r="AE265">
            <v>0</v>
          </cell>
          <cell r="AF265">
            <v>16.633199999999999</v>
          </cell>
          <cell r="AL265">
            <v>14.55</v>
          </cell>
          <cell r="AM265">
            <v>0.12</v>
          </cell>
          <cell r="AO265">
            <v>9.9600000000000009</v>
          </cell>
          <cell r="AQ265">
            <v>0.82</v>
          </cell>
          <cell r="AV265">
            <v>1.0669999999999999</v>
          </cell>
          <cell r="AW265">
            <v>1.028</v>
          </cell>
          <cell r="BA265">
            <v>24.23</v>
          </cell>
          <cell r="BB265">
            <v>3.58</v>
          </cell>
          <cell r="BC265">
            <v>2.5499999999999998</v>
          </cell>
          <cell r="BI265">
            <v>1</v>
          </cell>
          <cell r="BS265">
            <v>24.23</v>
          </cell>
          <cell r="BZ265">
            <v>68</v>
          </cell>
          <cell r="CA265">
            <v>43</v>
          </cell>
          <cell r="DD265"/>
          <cell r="DE265"/>
          <cell r="DG265" t="str">
            <v>)*1,67</v>
          </cell>
          <cell r="DI265"/>
          <cell r="DN265">
            <v>79</v>
          </cell>
          <cell r="DO265">
            <v>70</v>
          </cell>
          <cell r="ET265">
            <v>0.12</v>
          </cell>
          <cell r="EU265">
            <v>0</v>
          </cell>
        </row>
        <row r="267">
          <cell r="E267" t="str">
            <v>55,1</v>
          </cell>
          <cell r="F267" t="str">
            <v>1.12-7-189</v>
          </cell>
          <cell r="H267" t="str">
            <v>м</v>
          </cell>
          <cell r="I267">
            <v>42</v>
          </cell>
          <cell r="O267">
            <v>11381.25</v>
          </cell>
          <cell r="X267">
            <v>0</v>
          </cell>
          <cell r="Y267">
            <v>0</v>
          </cell>
          <cell r="AC267">
            <v>17.55</v>
          </cell>
          <cell r="AE267">
            <v>0</v>
          </cell>
          <cell r="AF267">
            <v>0</v>
          </cell>
          <cell r="AK267">
            <v>17.55</v>
          </cell>
          <cell r="AV267">
            <v>1</v>
          </cell>
          <cell r="AW267">
            <v>1.028</v>
          </cell>
          <cell r="BC267">
            <v>15.02</v>
          </cell>
          <cell r="BI267">
            <v>1</v>
          </cell>
          <cell r="BS267">
            <v>1</v>
          </cell>
          <cell r="DN267">
            <v>79</v>
          </cell>
          <cell r="DO267">
            <v>70</v>
          </cell>
          <cell r="ET267">
            <v>0</v>
          </cell>
          <cell r="EU267">
            <v>0</v>
          </cell>
        </row>
        <row r="269">
          <cell r="E269" t="str">
            <v>56</v>
          </cell>
          <cell r="F269" t="str">
            <v>3.29-1939-6</v>
          </cell>
          <cell r="H269" t="str">
            <v>1 М</v>
          </cell>
          <cell r="I269">
            <v>10</v>
          </cell>
          <cell r="P269">
            <v>400.44</v>
          </cell>
          <cell r="Q269">
            <v>3.63</v>
          </cell>
          <cell r="S269">
            <v>3941.98</v>
          </cell>
          <cell r="U269">
            <v>8.0024999999999995</v>
          </cell>
          <cell r="X269">
            <v>2680.55</v>
          </cell>
          <cell r="Y269">
            <v>1695.05</v>
          </cell>
          <cell r="AC269">
            <v>15.04</v>
          </cell>
          <cell r="AE269">
            <v>0</v>
          </cell>
          <cell r="AF269">
            <v>15.2471</v>
          </cell>
          <cell r="AL269">
            <v>15.04</v>
          </cell>
          <cell r="AM269">
            <v>0.09</v>
          </cell>
          <cell r="AO269">
            <v>9.1300000000000008</v>
          </cell>
          <cell r="AQ269">
            <v>0.75</v>
          </cell>
          <cell r="AV269">
            <v>1.0669999999999999</v>
          </cell>
          <cell r="AW269">
            <v>1.028</v>
          </cell>
          <cell r="BA269">
            <v>24.23</v>
          </cell>
          <cell r="BB269">
            <v>3.78</v>
          </cell>
          <cell r="BC269">
            <v>2.59</v>
          </cell>
          <cell r="BI269">
            <v>1</v>
          </cell>
          <cell r="BS269">
            <v>24.23</v>
          </cell>
          <cell r="BZ269">
            <v>68</v>
          </cell>
          <cell r="CA269">
            <v>43</v>
          </cell>
          <cell r="DD269"/>
          <cell r="DE269"/>
          <cell r="DG269" t="str">
            <v>)*1,67</v>
          </cell>
          <cell r="DI269"/>
          <cell r="DN269">
            <v>79</v>
          </cell>
          <cell r="DO269">
            <v>70</v>
          </cell>
          <cell r="ET269">
            <v>0.09</v>
          </cell>
          <cell r="EU269">
            <v>0</v>
          </cell>
        </row>
        <row r="271">
          <cell r="E271" t="str">
            <v>56,1</v>
          </cell>
          <cell r="F271" t="str">
            <v>1.12-7-190</v>
          </cell>
          <cell r="H271" t="str">
            <v>м</v>
          </cell>
          <cell r="I271">
            <v>10</v>
          </cell>
          <cell r="O271">
            <v>3529.02</v>
          </cell>
          <cell r="X271">
            <v>0</v>
          </cell>
          <cell r="Y271">
            <v>0</v>
          </cell>
          <cell r="AC271">
            <v>26.84</v>
          </cell>
          <cell r="AE271">
            <v>0</v>
          </cell>
          <cell r="AF271">
            <v>0</v>
          </cell>
          <cell r="AK271">
            <v>26.84</v>
          </cell>
          <cell r="AV271">
            <v>1</v>
          </cell>
          <cell r="AW271">
            <v>1.028</v>
          </cell>
          <cell r="BC271">
            <v>12.79</v>
          </cell>
          <cell r="BI271">
            <v>1</v>
          </cell>
          <cell r="BS271">
            <v>1</v>
          </cell>
          <cell r="DN271">
            <v>79</v>
          </cell>
          <cell r="DO271">
            <v>70</v>
          </cell>
          <cell r="ET271">
            <v>0</v>
          </cell>
          <cell r="EU271">
            <v>0</v>
          </cell>
        </row>
        <row r="273">
          <cell r="E273" t="str">
            <v>57</v>
          </cell>
          <cell r="F273" t="str">
            <v>3.29-1939-7</v>
          </cell>
          <cell r="H273" t="str">
            <v>1 М</v>
          </cell>
          <cell r="I273">
            <v>41.96</v>
          </cell>
          <cell r="P273">
            <v>1666.4</v>
          </cell>
          <cell r="Q273">
            <v>11.61</v>
          </cell>
          <cell r="S273">
            <v>17464.009999999998</v>
          </cell>
          <cell r="U273">
            <v>35.817056000000001</v>
          </cell>
          <cell r="X273">
            <v>11875.53</v>
          </cell>
          <cell r="Y273">
            <v>7509.52</v>
          </cell>
          <cell r="AC273">
            <v>15.15</v>
          </cell>
          <cell r="AE273">
            <v>0</v>
          </cell>
          <cell r="AF273">
            <v>16.098800000000001</v>
          </cell>
          <cell r="AL273">
            <v>15.15</v>
          </cell>
          <cell r="AM273">
            <v>7.0000000000000007E-2</v>
          </cell>
          <cell r="AO273">
            <v>9.64</v>
          </cell>
          <cell r="AQ273">
            <v>0.8</v>
          </cell>
          <cell r="AV273">
            <v>1.0669999999999999</v>
          </cell>
          <cell r="AW273">
            <v>1.028</v>
          </cell>
          <cell r="BA273">
            <v>24.23</v>
          </cell>
          <cell r="BB273">
            <v>3.71</v>
          </cell>
          <cell r="BC273">
            <v>2.5499999999999998</v>
          </cell>
          <cell r="BI273">
            <v>1</v>
          </cell>
          <cell r="BS273">
            <v>24.23</v>
          </cell>
          <cell r="BZ273">
            <v>68</v>
          </cell>
          <cell r="CA273">
            <v>43</v>
          </cell>
          <cell r="DD273"/>
          <cell r="DE273"/>
          <cell r="DG273" t="str">
            <v>)*1,67</v>
          </cell>
          <cell r="DI273"/>
          <cell r="DN273">
            <v>79</v>
          </cell>
          <cell r="DO273">
            <v>70</v>
          </cell>
          <cell r="ET273">
            <v>7.0000000000000007E-2</v>
          </cell>
          <cell r="EU273">
            <v>0</v>
          </cell>
        </row>
        <row r="275">
          <cell r="E275" t="str">
            <v>57,1</v>
          </cell>
          <cell r="F275" t="str">
            <v>1.12-7-191</v>
          </cell>
          <cell r="H275" t="str">
            <v>м</v>
          </cell>
          <cell r="I275">
            <v>41.96</v>
          </cell>
          <cell r="O275">
            <v>18763.8</v>
          </cell>
          <cell r="X275">
            <v>0</v>
          </cell>
          <cell r="Y275">
            <v>0</v>
          </cell>
          <cell r="AC275">
            <v>44.57</v>
          </cell>
          <cell r="AE275">
            <v>0</v>
          </cell>
          <cell r="AF275">
            <v>0</v>
          </cell>
          <cell r="AK275">
            <v>44.57</v>
          </cell>
          <cell r="AV275">
            <v>1</v>
          </cell>
          <cell r="AW275">
            <v>1.028</v>
          </cell>
          <cell r="BC275">
            <v>9.76</v>
          </cell>
          <cell r="BI275">
            <v>1</v>
          </cell>
          <cell r="BS275">
            <v>1</v>
          </cell>
          <cell r="DN275">
            <v>79</v>
          </cell>
          <cell r="DO275">
            <v>70</v>
          </cell>
          <cell r="ET275">
            <v>0</v>
          </cell>
          <cell r="EU275">
            <v>0</v>
          </cell>
        </row>
        <row r="277">
          <cell r="E277" t="str">
            <v>58</v>
          </cell>
          <cell r="F277" t="str">
            <v>3.26-16-1</v>
          </cell>
          <cell r="H277" t="str">
            <v>10 м изоляции</v>
          </cell>
          <cell r="I277">
            <v>27.428000000000001</v>
          </cell>
          <cell r="P277">
            <v>33187.61</v>
          </cell>
          <cell r="Q277">
            <v>4752.2</v>
          </cell>
          <cell r="R277">
            <v>3067.76</v>
          </cell>
          <cell r="S277">
            <v>33233.629999999997</v>
          </cell>
          <cell r="U277">
            <v>63.177655199999997</v>
          </cell>
          <cell r="X277">
            <v>26254.57</v>
          </cell>
          <cell r="Y277">
            <v>13625.79</v>
          </cell>
          <cell r="AC277">
            <v>59.82</v>
          </cell>
          <cell r="AE277">
            <v>4.4088000000000003</v>
          </cell>
          <cell r="AF277">
            <v>47.762</v>
          </cell>
          <cell r="AL277">
            <v>59.82</v>
          </cell>
          <cell r="AM277">
            <v>13.2</v>
          </cell>
          <cell r="AN277">
            <v>2.64</v>
          </cell>
          <cell r="AO277">
            <v>28.6</v>
          </cell>
          <cell r="AQ277">
            <v>2.2000000000000002</v>
          </cell>
          <cell r="AV277">
            <v>1.0469999999999999</v>
          </cell>
          <cell r="AW277">
            <v>1.0189999999999999</v>
          </cell>
          <cell r="BA277">
            <v>24.23</v>
          </cell>
          <cell r="BB277">
            <v>9.2899999999999991</v>
          </cell>
          <cell r="BC277">
            <v>19.850000000000001</v>
          </cell>
          <cell r="BI277">
            <v>1</v>
          </cell>
          <cell r="BS277">
            <v>24.23</v>
          </cell>
          <cell r="BZ277">
            <v>79</v>
          </cell>
          <cell r="CA277">
            <v>41</v>
          </cell>
          <cell r="DD277"/>
          <cell r="DE277"/>
          <cell r="DG277" t="str">
            <v>)*1,67</v>
          </cell>
          <cell r="DI277"/>
          <cell r="DN277">
            <v>98</v>
          </cell>
          <cell r="DO277">
            <v>73</v>
          </cell>
          <cell r="ET277">
            <v>13.2</v>
          </cell>
          <cell r="EU277">
            <v>2.64</v>
          </cell>
        </row>
        <row r="279">
          <cell r="E279" t="str">
            <v>58,1</v>
          </cell>
          <cell r="F279" t="str">
            <v>1.1-1-1271</v>
          </cell>
          <cell r="H279" t="str">
            <v>м</v>
          </cell>
          <cell r="I279">
            <v>28.443850999999995</v>
          </cell>
          <cell r="X279">
            <v>0</v>
          </cell>
          <cell r="Y279">
            <v>0</v>
          </cell>
          <cell r="AE279">
            <v>0</v>
          </cell>
          <cell r="AF279">
            <v>0</v>
          </cell>
          <cell r="AK279">
            <v>9.49</v>
          </cell>
          <cell r="AV279">
            <v>1</v>
          </cell>
          <cell r="AW279">
            <v>1.0189999999999999</v>
          </cell>
          <cell r="BI279">
            <v>1</v>
          </cell>
          <cell r="BS279">
            <v>1</v>
          </cell>
          <cell r="DN279">
            <v>98</v>
          </cell>
          <cell r="DO279">
            <v>73</v>
          </cell>
        </row>
        <row r="281">
          <cell r="E281" t="str">
            <v>59</v>
          </cell>
          <cell r="F281" t="str">
            <v>1.1-1-1289</v>
          </cell>
          <cell r="H281" t="str">
            <v>м</v>
          </cell>
          <cell r="I281">
            <v>179.82</v>
          </cell>
          <cell r="X281">
            <v>0</v>
          </cell>
          <cell r="Y281">
            <v>0</v>
          </cell>
          <cell r="AE281">
            <v>0</v>
          </cell>
          <cell r="AF281">
            <v>0</v>
          </cell>
          <cell r="AL281">
            <v>5.85</v>
          </cell>
          <cell r="AV281">
            <v>1</v>
          </cell>
          <cell r="AW281">
            <v>1.0189999999999999</v>
          </cell>
          <cell r="BI281">
            <v>1</v>
          </cell>
          <cell r="BS281">
            <v>1</v>
          </cell>
          <cell r="DD281"/>
          <cell r="DN281">
            <v>0</v>
          </cell>
          <cell r="DO281">
            <v>0</v>
          </cell>
        </row>
        <row r="283">
          <cell r="E283" t="str">
            <v>60</v>
          </cell>
          <cell r="F283" t="str">
            <v>1.1-1-1272</v>
          </cell>
          <cell r="H283" t="str">
            <v>м</v>
          </cell>
          <cell r="I283">
            <v>42</v>
          </cell>
          <cell r="X283">
            <v>0</v>
          </cell>
          <cell r="Y283">
            <v>0</v>
          </cell>
          <cell r="AE283">
            <v>0</v>
          </cell>
          <cell r="AF283">
            <v>0</v>
          </cell>
          <cell r="AL283">
            <v>9.7100000000000009</v>
          </cell>
          <cell r="AV283">
            <v>1</v>
          </cell>
          <cell r="AW283">
            <v>1.0189999999999999</v>
          </cell>
          <cell r="BI283">
            <v>1</v>
          </cell>
          <cell r="BS283">
            <v>1</v>
          </cell>
          <cell r="DD283"/>
          <cell r="DN283">
            <v>0</v>
          </cell>
          <cell r="DO283">
            <v>0</v>
          </cell>
        </row>
        <row r="285">
          <cell r="E285" t="str">
            <v>61</v>
          </cell>
          <cell r="F285" t="str">
            <v>1.1-1-1273</v>
          </cell>
          <cell r="H285" t="str">
            <v>м</v>
          </cell>
          <cell r="I285">
            <v>10.5</v>
          </cell>
          <cell r="X285">
            <v>0</v>
          </cell>
          <cell r="Y285">
            <v>0</v>
          </cell>
          <cell r="AE285">
            <v>0</v>
          </cell>
          <cell r="AF285">
            <v>0</v>
          </cell>
          <cell r="AL285">
            <v>10.38</v>
          </cell>
          <cell r="AV285">
            <v>1</v>
          </cell>
          <cell r="AW285">
            <v>1.0189999999999999</v>
          </cell>
          <cell r="BI285">
            <v>1</v>
          </cell>
          <cell r="BS285">
            <v>1</v>
          </cell>
          <cell r="DD285"/>
          <cell r="DN285">
            <v>0</v>
          </cell>
          <cell r="DO285">
            <v>0</v>
          </cell>
        </row>
        <row r="287">
          <cell r="E287" t="str">
            <v>62</v>
          </cell>
          <cell r="F287" t="str">
            <v>1.1-1-1274</v>
          </cell>
          <cell r="H287" t="str">
            <v>м</v>
          </cell>
          <cell r="I287">
            <v>41.96</v>
          </cell>
          <cell r="X287">
            <v>0</v>
          </cell>
          <cell r="Y287">
            <v>0</v>
          </cell>
          <cell r="AE287">
            <v>0</v>
          </cell>
          <cell r="AF287">
            <v>0</v>
          </cell>
          <cell r="AL287">
            <v>12.04</v>
          </cell>
          <cell r="AV287">
            <v>1</v>
          </cell>
          <cell r="AW287">
            <v>1.0189999999999999</v>
          </cell>
          <cell r="BI287">
            <v>1</v>
          </cell>
          <cell r="BS287">
            <v>1</v>
          </cell>
          <cell r="DD287"/>
          <cell r="DN287">
            <v>0</v>
          </cell>
          <cell r="DO287">
            <v>0</v>
          </cell>
        </row>
        <row r="303">
          <cell r="G303" t="str">
            <v>К2-3, К2-4р</v>
          </cell>
        </row>
        <row r="342">
          <cell r="AW342">
            <v>1</v>
          </cell>
        </row>
        <row r="344">
          <cell r="AW344">
            <v>1</v>
          </cell>
        </row>
        <row r="365">
          <cell r="AW365">
            <v>1</v>
          </cell>
        </row>
        <row r="728">
          <cell r="G728" t="str">
            <v>К2-21</v>
          </cell>
        </row>
        <row r="813">
          <cell r="E813" t="str">
            <v>175</v>
          </cell>
          <cell r="F813" t="str">
            <v>4.8-158-1</v>
          </cell>
          <cell r="H813" t="str">
            <v>1 Т</v>
          </cell>
          <cell r="I813">
            <v>6.2185200000000003E-2</v>
          </cell>
          <cell r="P813">
            <v>33.76</v>
          </cell>
          <cell r="Q813">
            <v>354</v>
          </cell>
          <cell r="R813">
            <v>153.86000000000001</v>
          </cell>
          <cell r="S813">
            <v>1906.9</v>
          </cell>
          <cell r="U813">
            <v>3.8218339882800003</v>
          </cell>
          <cell r="X813">
            <v>1716.21</v>
          </cell>
          <cell r="Y813">
            <v>819.97</v>
          </cell>
          <cell r="AC813">
            <v>97.3</v>
          </cell>
          <cell r="AE813">
            <v>97.528000000000006</v>
          </cell>
          <cell r="AF813">
            <v>1208.6958999999999</v>
          </cell>
          <cell r="AL813">
            <v>97.3</v>
          </cell>
          <cell r="AM813">
            <v>611.48</v>
          </cell>
          <cell r="AN813">
            <v>58.4</v>
          </cell>
          <cell r="AO813">
            <v>723.77</v>
          </cell>
          <cell r="AQ813">
            <v>58.7</v>
          </cell>
          <cell r="AV813">
            <v>1.0469999999999999</v>
          </cell>
          <cell r="AW813">
            <v>1</v>
          </cell>
          <cell r="BA813">
            <v>24.23</v>
          </cell>
          <cell r="BB813">
            <v>7.34</v>
          </cell>
          <cell r="BC813">
            <v>5.58</v>
          </cell>
          <cell r="BI813">
            <v>2</v>
          </cell>
          <cell r="BS813">
            <v>24.23</v>
          </cell>
          <cell r="BZ813">
            <v>90</v>
          </cell>
          <cell r="CA813">
            <v>43</v>
          </cell>
          <cell r="DD813"/>
          <cell r="DE813"/>
          <cell r="DG813" t="str">
            <v>)*1,67</v>
          </cell>
          <cell r="DI813"/>
          <cell r="DN813">
            <v>112</v>
          </cell>
          <cell r="DO813">
            <v>70</v>
          </cell>
          <cell r="ET813">
            <v>611.48</v>
          </cell>
          <cell r="EU813">
            <v>58.4</v>
          </cell>
        </row>
        <row r="815">
          <cell r="E815" t="str">
            <v>176</v>
          </cell>
          <cell r="F815" t="str">
            <v>МКЭ-33-1475/7-1 от 09.08.2017г.</v>
          </cell>
          <cell r="H815" t="str">
            <v>м</v>
          </cell>
          <cell r="I815">
            <v>40.380000000000003</v>
          </cell>
          <cell r="X815">
            <v>0</v>
          </cell>
          <cell r="Y815">
            <v>0</v>
          </cell>
          <cell r="AE815">
            <v>0</v>
          </cell>
          <cell r="AF815">
            <v>0</v>
          </cell>
          <cell r="AV815">
            <v>1</v>
          </cell>
          <cell r="BI815">
            <v>1</v>
          </cell>
          <cell r="BS815">
            <v>1</v>
          </cell>
          <cell r="DN815">
            <v>0</v>
          </cell>
          <cell r="DO815">
            <v>0</v>
          </cell>
        </row>
        <row r="819">
          <cell r="E819" t="str">
            <v>178</v>
          </cell>
          <cell r="F819" t="str">
            <v>МКЭ-33-1382/8-1 от 20.09.2018г.</v>
          </cell>
          <cell r="H819" t="str">
            <v>м</v>
          </cell>
          <cell r="I819">
            <v>59.17</v>
          </cell>
          <cell r="X819">
            <v>0</v>
          </cell>
          <cell r="Y819">
            <v>0</v>
          </cell>
          <cell r="AE819">
            <v>0</v>
          </cell>
          <cell r="AF819">
            <v>0</v>
          </cell>
          <cell r="AV819">
            <v>1</v>
          </cell>
          <cell r="BI819">
            <v>1</v>
          </cell>
          <cell r="BS819">
            <v>1</v>
          </cell>
          <cell r="DN819">
            <v>0</v>
          </cell>
          <cell r="DO819">
            <v>0</v>
          </cell>
        </row>
        <row r="827">
          <cell r="E827" t="str">
            <v>182</v>
          </cell>
          <cell r="F827" t="str">
            <v>4.8-83-4</v>
          </cell>
          <cell r="H827" t="str">
            <v>100 шт.</v>
          </cell>
          <cell r="I827">
            <v>0.39</v>
          </cell>
          <cell r="P827">
            <v>284.86</v>
          </cell>
          <cell r="Q827">
            <v>2878.79</v>
          </cell>
          <cell r="R827">
            <v>998.28</v>
          </cell>
          <cell r="S827">
            <v>5224.2299999999996</v>
          </cell>
          <cell r="U827">
            <v>10.471070999999998</v>
          </cell>
          <cell r="X827">
            <v>4701.8100000000004</v>
          </cell>
          <cell r="Y827">
            <v>2246.42</v>
          </cell>
          <cell r="AC827">
            <v>130.9</v>
          </cell>
          <cell r="AE827">
            <v>97.177300000000002</v>
          </cell>
          <cell r="AF827">
            <v>508.5985</v>
          </cell>
          <cell r="AL827">
            <v>130.9</v>
          </cell>
          <cell r="AM827">
            <v>855.92</v>
          </cell>
          <cell r="AN827">
            <v>58.19</v>
          </cell>
          <cell r="AO827">
            <v>304.55</v>
          </cell>
          <cell r="AQ827">
            <v>24.7</v>
          </cell>
          <cell r="AV827">
            <v>1.087</v>
          </cell>
          <cell r="AW827">
            <v>1</v>
          </cell>
          <cell r="BA827">
            <v>24.23</v>
          </cell>
          <cell r="BB827">
            <v>6.83</v>
          </cell>
          <cell r="BC827">
            <v>5.58</v>
          </cell>
          <cell r="BI827">
            <v>2</v>
          </cell>
          <cell r="BS827">
            <v>24.23</v>
          </cell>
          <cell r="BZ827">
            <v>90</v>
          </cell>
          <cell r="CA827">
            <v>43</v>
          </cell>
          <cell r="DD827"/>
          <cell r="DE827"/>
          <cell r="DG827" t="str">
            <v>)*1,67</v>
          </cell>
          <cell r="DI827"/>
          <cell r="DN827">
            <v>112</v>
          </cell>
          <cell r="DO827">
            <v>70</v>
          </cell>
          <cell r="ET827">
            <v>855.92</v>
          </cell>
          <cell r="EU827">
            <v>58.19</v>
          </cell>
        </row>
        <row r="829">
          <cell r="E829" t="str">
            <v>183</v>
          </cell>
          <cell r="F829" t="str">
            <v>1.7-5-261</v>
          </cell>
          <cell r="H829" t="str">
            <v>100 шт.</v>
          </cell>
          <cell r="I829">
            <v>1.84</v>
          </cell>
          <cell r="P829">
            <v>2478.16</v>
          </cell>
          <cell r="X829">
            <v>0</v>
          </cell>
          <cell r="Y829">
            <v>0</v>
          </cell>
          <cell r="AC829">
            <v>126.58</v>
          </cell>
          <cell r="AE829">
            <v>0</v>
          </cell>
          <cell r="AF829">
            <v>0</v>
          </cell>
          <cell r="AL829">
            <v>126.58</v>
          </cell>
          <cell r="AV829">
            <v>1</v>
          </cell>
          <cell r="AW829">
            <v>1</v>
          </cell>
          <cell r="BC829">
            <v>10.64</v>
          </cell>
          <cell r="BI829">
            <v>1</v>
          </cell>
          <cell r="BS829">
            <v>1</v>
          </cell>
          <cell r="DD829"/>
          <cell r="DN829">
            <v>0</v>
          </cell>
          <cell r="DO829">
            <v>0</v>
          </cell>
        </row>
        <row r="831">
          <cell r="E831" t="str">
            <v>184</v>
          </cell>
          <cell r="F831" t="str">
            <v>МКЭ-33-257/9-3 от 01.04.2019г.</v>
          </cell>
          <cell r="H831" t="str">
            <v>м</v>
          </cell>
          <cell r="I831">
            <v>78</v>
          </cell>
          <cell r="X831">
            <v>0</v>
          </cell>
          <cell r="Y831">
            <v>0</v>
          </cell>
          <cell r="AE831">
            <v>0</v>
          </cell>
          <cell r="AF831">
            <v>0</v>
          </cell>
          <cell r="AV831">
            <v>1</v>
          </cell>
          <cell r="BI831">
            <v>1</v>
          </cell>
          <cell r="BS831">
            <v>1</v>
          </cell>
          <cell r="DN831">
            <v>0</v>
          </cell>
          <cell r="DO831">
            <v>0</v>
          </cell>
        </row>
        <row r="837">
          <cell r="G837" t="str">
            <v>К2-21</v>
          </cell>
        </row>
        <row r="867">
          <cell r="G867" t="str">
            <v>Кондиционирование</v>
          </cell>
        </row>
        <row r="927">
          <cell r="G927" t="str">
            <v>48875-ТПК-5-0707-Р-ССР2-изм.1.1-доп.1_12-4017-Л-Р-11.4.3.1-ОВ1.2-СМ1К (взамен локальной сметы №12-4017-Л-Р-11.4.3.1-ОВ1.2-СМ1)</v>
          </cell>
        </row>
      </sheetData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Q78"/>
  <sheetViews>
    <sheetView workbookViewId="0"/>
  </sheetViews>
  <sheetFormatPr defaultRowHeight="12.75" outlineLevelRow="1" x14ac:dyDescent="0.2"/>
  <cols>
    <col min="1" max="1" width="6.5" style="273" customWidth="1"/>
    <col min="2" max="2" width="56.6640625" style="273" customWidth="1"/>
    <col min="3" max="8" width="27.6640625" style="273" customWidth="1"/>
    <col min="9" max="9" width="8.6640625" customWidth="1"/>
    <col min="10" max="10" width="23.5" customWidth="1"/>
    <col min="11" max="11" width="25.6640625" customWidth="1"/>
    <col min="12" max="13" width="24.6640625" customWidth="1"/>
    <col min="14" max="14" width="22.5" customWidth="1"/>
    <col min="15" max="15" width="17.6640625" style="273" bestFit="1" customWidth="1"/>
    <col min="16" max="16" width="14.1640625" style="273" customWidth="1"/>
    <col min="17" max="17" width="16.33203125" style="273" customWidth="1"/>
    <col min="18" max="18" width="15" style="273" bestFit="1" customWidth="1"/>
    <col min="19" max="256" width="9.33203125" style="273"/>
    <col min="257" max="257" width="6.5" style="273" customWidth="1"/>
    <col min="258" max="258" width="57.6640625" style="273" customWidth="1"/>
    <col min="259" max="259" width="22.5" style="273" customWidth="1"/>
    <col min="260" max="260" width="23" style="273" customWidth="1"/>
    <col min="261" max="261" width="21.83203125" style="273" customWidth="1"/>
    <col min="262" max="262" width="22.33203125" style="273" customWidth="1"/>
    <col min="263" max="263" width="21.83203125" style="273" customWidth="1"/>
    <col min="264" max="264" width="24.6640625" style="273" customWidth="1"/>
    <col min="265" max="266" width="9.33203125" style="273"/>
    <col min="267" max="267" width="32" style="273" customWidth="1"/>
    <col min="268" max="268" width="17.1640625" style="273" customWidth="1"/>
    <col min="269" max="269" width="9.33203125" style="273"/>
    <col min="270" max="270" width="26" style="273" customWidth="1"/>
    <col min="271" max="273" width="9.33203125" style="273"/>
    <col min="274" max="274" width="15" style="273" bestFit="1" customWidth="1"/>
    <col min="275" max="512" width="9.33203125" style="273"/>
    <col min="513" max="513" width="6.5" style="273" customWidth="1"/>
    <col min="514" max="514" width="57.6640625" style="273" customWidth="1"/>
    <col min="515" max="515" width="22.5" style="273" customWidth="1"/>
    <col min="516" max="516" width="23" style="273" customWidth="1"/>
    <col min="517" max="517" width="21.83203125" style="273" customWidth="1"/>
    <col min="518" max="518" width="22.33203125" style="273" customWidth="1"/>
    <col min="519" max="519" width="21.83203125" style="273" customWidth="1"/>
    <col min="520" max="520" width="24.6640625" style="273" customWidth="1"/>
    <col min="521" max="522" width="9.33203125" style="273"/>
    <col min="523" max="523" width="32" style="273" customWidth="1"/>
    <col min="524" max="524" width="17.1640625" style="273" customWidth="1"/>
    <col min="525" max="525" width="9.33203125" style="273"/>
    <col min="526" max="526" width="26" style="273" customWidth="1"/>
    <col min="527" max="529" width="9.33203125" style="273"/>
    <col min="530" max="530" width="15" style="273" bestFit="1" customWidth="1"/>
    <col min="531" max="768" width="9.33203125" style="273"/>
    <col min="769" max="769" width="6.5" style="273" customWidth="1"/>
    <col min="770" max="770" width="57.6640625" style="273" customWidth="1"/>
    <col min="771" max="771" width="22.5" style="273" customWidth="1"/>
    <col min="772" max="772" width="23" style="273" customWidth="1"/>
    <col min="773" max="773" width="21.83203125" style="273" customWidth="1"/>
    <col min="774" max="774" width="22.33203125" style="273" customWidth="1"/>
    <col min="775" max="775" width="21.83203125" style="273" customWidth="1"/>
    <col min="776" max="776" width="24.6640625" style="273" customWidth="1"/>
    <col min="777" max="778" width="9.33203125" style="273"/>
    <col min="779" max="779" width="32" style="273" customWidth="1"/>
    <col min="780" max="780" width="17.1640625" style="273" customWidth="1"/>
    <col min="781" max="781" width="9.33203125" style="273"/>
    <col min="782" max="782" width="26" style="273" customWidth="1"/>
    <col min="783" max="785" width="9.33203125" style="273"/>
    <col min="786" max="786" width="15" style="273" bestFit="1" customWidth="1"/>
    <col min="787" max="1024" width="9.33203125" style="273"/>
    <col min="1025" max="1025" width="6.5" style="273" customWidth="1"/>
    <col min="1026" max="1026" width="57.6640625" style="273" customWidth="1"/>
    <col min="1027" max="1027" width="22.5" style="273" customWidth="1"/>
    <col min="1028" max="1028" width="23" style="273" customWidth="1"/>
    <col min="1029" max="1029" width="21.83203125" style="273" customWidth="1"/>
    <col min="1030" max="1030" width="22.33203125" style="273" customWidth="1"/>
    <col min="1031" max="1031" width="21.83203125" style="273" customWidth="1"/>
    <col min="1032" max="1032" width="24.6640625" style="273" customWidth="1"/>
    <col min="1033" max="1034" width="9.33203125" style="273"/>
    <col min="1035" max="1035" width="32" style="273" customWidth="1"/>
    <col min="1036" max="1036" width="17.1640625" style="273" customWidth="1"/>
    <col min="1037" max="1037" width="9.33203125" style="273"/>
    <col min="1038" max="1038" width="26" style="273" customWidth="1"/>
    <col min="1039" max="1041" width="9.33203125" style="273"/>
    <col min="1042" max="1042" width="15" style="273" bestFit="1" customWidth="1"/>
    <col min="1043" max="1280" width="9.33203125" style="273"/>
    <col min="1281" max="1281" width="6.5" style="273" customWidth="1"/>
    <col min="1282" max="1282" width="57.6640625" style="273" customWidth="1"/>
    <col min="1283" max="1283" width="22.5" style="273" customWidth="1"/>
    <col min="1284" max="1284" width="23" style="273" customWidth="1"/>
    <col min="1285" max="1285" width="21.83203125" style="273" customWidth="1"/>
    <col min="1286" max="1286" width="22.33203125" style="273" customWidth="1"/>
    <col min="1287" max="1287" width="21.83203125" style="273" customWidth="1"/>
    <col min="1288" max="1288" width="24.6640625" style="273" customWidth="1"/>
    <col min="1289" max="1290" width="9.33203125" style="273"/>
    <col min="1291" max="1291" width="32" style="273" customWidth="1"/>
    <col min="1292" max="1292" width="17.1640625" style="273" customWidth="1"/>
    <col min="1293" max="1293" width="9.33203125" style="273"/>
    <col min="1294" max="1294" width="26" style="273" customWidth="1"/>
    <col min="1295" max="1297" width="9.33203125" style="273"/>
    <col min="1298" max="1298" width="15" style="273" bestFit="1" customWidth="1"/>
    <col min="1299" max="1536" width="9.33203125" style="273"/>
    <col min="1537" max="1537" width="6.5" style="273" customWidth="1"/>
    <col min="1538" max="1538" width="57.6640625" style="273" customWidth="1"/>
    <col min="1539" max="1539" width="22.5" style="273" customWidth="1"/>
    <col min="1540" max="1540" width="23" style="273" customWidth="1"/>
    <col min="1541" max="1541" width="21.83203125" style="273" customWidth="1"/>
    <col min="1542" max="1542" width="22.33203125" style="273" customWidth="1"/>
    <col min="1543" max="1543" width="21.83203125" style="273" customWidth="1"/>
    <col min="1544" max="1544" width="24.6640625" style="273" customWidth="1"/>
    <col min="1545" max="1546" width="9.33203125" style="273"/>
    <col min="1547" max="1547" width="32" style="273" customWidth="1"/>
    <col min="1548" max="1548" width="17.1640625" style="273" customWidth="1"/>
    <col min="1549" max="1549" width="9.33203125" style="273"/>
    <col min="1550" max="1550" width="26" style="273" customWidth="1"/>
    <col min="1551" max="1553" width="9.33203125" style="273"/>
    <col min="1554" max="1554" width="15" style="273" bestFit="1" customWidth="1"/>
    <col min="1555" max="1792" width="9.33203125" style="273"/>
    <col min="1793" max="1793" width="6.5" style="273" customWidth="1"/>
    <col min="1794" max="1794" width="57.6640625" style="273" customWidth="1"/>
    <col min="1795" max="1795" width="22.5" style="273" customWidth="1"/>
    <col min="1796" max="1796" width="23" style="273" customWidth="1"/>
    <col min="1797" max="1797" width="21.83203125" style="273" customWidth="1"/>
    <col min="1798" max="1798" width="22.33203125" style="273" customWidth="1"/>
    <col min="1799" max="1799" width="21.83203125" style="273" customWidth="1"/>
    <col min="1800" max="1800" width="24.6640625" style="273" customWidth="1"/>
    <col min="1801" max="1802" width="9.33203125" style="273"/>
    <col min="1803" max="1803" width="32" style="273" customWidth="1"/>
    <col min="1804" max="1804" width="17.1640625" style="273" customWidth="1"/>
    <col min="1805" max="1805" width="9.33203125" style="273"/>
    <col min="1806" max="1806" width="26" style="273" customWidth="1"/>
    <col min="1807" max="1809" width="9.33203125" style="273"/>
    <col min="1810" max="1810" width="15" style="273" bestFit="1" customWidth="1"/>
    <col min="1811" max="2048" width="9.33203125" style="273"/>
    <col min="2049" max="2049" width="6.5" style="273" customWidth="1"/>
    <col min="2050" max="2050" width="57.6640625" style="273" customWidth="1"/>
    <col min="2051" max="2051" width="22.5" style="273" customWidth="1"/>
    <col min="2052" max="2052" width="23" style="273" customWidth="1"/>
    <col min="2053" max="2053" width="21.83203125" style="273" customWidth="1"/>
    <col min="2054" max="2054" width="22.33203125" style="273" customWidth="1"/>
    <col min="2055" max="2055" width="21.83203125" style="273" customWidth="1"/>
    <col min="2056" max="2056" width="24.6640625" style="273" customWidth="1"/>
    <col min="2057" max="2058" width="9.33203125" style="273"/>
    <col min="2059" max="2059" width="32" style="273" customWidth="1"/>
    <col min="2060" max="2060" width="17.1640625" style="273" customWidth="1"/>
    <col min="2061" max="2061" width="9.33203125" style="273"/>
    <col min="2062" max="2062" width="26" style="273" customWidth="1"/>
    <col min="2063" max="2065" width="9.33203125" style="273"/>
    <col min="2066" max="2066" width="15" style="273" bestFit="1" customWidth="1"/>
    <col min="2067" max="2304" width="9.33203125" style="273"/>
    <col min="2305" max="2305" width="6.5" style="273" customWidth="1"/>
    <col min="2306" max="2306" width="57.6640625" style="273" customWidth="1"/>
    <col min="2307" max="2307" width="22.5" style="273" customWidth="1"/>
    <col min="2308" max="2308" width="23" style="273" customWidth="1"/>
    <col min="2309" max="2309" width="21.83203125" style="273" customWidth="1"/>
    <col min="2310" max="2310" width="22.33203125" style="273" customWidth="1"/>
    <col min="2311" max="2311" width="21.83203125" style="273" customWidth="1"/>
    <col min="2312" max="2312" width="24.6640625" style="273" customWidth="1"/>
    <col min="2313" max="2314" width="9.33203125" style="273"/>
    <col min="2315" max="2315" width="32" style="273" customWidth="1"/>
    <col min="2316" max="2316" width="17.1640625" style="273" customWidth="1"/>
    <col min="2317" max="2317" width="9.33203125" style="273"/>
    <col min="2318" max="2318" width="26" style="273" customWidth="1"/>
    <col min="2319" max="2321" width="9.33203125" style="273"/>
    <col min="2322" max="2322" width="15" style="273" bestFit="1" customWidth="1"/>
    <col min="2323" max="2560" width="9.33203125" style="273"/>
    <col min="2561" max="2561" width="6.5" style="273" customWidth="1"/>
    <col min="2562" max="2562" width="57.6640625" style="273" customWidth="1"/>
    <col min="2563" max="2563" width="22.5" style="273" customWidth="1"/>
    <col min="2564" max="2564" width="23" style="273" customWidth="1"/>
    <col min="2565" max="2565" width="21.83203125" style="273" customWidth="1"/>
    <col min="2566" max="2566" width="22.33203125" style="273" customWidth="1"/>
    <col min="2567" max="2567" width="21.83203125" style="273" customWidth="1"/>
    <col min="2568" max="2568" width="24.6640625" style="273" customWidth="1"/>
    <col min="2569" max="2570" width="9.33203125" style="273"/>
    <col min="2571" max="2571" width="32" style="273" customWidth="1"/>
    <col min="2572" max="2572" width="17.1640625" style="273" customWidth="1"/>
    <col min="2573" max="2573" width="9.33203125" style="273"/>
    <col min="2574" max="2574" width="26" style="273" customWidth="1"/>
    <col min="2575" max="2577" width="9.33203125" style="273"/>
    <col min="2578" max="2578" width="15" style="273" bestFit="1" customWidth="1"/>
    <col min="2579" max="2816" width="9.33203125" style="273"/>
    <col min="2817" max="2817" width="6.5" style="273" customWidth="1"/>
    <col min="2818" max="2818" width="57.6640625" style="273" customWidth="1"/>
    <col min="2819" max="2819" width="22.5" style="273" customWidth="1"/>
    <col min="2820" max="2820" width="23" style="273" customWidth="1"/>
    <col min="2821" max="2821" width="21.83203125" style="273" customWidth="1"/>
    <col min="2822" max="2822" width="22.33203125" style="273" customWidth="1"/>
    <col min="2823" max="2823" width="21.83203125" style="273" customWidth="1"/>
    <col min="2824" max="2824" width="24.6640625" style="273" customWidth="1"/>
    <col min="2825" max="2826" width="9.33203125" style="273"/>
    <col min="2827" max="2827" width="32" style="273" customWidth="1"/>
    <col min="2828" max="2828" width="17.1640625" style="273" customWidth="1"/>
    <col min="2829" max="2829" width="9.33203125" style="273"/>
    <col min="2830" max="2830" width="26" style="273" customWidth="1"/>
    <col min="2831" max="2833" width="9.33203125" style="273"/>
    <col min="2834" max="2834" width="15" style="273" bestFit="1" customWidth="1"/>
    <col min="2835" max="3072" width="9.33203125" style="273"/>
    <col min="3073" max="3073" width="6.5" style="273" customWidth="1"/>
    <col min="3074" max="3074" width="57.6640625" style="273" customWidth="1"/>
    <col min="3075" max="3075" width="22.5" style="273" customWidth="1"/>
    <col min="3076" max="3076" width="23" style="273" customWidth="1"/>
    <col min="3077" max="3077" width="21.83203125" style="273" customWidth="1"/>
    <col min="3078" max="3078" width="22.33203125" style="273" customWidth="1"/>
    <col min="3079" max="3079" width="21.83203125" style="273" customWidth="1"/>
    <col min="3080" max="3080" width="24.6640625" style="273" customWidth="1"/>
    <col min="3081" max="3082" width="9.33203125" style="273"/>
    <col min="3083" max="3083" width="32" style="273" customWidth="1"/>
    <col min="3084" max="3084" width="17.1640625" style="273" customWidth="1"/>
    <col min="3085" max="3085" width="9.33203125" style="273"/>
    <col min="3086" max="3086" width="26" style="273" customWidth="1"/>
    <col min="3087" max="3089" width="9.33203125" style="273"/>
    <col min="3090" max="3090" width="15" style="273" bestFit="1" customWidth="1"/>
    <col min="3091" max="3328" width="9.33203125" style="273"/>
    <col min="3329" max="3329" width="6.5" style="273" customWidth="1"/>
    <col min="3330" max="3330" width="57.6640625" style="273" customWidth="1"/>
    <col min="3331" max="3331" width="22.5" style="273" customWidth="1"/>
    <col min="3332" max="3332" width="23" style="273" customWidth="1"/>
    <col min="3333" max="3333" width="21.83203125" style="273" customWidth="1"/>
    <col min="3334" max="3334" width="22.33203125" style="273" customWidth="1"/>
    <col min="3335" max="3335" width="21.83203125" style="273" customWidth="1"/>
    <col min="3336" max="3336" width="24.6640625" style="273" customWidth="1"/>
    <col min="3337" max="3338" width="9.33203125" style="273"/>
    <col min="3339" max="3339" width="32" style="273" customWidth="1"/>
    <col min="3340" max="3340" width="17.1640625" style="273" customWidth="1"/>
    <col min="3341" max="3341" width="9.33203125" style="273"/>
    <col min="3342" max="3342" width="26" style="273" customWidth="1"/>
    <col min="3343" max="3345" width="9.33203125" style="273"/>
    <col min="3346" max="3346" width="15" style="273" bestFit="1" customWidth="1"/>
    <col min="3347" max="3584" width="9.33203125" style="273"/>
    <col min="3585" max="3585" width="6.5" style="273" customWidth="1"/>
    <col min="3586" max="3586" width="57.6640625" style="273" customWidth="1"/>
    <col min="3587" max="3587" width="22.5" style="273" customWidth="1"/>
    <col min="3588" max="3588" width="23" style="273" customWidth="1"/>
    <col min="3589" max="3589" width="21.83203125" style="273" customWidth="1"/>
    <col min="3590" max="3590" width="22.33203125" style="273" customWidth="1"/>
    <col min="3591" max="3591" width="21.83203125" style="273" customWidth="1"/>
    <col min="3592" max="3592" width="24.6640625" style="273" customWidth="1"/>
    <col min="3593" max="3594" width="9.33203125" style="273"/>
    <col min="3595" max="3595" width="32" style="273" customWidth="1"/>
    <col min="3596" max="3596" width="17.1640625" style="273" customWidth="1"/>
    <col min="3597" max="3597" width="9.33203125" style="273"/>
    <col min="3598" max="3598" width="26" style="273" customWidth="1"/>
    <col min="3599" max="3601" width="9.33203125" style="273"/>
    <col min="3602" max="3602" width="15" style="273" bestFit="1" customWidth="1"/>
    <col min="3603" max="3840" width="9.33203125" style="273"/>
    <col min="3841" max="3841" width="6.5" style="273" customWidth="1"/>
    <col min="3842" max="3842" width="57.6640625" style="273" customWidth="1"/>
    <col min="3843" max="3843" width="22.5" style="273" customWidth="1"/>
    <col min="3844" max="3844" width="23" style="273" customWidth="1"/>
    <col min="3845" max="3845" width="21.83203125" style="273" customWidth="1"/>
    <col min="3846" max="3846" width="22.33203125" style="273" customWidth="1"/>
    <col min="3847" max="3847" width="21.83203125" style="273" customWidth="1"/>
    <col min="3848" max="3848" width="24.6640625" style="273" customWidth="1"/>
    <col min="3849" max="3850" width="9.33203125" style="273"/>
    <col min="3851" max="3851" width="32" style="273" customWidth="1"/>
    <col min="3852" max="3852" width="17.1640625" style="273" customWidth="1"/>
    <col min="3853" max="3853" width="9.33203125" style="273"/>
    <col min="3854" max="3854" width="26" style="273" customWidth="1"/>
    <col min="3855" max="3857" width="9.33203125" style="273"/>
    <col min="3858" max="3858" width="15" style="273" bestFit="1" customWidth="1"/>
    <col min="3859" max="4096" width="9.33203125" style="273"/>
    <col min="4097" max="4097" width="6.5" style="273" customWidth="1"/>
    <col min="4098" max="4098" width="57.6640625" style="273" customWidth="1"/>
    <col min="4099" max="4099" width="22.5" style="273" customWidth="1"/>
    <col min="4100" max="4100" width="23" style="273" customWidth="1"/>
    <col min="4101" max="4101" width="21.83203125" style="273" customWidth="1"/>
    <col min="4102" max="4102" width="22.33203125" style="273" customWidth="1"/>
    <col min="4103" max="4103" width="21.83203125" style="273" customWidth="1"/>
    <col min="4104" max="4104" width="24.6640625" style="273" customWidth="1"/>
    <col min="4105" max="4106" width="9.33203125" style="273"/>
    <col min="4107" max="4107" width="32" style="273" customWidth="1"/>
    <col min="4108" max="4108" width="17.1640625" style="273" customWidth="1"/>
    <col min="4109" max="4109" width="9.33203125" style="273"/>
    <col min="4110" max="4110" width="26" style="273" customWidth="1"/>
    <col min="4111" max="4113" width="9.33203125" style="273"/>
    <col min="4114" max="4114" width="15" style="273" bestFit="1" customWidth="1"/>
    <col min="4115" max="4352" width="9.33203125" style="273"/>
    <col min="4353" max="4353" width="6.5" style="273" customWidth="1"/>
    <col min="4354" max="4354" width="57.6640625" style="273" customWidth="1"/>
    <col min="4355" max="4355" width="22.5" style="273" customWidth="1"/>
    <col min="4356" max="4356" width="23" style="273" customWidth="1"/>
    <col min="4357" max="4357" width="21.83203125" style="273" customWidth="1"/>
    <col min="4358" max="4358" width="22.33203125" style="273" customWidth="1"/>
    <col min="4359" max="4359" width="21.83203125" style="273" customWidth="1"/>
    <col min="4360" max="4360" width="24.6640625" style="273" customWidth="1"/>
    <col min="4361" max="4362" width="9.33203125" style="273"/>
    <col min="4363" max="4363" width="32" style="273" customWidth="1"/>
    <col min="4364" max="4364" width="17.1640625" style="273" customWidth="1"/>
    <col min="4365" max="4365" width="9.33203125" style="273"/>
    <col min="4366" max="4366" width="26" style="273" customWidth="1"/>
    <col min="4367" max="4369" width="9.33203125" style="273"/>
    <col min="4370" max="4370" width="15" style="273" bestFit="1" customWidth="1"/>
    <col min="4371" max="4608" width="9.33203125" style="273"/>
    <col min="4609" max="4609" width="6.5" style="273" customWidth="1"/>
    <col min="4610" max="4610" width="57.6640625" style="273" customWidth="1"/>
    <col min="4611" max="4611" width="22.5" style="273" customWidth="1"/>
    <col min="4612" max="4612" width="23" style="273" customWidth="1"/>
    <col min="4613" max="4613" width="21.83203125" style="273" customWidth="1"/>
    <col min="4614" max="4614" width="22.33203125" style="273" customWidth="1"/>
    <col min="4615" max="4615" width="21.83203125" style="273" customWidth="1"/>
    <col min="4616" max="4616" width="24.6640625" style="273" customWidth="1"/>
    <col min="4617" max="4618" width="9.33203125" style="273"/>
    <col min="4619" max="4619" width="32" style="273" customWidth="1"/>
    <col min="4620" max="4620" width="17.1640625" style="273" customWidth="1"/>
    <col min="4621" max="4621" width="9.33203125" style="273"/>
    <col min="4622" max="4622" width="26" style="273" customWidth="1"/>
    <col min="4623" max="4625" width="9.33203125" style="273"/>
    <col min="4626" max="4626" width="15" style="273" bestFit="1" customWidth="1"/>
    <col min="4627" max="4864" width="9.33203125" style="273"/>
    <col min="4865" max="4865" width="6.5" style="273" customWidth="1"/>
    <col min="4866" max="4866" width="57.6640625" style="273" customWidth="1"/>
    <col min="4867" max="4867" width="22.5" style="273" customWidth="1"/>
    <col min="4868" max="4868" width="23" style="273" customWidth="1"/>
    <col min="4869" max="4869" width="21.83203125" style="273" customWidth="1"/>
    <col min="4870" max="4870" width="22.33203125" style="273" customWidth="1"/>
    <col min="4871" max="4871" width="21.83203125" style="273" customWidth="1"/>
    <col min="4872" max="4872" width="24.6640625" style="273" customWidth="1"/>
    <col min="4873" max="4874" width="9.33203125" style="273"/>
    <col min="4875" max="4875" width="32" style="273" customWidth="1"/>
    <col min="4876" max="4876" width="17.1640625" style="273" customWidth="1"/>
    <col min="4877" max="4877" width="9.33203125" style="273"/>
    <col min="4878" max="4878" width="26" style="273" customWidth="1"/>
    <col min="4879" max="4881" width="9.33203125" style="273"/>
    <col min="4882" max="4882" width="15" style="273" bestFit="1" customWidth="1"/>
    <col min="4883" max="5120" width="9.33203125" style="273"/>
    <col min="5121" max="5121" width="6.5" style="273" customWidth="1"/>
    <col min="5122" max="5122" width="57.6640625" style="273" customWidth="1"/>
    <col min="5123" max="5123" width="22.5" style="273" customWidth="1"/>
    <col min="5124" max="5124" width="23" style="273" customWidth="1"/>
    <col min="5125" max="5125" width="21.83203125" style="273" customWidth="1"/>
    <col min="5126" max="5126" width="22.33203125" style="273" customWidth="1"/>
    <col min="5127" max="5127" width="21.83203125" style="273" customWidth="1"/>
    <col min="5128" max="5128" width="24.6640625" style="273" customWidth="1"/>
    <col min="5129" max="5130" width="9.33203125" style="273"/>
    <col min="5131" max="5131" width="32" style="273" customWidth="1"/>
    <col min="5132" max="5132" width="17.1640625" style="273" customWidth="1"/>
    <col min="5133" max="5133" width="9.33203125" style="273"/>
    <col min="5134" max="5134" width="26" style="273" customWidth="1"/>
    <col min="5135" max="5137" width="9.33203125" style="273"/>
    <col min="5138" max="5138" width="15" style="273" bestFit="1" customWidth="1"/>
    <col min="5139" max="5376" width="9.33203125" style="273"/>
    <col min="5377" max="5377" width="6.5" style="273" customWidth="1"/>
    <col min="5378" max="5378" width="57.6640625" style="273" customWidth="1"/>
    <col min="5379" max="5379" width="22.5" style="273" customWidth="1"/>
    <col min="5380" max="5380" width="23" style="273" customWidth="1"/>
    <col min="5381" max="5381" width="21.83203125" style="273" customWidth="1"/>
    <col min="5382" max="5382" width="22.33203125" style="273" customWidth="1"/>
    <col min="5383" max="5383" width="21.83203125" style="273" customWidth="1"/>
    <col min="5384" max="5384" width="24.6640625" style="273" customWidth="1"/>
    <col min="5385" max="5386" width="9.33203125" style="273"/>
    <col min="5387" max="5387" width="32" style="273" customWidth="1"/>
    <col min="5388" max="5388" width="17.1640625" style="273" customWidth="1"/>
    <col min="5389" max="5389" width="9.33203125" style="273"/>
    <col min="5390" max="5390" width="26" style="273" customWidth="1"/>
    <col min="5391" max="5393" width="9.33203125" style="273"/>
    <col min="5394" max="5394" width="15" style="273" bestFit="1" customWidth="1"/>
    <col min="5395" max="5632" width="9.33203125" style="273"/>
    <col min="5633" max="5633" width="6.5" style="273" customWidth="1"/>
    <col min="5634" max="5634" width="57.6640625" style="273" customWidth="1"/>
    <col min="5635" max="5635" width="22.5" style="273" customWidth="1"/>
    <col min="5636" max="5636" width="23" style="273" customWidth="1"/>
    <col min="5637" max="5637" width="21.83203125" style="273" customWidth="1"/>
    <col min="5638" max="5638" width="22.33203125" style="273" customWidth="1"/>
    <col min="5639" max="5639" width="21.83203125" style="273" customWidth="1"/>
    <col min="5640" max="5640" width="24.6640625" style="273" customWidth="1"/>
    <col min="5641" max="5642" width="9.33203125" style="273"/>
    <col min="5643" max="5643" width="32" style="273" customWidth="1"/>
    <col min="5644" max="5644" width="17.1640625" style="273" customWidth="1"/>
    <col min="5645" max="5645" width="9.33203125" style="273"/>
    <col min="5646" max="5646" width="26" style="273" customWidth="1"/>
    <col min="5647" max="5649" width="9.33203125" style="273"/>
    <col min="5650" max="5650" width="15" style="273" bestFit="1" customWidth="1"/>
    <col min="5651" max="5888" width="9.33203125" style="273"/>
    <col min="5889" max="5889" width="6.5" style="273" customWidth="1"/>
    <col min="5890" max="5890" width="57.6640625" style="273" customWidth="1"/>
    <col min="5891" max="5891" width="22.5" style="273" customWidth="1"/>
    <col min="5892" max="5892" width="23" style="273" customWidth="1"/>
    <col min="5893" max="5893" width="21.83203125" style="273" customWidth="1"/>
    <col min="5894" max="5894" width="22.33203125" style="273" customWidth="1"/>
    <col min="5895" max="5895" width="21.83203125" style="273" customWidth="1"/>
    <col min="5896" max="5896" width="24.6640625" style="273" customWidth="1"/>
    <col min="5897" max="5898" width="9.33203125" style="273"/>
    <col min="5899" max="5899" width="32" style="273" customWidth="1"/>
    <col min="5900" max="5900" width="17.1640625" style="273" customWidth="1"/>
    <col min="5901" max="5901" width="9.33203125" style="273"/>
    <col min="5902" max="5902" width="26" style="273" customWidth="1"/>
    <col min="5903" max="5905" width="9.33203125" style="273"/>
    <col min="5906" max="5906" width="15" style="273" bestFit="1" customWidth="1"/>
    <col min="5907" max="6144" width="9.33203125" style="273"/>
    <col min="6145" max="6145" width="6.5" style="273" customWidth="1"/>
    <col min="6146" max="6146" width="57.6640625" style="273" customWidth="1"/>
    <col min="6147" max="6147" width="22.5" style="273" customWidth="1"/>
    <col min="6148" max="6148" width="23" style="273" customWidth="1"/>
    <col min="6149" max="6149" width="21.83203125" style="273" customWidth="1"/>
    <col min="6150" max="6150" width="22.33203125" style="273" customWidth="1"/>
    <col min="6151" max="6151" width="21.83203125" style="273" customWidth="1"/>
    <col min="6152" max="6152" width="24.6640625" style="273" customWidth="1"/>
    <col min="6153" max="6154" width="9.33203125" style="273"/>
    <col min="6155" max="6155" width="32" style="273" customWidth="1"/>
    <col min="6156" max="6156" width="17.1640625" style="273" customWidth="1"/>
    <col min="6157" max="6157" width="9.33203125" style="273"/>
    <col min="6158" max="6158" width="26" style="273" customWidth="1"/>
    <col min="6159" max="6161" width="9.33203125" style="273"/>
    <col min="6162" max="6162" width="15" style="273" bestFit="1" customWidth="1"/>
    <col min="6163" max="6400" width="9.33203125" style="273"/>
    <col min="6401" max="6401" width="6.5" style="273" customWidth="1"/>
    <col min="6402" max="6402" width="57.6640625" style="273" customWidth="1"/>
    <col min="6403" max="6403" width="22.5" style="273" customWidth="1"/>
    <col min="6404" max="6404" width="23" style="273" customWidth="1"/>
    <col min="6405" max="6405" width="21.83203125" style="273" customWidth="1"/>
    <col min="6406" max="6406" width="22.33203125" style="273" customWidth="1"/>
    <col min="6407" max="6407" width="21.83203125" style="273" customWidth="1"/>
    <col min="6408" max="6408" width="24.6640625" style="273" customWidth="1"/>
    <col min="6409" max="6410" width="9.33203125" style="273"/>
    <col min="6411" max="6411" width="32" style="273" customWidth="1"/>
    <col min="6412" max="6412" width="17.1640625" style="273" customWidth="1"/>
    <col min="6413" max="6413" width="9.33203125" style="273"/>
    <col min="6414" max="6414" width="26" style="273" customWidth="1"/>
    <col min="6415" max="6417" width="9.33203125" style="273"/>
    <col min="6418" max="6418" width="15" style="273" bestFit="1" customWidth="1"/>
    <col min="6419" max="6656" width="9.33203125" style="273"/>
    <col min="6657" max="6657" width="6.5" style="273" customWidth="1"/>
    <col min="6658" max="6658" width="57.6640625" style="273" customWidth="1"/>
    <col min="6659" max="6659" width="22.5" style="273" customWidth="1"/>
    <col min="6660" max="6660" width="23" style="273" customWidth="1"/>
    <col min="6661" max="6661" width="21.83203125" style="273" customWidth="1"/>
    <col min="6662" max="6662" width="22.33203125" style="273" customWidth="1"/>
    <col min="6663" max="6663" width="21.83203125" style="273" customWidth="1"/>
    <col min="6664" max="6664" width="24.6640625" style="273" customWidth="1"/>
    <col min="6665" max="6666" width="9.33203125" style="273"/>
    <col min="6667" max="6667" width="32" style="273" customWidth="1"/>
    <col min="6668" max="6668" width="17.1640625" style="273" customWidth="1"/>
    <col min="6669" max="6669" width="9.33203125" style="273"/>
    <col min="6670" max="6670" width="26" style="273" customWidth="1"/>
    <col min="6671" max="6673" width="9.33203125" style="273"/>
    <col min="6674" max="6674" width="15" style="273" bestFit="1" customWidth="1"/>
    <col min="6675" max="6912" width="9.33203125" style="273"/>
    <col min="6913" max="6913" width="6.5" style="273" customWidth="1"/>
    <col min="6914" max="6914" width="57.6640625" style="273" customWidth="1"/>
    <col min="6915" max="6915" width="22.5" style="273" customWidth="1"/>
    <col min="6916" max="6916" width="23" style="273" customWidth="1"/>
    <col min="6917" max="6917" width="21.83203125" style="273" customWidth="1"/>
    <col min="6918" max="6918" width="22.33203125" style="273" customWidth="1"/>
    <col min="6919" max="6919" width="21.83203125" style="273" customWidth="1"/>
    <col min="6920" max="6920" width="24.6640625" style="273" customWidth="1"/>
    <col min="6921" max="6922" width="9.33203125" style="273"/>
    <col min="6923" max="6923" width="32" style="273" customWidth="1"/>
    <col min="6924" max="6924" width="17.1640625" style="273" customWidth="1"/>
    <col min="6925" max="6925" width="9.33203125" style="273"/>
    <col min="6926" max="6926" width="26" style="273" customWidth="1"/>
    <col min="6927" max="6929" width="9.33203125" style="273"/>
    <col min="6930" max="6930" width="15" style="273" bestFit="1" customWidth="1"/>
    <col min="6931" max="7168" width="9.33203125" style="273"/>
    <col min="7169" max="7169" width="6.5" style="273" customWidth="1"/>
    <col min="7170" max="7170" width="57.6640625" style="273" customWidth="1"/>
    <col min="7171" max="7171" width="22.5" style="273" customWidth="1"/>
    <col min="7172" max="7172" width="23" style="273" customWidth="1"/>
    <col min="7173" max="7173" width="21.83203125" style="273" customWidth="1"/>
    <col min="7174" max="7174" width="22.33203125" style="273" customWidth="1"/>
    <col min="7175" max="7175" width="21.83203125" style="273" customWidth="1"/>
    <col min="7176" max="7176" width="24.6640625" style="273" customWidth="1"/>
    <col min="7177" max="7178" width="9.33203125" style="273"/>
    <col min="7179" max="7179" width="32" style="273" customWidth="1"/>
    <col min="7180" max="7180" width="17.1640625" style="273" customWidth="1"/>
    <col min="7181" max="7181" width="9.33203125" style="273"/>
    <col min="7182" max="7182" width="26" style="273" customWidth="1"/>
    <col min="7183" max="7185" width="9.33203125" style="273"/>
    <col min="7186" max="7186" width="15" style="273" bestFit="1" customWidth="1"/>
    <col min="7187" max="7424" width="9.33203125" style="273"/>
    <col min="7425" max="7425" width="6.5" style="273" customWidth="1"/>
    <col min="7426" max="7426" width="57.6640625" style="273" customWidth="1"/>
    <col min="7427" max="7427" width="22.5" style="273" customWidth="1"/>
    <col min="7428" max="7428" width="23" style="273" customWidth="1"/>
    <col min="7429" max="7429" width="21.83203125" style="273" customWidth="1"/>
    <col min="7430" max="7430" width="22.33203125" style="273" customWidth="1"/>
    <col min="7431" max="7431" width="21.83203125" style="273" customWidth="1"/>
    <col min="7432" max="7432" width="24.6640625" style="273" customWidth="1"/>
    <col min="7433" max="7434" width="9.33203125" style="273"/>
    <col min="7435" max="7435" width="32" style="273" customWidth="1"/>
    <col min="7436" max="7436" width="17.1640625" style="273" customWidth="1"/>
    <col min="7437" max="7437" width="9.33203125" style="273"/>
    <col min="7438" max="7438" width="26" style="273" customWidth="1"/>
    <col min="7439" max="7441" width="9.33203125" style="273"/>
    <col min="7442" max="7442" width="15" style="273" bestFit="1" customWidth="1"/>
    <col min="7443" max="7680" width="9.33203125" style="273"/>
    <col min="7681" max="7681" width="6.5" style="273" customWidth="1"/>
    <col min="7682" max="7682" width="57.6640625" style="273" customWidth="1"/>
    <col min="7683" max="7683" width="22.5" style="273" customWidth="1"/>
    <col min="7684" max="7684" width="23" style="273" customWidth="1"/>
    <col min="7685" max="7685" width="21.83203125" style="273" customWidth="1"/>
    <col min="7686" max="7686" width="22.33203125" style="273" customWidth="1"/>
    <col min="7687" max="7687" width="21.83203125" style="273" customWidth="1"/>
    <col min="7688" max="7688" width="24.6640625" style="273" customWidth="1"/>
    <col min="7689" max="7690" width="9.33203125" style="273"/>
    <col min="7691" max="7691" width="32" style="273" customWidth="1"/>
    <col min="7692" max="7692" width="17.1640625" style="273" customWidth="1"/>
    <col min="7693" max="7693" width="9.33203125" style="273"/>
    <col min="7694" max="7694" width="26" style="273" customWidth="1"/>
    <col min="7695" max="7697" width="9.33203125" style="273"/>
    <col min="7698" max="7698" width="15" style="273" bestFit="1" customWidth="1"/>
    <col min="7699" max="7936" width="9.33203125" style="273"/>
    <col min="7937" max="7937" width="6.5" style="273" customWidth="1"/>
    <col min="7938" max="7938" width="57.6640625" style="273" customWidth="1"/>
    <col min="7939" max="7939" width="22.5" style="273" customWidth="1"/>
    <col min="7940" max="7940" width="23" style="273" customWidth="1"/>
    <col min="7941" max="7941" width="21.83203125" style="273" customWidth="1"/>
    <col min="7942" max="7942" width="22.33203125" style="273" customWidth="1"/>
    <col min="7943" max="7943" width="21.83203125" style="273" customWidth="1"/>
    <col min="7944" max="7944" width="24.6640625" style="273" customWidth="1"/>
    <col min="7945" max="7946" width="9.33203125" style="273"/>
    <col min="7947" max="7947" width="32" style="273" customWidth="1"/>
    <col min="7948" max="7948" width="17.1640625" style="273" customWidth="1"/>
    <col min="7949" max="7949" width="9.33203125" style="273"/>
    <col min="7950" max="7950" width="26" style="273" customWidth="1"/>
    <col min="7951" max="7953" width="9.33203125" style="273"/>
    <col min="7954" max="7954" width="15" style="273" bestFit="1" customWidth="1"/>
    <col min="7955" max="8192" width="9.33203125" style="273"/>
    <col min="8193" max="8193" width="6.5" style="273" customWidth="1"/>
    <col min="8194" max="8194" width="57.6640625" style="273" customWidth="1"/>
    <col min="8195" max="8195" width="22.5" style="273" customWidth="1"/>
    <col min="8196" max="8196" width="23" style="273" customWidth="1"/>
    <col min="8197" max="8197" width="21.83203125" style="273" customWidth="1"/>
    <col min="8198" max="8198" width="22.33203125" style="273" customWidth="1"/>
    <col min="8199" max="8199" width="21.83203125" style="273" customWidth="1"/>
    <col min="8200" max="8200" width="24.6640625" style="273" customWidth="1"/>
    <col min="8201" max="8202" width="9.33203125" style="273"/>
    <col min="8203" max="8203" width="32" style="273" customWidth="1"/>
    <col min="8204" max="8204" width="17.1640625" style="273" customWidth="1"/>
    <col min="8205" max="8205" width="9.33203125" style="273"/>
    <col min="8206" max="8206" width="26" style="273" customWidth="1"/>
    <col min="8207" max="8209" width="9.33203125" style="273"/>
    <col min="8210" max="8210" width="15" style="273" bestFit="1" customWidth="1"/>
    <col min="8211" max="8448" width="9.33203125" style="273"/>
    <col min="8449" max="8449" width="6.5" style="273" customWidth="1"/>
    <col min="8450" max="8450" width="57.6640625" style="273" customWidth="1"/>
    <col min="8451" max="8451" width="22.5" style="273" customWidth="1"/>
    <col min="8452" max="8452" width="23" style="273" customWidth="1"/>
    <col min="8453" max="8453" width="21.83203125" style="273" customWidth="1"/>
    <col min="8454" max="8454" width="22.33203125" style="273" customWidth="1"/>
    <col min="8455" max="8455" width="21.83203125" style="273" customWidth="1"/>
    <col min="8456" max="8456" width="24.6640625" style="273" customWidth="1"/>
    <col min="8457" max="8458" width="9.33203125" style="273"/>
    <col min="8459" max="8459" width="32" style="273" customWidth="1"/>
    <col min="8460" max="8460" width="17.1640625" style="273" customWidth="1"/>
    <col min="8461" max="8461" width="9.33203125" style="273"/>
    <col min="8462" max="8462" width="26" style="273" customWidth="1"/>
    <col min="8463" max="8465" width="9.33203125" style="273"/>
    <col min="8466" max="8466" width="15" style="273" bestFit="1" customWidth="1"/>
    <col min="8467" max="8704" width="9.33203125" style="273"/>
    <col min="8705" max="8705" width="6.5" style="273" customWidth="1"/>
    <col min="8706" max="8706" width="57.6640625" style="273" customWidth="1"/>
    <col min="8707" max="8707" width="22.5" style="273" customWidth="1"/>
    <col min="8708" max="8708" width="23" style="273" customWidth="1"/>
    <col min="8709" max="8709" width="21.83203125" style="273" customWidth="1"/>
    <col min="8710" max="8710" width="22.33203125" style="273" customWidth="1"/>
    <col min="8711" max="8711" width="21.83203125" style="273" customWidth="1"/>
    <col min="8712" max="8712" width="24.6640625" style="273" customWidth="1"/>
    <col min="8713" max="8714" width="9.33203125" style="273"/>
    <col min="8715" max="8715" width="32" style="273" customWidth="1"/>
    <col min="8716" max="8716" width="17.1640625" style="273" customWidth="1"/>
    <col min="8717" max="8717" width="9.33203125" style="273"/>
    <col min="8718" max="8718" width="26" style="273" customWidth="1"/>
    <col min="8719" max="8721" width="9.33203125" style="273"/>
    <col min="8722" max="8722" width="15" style="273" bestFit="1" customWidth="1"/>
    <col min="8723" max="8960" width="9.33203125" style="273"/>
    <col min="8961" max="8961" width="6.5" style="273" customWidth="1"/>
    <col min="8962" max="8962" width="57.6640625" style="273" customWidth="1"/>
    <col min="8963" max="8963" width="22.5" style="273" customWidth="1"/>
    <col min="8964" max="8964" width="23" style="273" customWidth="1"/>
    <col min="8965" max="8965" width="21.83203125" style="273" customWidth="1"/>
    <col min="8966" max="8966" width="22.33203125" style="273" customWidth="1"/>
    <col min="8967" max="8967" width="21.83203125" style="273" customWidth="1"/>
    <col min="8968" max="8968" width="24.6640625" style="273" customWidth="1"/>
    <col min="8969" max="8970" width="9.33203125" style="273"/>
    <col min="8971" max="8971" width="32" style="273" customWidth="1"/>
    <col min="8972" max="8972" width="17.1640625" style="273" customWidth="1"/>
    <col min="8973" max="8973" width="9.33203125" style="273"/>
    <col min="8974" max="8974" width="26" style="273" customWidth="1"/>
    <col min="8975" max="8977" width="9.33203125" style="273"/>
    <col min="8978" max="8978" width="15" style="273" bestFit="1" customWidth="1"/>
    <col min="8979" max="9216" width="9.33203125" style="273"/>
    <col min="9217" max="9217" width="6.5" style="273" customWidth="1"/>
    <col min="9218" max="9218" width="57.6640625" style="273" customWidth="1"/>
    <col min="9219" max="9219" width="22.5" style="273" customWidth="1"/>
    <col min="9220" max="9220" width="23" style="273" customWidth="1"/>
    <col min="9221" max="9221" width="21.83203125" style="273" customWidth="1"/>
    <col min="9222" max="9222" width="22.33203125" style="273" customWidth="1"/>
    <col min="9223" max="9223" width="21.83203125" style="273" customWidth="1"/>
    <col min="9224" max="9224" width="24.6640625" style="273" customWidth="1"/>
    <col min="9225" max="9226" width="9.33203125" style="273"/>
    <col min="9227" max="9227" width="32" style="273" customWidth="1"/>
    <col min="9228" max="9228" width="17.1640625" style="273" customWidth="1"/>
    <col min="9229" max="9229" width="9.33203125" style="273"/>
    <col min="9230" max="9230" width="26" style="273" customWidth="1"/>
    <col min="9231" max="9233" width="9.33203125" style="273"/>
    <col min="9234" max="9234" width="15" style="273" bestFit="1" customWidth="1"/>
    <col min="9235" max="9472" width="9.33203125" style="273"/>
    <col min="9473" max="9473" width="6.5" style="273" customWidth="1"/>
    <col min="9474" max="9474" width="57.6640625" style="273" customWidth="1"/>
    <col min="9475" max="9475" width="22.5" style="273" customWidth="1"/>
    <col min="9476" max="9476" width="23" style="273" customWidth="1"/>
    <col min="9477" max="9477" width="21.83203125" style="273" customWidth="1"/>
    <col min="9478" max="9478" width="22.33203125" style="273" customWidth="1"/>
    <col min="9479" max="9479" width="21.83203125" style="273" customWidth="1"/>
    <col min="9480" max="9480" width="24.6640625" style="273" customWidth="1"/>
    <col min="9481" max="9482" width="9.33203125" style="273"/>
    <col min="9483" max="9483" width="32" style="273" customWidth="1"/>
    <col min="9484" max="9484" width="17.1640625" style="273" customWidth="1"/>
    <col min="9485" max="9485" width="9.33203125" style="273"/>
    <col min="9486" max="9486" width="26" style="273" customWidth="1"/>
    <col min="9487" max="9489" width="9.33203125" style="273"/>
    <col min="9490" max="9490" width="15" style="273" bestFit="1" customWidth="1"/>
    <col min="9491" max="9728" width="9.33203125" style="273"/>
    <col min="9729" max="9729" width="6.5" style="273" customWidth="1"/>
    <col min="9730" max="9730" width="57.6640625" style="273" customWidth="1"/>
    <col min="9731" max="9731" width="22.5" style="273" customWidth="1"/>
    <col min="9732" max="9732" width="23" style="273" customWidth="1"/>
    <col min="9733" max="9733" width="21.83203125" style="273" customWidth="1"/>
    <col min="9734" max="9734" width="22.33203125" style="273" customWidth="1"/>
    <col min="9735" max="9735" width="21.83203125" style="273" customWidth="1"/>
    <col min="9736" max="9736" width="24.6640625" style="273" customWidth="1"/>
    <col min="9737" max="9738" width="9.33203125" style="273"/>
    <col min="9739" max="9739" width="32" style="273" customWidth="1"/>
    <col min="9740" max="9740" width="17.1640625" style="273" customWidth="1"/>
    <col min="9741" max="9741" width="9.33203125" style="273"/>
    <col min="9742" max="9742" width="26" style="273" customWidth="1"/>
    <col min="9743" max="9745" width="9.33203125" style="273"/>
    <col min="9746" max="9746" width="15" style="273" bestFit="1" customWidth="1"/>
    <col min="9747" max="9984" width="9.33203125" style="273"/>
    <col min="9985" max="9985" width="6.5" style="273" customWidth="1"/>
    <col min="9986" max="9986" width="57.6640625" style="273" customWidth="1"/>
    <col min="9987" max="9987" width="22.5" style="273" customWidth="1"/>
    <col min="9988" max="9988" width="23" style="273" customWidth="1"/>
    <col min="9989" max="9989" width="21.83203125" style="273" customWidth="1"/>
    <col min="9990" max="9990" width="22.33203125" style="273" customWidth="1"/>
    <col min="9991" max="9991" width="21.83203125" style="273" customWidth="1"/>
    <col min="9992" max="9992" width="24.6640625" style="273" customWidth="1"/>
    <col min="9993" max="9994" width="9.33203125" style="273"/>
    <col min="9995" max="9995" width="32" style="273" customWidth="1"/>
    <col min="9996" max="9996" width="17.1640625" style="273" customWidth="1"/>
    <col min="9997" max="9997" width="9.33203125" style="273"/>
    <col min="9998" max="9998" width="26" style="273" customWidth="1"/>
    <col min="9999" max="10001" width="9.33203125" style="273"/>
    <col min="10002" max="10002" width="15" style="273" bestFit="1" customWidth="1"/>
    <col min="10003" max="10240" width="9.33203125" style="273"/>
    <col min="10241" max="10241" width="6.5" style="273" customWidth="1"/>
    <col min="10242" max="10242" width="57.6640625" style="273" customWidth="1"/>
    <col min="10243" max="10243" width="22.5" style="273" customWidth="1"/>
    <col min="10244" max="10244" width="23" style="273" customWidth="1"/>
    <col min="10245" max="10245" width="21.83203125" style="273" customWidth="1"/>
    <col min="10246" max="10246" width="22.33203125" style="273" customWidth="1"/>
    <col min="10247" max="10247" width="21.83203125" style="273" customWidth="1"/>
    <col min="10248" max="10248" width="24.6640625" style="273" customWidth="1"/>
    <col min="10249" max="10250" width="9.33203125" style="273"/>
    <col min="10251" max="10251" width="32" style="273" customWidth="1"/>
    <col min="10252" max="10252" width="17.1640625" style="273" customWidth="1"/>
    <col min="10253" max="10253" width="9.33203125" style="273"/>
    <col min="10254" max="10254" width="26" style="273" customWidth="1"/>
    <col min="10255" max="10257" width="9.33203125" style="273"/>
    <col min="10258" max="10258" width="15" style="273" bestFit="1" customWidth="1"/>
    <col min="10259" max="10496" width="9.33203125" style="273"/>
    <col min="10497" max="10497" width="6.5" style="273" customWidth="1"/>
    <col min="10498" max="10498" width="57.6640625" style="273" customWidth="1"/>
    <col min="10499" max="10499" width="22.5" style="273" customWidth="1"/>
    <col min="10500" max="10500" width="23" style="273" customWidth="1"/>
    <col min="10501" max="10501" width="21.83203125" style="273" customWidth="1"/>
    <col min="10502" max="10502" width="22.33203125" style="273" customWidth="1"/>
    <col min="10503" max="10503" width="21.83203125" style="273" customWidth="1"/>
    <col min="10504" max="10504" width="24.6640625" style="273" customWidth="1"/>
    <col min="10505" max="10506" width="9.33203125" style="273"/>
    <col min="10507" max="10507" width="32" style="273" customWidth="1"/>
    <col min="10508" max="10508" width="17.1640625" style="273" customWidth="1"/>
    <col min="10509" max="10509" width="9.33203125" style="273"/>
    <col min="10510" max="10510" width="26" style="273" customWidth="1"/>
    <col min="10511" max="10513" width="9.33203125" style="273"/>
    <col min="10514" max="10514" width="15" style="273" bestFit="1" customWidth="1"/>
    <col min="10515" max="10752" width="9.33203125" style="273"/>
    <col min="10753" max="10753" width="6.5" style="273" customWidth="1"/>
    <col min="10754" max="10754" width="57.6640625" style="273" customWidth="1"/>
    <col min="10755" max="10755" width="22.5" style="273" customWidth="1"/>
    <col min="10756" max="10756" width="23" style="273" customWidth="1"/>
    <col min="10757" max="10757" width="21.83203125" style="273" customWidth="1"/>
    <col min="10758" max="10758" width="22.33203125" style="273" customWidth="1"/>
    <col min="10759" max="10759" width="21.83203125" style="273" customWidth="1"/>
    <col min="10760" max="10760" width="24.6640625" style="273" customWidth="1"/>
    <col min="10761" max="10762" width="9.33203125" style="273"/>
    <col min="10763" max="10763" width="32" style="273" customWidth="1"/>
    <col min="10764" max="10764" width="17.1640625" style="273" customWidth="1"/>
    <col min="10765" max="10765" width="9.33203125" style="273"/>
    <col min="10766" max="10766" width="26" style="273" customWidth="1"/>
    <col min="10767" max="10769" width="9.33203125" style="273"/>
    <col min="10770" max="10770" width="15" style="273" bestFit="1" customWidth="1"/>
    <col min="10771" max="11008" width="9.33203125" style="273"/>
    <col min="11009" max="11009" width="6.5" style="273" customWidth="1"/>
    <col min="11010" max="11010" width="57.6640625" style="273" customWidth="1"/>
    <col min="11011" max="11011" width="22.5" style="273" customWidth="1"/>
    <col min="11012" max="11012" width="23" style="273" customWidth="1"/>
    <col min="11013" max="11013" width="21.83203125" style="273" customWidth="1"/>
    <col min="11014" max="11014" width="22.33203125" style="273" customWidth="1"/>
    <col min="11015" max="11015" width="21.83203125" style="273" customWidth="1"/>
    <col min="11016" max="11016" width="24.6640625" style="273" customWidth="1"/>
    <col min="11017" max="11018" width="9.33203125" style="273"/>
    <col min="11019" max="11019" width="32" style="273" customWidth="1"/>
    <col min="11020" max="11020" width="17.1640625" style="273" customWidth="1"/>
    <col min="11021" max="11021" width="9.33203125" style="273"/>
    <col min="11022" max="11022" width="26" style="273" customWidth="1"/>
    <col min="11023" max="11025" width="9.33203125" style="273"/>
    <col min="11026" max="11026" width="15" style="273" bestFit="1" customWidth="1"/>
    <col min="11027" max="11264" width="9.33203125" style="273"/>
    <col min="11265" max="11265" width="6.5" style="273" customWidth="1"/>
    <col min="11266" max="11266" width="57.6640625" style="273" customWidth="1"/>
    <col min="11267" max="11267" width="22.5" style="273" customWidth="1"/>
    <col min="11268" max="11268" width="23" style="273" customWidth="1"/>
    <col min="11269" max="11269" width="21.83203125" style="273" customWidth="1"/>
    <col min="11270" max="11270" width="22.33203125" style="273" customWidth="1"/>
    <col min="11271" max="11271" width="21.83203125" style="273" customWidth="1"/>
    <col min="11272" max="11272" width="24.6640625" style="273" customWidth="1"/>
    <col min="11273" max="11274" width="9.33203125" style="273"/>
    <col min="11275" max="11275" width="32" style="273" customWidth="1"/>
    <col min="11276" max="11276" width="17.1640625" style="273" customWidth="1"/>
    <col min="11277" max="11277" width="9.33203125" style="273"/>
    <col min="11278" max="11278" width="26" style="273" customWidth="1"/>
    <col min="11279" max="11281" width="9.33203125" style="273"/>
    <col min="11282" max="11282" width="15" style="273" bestFit="1" customWidth="1"/>
    <col min="11283" max="11520" width="9.33203125" style="273"/>
    <col min="11521" max="11521" width="6.5" style="273" customWidth="1"/>
    <col min="11522" max="11522" width="57.6640625" style="273" customWidth="1"/>
    <col min="11523" max="11523" width="22.5" style="273" customWidth="1"/>
    <col min="11524" max="11524" width="23" style="273" customWidth="1"/>
    <col min="11525" max="11525" width="21.83203125" style="273" customWidth="1"/>
    <col min="11526" max="11526" width="22.33203125" style="273" customWidth="1"/>
    <col min="11527" max="11527" width="21.83203125" style="273" customWidth="1"/>
    <col min="11528" max="11528" width="24.6640625" style="273" customWidth="1"/>
    <col min="11529" max="11530" width="9.33203125" style="273"/>
    <col min="11531" max="11531" width="32" style="273" customWidth="1"/>
    <col min="11532" max="11532" width="17.1640625" style="273" customWidth="1"/>
    <col min="11533" max="11533" width="9.33203125" style="273"/>
    <col min="11534" max="11534" width="26" style="273" customWidth="1"/>
    <col min="11535" max="11537" width="9.33203125" style="273"/>
    <col min="11538" max="11538" width="15" style="273" bestFit="1" customWidth="1"/>
    <col min="11539" max="11776" width="9.33203125" style="273"/>
    <col min="11777" max="11777" width="6.5" style="273" customWidth="1"/>
    <col min="11778" max="11778" width="57.6640625" style="273" customWidth="1"/>
    <col min="11779" max="11779" width="22.5" style="273" customWidth="1"/>
    <col min="11780" max="11780" width="23" style="273" customWidth="1"/>
    <col min="11781" max="11781" width="21.83203125" style="273" customWidth="1"/>
    <col min="11782" max="11782" width="22.33203125" style="273" customWidth="1"/>
    <col min="11783" max="11783" width="21.83203125" style="273" customWidth="1"/>
    <col min="11784" max="11784" width="24.6640625" style="273" customWidth="1"/>
    <col min="11785" max="11786" width="9.33203125" style="273"/>
    <col min="11787" max="11787" width="32" style="273" customWidth="1"/>
    <col min="11788" max="11788" width="17.1640625" style="273" customWidth="1"/>
    <col min="11789" max="11789" width="9.33203125" style="273"/>
    <col min="11790" max="11790" width="26" style="273" customWidth="1"/>
    <col min="11791" max="11793" width="9.33203125" style="273"/>
    <col min="11794" max="11794" width="15" style="273" bestFit="1" customWidth="1"/>
    <col min="11795" max="12032" width="9.33203125" style="273"/>
    <col min="12033" max="12033" width="6.5" style="273" customWidth="1"/>
    <col min="12034" max="12034" width="57.6640625" style="273" customWidth="1"/>
    <col min="12035" max="12035" width="22.5" style="273" customWidth="1"/>
    <col min="12036" max="12036" width="23" style="273" customWidth="1"/>
    <col min="12037" max="12037" width="21.83203125" style="273" customWidth="1"/>
    <col min="12038" max="12038" width="22.33203125" style="273" customWidth="1"/>
    <col min="12039" max="12039" width="21.83203125" style="273" customWidth="1"/>
    <col min="12040" max="12040" width="24.6640625" style="273" customWidth="1"/>
    <col min="12041" max="12042" width="9.33203125" style="273"/>
    <col min="12043" max="12043" width="32" style="273" customWidth="1"/>
    <col min="12044" max="12044" width="17.1640625" style="273" customWidth="1"/>
    <col min="12045" max="12045" width="9.33203125" style="273"/>
    <col min="12046" max="12046" width="26" style="273" customWidth="1"/>
    <col min="12047" max="12049" width="9.33203125" style="273"/>
    <col min="12050" max="12050" width="15" style="273" bestFit="1" customWidth="1"/>
    <col min="12051" max="12288" width="9.33203125" style="273"/>
    <col min="12289" max="12289" width="6.5" style="273" customWidth="1"/>
    <col min="12290" max="12290" width="57.6640625" style="273" customWidth="1"/>
    <col min="12291" max="12291" width="22.5" style="273" customWidth="1"/>
    <col min="12292" max="12292" width="23" style="273" customWidth="1"/>
    <col min="12293" max="12293" width="21.83203125" style="273" customWidth="1"/>
    <col min="12294" max="12294" width="22.33203125" style="273" customWidth="1"/>
    <col min="12295" max="12295" width="21.83203125" style="273" customWidth="1"/>
    <col min="12296" max="12296" width="24.6640625" style="273" customWidth="1"/>
    <col min="12297" max="12298" width="9.33203125" style="273"/>
    <col min="12299" max="12299" width="32" style="273" customWidth="1"/>
    <col min="12300" max="12300" width="17.1640625" style="273" customWidth="1"/>
    <col min="12301" max="12301" width="9.33203125" style="273"/>
    <col min="12302" max="12302" width="26" style="273" customWidth="1"/>
    <col min="12303" max="12305" width="9.33203125" style="273"/>
    <col min="12306" max="12306" width="15" style="273" bestFit="1" customWidth="1"/>
    <col min="12307" max="12544" width="9.33203125" style="273"/>
    <col min="12545" max="12545" width="6.5" style="273" customWidth="1"/>
    <col min="12546" max="12546" width="57.6640625" style="273" customWidth="1"/>
    <col min="12547" max="12547" width="22.5" style="273" customWidth="1"/>
    <col min="12548" max="12548" width="23" style="273" customWidth="1"/>
    <col min="12549" max="12549" width="21.83203125" style="273" customWidth="1"/>
    <col min="12550" max="12550" width="22.33203125" style="273" customWidth="1"/>
    <col min="12551" max="12551" width="21.83203125" style="273" customWidth="1"/>
    <col min="12552" max="12552" width="24.6640625" style="273" customWidth="1"/>
    <col min="12553" max="12554" width="9.33203125" style="273"/>
    <col min="12555" max="12555" width="32" style="273" customWidth="1"/>
    <col min="12556" max="12556" width="17.1640625" style="273" customWidth="1"/>
    <col min="12557" max="12557" width="9.33203125" style="273"/>
    <col min="12558" max="12558" width="26" style="273" customWidth="1"/>
    <col min="12559" max="12561" width="9.33203125" style="273"/>
    <col min="12562" max="12562" width="15" style="273" bestFit="1" customWidth="1"/>
    <col min="12563" max="12800" width="9.33203125" style="273"/>
    <col min="12801" max="12801" width="6.5" style="273" customWidth="1"/>
    <col min="12802" max="12802" width="57.6640625" style="273" customWidth="1"/>
    <col min="12803" max="12803" width="22.5" style="273" customWidth="1"/>
    <col min="12804" max="12804" width="23" style="273" customWidth="1"/>
    <col min="12805" max="12805" width="21.83203125" style="273" customWidth="1"/>
    <col min="12806" max="12806" width="22.33203125" style="273" customWidth="1"/>
    <col min="12807" max="12807" width="21.83203125" style="273" customWidth="1"/>
    <col min="12808" max="12808" width="24.6640625" style="273" customWidth="1"/>
    <col min="12809" max="12810" width="9.33203125" style="273"/>
    <col min="12811" max="12811" width="32" style="273" customWidth="1"/>
    <col min="12812" max="12812" width="17.1640625" style="273" customWidth="1"/>
    <col min="12813" max="12813" width="9.33203125" style="273"/>
    <col min="12814" max="12814" width="26" style="273" customWidth="1"/>
    <col min="12815" max="12817" width="9.33203125" style="273"/>
    <col min="12818" max="12818" width="15" style="273" bestFit="1" customWidth="1"/>
    <col min="12819" max="13056" width="9.33203125" style="273"/>
    <col min="13057" max="13057" width="6.5" style="273" customWidth="1"/>
    <col min="13058" max="13058" width="57.6640625" style="273" customWidth="1"/>
    <col min="13059" max="13059" width="22.5" style="273" customWidth="1"/>
    <col min="13060" max="13060" width="23" style="273" customWidth="1"/>
    <col min="13061" max="13061" width="21.83203125" style="273" customWidth="1"/>
    <col min="13062" max="13062" width="22.33203125" style="273" customWidth="1"/>
    <col min="13063" max="13063" width="21.83203125" style="273" customWidth="1"/>
    <col min="13064" max="13064" width="24.6640625" style="273" customWidth="1"/>
    <col min="13065" max="13066" width="9.33203125" style="273"/>
    <col min="13067" max="13067" width="32" style="273" customWidth="1"/>
    <col min="13068" max="13068" width="17.1640625" style="273" customWidth="1"/>
    <col min="13069" max="13069" width="9.33203125" style="273"/>
    <col min="13070" max="13070" width="26" style="273" customWidth="1"/>
    <col min="13071" max="13073" width="9.33203125" style="273"/>
    <col min="13074" max="13074" width="15" style="273" bestFit="1" customWidth="1"/>
    <col min="13075" max="13312" width="9.33203125" style="273"/>
    <col min="13313" max="13313" width="6.5" style="273" customWidth="1"/>
    <col min="13314" max="13314" width="57.6640625" style="273" customWidth="1"/>
    <col min="13315" max="13315" width="22.5" style="273" customWidth="1"/>
    <col min="13316" max="13316" width="23" style="273" customWidth="1"/>
    <col min="13317" max="13317" width="21.83203125" style="273" customWidth="1"/>
    <col min="13318" max="13318" width="22.33203125" style="273" customWidth="1"/>
    <col min="13319" max="13319" width="21.83203125" style="273" customWidth="1"/>
    <col min="13320" max="13320" width="24.6640625" style="273" customWidth="1"/>
    <col min="13321" max="13322" width="9.33203125" style="273"/>
    <col min="13323" max="13323" width="32" style="273" customWidth="1"/>
    <col min="13324" max="13324" width="17.1640625" style="273" customWidth="1"/>
    <col min="13325" max="13325" width="9.33203125" style="273"/>
    <col min="13326" max="13326" width="26" style="273" customWidth="1"/>
    <col min="13327" max="13329" width="9.33203125" style="273"/>
    <col min="13330" max="13330" width="15" style="273" bestFit="1" customWidth="1"/>
    <col min="13331" max="13568" width="9.33203125" style="273"/>
    <col min="13569" max="13569" width="6.5" style="273" customWidth="1"/>
    <col min="13570" max="13570" width="57.6640625" style="273" customWidth="1"/>
    <col min="13571" max="13571" width="22.5" style="273" customWidth="1"/>
    <col min="13572" max="13572" width="23" style="273" customWidth="1"/>
    <col min="13573" max="13573" width="21.83203125" style="273" customWidth="1"/>
    <col min="13574" max="13574" width="22.33203125" style="273" customWidth="1"/>
    <col min="13575" max="13575" width="21.83203125" style="273" customWidth="1"/>
    <col min="13576" max="13576" width="24.6640625" style="273" customWidth="1"/>
    <col min="13577" max="13578" width="9.33203125" style="273"/>
    <col min="13579" max="13579" width="32" style="273" customWidth="1"/>
    <col min="13580" max="13580" width="17.1640625" style="273" customWidth="1"/>
    <col min="13581" max="13581" width="9.33203125" style="273"/>
    <col min="13582" max="13582" width="26" style="273" customWidth="1"/>
    <col min="13583" max="13585" width="9.33203125" style="273"/>
    <col min="13586" max="13586" width="15" style="273" bestFit="1" customWidth="1"/>
    <col min="13587" max="13824" width="9.33203125" style="273"/>
    <col min="13825" max="13825" width="6.5" style="273" customWidth="1"/>
    <col min="13826" max="13826" width="57.6640625" style="273" customWidth="1"/>
    <col min="13827" max="13827" width="22.5" style="273" customWidth="1"/>
    <col min="13828" max="13828" width="23" style="273" customWidth="1"/>
    <col min="13829" max="13829" width="21.83203125" style="273" customWidth="1"/>
    <col min="13830" max="13830" width="22.33203125" style="273" customWidth="1"/>
    <col min="13831" max="13831" width="21.83203125" style="273" customWidth="1"/>
    <col min="13832" max="13832" width="24.6640625" style="273" customWidth="1"/>
    <col min="13833" max="13834" width="9.33203125" style="273"/>
    <col min="13835" max="13835" width="32" style="273" customWidth="1"/>
    <col min="13836" max="13836" width="17.1640625" style="273" customWidth="1"/>
    <col min="13837" max="13837" width="9.33203125" style="273"/>
    <col min="13838" max="13838" width="26" style="273" customWidth="1"/>
    <col min="13839" max="13841" width="9.33203125" style="273"/>
    <col min="13842" max="13842" width="15" style="273" bestFit="1" customWidth="1"/>
    <col min="13843" max="14080" width="9.33203125" style="273"/>
    <col min="14081" max="14081" width="6.5" style="273" customWidth="1"/>
    <col min="14082" max="14082" width="57.6640625" style="273" customWidth="1"/>
    <col min="14083" max="14083" width="22.5" style="273" customWidth="1"/>
    <col min="14084" max="14084" width="23" style="273" customWidth="1"/>
    <col min="14085" max="14085" width="21.83203125" style="273" customWidth="1"/>
    <col min="14086" max="14086" width="22.33203125" style="273" customWidth="1"/>
    <col min="14087" max="14087" width="21.83203125" style="273" customWidth="1"/>
    <col min="14088" max="14088" width="24.6640625" style="273" customWidth="1"/>
    <col min="14089" max="14090" width="9.33203125" style="273"/>
    <col min="14091" max="14091" width="32" style="273" customWidth="1"/>
    <col min="14092" max="14092" width="17.1640625" style="273" customWidth="1"/>
    <col min="14093" max="14093" width="9.33203125" style="273"/>
    <col min="14094" max="14094" width="26" style="273" customWidth="1"/>
    <col min="14095" max="14097" width="9.33203125" style="273"/>
    <col min="14098" max="14098" width="15" style="273" bestFit="1" customWidth="1"/>
    <col min="14099" max="14336" width="9.33203125" style="273"/>
    <col min="14337" max="14337" width="6.5" style="273" customWidth="1"/>
    <col min="14338" max="14338" width="57.6640625" style="273" customWidth="1"/>
    <col min="14339" max="14339" width="22.5" style="273" customWidth="1"/>
    <col min="14340" max="14340" width="23" style="273" customWidth="1"/>
    <col min="14341" max="14341" width="21.83203125" style="273" customWidth="1"/>
    <col min="14342" max="14342" width="22.33203125" style="273" customWidth="1"/>
    <col min="14343" max="14343" width="21.83203125" style="273" customWidth="1"/>
    <col min="14344" max="14344" width="24.6640625" style="273" customWidth="1"/>
    <col min="14345" max="14346" width="9.33203125" style="273"/>
    <col min="14347" max="14347" width="32" style="273" customWidth="1"/>
    <col min="14348" max="14348" width="17.1640625" style="273" customWidth="1"/>
    <col min="14349" max="14349" width="9.33203125" style="273"/>
    <col min="14350" max="14350" width="26" style="273" customWidth="1"/>
    <col min="14351" max="14353" width="9.33203125" style="273"/>
    <col min="14354" max="14354" width="15" style="273" bestFit="1" customWidth="1"/>
    <col min="14355" max="14592" width="9.33203125" style="273"/>
    <col min="14593" max="14593" width="6.5" style="273" customWidth="1"/>
    <col min="14594" max="14594" width="57.6640625" style="273" customWidth="1"/>
    <col min="14595" max="14595" width="22.5" style="273" customWidth="1"/>
    <col min="14596" max="14596" width="23" style="273" customWidth="1"/>
    <col min="14597" max="14597" width="21.83203125" style="273" customWidth="1"/>
    <col min="14598" max="14598" width="22.33203125" style="273" customWidth="1"/>
    <col min="14599" max="14599" width="21.83203125" style="273" customWidth="1"/>
    <col min="14600" max="14600" width="24.6640625" style="273" customWidth="1"/>
    <col min="14601" max="14602" width="9.33203125" style="273"/>
    <col min="14603" max="14603" width="32" style="273" customWidth="1"/>
    <col min="14604" max="14604" width="17.1640625" style="273" customWidth="1"/>
    <col min="14605" max="14605" width="9.33203125" style="273"/>
    <col min="14606" max="14606" width="26" style="273" customWidth="1"/>
    <col min="14607" max="14609" width="9.33203125" style="273"/>
    <col min="14610" max="14610" width="15" style="273" bestFit="1" customWidth="1"/>
    <col min="14611" max="14848" width="9.33203125" style="273"/>
    <col min="14849" max="14849" width="6.5" style="273" customWidth="1"/>
    <col min="14850" max="14850" width="57.6640625" style="273" customWidth="1"/>
    <col min="14851" max="14851" width="22.5" style="273" customWidth="1"/>
    <col min="14852" max="14852" width="23" style="273" customWidth="1"/>
    <col min="14853" max="14853" width="21.83203125" style="273" customWidth="1"/>
    <col min="14854" max="14854" width="22.33203125" style="273" customWidth="1"/>
    <col min="14855" max="14855" width="21.83203125" style="273" customWidth="1"/>
    <col min="14856" max="14856" width="24.6640625" style="273" customWidth="1"/>
    <col min="14857" max="14858" width="9.33203125" style="273"/>
    <col min="14859" max="14859" width="32" style="273" customWidth="1"/>
    <col min="14860" max="14860" width="17.1640625" style="273" customWidth="1"/>
    <col min="14861" max="14861" width="9.33203125" style="273"/>
    <col min="14862" max="14862" width="26" style="273" customWidth="1"/>
    <col min="14863" max="14865" width="9.33203125" style="273"/>
    <col min="14866" max="14866" width="15" style="273" bestFit="1" customWidth="1"/>
    <col min="14867" max="15104" width="9.33203125" style="273"/>
    <col min="15105" max="15105" width="6.5" style="273" customWidth="1"/>
    <col min="15106" max="15106" width="57.6640625" style="273" customWidth="1"/>
    <col min="15107" max="15107" width="22.5" style="273" customWidth="1"/>
    <col min="15108" max="15108" width="23" style="273" customWidth="1"/>
    <col min="15109" max="15109" width="21.83203125" style="273" customWidth="1"/>
    <col min="15110" max="15110" width="22.33203125" style="273" customWidth="1"/>
    <col min="15111" max="15111" width="21.83203125" style="273" customWidth="1"/>
    <col min="15112" max="15112" width="24.6640625" style="273" customWidth="1"/>
    <col min="15113" max="15114" width="9.33203125" style="273"/>
    <col min="15115" max="15115" width="32" style="273" customWidth="1"/>
    <col min="15116" max="15116" width="17.1640625" style="273" customWidth="1"/>
    <col min="15117" max="15117" width="9.33203125" style="273"/>
    <col min="15118" max="15118" width="26" style="273" customWidth="1"/>
    <col min="15119" max="15121" width="9.33203125" style="273"/>
    <col min="15122" max="15122" width="15" style="273" bestFit="1" customWidth="1"/>
    <col min="15123" max="15360" width="9.33203125" style="273"/>
    <col min="15361" max="15361" width="6.5" style="273" customWidth="1"/>
    <col min="15362" max="15362" width="57.6640625" style="273" customWidth="1"/>
    <col min="15363" max="15363" width="22.5" style="273" customWidth="1"/>
    <col min="15364" max="15364" width="23" style="273" customWidth="1"/>
    <col min="15365" max="15365" width="21.83203125" style="273" customWidth="1"/>
    <col min="15366" max="15366" width="22.33203125" style="273" customWidth="1"/>
    <col min="15367" max="15367" width="21.83203125" style="273" customWidth="1"/>
    <col min="15368" max="15368" width="24.6640625" style="273" customWidth="1"/>
    <col min="15369" max="15370" width="9.33203125" style="273"/>
    <col min="15371" max="15371" width="32" style="273" customWidth="1"/>
    <col min="15372" max="15372" width="17.1640625" style="273" customWidth="1"/>
    <col min="15373" max="15373" width="9.33203125" style="273"/>
    <col min="15374" max="15374" width="26" style="273" customWidth="1"/>
    <col min="15375" max="15377" width="9.33203125" style="273"/>
    <col min="15378" max="15378" width="15" style="273" bestFit="1" customWidth="1"/>
    <col min="15379" max="15616" width="9.33203125" style="273"/>
    <col min="15617" max="15617" width="6.5" style="273" customWidth="1"/>
    <col min="15618" max="15618" width="57.6640625" style="273" customWidth="1"/>
    <col min="15619" max="15619" width="22.5" style="273" customWidth="1"/>
    <col min="15620" max="15620" width="23" style="273" customWidth="1"/>
    <col min="15621" max="15621" width="21.83203125" style="273" customWidth="1"/>
    <col min="15622" max="15622" width="22.33203125" style="273" customWidth="1"/>
    <col min="15623" max="15623" width="21.83203125" style="273" customWidth="1"/>
    <col min="15624" max="15624" width="24.6640625" style="273" customWidth="1"/>
    <col min="15625" max="15626" width="9.33203125" style="273"/>
    <col min="15627" max="15627" width="32" style="273" customWidth="1"/>
    <col min="15628" max="15628" width="17.1640625" style="273" customWidth="1"/>
    <col min="15629" max="15629" width="9.33203125" style="273"/>
    <col min="15630" max="15630" width="26" style="273" customWidth="1"/>
    <col min="15631" max="15633" width="9.33203125" style="273"/>
    <col min="15634" max="15634" width="15" style="273" bestFit="1" customWidth="1"/>
    <col min="15635" max="15872" width="9.33203125" style="273"/>
    <col min="15873" max="15873" width="6.5" style="273" customWidth="1"/>
    <col min="15874" max="15874" width="57.6640625" style="273" customWidth="1"/>
    <col min="15875" max="15875" width="22.5" style="273" customWidth="1"/>
    <col min="15876" max="15876" width="23" style="273" customWidth="1"/>
    <col min="15877" max="15877" width="21.83203125" style="273" customWidth="1"/>
    <col min="15878" max="15878" width="22.33203125" style="273" customWidth="1"/>
    <col min="15879" max="15879" width="21.83203125" style="273" customWidth="1"/>
    <col min="15880" max="15880" width="24.6640625" style="273" customWidth="1"/>
    <col min="15881" max="15882" width="9.33203125" style="273"/>
    <col min="15883" max="15883" width="32" style="273" customWidth="1"/>
    <col min="15884" max="15884" width="17.1640625" style="273" customWidth="1"/>
    <col min="15885" max="15885" width="9.33203125" style="273"/>
    <col min="15886" max="15886" width="26" style="273" customWidth="1"/>
    <col min="15887" max="15889" width="9.33203125" style="273"/>
    <col min="15890" max="15890" width="15" style="273" bestFit="1" customWidth="1"/>
    <col min="15891" max="16128" width="9.33203125" style="273"/>
    <col min="16129" max="16129" width="6.5" style="273" customWidth="1"/>
    <col min="16130" max="16130" width="57.6640625" style="273" customWidth="1"/>
    <col min="16131" max="16131" width="22.5" style="273" customWidth="1"/>
    <col min="16132" max="16132" width="23" style="273" customWidth="1"/>
    <col min="16133" max="16133" width="21.83203125" style="273" customWidth="1"/>
    <col min="16134" max="16134" width="22.33203125" style="273" customWidth="1"/>
    <col min="16135" max="16135" width="21.83203125" style="273" customWidth="1"/>
    <col min="16136" max="16136" width="24.6640625" style="273" customWidth="1"/>
    <col min="16137" max="16138" width="9.33203125" style="273"/>
    <col min="16139" max="16139" width="32" style="273" customWidth="1"/>
    <col min="16140" max="16140" width="17.1640625" style="273" customWidth="1"/>
    <col min="16141" max="16141" width="9.33203125" style="273"/>
    <col min="16142" max="16142" width="26" style="273" customWidth="1"/>
    <col min="16143" max="16145" width="9.33203125" style="273"/>
    <col min="16146" max="16146" width="15" style="273" bestFit="1" customWidth="1"/>
    <col min="16147" max="16384" width="9.33203125" style="273"/>
  </cols>
  <sheetData>
    <row r="1" spans="1:17" s="254" customFormat="1" outlineLevel="1" x14ac:dyDescent="0.2">
      <c r="D1" s="842" t="s">
        <v>352</v>
      </c>
      <c r="E1" s="842"/>
      <c r="F1" s="842"/>
      <c r="G1" s="842"/>
      <c r="H1" s="842"/>
      <c r="I1"/>
      <c r="J1"/>
      <c r="K1"/>
      <c r="L1"/>
      <c r="M1"/>
      <c r="N1"/>
      <c r="O1" s="255"/>
      <c r="P1" s="255"/>
      <c r="Q1" s="255"/>
    </row>
    <row r="2" spans="1:17" s="254" customFormat="1" ht="13.5" outlineLevel="1" thickBot="1" x14ac:dyDescent="0.25">
      <c r="D2" s="842" t="s">
        <v>353</v>
      </c>
      <c r="E2" s="842"/>
      <c r="F2" s="842"/>
      <c r="G2" s="842"/>
      <c r="H2" s="842"/>
      <c r="I2"/>
      <c r="J2"/>
      <c r="K2"/>
      <c r="L2"/>
      <c r="M2"/>
      <c r="N2"/>
      <c r="O2" s="255"/>
      <c r="P2" s="255"/>
      <c r="Q2" s="255"/>
    </row>
    <row r="3" spans="1:17" s="254" customFormat="1" ht="13.5" outlineLevel="1" thickBot="1" x14ac:dyDescent="0.25">
      <c r="G3" s="843" t="s">
        <v>354</v>
      </c>
      <c r="H3" s="844"/>
      <c r="I3"/>
      <c r="J3"/>
      <c r="K3"/>
      <c r="L3"/>
      <c r="M3"/>
      <c r="N3"/>
      <c r="O3" s="255"/>
      <c r="P3" s="255"/>
      <c r="Q3" s="255"/>
    </row>
    <row r="4" spans="1:17" s="254" customFormat="1" ht="15.75" outlineLevel="1" thickBot="1" x14ac:dyDescent="0.25">
      <c r="F4" s="256" t="s">
        <v>40</v>
      </c>
      <c r="G4" s="845" t="s">
        <v>355</v>
      </c>
      <c r="H4" s="846"/>
      <c r="I4"/>
      <c r="J4"/>
      <c r="K4"/>
      <c r="L4"/>
      <c r="M4"/>
      <c r="N4"/>
      <c r="O4" s="255"/>
      <c r="P4" s="255"/>
      <c r="Q4" s="255"/>
    </row>
    <row r="5" spans="1:17" s="254" customFormat="1" ht="36.75" customHeight="1" outlineLevel="1" x14ac:dyDescent="0.25">
      <c r="A5" s="829" t="s">
        <v>356</v>
      </c>
      <c r="B5" s="830"/>
      <c r="C5" s="830"/>
      <c r="D5" s="830"/>
      <c r="E5" s="830"/>
      <c r="F5" s="256" t="s">
        <v>43</v>
      </c>
      <c r="G5" s="831" t="s">
        <v>357</v>
      </c>
      <c r="H5" s="832"/>
      <c r="I5"/>
      <c r="J5"/>
      <c r="K5"/>
      <c r="L5"/>
      <c r="M5"/>
      <c r="N5"/>
      <c r="O5" s="255"/>
      <c r="P5" s="255"/>
      <c r="Q5" s="255"/>
    </row>
    <row r="6" spans="1:17" customFormat="1" ht="16.5" customHeight="1" outlineLevel="1" thickBot="1" x14ac:dyDescent="0.25">
      <c r="A6" s="828" t="s">
        <v>358</v>
      </c>
      <c r="B6" s="828"/>
      <c r="C6" s="828"/>
      <c r="D6" s="828"/>
      <c r="E6" s="828"/>
      <c r="F6" s="256"/>
      <c r="G6" s="257"/>
      <c r="H6" s="258"/>
    </row>
    <row r="7" spans="1:17" customFormat="1" ht="36.75" customHeight="1" outlineLevel="1" x14ac:dyDescent="0.25">
      <c r="A7" s="829" t="s">
        <v>359</v>
      </c>
      <c r="B7" s="830"/>
      <c r="C7" s="830"/>
      <c r="D7" s="830"/>
      <c r="E7" s="830"/>
      <c r="F7" s="256" t="s">
        <v>43</v>
      </c>
      <c r="G7" s="831" t="s">
        <v>263</v>
      </c>
      <c r="H7" s="832"/>
    </row>
    <row r="8" spans="1:17" customFormat="1" ht="16.5" customHeight="1" outlineLevel="1" thickBot="1" x14ac:dyDescent="0.25">
      <c r="A8" s="828" t="s">
        <v>358</v>
      </c>
      <c r="B8" s="828"/>
      <c r="C8" s="828"/>
      <c r="D8" s="828"/>
      <c r="E8" s="828"/>
      <c r="F8" s="256"/>
      <c r="G8" s="257"/>
      <c r="H8" s="258"/>
    </row>
    <row r="9" spans="1:17" customFormat="1" ht="21.75" customHeight="1" outlineLevel="1" x14ac:dyDescent="0.25">
      <c r="A9" s="830" t="s">
        <v>360</v>
      </c>
      <c r="B9" s="830"/>
      <c r="C9" s="830"/>
      <c r="D9" s="830"/>
      <c r="E9" s="830"/>
      <c r="F9" s="256" t="s">
        <v>43</v>
      </c>
      <c r="G9" s="831">
        <v>29478604</v>
      </c>
      <c r="H9" s="832"/>
    </row>
    <row r="10" spans="1:17" customFormat="1" ht="16.5" customHeight="1" outlineLevel="1" thickBot="1" x14ac:dyDescent="0.25">
      <c r="A10" s="828" t="s">
        <v>358</v>
      </c>
      <c r="B10" s="828"/>
      <c r="C10" s="828"/>
      <c r="D10" s="828"/>
      <c r="E10" s="828"/>
      <c r="F10" s="254"/>
      <c r="G10" s="259"/>
      <c r="H10" s="260"/>
    </row>
    <row r="11" spans="1:17" customFormat="1" ht="39" customHeight="1" outlineLevel="1" x14ac:dyDescent="0.25">
      <c r="A11" s="829" t="s">
        <v>361</v>
      </c>
      <c r="B11" s="829"/>
      <c r="C11" s="829"/>
      <c r="D11" s="829"/>
      <c r="E11" s="829"/>
      <c r="F11" s="254"/>
      <c r="G11" s="833"/>
      <c r="H11" s="834"/>
    </row>
    <row r="12" spans="1:17" customFormat="1" ht="39.75" customHeight="1" outlineLevel="1" x14ac:dyDescent="0.25">
      <c r="A12" s="839" t="s">
        <v>362</v>
      </c>
      <c r="B12" s="839"/>
      <c r="C12" s="839"/>
      <c r="D12" s="839"/>
      <c r="E12" s="839"/>
      <c r="F12" s="254"/>
      <c r="G12" s="835"/>
      <c r="H12" s="836"/>
    </row>
    <row r="13" spans="1:17" customFormat="1" ht="15" customHeight="1" outlineLevel="1" thickBot="1" x14ac:dyDescent="0.25">
      <c r="A13" s="254"/>
      <c r="B13" s="254"/>
      <c r="C13" s="261"/>
      <c r="D13" s="262"/>
      <c r="E13" s="840" t="s">
        <v>363</v>
      </c>
      <c r="F13" s="841"/>
      <c r="G13" s="837"/>
      <c r="H13" s="838"/>
    </row>
    <row r="14" spans="1:17" customFormat="1" ht="16.5" outlineLevel="1" thickBot="1" x14ac:dyDescent="0.3">
      <c r="A14" s="254"/>
      <c r="B14" s="254"/>
      <c r="C14" s="261"/>
      <c r="D14" s="263"/>
      <c r="E14" s="262" t="s">
        <v>364</v>
      </c>
      <c r="F14" s="264" t="s">
        <v>52</v>
      </c>
      <c r="G14" s="826" t="s">
        <v>365</v>
      </c>
      <c r="H14" s="827"/>
    </row>
    <row r="15" spans="1:17" customFormat="1" ht="15.75" customHeight="1" outlineLevel="1" thickBot="1" x14ac:dyDescent="0.3">
      <c r="A15" s="254"/>
      <c r="B15" s="254"/>
      <c r="C15" s="265"/>
      <c r="D15" s="266"/>
      <c r="E15" s="261"/>
      <c r="F15" s="264" t="s">
        <v>53</v>
      </c>
      <c r="G15" s="813" t="s">
        <v>366</v>
      </c>
      <c r="H15" s="814"/>
    </row>
    <row r="16" spans="1:17" customFormat="1" ht="12.75" customHeight="1" outlineLevel="1" thickBot="1" x14ac:dyDescent="0.25">
      <c r="A16" s="254"/>
      <c r="B16" s="254"/>
      <c r="C16" s="261"/>
      <c r="D16" s="261"/>
      <c r="E16" s="261"/>
      <c r="F16" s="267" t="s">
        <v>367</v>
      </c>
      <c r="G16" s="815"/>
      <c r="H16" s="816"/>
    </row>
    <row r="17" spans="1:8" customFormat="1" outlineLevel="1" x14ac:dyDescent="0.2">
      <c r="A17" s="254"/>
      <c r="B17" s="254"/>
      <c r="C17" s="261"/>
      <c r="D17" s="266"/>
      <c r="E17" s="261"/>
      <c r="F17" s="266"/>
      <c r="G17" s="261"/>
      <c r="H17" s="266"/>
    </row>
    <row r="18" spans="1:8" customFormat="1" ht="12.75" customHeight="1" outlineLevel="1" x14ac:dyDescent="0.2">
      <c r="A18" s="254"/>
      <c r="B18" s="254"/>
      <c r="C18" s="817" t="s">
        <v>368</v>
      </c>
      <c r="D18" s="819" t="s">
        <v>369</v>
      </c>
      <c r="E18" s="821" t="s">
        <v>57</v>
      </c>
      <c r="F18" s="822"/>
      <c r="G18" s="822"/>
      <c r="H18" s="823"/>
    </row>
    <row r="19" spans="1:8" customFormat="1" ht="12.75" customHeight="1" outlineLevel="1" x14ac:dyDescent="0.2">
      <c r="A19" s="254"/>
      <c r="B19" s="254"/>
      <c r="C19" s="818"/>
      <c r="D19" s="820"/>
      <c r="E19" s="824" t="s">
        <v>58</v>
      </c>
      <c r="F19" s="825"/>
      <c r="G19" s="824" t="s">
        <v>59</v>
      </c>
      <c r="H19" s="825"/>
    </row>
    <row r="20" spans="1:8" customFormat="1" ht="20.25" customHeight="1" outlineLevel="1" x14ac:dyDescent="0.2">
      <c r="A20" s="254"/>
      <c r="B20" s="254"/>
      <c r="C20" s="268" t="s">
        <v>348</v>
      </c>
      <c r="D20" s="269">
        <v>44165</v>
      </c>
      <c r="E20" s="796">
        <v>44136</v>
      </c>
      <c r="F20" s="797"/>
      <c r="G20" s="796">
        <f>D20</f>
        <v>44165</v>
      </c>
      <c r="H20" s="798"/>
    </row>
    <row r="21" spans="1:8" outlineLevel="1" x14ac:dyDescent="0.2">
      <c r="A21" s="261"/>
      <c r="B21" s="261"/>
      <c r="C21" s="270"/>
      <c r="D21" s="271"/>
      <c r="E21" s="272"/>
      <c r="F21" s="271"/>
      <c r="G21" s="272"/>
      <c r="H21" s="271"/>
    </row>
    <row r="22" spans="1:8" ht="16.5" outlineLevel="1" x14ac:dyDescent="0.2">
      <c r="A22" s="799" t="s">
        <v>370</v>
      </c>
      <c r="B22" s="800"/>
      <c r="C22" s="800"/>
      <c r="D22" s="800"/>
      <c r="E22" s="800"/>
      <c r="F22" s="800"/>
      <c r="G22" s="800"/>
      <c r="H22" s="800"/>
    </row>
    <row r="23" spans="1:8" ht="17.25" customHeight="1" outlineLevel="1" thickBot="1" x14ac:dyDescent="0.25">
      <c r="A23" s="799" t="s">
        <v>371</v>
      </c>
      <c r="B23" s="800"/>
      <c r="C23" s="800"/>
      <c r="D23" s="800"/>
      <c r="E23" s="800"/>
      <c r="F23" s="800"/>
      <c r="G23" s="800"/>
      <c r="H23" s="800"/>
    </row>
    <row r="24" spans="1:8" ht="24" customHeight="1" thickBot="1" x14ac:dyDescent="0.25">
      <c r="A24" s="801" t="s">
        <v>372</v>
      </c>
      <c r="B24" s="804" t="s">
        <v>373</v>
      </c>
      <c r="C24" s="807" t="s">
        <v>374</v>
      </c>
      <c r="D24" s="808"/>
      <c r="E24" s="808"/>
      <c r="F24" s="808"/>
      <c r="G24" s="808"/>
      <c r="H24" s="809"/>
    </row>
    <row r="25" spans="1:8" x14ac:dyDescent="0.2">
      <c r="A25" s="802"/>
      <c r="B25" s="805"/>
      <c r="C25" s="810" t="s">
        <v>375</v>
      </c>
      <c r="D25" s="811"/>
      <c r="E25" s="810" t="s">
        <v>376</v>
      </c>
      <c r="F25" s="811"/>
      <c r="G25" s="810" t="s">
        <v>377</v>
      </c>
      <c r="H25" s="811"/>
    </row>
    <row r="26" spans="1:8" x14ac:dyDescent="0.2">
      <c r="A26" s="802"/>
      <c r="B26" s="805"/>
      <c r="C26" s="789"/>
      <c r="D26" s="812"/>
      <c r="E26" s="789"/>
      <c r="F26" s="812"/>
      <c r="G26" s="789"/>
      <c r="H26" s="812"/>
    </row>
    <row r="27" spans="1:8" x14ac:dyDescent="0.2">
      <c r="A27" s="802"/>
      <c r="B27" s="805"/>
      <c r="C27" s="789" t="s">
        <v>378</v>
      </c>
      <c r="D27" s="791" t="s">
        <v>379</v>
      </c>
      <c r="E27" s="789" t="s">
        <v>378</v>
      </c>
      <c r="F27" s="793" t="s">
        <v>380</v>
      </c>
      <c r="G27" s="789" t="s">
        <v>378</v>
      </c>
      <c r="H27" s="793" t="s">
        <v>380</v>
      </c>
    </row>
    <row r="28" spans="1:8" x14ac:dyDescent="0.2">
      <c r="A28" s="802"/>
      <c r="B28" s="805"/>
      <c r="C28" s="789"/>
      <c r="D28" s="791"/>
      <c r="E28" s="789"/>
      <c r="F28" s="793"/>
      <c r="G28" s="789"/>
      <c r="H28" s="793"/>
    </row>
    <row r="29" spans="1:8" ht="13.5" thickBot="1" x14ac:dyDescent="0.25">
      <c r="A29" s="803"/>
      <c r="B29" s="806"/>
      <c r="C29" s="790"/>
      <c r="D29" s="792"/>
      <c r="E29" s="790"/>
      <c r="F29" s="794"/>
      <c r="G29" s="790"/>
      <c r="H29" s="795"/>
    </row>
    <row r="30" spans="1:8" ht="13.5" thickBot="1" x14ac:dyDescent="0.25">
      <c r="A30" s="274">
        <v>1</v>
      </c>
      <c r="B30" s="274">
        <v>2</v>
      </c>
      <c r="C30" s="275">
        <v>3</v>
      </c>
      <c r="D30" s="276">
        <v>4</v>
      </c>
      <c r="E30" s="275">
        <v>5</v>
      </c>
      <c r="F30" s="277">
        <v>6</v>
      </c>
      <c r="G30" s="275">
        <v>7</v>
      </c>
      <c r="H30" s="277">
        <v>8</v>
      </c>
    </row>
    <row r="31" spans="1:8" ht="25.5" customHeight="1" x14ac:dyDescent="0.2">
      <c r="A31" s="278" t="s">
        <v>17</v>
      </c>
      <c r="B31" s="279" t="s">
        <v>381</v>
      </c>
      <c r="C31" s="280">
        <f>G31+'[80]13'!C31</f>
        <v>24223289</v>
      </c>
      <c r="D31" s="281">
        <f>H31+'[80]13'!D31</f>
        <v>171274831.94999999</v>
      </c>
      <c r="E31" s="280">
        <f>G31+'[80]13'!E31</f>
        <v>20329522</v>
      </c>
      <c r="F31" s="282">
        <f>H31+'[80]13'!F31</f>
        <v>142230832.61000001</v>
      </c>
      <c r="G31" s="283">
        <f>G36+G43+G44+G50</f>
        <v>0</v>
      </c>
      <c r="H31" s="284">
        <f>H36+H43+H44+H50</f>
        <v>0</v>
      </c>
    </row>
    <row r="32" spans="1:8" ht="22.5" customHeight="1" thickBot="1" x14ac:dyDescent="0.25">
      <c r="A32" s="285"/>
      <c r="B32" s="286" t="s">
        <v>382</v>
      </c>
      <c r="C32" s="287"/>
      <c r="D32" s="288"/>
      <c r="E32" s="287"/>
      <c r="F32" s="288">
        <f>H32+'[80]13'!F32</f>
        <v>0</v>
      </c>
      <c r="G32" s="287"/>
      <c r="H32" s="288"/>
    </row>
    <row r="33" spans="1:8" ht="22.5" hidden="1" customHeight="1" x14ac:dyDescent="0.2">
      <c r="A33" s="289">
        <v>2</v>
      </c>
      <c r="B33" s="290" t="s">
        <v>3</v>
      </c>
      <c r="C33" s="291">
        <f>G33+'[80]13'!C33</f>
        <v>0</v>
      </c>
      <c r="D33" s="292">
        <f>H33+'[80]13'!D33</f>
        <v>0</v>
      </c>
      <c r="E33" s="291">
        <f>G33+'[80]13'!E33</f>
        <v>0</v>
      </c>
      <c r="F33" s="292">
        <f>H33+'[80]13'!F33</f>
        <v>0</v>
      </c>
      <c r="G33" s="293"/>
      <c r="H33" s="294"/>
    </row>
    <row r="34" spans="1:8" ht="22.5" hidden="1" customHeight="1" x14ac:dyDescent="0.2">
      <c r="A34" s="278">
        <v>3</v>
      </c>
      <c r="B34" s="295" t="s">
        <v>383</v>
      </c>
      <c r="C34" s="296"/>
      <c r="D34" s="292">
        <f>H34+'[80]13'!D34</f>
        <v>0</v>
      </c>
      <c r="E34" s="296"/>
      <c r="F34" s="292">
        <f>H34+'[80]13'!F34</f>
        <v>0</v>
      </c>
      <c r="G34" s="297"/>
      <c r="H34" s="298"/>
    </row>
    <row r="35" spans="1:8" ht="22.5" hidden="1" customHeight="1" x14ac:dyDescent="0.2">
      <c r="A35" s="285">
        <v>4</v>
      </c>
      <c r="B35" s="286" t="s">
        <v>384</v>
      </c>
      <c r="C35" s="299"/>
      <c r="D35" s="300">
        <f>H35+'[80]13'!D35</f>
        <v>0</v>
      </c>
      <c r="E35" s="299"/>
      <c r="F35" s="300">
        <f>H35+'[80]13'!F35</f>
        <v>0</v>
      </c>
      <c r="G35" s="301"/>
      <c r="H35" s="302"/>
    </row>
    <row r="36" spans="1:8" ht="22.5" customHeight="1" x14ac:dyDescent="0.2">
      <c r="A36" s="289">
        <v>5</v>
      </c>
      <c r="B36" s="290" t="s">
        <v>3</v>
      </c>
      <c r="C36" s="280">
        <f>G36+'[80]13'!C36</f>
        <v>19227405</v>
      </c>
      <c r="D36" s="303">
        <f>H36+'[80]13'!D36</f>
        <v>139875282.88999999</v>
      </c>
      <c r="E36" s="280">
        <f>G36+'[80]13'!E36</f>
        <v>18653180</v>
      </c>
      <c r="F36" s="303">
        <f>H36+'[80]13'!F36</f>
        <v>133245139.36</v>
      </c>
      <c r="G36" s="283"/>
      <c r="H36" s="284"/>
    </row>
    <row r="37" spans="1:8" ht="22.5" customHeight="1" x14ac:dyDescent="0.2">
      <c r="A37" s="278">
        <v>6</v>
      </c>
      <c r="B37" s="295" t="s">
        <v>385</v>
      </c>
      <c r="C37" s="304"/>
      <c r="D37" s="282">
        <f>H37+'[80]13'!D37</f>
        <v>27975056.579999998</v>
      </c>
      <c r="E37" s="304"/>
      <c r="F37" s="282">
        <f>H37+'[80]13'!F37</f>
        <v>26649027.879999999</v>
      </c>
      <c r="G37" s="280"/>
      <c r="H37" s="282">
        <f>ROUND(H36*0.2,2)</f>
        <v>0</v>
      </c>
    </row>
    <row r="38" spans="1:8" ht="22.5" customHeight="1" thickBot="1" x14ac:dyDescent="0.25">
      <c r="A38" s="285" t="s">
        <v>28</v>
      </c>
      <c r="B38" s="286" t="s">
        <v>386</v>
      </c>
      <c r="C38" s="287"/>
      <c r="D38" s="288">
        <f>H38+'[80]13'!D38</f>
        <v>167850339.47</v>
      </c>
      <c r="E38" s="287"/>
      <c r="F38" s="288">
        <f>H38+'[80]13'!F38</f>
        <v>159894167.24000001</v>
      </c>
      <c r="G38" s="287"/>
      <c r="H38" s="288">
        <f>H36+H37</f>
        <v>0</v>
      </c>
    </row>
    <row r="39" spans="1:8" ht="22.5" hidden="1" customHeight="1" x14ac:dyDescent="0.2">
      <c r="A39" s="289" t="s">
        <v>340</v>
      </c>
      <c r="B39" s="290" t="s">
        <v>22</v>
      </c>
      <c r="C39" s="291">
        <f>G39+'[80]13'!C39</f>
        <v>0</v>
      </c>
      <c r="D39" s="305">
        <f>H39+'[80]13'!D39</f>
        <v>0</v>
      </c>
      <c r="E39" s="291">
        <f>G39+'[80]13'!E39</f>
        <v>0</v>
      </c>
      <c r="F39" s="305">
        <f>H39+'[80]13'!F39</f>
        <v>0</v>
      </c>
      <c r="G39" s="293"/>
      <c r="H39" s="306"/>
    </row>
    <row r="40" spans="1:8" ht="22.5" hidden="1" customHeight="1" x14ac:dyDescent="0.2">
      <c r="A40" s="278" t="s">
        <v>341</v>
      </c>
      <c r="B40" s="295" t="s">
        <v>271</v>
      </c>
      <c r="C40" s="291">
        <f>G40+'[80]13'!C40</f>
        <v>0</v>
      </c>
      <c r="D40" s="305">
        <f>H40+'[80]13'!D40</f>
        <v>0</v>
      </c>
      <c r="E40" s="291">
        <f>G40+'[80]13'!E40</f>
        <v>0</v>
      </c>
      <c r="F40" s="305">
        <f>H40+'[80]13'!F40</f>
        <v>0</v>
      </c>
      <c r="G40" s="297"/>
      <c r="H40" s="307"/>
    </row>
    <row r="41" spans="1:8" ht="22.5" hidden="1" customHeight="1" x14ac:dyDescent="0.2">
      <c r="A41" s="278" t="s">
        <v>342</v>
      </c>
      <c r="B41" s="295" t="s">
        <v>383</v>
      </c>
      <c r="C41" s="291"/>
      <c r="D41" s="292">
        <f>H41+'[80]13'!D41</f>
        <v>0</v>
      </c>
      <c r="E41" s="291"/>
      <c r="F41" s="292">
        <f>H41+'[80]13'!F41</f>
        <v>0</v>
      </c>
      <c r="G41" s="297"/>
      <c r="H41" s="307"/>
    </row>
    <row r="42" spans="1:8" ht="22.5" hidden="1" customHeight="1" x14ac:dyDescent="0.2">
      <c r="A42" s="308" t="s">
        <v>343</v>
      </c>
      <c r="B42" s="286" t="s">
        <v>387</v>
      </c>
      <c r="C42" s="299"/>
      <c r="D42" s="300">
        <f>H42+'[80]13'!D42</f>
        <v>0</v>
      </c>
      <c r="E42" s="299"/>
      <c r="F42" s="300">
        <f>H42+'[80]13'!F42</f>
        <v>0</v>
      </c>
      <c r="G42" s="301"/>
      <c r="H42" s="309"/>
    </row>
    <row r="43" spans="1:8" ht="22.5" customHeight="1" x14ac:dyDescent="0.2">
      <c r="A43" s="289" t="s">
        <v>345</v>
      </c>
      <c r="B43" s="290" t="s">
        <v>22</v>
      </c>
      <c r="C43" s="280">
        <f>G43+'[80]13'!C43</f>
        <v>0</v>
      </c>
      <c r="D43" s="303">
        <f>H43+'[80]13'!D43</f>
        <v>0</v>
      </c>
      <c r="E43" s="280">
        <f>G43+'[80]13'!E43</f>
        <v>0</v>
      </c>
      <c r="F43" s="303">
        <f>H43+'[80]13'!F43</f>
        <v>0</v>
      </c>
      <c r="G43" s="310">
        <v>0</v>
      </c>
      <c r="H43" s="284">
        <v>0</v>
      </c>
    </row>
    <row r="44" spans="1:8" ht="22.5" customHeight="1" x14ac:dyDescent="0.2">
      <c r="A44" s="278" t="s">
        <v>346</v>
      </c>
      <c r="B44" s="295" t="s">
        <v>271</v>
      </c>
      <c r="C44" s="280">
        <f>G44+'[80]13'!C44</f>
        <v>186132</v>
      </c>
      <c r="D44" s="303">
        <f>H44+'[80]13'!D44</f>
        <v>4364987.76</v>
      </c>
      <c r="E44" s="280">
        <f>G44+'[80]13'!E44</f>
        <v>174099</v>
      </c>
      <c r="F44" s="303">
        <f>H44+'[80]13'!F44</f>
        <v>4087920.28</v>
      </c>
      <c r="G44" s="280"/>
      <c r="H44" s="282"/>
    </row>
    <row r="45" spans="1:8" ht="22.5" customHeight="1" x14ac:dyDescent="0.2">
      <c r="A45" s="278" t="s">
        <v>347</v>
      </c>
      <c r="B45" s="295" t="s">
        <v>385</v>
      </c>
      <c r="C45" s="280"/>
      <c r="D45" s="282">
        <f>H45+'[80]13'!D45</f>
        <v>872997.56</v>
      </c>
      <c r="E45" s="280"/>
      <c r="F45" s="282">
        <f>H45+'[80]13'!F45</f>
        <v>817584.07</v>
      </c>
      <c r="G45" s="280"/>
      <c r="H45" s="282">
        <f>ROUND(H44*0.2,2)</f>
        <v>0</v>
      </c>
    </row>
    <row r="46" spans="1:8" ht="22.5" customHeight="1" thickBot="1" x14ac:dyDescent="0.25">
      <c r="A46" s="285" t="s">
        <v>348</v>
      </c>
      <c r="B46" s="286" t="s">
        <v>388</v>
      </c>
      <c r="C46" s="287"/>
      <c r="D46" s="288">
        <f>H46+'[80]13'!D46</f>
        <v>5237985.32</v>
      </c>
      <c r="E46" s="287"/>
      <c r="F46" s="288">
        <f>H46+'[80]13'!F46</f>
        <v>4905504.3499999996</v>
      </c>
      <c r="G46" s="287"/>
      <c r="H46" s="288">
        <f>H43+H44+H45</f>
        <v>0</v>
      </c>
    </row>
    <row r="47" spans="1:8" ht="22.5" hidden="1" customHeight="1" x14ac:dyDescent="0.2">
      <c r="A47" s="289" t="s">
        <v>389</v>
      </c>
      <c r="B47" s="290" t="s">
        <v>323</v>
      </c>
      <c r="C47" s="291">
        <f>G47+'[80]13'!C47</f>
        <v>0</v>
      </c>
      <c r="D47" s="305">
        <f>H47+'[80]13'!D47</f>
        <v>0</v>
      </c>
      <c r="E47" s="291">
        <f>G47+'[80]13'!E47</f>
        <v>0</v>
      </c>
      <c r="F47" s="305">
        <f>H47+'[80]13'!F47</f>
        <v>0</v>
      </c>
      <c r="G47" s="293"/>
      <c r="H47" s="311"/>
    </row>
    <row r="48" spans="1:8" ht="22.5" hidden="1" customHeight="1" x14ac:dyDescent="0.2">
      <c r="A48" s="278" t="s">
        <v>390</v>
      </c>
      <c r="B48" s="295" t="s">
        <v>383</v>
      </c>
      <c r="C48" s="296"/>
      <c r="D48" s="292">
        <f>H48+'[80]13'!D48</f>
        <v>0</v>
      </c>
      <c r="E48" s="296"/>
      <c r="F48" s="292">
        <f>H48+'[80]13'!F48</f>
        <v>0</v>
      </c>
      <c r="G48" s="297"/>
      <c r="H48" s="307"/>
    </row>
    <row r="49" spans="1:8" ht="22.5" hidden="1" customHeight="1" x14ac:dyDescent="0.2">
      <c r="A49" s="285" t="s">
        <v>391</v>
      </c>
      <c r="B49" s="286" t="s">
        <v>392</v>
      </c>
      <c r="C49" s="299"/>
      <c r="D49" s="300">
        <f>H49+'[80]13'!D49</f>
        <v>0</v>
      </c>
      <c r="E49" s="299"/>
      <c r="F49" s="300">
        <f>H49+'[80]13'!F49</f>
        <v>0</v>
      </c>
      <c r="G49" s="301"/>
      <c r="H49" s="312"/>
    </row>
    <row r="50" spans="1:8" ht="22.5" customHeight="1" x14ac:dyDescent="0.2">
      <c r="A50" s="289" t="s">
        <v>393</v>
      </c>
      <c r="B50" s="290" t="s">
        <v>323</v>
      </c>
      <c r="C50" s="280">
        <f>G50+'[80]13'!C50</f>
        <v>4809756</v>
      </c>
      <c r="D50" s="303">
        <f>H50+'[80]13'!D50</f>
        <v>27034561.300000001</v>
      </c>
      <c r="E50" s="280">
        <f>G50+'[80]13'!E50</f>
        <v>1502247</v>
      </c>
      <c r="F50" s="303">
        <f>H50+'[80]13'!F50</f>
        <v>4897772.97</v>
      </c>
      <c r="G50" s="310">
        <v>0</v>
      </c>
      <c r="H50" s="284">
        <v>0</v>
      </c>
    </row>
    <row r="51" spans="1:8" ht="22.5" customHeight="1" x14ac:dyDescent="0.2">
      <c r="A51" s="278" t="s">
        <v>394</v>
      </c>
      <c r="B51" s="295" t="s">
        <v>385</v>
      </c>
      <c r="C51" s="304"/>
      <c r="D51" s="282">
        <f>H51+'[80]13'!D51</f>
        <v>5406912.2699999996</v>
      </c>
      <c r="E51" s="304"/>
      <c r="F51" s="282">
        <f>H51+'[80]13'!F51</f>
        <v>979554.6</v>
      </c>
      <c r="G51" s="280"/>
      <c r="H51" s="282">
        <f>ROUND(H50*0.2,2)</f>
        <v>0</v>
      </c>
    </row>
    <row r="52" spans="1:8" ht="22.5" customHeight="1" thickBot="1" x14ac:dyDescent="0.25">
      <c r="A52" s="285" t="s">
        <v>395</v>
      </c>
      <c r="B52" s="286" t="s">
        <v>396</v>
      </c>
      <c r="C52" s="287"/>
      <c r="D52" s="288">
        <f>H52+'[80]13'!D52</f>
        <v>32441473.57</v>
      </c>
      <c r="E52" s="287"/>
      <c r="F52" s="288">
        <f>H52+'[80]13'!F52</f>
        <v>5877327.5700000003</v>
      </c>
      <c r="G52" s="287"/>
      <c r="H52" s="288">
        <f>H50+H51</f>
        <v>0</v>
      </c>
    </row>
    <row r="53" spans="1:8" ht="25.5" hidden="1" customHeight="1" x14ac:dyDescent="0.2">
      <c r="A53" s="313" t="s">
        <v>397</v>
      </c>
      <c r="B53" s="314" t="s">
        <v>398</v>
      </c>
      <c r="C53" s="291">
        <f>G53+'[80]13'!C53</f>
        <v>0</v>
      </c>
      <c r="D53" s="315">
        <f>H53+'[80]13'!D53</f>
        <v>0</v>
      </c>
      <c r="E53" s="291">
        <f>G53+'[80]13'!E53</f>
        <v>0</v>
      </c>
      <c r="F53" s="315">
        <f>H53+'[80]13'!F53</f>
        <v>0</v>
      </c>
      <c r="G53" s="316"/>
      <c r="H53" s="317"/>
    </row>
    <row r="54" spans="1:8" ht="22.5" hidden="1" customHeight="1" x14ac:dyDescent="0.2">
      <c r="A54" s="285" t="s">
        <v>399</v>
      </c>
      <c r="B54" s="318" t="s">
        <v>400</v>
      </c>
      <c r="C54" s="319"/>
      <c r="D54" s="320">
        <f>H54+'[80]13'!D54</f>
        <v>0</v>
      </c>
      <c r="E54" s="319"/>
      <c r="F54" s="320">
        <f>H54+'[80]13'!F54</f>
        <v>0</v>
      </c>
      <c r="G54" s="316"/>
      <c r="H54" s="317"/>
    </row>
    <row r="55" spans="1:8" ht="22.5" hidden="1" customHeight="1" x14ac:dyDescent="0.2">
      <c r="A55" s="285" t="s">
        <v>401</v>
      </c>
      <c r="B55" s="321" t="s">
        <v>402</v>
      </c>
      <c r="C55" s="322"/>
      <c r="D55" s="320">
        <f>H55+'[80]13'!D55</f>
        <v>0</v>
      </c>
      <c r="E55" s="322"/>
      <c r="F55" s="320">
        <f>H55+'[80]13'!F55</f>
        <v>0</v>
      </c>
      <c r="G55" s="323"/>
      <c r="H55" s="317"/>
    </row>
    <row r="56" spans="1:8" ht="24.75" customHeight="1" thickBot="1" x14ac:dyDescent="0.25">
      <c r="A56" s="285" t="s">
        <v>403</v>
      </c>
      <c r="B56" s="314" t="s">
        <v>404</v>
      </c>
      <c r="C56" s="283">
        <f>G56+'[80]13'!C56</f>
        <v>24223289</v>
      </c>
      <c r="D56" s="324">
        <f>H56+'[80]13'!D56</f>
        <v>171274831.94999999</v>
      </c>
      <c r="E56" s="283">
        <f>G56+'[80]13'!E56</f>
        <v>20329522</v>
      </c>
      <c r="F56" s="324">
        <f>H56+'[80]13'!F56</f>
        <v>142230832.61000001</v>
      </c>
      <c r="G56" s="325">
        <f>G36+G43+G44+G50</f>
        <v>0</v>
      </c>
      <c r="H56" s="324">
        <f>ROUND(H36+H43+H44+H50,2)</f>
        <v>0</v>
      </c>
    </row>
    <row r="57" spans="1:8" ht="22.5" customHeight="1" thickBot="1" x14ac:dyDescent="0.25">
      <c r="A57" s="285" t="s">
        <v>405</v>
      </c>
      <c r="B57" s="318" t="s">
        <v>406</v>
      </c>
      <c r="C57" s="325"/>
      <c r="D57" s="324">
        <f>H57+'[80]13'!D57</f>
        <v>34254966.409999996</v>
      </c>
      <c r="E57" s="325"/>
      <c r="F57" s="324">
        <f>H57+'[80]13'!F57</f>
        <v>28446166.550000001</v>
      </c>
      <c r="G57" s="325"/>
      <c r="H57" s="324">
        <f>ROUND(H37+H45+H51,2)</f>
        <v>0</v>
      </c>
    </row>
    <row r="58" spans="1:8" ht="22.5" customHeight="1" thickBot="1" x14ac:dyDescent="0.25">
      <c r="A58" s="285" t="s">
        <v>407</v>
      </c>
      <c r="B58" s="321" t="s">
        <v>408</v>
      </c>
      <c r="C58" s="325"/>
      <c r="D58" s="324">
        <f>H58+'[80]13'!D58</f>
        <v>205529798.36000001</v>
      </c>
      <c r="E58" s="325"/>
      <c r="F58" s="324">
        <f>H58+'[80]13'!F58</f>
        <v>170676999.16</v>
      </c>
      <c r="G58" s="325"/>
      <c r="H58" s="324">
        <f>H38+H46+H52</f>
        <v>0</v>
      </c>
    </row>
    <row r="59" spans="1:8" ht="28.5" hidden="1" customHeight="1" x14ac:dyDescent="0.2">
      <c r="A59" s="326" t="s">
        <v>409</v>
      </c>
      <c r="B59" s="327" t="s">
        <v>410</v>
      </c>
      <c r="C59" s="328"/>
      <c r="D59" s="324">
        <f>H59+'[80]13'!D59</f>
        <v>171274831.94999999</v>
      </c>
      <c r="E59" s="328"/>
      <c r="F59" s="324">
        <f>H59+'[80]13'!F59</f>
        <v>142230832.61000001</v>
      </c>
      <c r="G59" s="329"/>
      <c r="H59" s="330">
        <f>H53+H56</f>
        <v>0</v>
      </c>
    </row>
    <row r="60" spans="1:8" ht="22.5" hidden="1" customHeight="1" x14ac:dyDescent="0.2">
      <c r="A60" s="326" t="s">
        <v>411</v>
      </c>
      <c r="B60" s="327" t="s">
        <v>412</v>
      </c>
      <c r="C60" s="328"/>
      <c r="D60" s="331">
        <f>H60+'[80]13'!D60</f>
        <v>34254966.409999996</v>
      </c>
      <c r="E60" s="328"/>
      <c r="F60" s="331">
        <f>H60+'[80]13'!F60</f>
        <v>28446166.550000001</v>
      </c>
      <c r="G60" s="329"/>
      <c r="H60" s="330">
        <f>H54+H57</f>
        <v>0</v>
      </c>
    </row>
    <row r="61" spans="1:8" ht="22.5" hidden="1" customHeight="1" x14ac:dyDescent="0.2">
      <c r="A61" s="332" t="s">
        <v>413</v>
      </c>
      <c r="B61" s="327" t="s">
        <v>414</v>
      </c>
      <c r="C61" s="328"/>
      <c r="D61" s="324">
        <f>H61+'[80]13'!D61</f>
        <v>205529798.36000001</v>
      </c>
      <c r="E61" s="328"/>
      <c r="F61" s="324">
        <f>H61+'[80]13'!F61</f>
        <v>170676999.16</v>
      </c>
      <c r="G61" s="329"/>
      <c r="H61" s="330">
        <f>H55+H58</f>
        <v>0</v>
      </c>
    </row>
    <row r="62" spans="1:8" ht="14.25" customHeight="1" x14ac:dyDescent="0.2">
      <c r="A62" s="333"/>
      <c r="B62" s="334"/>
      <c r="C62" s="335"/>
      <c r="D62" s="336"/>
      <c r="E62" s="337"/>
      <c r="F62" s="336"/>
      <c r="G62" s="338"/>
      <c r="H62" s="339"/>
    </row>
    <row r="63" spans="1:8" x14ac:dyDescent="0.2">
      <c r="A63" s="333"/>
      <c r="B63" s="334"/>
      <c r="C63" s="335"/>
      <c r="D63" s="336"/>
      <c r="E63" s="337"/>
      <c r="F63" s="336"/>
      <c r="G63" s="338"/>
      <c r="H63" s="339"/>
    </row>
    <row r="64" spans="1:8" x14ac:dyDescent="0.2">
      <c r="A64" s="333"/>
      <c r="B64" s="334"/>
      <c r="C64" s="337"/>
      <c r="D64" s="336"/>
      <c r="E64" s="337" t="s">
        <v>415</v>
      </c>
      <c r="F64" s="336"/>
      <c r="G64" s="338"/>
      <c r="H64" s="339"/>
    </row>
    <row r="65" spans="1:8" x14ac:dyDescent="0.2">
      <c r="A65" s="340"/>
      <c r="B65" s="261"/>
      <c r="C65" s="261"/>
      <c r="D65" s="266"/>
      <c r="E65" s="261"/>
      <c r="F65" s="266"/>
      <c r="G65" s="261"/>
      <c r="H65" s="266"/>
    </row>
    <row r="66" spans="1:8" ht="15" x14ac:dyDescent="0.2">
      <c r="A66" s="340"/>
      <c r="B66" s="341" t="s">
        <v>416</v>
      </c>
      <c r="C66" s="340"/>
      <c r="D66" s="340"/>
      <c r="E66" s="342"/>
      <c r="F66" s="340"/>
      <c r="G66" s="342"/>
      <c r="H66" s="340"/>
    </row>
    <row r="67" spans="1:8" x14ac:dyDescent="0.2">
      <c r="A67" s="340"/>
      <c r="B67" s="340"/>
      <c r="C67" s="340"/>
      <c r="D67" s="340"/>
      <c r="E67" s="342"/>
      <c r="F67" s="340"/>
      <c r="G67" s="342"/>
      <c r="H67" s="340"/>
    </row>
    <row r="68" spans="1:8" ht="18" x14ac:dyDescent="0.25">
      <c r="A68" s="343"/>
      <c r="B68" s="344" t="s">
        <v>417</v>
      </c>
      <c r="C68" s="345"/>
      <c r="D68" s="346"/>
      <c r="E68" s="347"/>
      <c r="F68" s="346"/>
      <c r="G68" s="786" t="s">
        <v>418</v>
      </c>
      <c r="H68" s="786"/>
    </row>
    <row r="69" spans="1:8" ht="18" x14ac:dyDescent="0.25">
      <c r="A69" s="340"/>
      <c r="B69" s="344" t="s">
        <v>419</v>
      </c>
      <c r="C69" s="272"/>
      <c r="D69" s="340"/>
      <c r="E69" s="342"/>
      <c r="F69" s="787" t="s">
        <v>420</v>
      </c>
      <c r="G69" s="787"/>
      <c r="H69" s="787"/>
    </row>
    <row r="70" spans="1:8" x14ac:dyDescent="0.2">
      <c r="A70" s="340"/>
      <c r="B70" s="267" t="s">
        <v>421</v>
      </c>
      <c r="C70" s="261"/>
      <c r="D70" s="266"/>
      <c r="E70" s="261"/>
      <c r="F70" s="266"/>
      <c r="G70" s="261"/>
      <c r="H70" s="266"/>
    </row>
    <row r="71" spans="1:8" x14ac:dyDescent="0.2">
      <c r="A71" s="340"/>
      <c r="B71" s="261"/>
      <c r="C71" s="261"/>
      <c r="D71" s="266"/>
      <c r="E71" s="261"/>
      <c r="F71" s="266"/>
      <c r="G71" s="261"/>
      <c r="H71" s="266"/>
    </row>
    <row r="72" spans="1:8" x14ac:dyDescent="0.2">
      <c r="A72" s="334"/>
      <c r="B72" s="261"/>
      <c r="C72" s="261"/>
      <c r="D72" s="266"/>
      <c r="E72" s="261"/>
      <c r="F72" s="266"/>
      <c r="G72" s="261"/>
      <c r="H72" s="266"/>
    </row>
    <row r="73" spans="1:8" x14ac:dyDescent="0.2">
      <c r="A73" s="334"/>
      <c r="B73" s="348"/>
      <c r="C73" s="340"/>
      <c r="D73" s="340"/>
      <c r="E73" s="342"/>
      <c r="F73" s="340"/>
      <c r="G73" s="342"/>
      <c r="H73" s="340"/>
    </row>
    <row r="74" spans="1:8" ht="15" x14ac:dyDescent="0.2">
      <c r="A74" s="334"/>
      <c r="B74" s="349" t="s">
        <v>333</v>
      </c>
      <c r="C74" s="340"/>
      <c r="D74" s="340"/>
      <c r="E74" s="342"/>
      <c r="F74" s="340"/>
      <c r="G74" s="342"/>
      <c r="H74" s="340"/>
    </row>
    <row r="75" spans="1:8" x14ac:dyDescent="0.2">
      <c r="A75" s="334"/>
      <c r="B75" s="334"/>
      <c r="C75" s="337"/>
      <c r="D75" s="336"/>
      <c r="E75" s="337"/>
      <c r="F75" s="336"/>
      <c r="G75" s="342"/>
      <c r="H75" s="340"/>
    </row>
    <row r="76" spans="1:8" ht="18" x14ac:dyDescent="0.25">
      <c r="A76" s="350"/>
      <c r="B76" s="351" t="s">
        <v>422</v>
      </c>
      <c r="C76" s="352"/>
      <c r="D76" s="353"/>
      <c r="E76" s="352"/>
      <c r="F76" s="353"/>
      <c r="G76" s="788" t="s">
        <v>337</v>
      </c>
      <c r="H76" s="788"/>
    </row>
    <row r="77" spans="1:8" ht="18" x14ac:dyDescent="0.25">
      <c r="A77" s="350"/>
      <c r="B77" s="351" t="s">
        <v>423</v>
      </c>
      <c r="C77" s="354"/>
      <c r="D77" s="355"/>
      <c r="E77" s="354"/>
      <c r="F77" s="355"/>
      <c r="G77" s="356"/>
      <c r="H77" s="356"/>
    </row>
    <row r="78" spans="1:8" x14ac:dyDescent="0.2">
      <c r="A78" s="261"/>
      <c r="B78" s="267" t="s">
        <v>421</v>
      </c>
      <c r="C78" s="272"/>
      <c r="D78" s="336"/>
      <c r="E78" s="337"/>
      <c r="F78" s="336"/>
      <c r="G78" s="336"/>
      <c r="H78" s="357"/>
    </row>
  </sheetData>
  <mergeCells count="44">
    <mergeCell ref="D1:H1"/>
    <mergeCell ref="D2:H2"/>
    <mergeCell ref="G3:H3"/>
    <mergeCell ref="G4:H4"/>
    <mergeCell ref="A5:E5"/>
    <mergeCell ref="G5:H5"/>
    <mergeCell ref="G14:H14"/>
    <mergeCell ref="A6:E6"/>
    <mergeCell ref="A7:E7"/>
    <mergeCell ref="G7:H7"/>
    <mergeCell ref="A8:E8"/>
    <mergeCell ref="A9:E9"/>
    <mergeCell ref="G9:H9"/>
    <mergeCell ref="A10:E10"/>
    <mergeCell ref="A11:E11"/>
    <mergeCell ref="G11:H13"/>
    <mergeCell ref="A12:E12"/>
    <mergeCell ref="E13:F13"/>
    <mergeCell ref="G15:H15"/>
    <mergeCell ref="G16:H16"/>
    <mergeCell ref="C18:C19"/>
    <mergeCell ref="D18:D19"/>
    <mergeCell ref="E18:H18"/>
    <mergeCell ref="E19:F19"/>
    <mergeCell ref="G19:H19"/>
    <mergeCell ref="E20:F20"/>
    <mergeCell ref="G20:H20"/>
    <mergeCell ref="A22:H22"/>
    <mergeCell ref="A23:H23"/>
    <mergeCell ref="A24:A29"/>
    <mergeCell ref="B24:B29"/>
    <mergeCell ref="C24:H24"/>
    <mergeCell ref="C25:D26"/>
    <mergeCell ref="E25:F26"/>
    <mergeCell ref="G25:H26"/>
    <mergeCell ref="G68:H68"/>
    <mergeCell ref="F69:H69"/>
    <mergeCell ref="G76:H76"/>
    <mergeCell ref="C27:C29"/>
    <mergeCell ref="D27:D29"/>
    <mergeCell ref="E27:E29"/>
    <mergeCell ref="F27:F29"/>
    <mergeCell ref="G27:G29"/>
    <mergeCell ref="H27:H29"/>
  </mergeCells>
  <pageMargins left="0.7" right="0.7" top="0.75" bottom="0.75" header="0.3" footer="0.3"/>
  <pageSetup paperSize="9" scale="46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AO233"/>
  <sheetViews>
    <sheetView workbookViewId="0"/>
  </sheetViews>
  <sheetFormatPr defaultColWidth="9.33203125" defaultRowHeight="12.75" x14ac:dyDescent="0.2"/>
  <cols>
    <col min="1" max="2" width="6.6640625" style="1" customWidth="1"/>
    <col min="3" max="3" width="15.6640625" style="1" customWidth="1"/>
    <col min="4" max="4" width="47.5" style="1" customWidth="1"/>
    <col min="5" max="7" width="13.6640625" style="1" customWidth="1"/>
    <col min="8" max="8" width="14.83203125" style="1" customWidth="1"/>
    <col min="9" max="9" width="13.1640625" style="1" customWidth="1"/>
    <col min="10" max="11" width="14.83203125" style="1" customWidth="1"/>
    <col min="12" max="12" width="16.83203125" style="1" customWidth="1"/>
    <col min="13" max="13" width="9.33203125" style="1"/>
    <col min="14" max="14" width="16" style="1" customWidth="1"/>
    <col min="15" max="30" width="0" style="1" hidden="1" customWidth="1"/>
    <col min="31" max="31" width="181.6640625" style="1" hidden="1" customWidth="1"/>
    <col min="32" max="32" width="128" style="1" hidden="1" customWidth="1"/>
    <col min="33" max="36" width="0" style="1" hidden="1" customWidth="1"/>
    <col min="37" max="16384" width="9.33203125" style="1"/>
  </cols>
  <sheetData>
    <row r="1" spans="1:12" ht="18" x14ac:dyDescent="0.25">
      <c r="A1" s="11"/>
      <c r="B1" s="11"/>
      <c r="C1" s="11"/>
      <c r="D1" s="11"/>
      <c r="E1" s="855" t="s">
        <v>300</v>
      </c>
      <c r="F1" s="855"/>
      <c r="G1" s="855"/>
      <c r="H1" s="11"/>
      <c r="I1" s="11"/>
      <c r="J1" s="11"/>
      <c r="K1" s="11"/>
      <c r="L1" s="11"/>
    </row>
    <row r="2" spans="1:12" ht="18" x14ac:dyDescent="0.25">
      <c r="A2" s="11"/>
      <c r="B2" s="11"/>
      <c r="C2" s="11"/>
      <c r="D2" s="11"/>
      <c r="E2" s="848" t="s">
        <v>145</v>
      </c>
      <c r="F2" s="848"/>
      <c r="G2" s="848"/>
      <c r="H2" s="11"/>
      <c r="I2" s="11"/>
      <c r="J2" s="11"/>
      <c r="K2" s="11"/>
      <c r="L2" s="11"/>
    </row>
    <row r="3" spans="1:12" ht="18" x14ac:dyDescent="0.25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</row>
    <row r="4" spans="1:12" ht="18" x14ac:dyDescent="0.25">
      <c r="A4" s="11"/>
      <c r="B4" s="11"/>
      <c r="C4" s="11"/>
      <c r="D4" s="44" t="s">
        <v>200</v>
      </c>
      <c r="E4" s="11"/>
      <c r="F4" s="11"/>
      <c r="G4" s="11"/>
      <c r="H4" s="11"/>
      <c r="I4" s="11"/>
      <c r="J4" s="11"/>
      <c r="K4" s="11"/>
      <c r="L4" s="11"/>
    </row>
    <row r="5" spans="1:12" ht="18" x14ac:dyDescent="0.25">
      <c r="A5" s="11"/>
      <c r="B5" s="11"/>
      <c r="C5" s="11"/>
      <c r="D5" s="44" t="s">
        <v>201</v>
      </c>
      <c r="E5" s="11"/>
      <c r="F5" s="11"/>
      <c r="G5" s="11"/>
      <c r="H5" s="11"/>
      <c r="I5" s="11"/>
      <c r="J5" s="11"/>
      <c r="K5" s="11"/>
      <c r="L5" s="11"/>
    </row>
    <row r="6" spans="1:12" ht="30" x14ac:dyDescent="0.25">
      <c r="A6" s="11"/>
      <c r="B6" s="11"/>
      <c r="C6" s="11"/>
      <c r="D6" s="44" t="s">
        <v>202</v>
      </c>
      <c r="E6" s="11"/>
      <c r="F6" s="11"/>
      <c r="G6" s="11"/>
      <c r="H6" s="11"/>
      <c r="I6" s="11"/>
      <c r="J6" s="11"/>
      <c r="K6" s="11"/>
      <c r="L6" s="11"/>
    </row>
    <row r="7" spans="1:12" ht="105" x14ac:dyDescent="0.25">
      <c r="A7" s="11"/>
      <c r="B7" s="11"/>
      <c r="C7" s="11"/>
      <c r="D7" s="44" t="s">
        <v>34</v>
      </c>
      <c r="E7" s="11"/>
      <c r="F7" s="11"/>
      <c r="G7" s="11"/>
      <c r="H7" s="11"/>
      <c r="I7" s="11"/>
      <c r="J7" s="11"/>
      <c r="K7" s="11"/>
      <c r="L7" s="11"/>
    </row>
    <row r="8" spans="1:12" ht="18" x14ac:dyDescent="0.25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</row>
    <row r="9" spans="1:12" ht="14.25" x14ac:dyDescent="0.2">
      <c r="A9" s="849" t="s">
        <v>149</v>
      </c>
      <c r="B9" s="849"/>
      <c r="C9" s="849"/>
      <c r="D9" s="849"/>
      <c r="E9" s="849"/>
      <c r="F9" s="849"/>
      <c r="G9" s="849"/>
      <c r="H9" s="849"/>
      <c r="I9" s="849"/>
      <c r="J9" s="849"/>
      <c r="K9" s="849"/>
      <c r="L9" s="849"/>
    </row>
    <row r="10" spans="1:12" ht="14.25" x14ac:dyDescent="0.2">
      <c r="A10" s="850" t="s">
        <v>67</v>
      </c>
      <c r="B10" s="850"/>
      <c r="C10" s="850" t="s">
        <v>68</v>
      </c>
      <c r="D10" s="850" t="s">
        <v>69</v>
      </c>
      <c r="E10" s="850" t="s">
        <v>70</v>
      </c>
      <c r="F10" s="850" t="s">
        <v>71</v>
      </c>
      <c r="G10" s="850" t="s">
        <v>72</v>
      </c>
      <c r="H10" s="851" t="s">
        <v>73</v>
      </c>
      <c r="I10" s="851" t="s">
        <v>74</v>
      </c>
      <c r="J10" s="850" t="s">
        <v>75</v>
      </c>
      <c r="K10" s="850" t="s">
        <v>76</v>
      </c>
      <c r="L10" s="850" t="s">
        <v>77</v>
      </c>
    </row>
    <row r="11" spans="1:12" x14ac:dyDescent="0.2">
      <c r="A11" s="851" t="s">
        <v>78</v>
      </c>
      <c r="B11" s="851" t="s">
        <v>79</v>
      </c>
      <c r="C11" s="850"/>
      <c r="D11" s="850"/>
      <c r="E11" s="850"/>
      <c r="F11" s="850"/>
      <c r="G11" s="850"/>
      <c r="H11" s="852"/>
      <c r="I11" s="852"/>
      <c r="J11" s="850"/>
      <c r="K11" s="850"/>
      <c r="L11" s="850"/>
    </row>
    <row r="12" spans="1:12" x14ac:dyDescent="0.2">
      <c r="A12" s="852"/>
      <c r="B12" s="852"/>
      <c r="C12" s="850"/>
      <c r="D12" s="850"/>
      <c r="E12" s="850"/>
      <c r="F12" s="850"/>
      <c r="G12" s="850"/>
      <c r="H12" s="852"/>
      <c r="I12" s="852"/>
      <c r="J12" s="850"/>
      <c r="K12" s="850"/>
      <c r="L12" s="850"/>
    </row>
    <row r="13" spans="1:12" ht="20.100000000000001" customHeight="1" x14ac:dyDescent="0.2">
      <c r="A13" s="852"/>
      <c r="B13" s="852"/>
      <c r="C13" s="850"/>
      <c r="D13" s="850"/>
      <c r="E13" s="850"/>
      <c r="F13" s="850"/>
      <c r="G13" s="850"/>
      <c r="H13" s="852"/>
      <c r="I13" s="852"/>
      <c r="J13" s="850"/>
      <c r="K13" s="850"/>
      <c r="L13" s="850"/>
    </row>
    <row r="14" spans="1:12" ht="20.100000000000001" customHeight="1" x14ac:dyDescent="0.2">
      <c r="A14" s="853"/>
      <c r="B14" s="853"/>
      <c r="C14" s="850"/>
      <c r="D14" s="850"/>
      <c r="E14" s="850"/>
      <c r="F14" s="850"/>
      <c r="G14" s="850"/>
      <c r="H14" s="853"/>
      <c r="I14" s="853"/>
      <c r="J14" s="850"/>
      <c r="K14" s="850"/>
      <c r="L14" s="850"/>
    </row>
    <row r="15" spans="1:12" ht="14.25" x14ac:dyDescent="0.2">
      <c r="A15" s="13">
        <v>1</v>
      </c>
      <c r="B15" s="13">
        <v>2</v>
      </c>
      <c r="C15" s="13">
        <v>3</v>
      </c>
      <c r="D15" s="13">
        <v>4</v>
      </c>
      <c r="E15" s="13">
        <v>5</v>
      </c>
      <c r="F15" s="13">
        <v>6</v>
      </c>
      <c r="G15" s="13">
        <v>7</v>
      </c>
      <c r="H15" s="13">
        <v>8</v>
      </c>
      <c r="I15" s="13">
        <v>9</v>
      </c>
      <c r="J15" s="13">
        <v>10</v>
      </c>
      <c r="K15" s="13">
        <v>11</v>
      </c>
      <c r="L15" s="13">
        <v>12</v>
      </c>
    </row>
    <row r="17" spans="1:31" ht="33" x14ac:dyDescent="0.25">
      <c r="A17" s="854" t="str">
        <f>CONCATENATE("Локальная смета: ",IF([90]Source!G20&lt;&gt;"Новая локальная смета", [90]Source!G20, ""))</f>
        <v>Локальная смета: Станционный комплекс "Аминьевское шоссе". Вестибюль №2, камера съездов, ТПП. Внутренние инженерные системы (не включая ТПП). Электрооборудование. Силовое электрооборудование.</v>
      </c>
      <c r="B17" s="854"/>
      <c r="C17" s="854"/>
      <c r="D17" s="854"/>
      <c r="E17" s="854"/>
      <c r="F17" s="854"/>
      <c r="G17" s="854"/>
      <c r="H17" s="854"/>
      <c r="I17" s="854"/>
      <c r="J17" s="854"/>
      <c r="K17" s="854"/>
      <c r="L17" s="854"/>
      <c r="AE17" s="46" t="str">
        <f>CONCATENATE("Локальная смета: ",IF([90]Source!G20&lt;&gt;"Новая локальная смета", [90]Source!G20, ""))</f>
        <v>Локальная смета: Станционный комплекс "Аминьевское шоссе". Вестибюль №2, камера съездов, ТПП. Внутренние инженерные системы (не включая ТПП). Электрооборудование. Силовое электрооборудование.</v>
      </c>
    </row>
    <row r="19" spans="1:31" ht="16.5" x14ac:dyDescent="0.25">
      <c r="A19" s="854" t="str">
        <f>CONCATENATE("Раздел: ",IF([90]Source!G24&lt;&gt;"Новый раздел", [90]Source!G24, ""))</f>
        <v>Раздел: Монтажные работы</v>
      </c>
      <c r="B19" s="854"/>
      <c r="C19" s="854"/>
      <c r="D19" s="854"/>
      <c r="E19" s="854"/>
      <c r="F19" s="854"/>
      <c r="G19" s="854"/>
      <c r="H19" s="854"/>
      <c r="I19" s="854"/>
      <c r="J19" s="854"/>
      <c r="K19" s="854"/>
      <c r="L19" s="854"/>
    </row>
    <row r="21" spans="1:31" ht="16.5" x14ac:dyDescent="0.25">
      <c r="A21" s="854" t="str">
        <f>CONCATENATE("Подраздел: ",IF([90]Source!G28&lt;&gt;"Новый подраздел", [90]Source!G28, ""))</f>
        <v>Подраздел: Низковольтное оборудование.</v>
      </c>
      <c r="B21" s="854"/>
      <c r="C21" s="854"/>
      <c r="D21" s="854"/>
      <c r="E21" s="854"/>
      <c r="F21" s="854"/>
      <c r="G21" s="854"/>
      <c r="H21" s="854"/>
      <c r="I21" s="854"/>
      <c r="J21" s="854"/>
      <c r="K21" s="854"/>
      <c r="L21" s="854"/>
    </row>
    <row r="22" spans="1:31" ht="99.75" x14ac:dyDescent="0.2">
      <c r="A22" s="14">
        <v>1</v>
      </c>
      <c r="B22" s="14" t="str">
        <f>[90]Source!E32</f>
        <v>1</v>
      </c>
      <c r="C22" s="15" t="s">
        <v>203</v>
      </c>
      <c r="D22" s="15" t="s">
        <v>204</v>
      </c>
      <c r="E22" s="16" t="str">
        <f>[90]Source!H32</f>
        <v>1  ШТ.</v>
      </c>
      <c r="F22" s="59">
        <f>[90]Source!I32</f>
        <v>7</v>
      </c>
      <c r="G22" s="17"/>
      <c r="H22" s="18"/>
      <c r="I22" s="4"/>
      <c r="J22" s="19"/>
      <c r="K22" s="4"/>
      <c r="L22" s="19"/>
      <c r="N22" s="1">
        <f>7*0.7</f>
        <v>4.9000000000000004</v>
      </c>
      <c r="Q22" s="1">
        <f>[90]Source!X32</f>
        <v>550.66</v>
      </c>
      <c r="R22" s="1">
        <f>[90]Source!X33</f>
        <v>10721.63</v>
      </c>
      <c r="S22" s="1">
        <f>[90]Source!Y32</f>
        <v>344.16</v>
      </c>
      <c r="T22" s="1">
        <f>[90]Source!Y33</f>
        <v>5122.5600000000004</v>
      </c>
      <c r="U22" s="1">
        <f>ROUND((175/100)*ROUND([90]Source!R32, 2), 2)</f>
        <v>166.22</v>
      </c>
      <c r="V22" s="1">
        <f>ROUND((157/100)*ROUND([90]Source!R33, 2), 2)</f>
        <v>3613.15</v>
      </c>
    </row>
    <row r="23" spans="1:31" ht="14.25" x14ac:dyDescent="0.2">
      <c r="A23" s="14"/>
      <c r="B23" s="14"/>
      <c r="C23" s="15"/>
      <c r="D23" s="15" t="s">
        <v>84</v>
      </c>
      <c r="E23" s="16"/>
      <c r="F23" s="4"/>
      <c r="G23" s="17">
        <f>[90]Source!AO32</f>
        <v>40.17</v>
      </c>
      <c r="H23" s="18" t="str">
        <f>[90]Source!DG32</f>
        <v>)*1,67</v>
      </c>
      <c r="I23" s="4">
        <f>[90]Source!AV33</f>
        <v>1.0469999999999999</v>
      </c>
      <c r="J23" s="19">
        <f>[90]Source!S32</f>
        <v>491.66</v>
      </c>
      <c r="K23" s="4">
        <f>IF([90]Source!BA33&lt;&gt; 0, [90]Source!BA33, 1)</f>
        <v>24.23</v>
      </c>
      <c r="L23" s="19">
        <f>[90]Source!S33</f>
        <v>11912.92</v>
      </c>
    </row>
    <row r="24" spans="1:31" ht="14.25" x14ac:dyDescent="0.2">
      <c r="A24" s="14"/>
      <c r="B24" s="14"/>
      <c r="C24" s="15"/>
      <c r="D24" s="15" t="s">
        <v>85</v>
      </c>
      <c r="E24" s="16"/>
      <c r="F24" s="4"/>
      <c r="G24" s="17">
        <f>[90]Source!AM32</f>
        <v>64.98</v>
      </c>
      <c r="H24" s="18">
        <f>[90]Source!DE32</f>
        <v>0</v>
      </c>
      <c r="I24" s="4">
        <f>[90]Source!AV33</f>
        <v>1.0469999999999999</v>
      </c>
      <c r="J24" s="19">
        <f>[90]Source!Q32-J33</f>
        <v>476.24</v>
      </c>
      <c r="K24" s="4">
        <f>IF([90]Source!BB33&lt;&gt; 0, [90]Source!BB33, 1)</f>
        <v>7.79</v>
      </c>
      <c r="L24" s="19">
        <f>[90]Source!Q33-L33</f>
        <v>3709.79</v>
      </c>
    </row>
    <row r="25" spans="1:31" ht="14.25" x14ac:dyDescent="0.2">
      <c r="A25" s="14"/>
      <c r="B25" s="14"/>
      <c r="C25" s="15"/>
      <c r="D25" s="15" t="s">
        <v>86</v>
      </c>
      <c r="E25" s="16"/>
      <c r="F25" s="4"/>
      <c r="G25" s="17">
        <f>[90]Source!AN32</f>
        <v>7.76</v>
      </c>
      <c r="H25" s="18">
        <f>[90]Source!DE32</f>
        <v>0</v>
      </c>
      <c r="I25" s="4">
        <f>[90]Source!AV33</f>
        <v>1.0469999999999999</v>
      </c>
      <c r="J25" s="20">
        <f>[90]Source!R32-J34</f>
        <v>56.88</v>
      </c>
      <c r="K25" s="4">
        <f>IF([90]Source!BS33&lt;&gt; 0, [90]Source!BS33, 1)</f>
        <v>24.23</v>
      </c>
      <c r="L25" s="20">
        <f>[90]Source!R33-L34</f>
        <v>1378.09</v>
      </c>
    </row>
    <row r="26" spans="1:31" ht="14.25" x14ac:dyDescent="0.2">
      <c r="A26" s="14"/>
      <c r="B26" s="14"/>
      <c r="C26" s="15"/>
      <c r="D26" s="15" t="s">
        <v>87</v>
      </c>
      <c r="E26" s="16"/>
      <c r="F26" s="4"/>
      <c r="G26" s="17">
        <f>[90]Source!AL32</f>
        <v>129.5</v>
      </c>
      <c r="H26" s="18">
        <f>[90]Source!DD32</f>
        <v>0</v>
      </c>
      <c r="I26" s="4">
        <f>[90]Source!AW33</f>
        <v>1</v>
      </c>
      <c r="J26" s="19">
        <f>[90]Source!P32</f>
        <v>906.5</v>
      </c>
      <c r="K26" s="4">
        <f>IF([90]Source!BC33&lt;&gt; 0, [90]Source!BC33, 1)</f>
        <v>5.58</v>
      </c>
      <c r="L26" s="19">
        <f>[90]Source!P33</f>
        <v>5058.2700000000004</v>
      </c>
    </row>
    <row r="27" spans="1:31" ht="14.25" x14ac:dyDescent="0.2">
      <c r="A27" s="14"/>
      <c r="B27" s="14"/>
      <c r="C27" s="15"/>
      <c r="D27" s="15" t="s">
        <v>88</v>
      </c>
      <c r="E27" s="16" t="s">
        <v>89</v>
      </c>
      <c r="F27" s="4">
        <f>[90]Source!DN33</f>
        <v>112</v>
      </c>
      <c r="G27" s="17"/>
      <c r="H27" s="18"/>
      <c r="I27" s="4"/>
      <c r="J27" s="19">
        <f>SUM(Q22:Q26)</f>
        <v>550.66</v>
      </c>
      <c r="K27" s="4">
        <f>[90]Source!BZ33</f>
        <v>90</v>
      </c>
      <c r="L27" s="19">
        <f>SUM(R22:R26)</f>
        <v>10721.63</v>
      </c>
    </row>
    <row r="28" spans="1:31" ht="14.25" x14ac:dyDescent="0.2">
      <c r="A28" s="14"/>
      <c r="B28" s="14"/>
      <c r="C28" s="15"/>
      <c r="D28" s="15" t="s">
        <v>90</v>
      </c>
      <c r="E28" s="16" t="s">
        <v>89</v>
      </c>
      <c r="F28" s="4">
        <f>[90]Source!DO33</f>
        <v>70</v>
      </c>
      <c r="G28" s="17"/>
      <c r="H28" s="18"/>
      <c r="I28" s="4"/>
      <c r="J28" s="19">
        <f>SUM(S22:S27)</f>
        <v>344.16</v>
      </c>
      <c r="K28" s="4">
        <f>[90]Source!CA33</f>
        <v>43</v>
      </c>
      <c r="L28" s="19">
        <f>SUM(T22:T27)</f>
        <v>5122.5600000000004</v>
      </c>
    </row>
    <row r="29" spans="1:31" ht="14.25" x14ac:dyDescent="0.2">
      <c r="A29" s="14"/>
      <c r="B29" s="14"/>
      <c r="C29" s="15"/>
      <c r="D29" s="15" t="s">
        <v>91</v>
      </c>
      <c r="E29" s="16" t="s">
        <v>89</v>
      </c>
      <c r="F29" s="4">
        <f>175</f>
        <v>175</v>
      </c>
      <c r="G29" s="17"/>
      <c r="H29" s="18"/>
      <c r="I29" s="4"/>
      <c r="J29" s="19">
        <f>SUM(U22:U28)-J35</f>
        <v>99.54</v>
      </c>
      <c r="K29" s="4">
        <f>157</f>
        <v>157</v>
      </c>
      <c r="L29" s="19">
        <f>SUM(V22:V28)-L35</f>
        <v>2163.6</v>
      </c>
    </row>
    <row r="30" spans="1:31" ht="14.25" x14ac:dyDescent="0.2">
      <c r="A30" s="14"/>
      <c r="B30" s="14"/>
      <c r="C30" s="15"/>
      <c r="D30" s="15" t="s">
        <v>92</v>
      </c>
      <c r="E30" s="16" t="s">
        <v>93</v>
      </c>
      <c r="F30" s="4">
        <f>[90]Source!AQ32</f>
        <v>3.09</v>
      </c>
      <c r="G30" s="17"/>
      <c r="H30" s="18">
        <f>[90]Source!DI32</f>
        <v>0</v>
      </c>
      <c r="I30" s="4">
        <f>[90]Source!AV33</f>
        <v>1.0469999999999999</v>
      </c>
      <c r="J30" s="19">
        <f>[90]Source!U32</f>
        <v>22.65</v>
      </c>
      <c r="K30" s="4"/>
      <c r="L30" s="19"/>
    </row>
    <row r="31" spans="1:31" ht="15" x14ac:dyDescent="0.25">
      <c r="I31" s="847">
        <f>J23+J24+J26+J27+J28+J29</f>
        <v>2868.76</v>
      </c>
      <c r="J31" s="847"/>
      <c r="K31" s="847">
        <f>L23+L24+L26+L27+L28+L29</f>
        <v>38688.769999999997</v>
      </c>
      <c r="L31" s="847"/>
      <c r="O31" s="21">
        <f>J23+J24+J26+J27+J28+J29</f>
        <v>2868.76</v>
      </c>
      <c r="P31" s="21">
        <f>L23+L24+L26+L27+L28+L29</f>
        <v>38688.769999999997</v>
      </c>
    </row>
    <row r="32" spans="1:31" ht="28.5" x14ac:dyDescent="0.2">
      <c r="A32" s="22"/>
      <c r="B32" s="22"/>
      <c r="C32" s="23"/>
      <c r="D32" s="23" t="s">
        <v>94</v>
      </c>
      <c r="E32" s="16"/>
      <c r="F32" s="24"/>
      <c r="G32" s="25"/>
      <c r="H32" s="16"/>
      <c r="I32" s="24"/>
      <c r="J32" s="20"/>
      <c r="K32" s="24"/>
      <c r="L32" s="20"/>
    </row>
    <row r="33" spans="1:22" ht="14.25" x14ac:dyDescent="0.2">
      <c r="A33" s="22"/>
      <c r="B33" s="22"/>
      <c r="C33" s="23"/>
      <c r="D33" s="23" t="s">
        <v>85</v>
      </c>
      <c r="E33" s="16"/>
      <c r="F33" s="24"/>
      <c r="G33" s="25">
        <f t="shared" ref="G33:L33" si="0">G34</f>
        <v>7.76</v>
      </c>
      <c r="H33" s="26" t="str">
        <f t="shared" si="0"/>
        <v>)*(1.67-1)</v>
      </c>
      <c r="I33" s="24">
        <f t="shared" si="0"/>
        <v>1.0469999999999999</v>
      </c>
      <c r="J33" s="20">
        <f t="shared" si="0"/>
        <v>38.1</v>
      </c>
      <c r="K33" s="24">
        <f t="shared" si="0"/>
        <v>24.23</v>
      </c>
      <c r="L33" s="20">
        <f t="shared" si="0"/>
        <v>923.28</v>
      </c>
    </row>
    <row r="34" spans="1:22" ht="14.25" x14ac:dyDescent="0.2">
      <c r="A34" s="22"/>
      <c r="B34" s="22"/>
      <c r="C34" s="23"/>
      <c r="D34" s="23" t="s">
        <v>86</v>
      </c>
      <c r="E34" s="16"/>
      <c r="F34" s="24"/>
      <c r="G34" s="25">
        <f>[90]Source!AN32</f>
        <v>7.76</v>
      </c>
      <c r="H34" s="26" t="s">
        <v>95</v>
      </c>
      <c r="I34" s="24">
        <f>[90]Source!AV33</f>
        <v>1.0469999999999999</v>
      </c>
      <c r="J34" s="20">
        <f>ROUND(F22*G34*I34*(1.67-1), 2)</f>
        <v>38.1</v>
      </c>
      <c r="K34" s="24">
        <f>IF([90]Source!BS33&lt;&gt; 0, [90]Source!BS33, 1)</f>
        <v>24.23</v>
      </c>
      <c r="L34" s="20">
        <f>ROUND(F22*G34*I34*(1.67-1)*K34, 2)</f>
        <v>923.28</v>
      </c>
    </row>
    <row r="35" spans="1:22" ht="14.25" x14ac:dyDescent="0.2">
      <c r="A35" s="22"/>
      <c r="B35" s="22"/>
      <c r="C35" s="23"/>
      <c r="D35" s="23" t="s">
        <v>91</v>
      </c>
      <c r="E35" s="16" t="s">
        <v>89</v>
      </c>
      <c r="F35" s="24">
        <f>175</f>
        <v>175</v>
      </c>
      <c r="G35" s="25"/>
      <c r="H35" s="16"/>
      <c r="I35" s="24"/>
      <c r="J35" s="20">
        <f>ROUND(J34*(F35/100), 2)</f>
        <v>66.680000000000007</v>
      </c>
      <c r="K35" s="24">
        <f>157</f>
        <v>157</v>
      </c>
      <c r="L35" s="20">
        <f>ROUND(L34*(K35/100), 2)</f>
        <v>1449.55</v>
      </c>
    </row>
    <row r="36" spans="1:22" ht="15" x14ac:dyDescent="0.25">
      <c r="I36" s="847">
        <f>J35+J34</f>
        <v>104.78</v>
      </c>
      <c r="J36" s="847"/>
      <c r="K36" s="847">
        <f>L35+L34</f>
        <v>2372.83</v>
      </c>
      <c r="L36" s="847"/>
      <c r="O36" s="21">
        <f>I36</f>
        <v>104.78</v>
      </c>
      <c r="P36" s="21">
        <f>K36</f>
        <v>2372.83</v>
      </c>
    </row>
    <row r="38" spans="1:22" ht="15" x14ac:dyDescent="0.25">
      <c r="A38" s="27"/>
      <c r="B38" s="27"/>
      <c r="C38" s="28"/>
      <c r="D38" s="28" t="s">
        <v>96</v>
      </c>
      <c r="E38" s="29"/>
      <c r="F38" s="30"/>
      <c r="G38" s="31"/>
      <c r="H38" s="32"/>
      <c r="I38" s="847">
        <f>I31+I36</f>
        <v>2973.54</v>
      </c>
      <c r="J38" s="847"/>
      <c r="K38" s="847">
        <f>K31+K36</f>
        <v>41061.599999999999</v>
      </c>
      <c r="L38" s="847"/>
    </row>
    <row r="40" spans="1:22" ht="15" x14ac:dyDescent="0.25">
      <c r="A40" s="879" t="str">
        <f>CONCATENATE("Итого по подразделу: ",IF([90]Source!G35&lt;&gt;"Новый подраздел", [90]Source!G35, ""))</f>
        <v>Итого по подразделу: Низковольтное оборудование.</v>
      </c>
      <c r="B40" s="879"/>
      <c r="C40" s="879"/>
      <c r="D40" s="879"/>
      <c r="E40" s="879"/>
      <c r="F40" s="879"/>
      <c r="G40" s="879"/>
      <c r="H40" s="879"/>
      <c r="I40" s="880">
        <f>SUM(O21:O39)</f>
        <v>2973.54</v>
      </c>
      <c r="J40" s="881"/>
      <c r="K40" s="880">
        <f>SUM(P21:P39)</f>
        <v>41061.599999999999</v>
      </c>
      <c r="L40" s="881"/>
    </row>
    <row r="41" spans="1:22" hidden="1" x14ac:dyDescent="0.2">
      <c r="A41" s="1" t="s">
        <v>139</v>
      </c>
      <c r="J41" s="1">
        <f>SUM(W21:W40)</f>
        <v>0</v>
      </c>
      <c r="K41" s="1">
        <f>SUM(X21:X40)</f>
        <v>0</v>
      </c>
    </row>
    <row r="42" spans="1:22" hidden="1" x14ac:dyDescent="0.2">
      <c r="A42" s="1" t="s">
        <v>140</v>
      </c>
      <c r="J42" s="1">
        <f>SUM(Y21:Y41)</f>
        <v>0</v>
      </c>
      <c r="K42" s="1">
        <f>SUM(Z21:Z41)</f>
        <v>0</v>
      </c>
    </row>
    <row r="44" spans="1:22" ht="16.5" x14ac:dyDescent="0.25">
      <c r="A44" s="854" t="str">
        <f>CONCATENATE("Подраздел: ",IF([90]Source!G114&lt;&gt;"Новый подраздел", [90]Source!G114, ""))</f>
        <v>Подраздел: Кабель и провода</v>
      </c>
      <c r="B44" s="854"/>
      <c r="C44" s="854"/>
      <c r="D44" s="854"/>
      <c r="E44" s="854"/>
      <c r="F44" s="854"/>
      <c r="G44" s="854"/>
      <c r="H44" s="854"/>
      <c r="I44" s="854"/>
      <c r="J44" s="854"/>
      <c r="K44" s="854"/>
      <c r="L44" s="854"/>
    </row>
    <row r="45" spans="1:22" ht="57" x14ac:dyDescent="0.2">
      <c r="A45" s="14">
        <v>2</v>
      </c>
      <c r="B45" s="14" t="str">
        <f>[90]Source!E118</f>
        <v>9</v>
      </c>
      <c r="C45" s="15" t="s">
        <v>178</v>
      </c>
      <c r="D45" s="15" t="s">
        <v>179</v>
      </c>
      <c r="E45" s="16" t="str">
        <f>[90]Source!H118</f>
        <v>100 М КАБЕЛЯ</v>
      </c>
      <c r="F45" s="4">
        <f>[90]Source!I118</f>
        <v>5.8310000000000004</v>
      </c>
      <c r="G45" s="17"/>
      <c r="H45" s="18"/>
      <c r="I45" s="4"/>
      <c r="J45" s="19"/>
      <c r="K45" s="4"/>
      <c r="L45" s="19"/>
      <c r="N45" s="1">
        <f>5.831*0.7</f>
        <v>4.0816999999999997</v>
      </c>
      <c r="Q45" s="1">
        <f>[90]Source!X118</f>
        <v>2181.0100000000002</v>
      </c>
      <c r="R45" s="1">
        <f>[90]Source!X119</f>
        <v>42465.43</v>
      </c>
      <c r="S45" s="1">
        <f>[90]Source!Y118</f>
        <v>1363.13</v>
      </c>
      <c r="T45" s="1">
        <f>[90]Source!Y119</f>
        <v>20289.04</v>
      </c>
      <c r="U45" s="1">
        <f>ROUND((175/100)*ROUND([90]Source!R118, 2), 2)</f>
        <v>1201.52</v>
      </c>
      <c r="V45" s="1">
        <f>ROUND((157/100)*ROUND([90]Source!R119, 2), 2)</f>
        <v>26118.25</v>
      </c>
    </row>
    <row r="46" spans="1:22" ht="14.25" x14ac:dyDescent="0.2">
      <c r="A46" s="14"/>
      <c r="B46" s="14"/>
      <c r="C46" s="15"/>
      <c r="D46" s="15" t="s">
        <v>84</v>
      </c>
      <c r="E46" s="16"/>
      <c r="F46" s="4"/>
      <c r="G46" s="17">
        <f>[90]Source!AO118</f>
        <v>187.42</v>
      </c>
      <c r="H46" s="18" t="str">
        <f>[90]Source!DG118</f>
        <v>)*1,67</v>
      </c>
      <c r="I46" s="4">
        <f>[90]Source!AV119</f>
        <v>1.0669999999999999</v>
      </c>
      <c r="J46" s="19">
        <f>[90]Source!S118</f>
        <v>1947.33</v>
      </c>
      <c r="K46" s="4">
        <f>IF([90]Source!BA119&lt;&gt; 0, [90]Source!BA119, 1)</f>
        <v>24.23</v>
      </c>
      <c r="L46" s="19">
        <f>[90]Source!S119</f>
        <v>47183.81</v>
      </c>
    </row>
    <row r="47" spans="1:22" ht="14.25" x14ac:dyDescent="0.2">
      <c r="A47" s="14"/>
      <c r="B47" s="14"/>
      <c r="C47" s="15"/>
      <c r="D47" s="15" t="s">
        <v>85</v>
      </c>
      <c r="E47" s="16"/>
      <c r="F47" s="4"/>
      <c r="G47" s="17">
        <f>[90]Source!AM118</f>
        <v>418.64</v>
      </c>
      <c r="H47" s="18">
        <f>[90]Source!DE118</f>
        <v>0</v>
      </c>
      <c r="I47" s="4">
        <f>[90]Source!AV119</f>
        <v>1.0669999999999999</v>
      </c>
      <c r="J47" s="19">
        <f>[90]Source!Q118-J56</f>
        <v>2604.64</v>
      </c>
      <c r="K47" s="4">
        <f>IF([90]Source!BB119&lt;&gt; 0, [90]Source!BB119, 1)</f>
        <v>8.51</v>
      </c>
      <c r="L47" s="19">
        <f>[90]Source!Q119-L56</f>
        <v>22165.59</v>
      </c>
    </row>
    <row r="48" spans="1:22" ht="14.25" x14ac:dyDescent="0.2">
      <c r="A48" s="14"/>
      <c r="B48" s="14"/>
      <c r="C48" s="15"/>
      <c r="D48" s="15" t="s">
        <v>86</v>
      </c>
      <c r="E48" s="16"/>
      <c r="F48" s="4"/>
      <c r="G48" s="17">
        <f>[90]Source!AN118</f>
        <v>66.08</v>
      </c>
      <c r="H48" s="18">
        <f>[90]Source!DE118</f>
        <v>0</v>
      </c>
      <c r="I48" s="4">
        <f>[90]Source!AV119</f>
        <v>1.0669999999999999</v>
      </c>
      <c r="J48" s="20">
        <f>[90]Source!R118-J57</f>
        <v>411.12</v>
      </c>
      <c r="K48" s="4">
        <f>IF([90]Source!BS119&lt;&gt; 0, [90]Source!BS119, 1)</f>
        <v>24.23</v>
      </c>
      <c r="L48" s="20">
        <f>[90]Source!R119-L57</f>
        <v>9961.5300000000007</v>
      </c>
    </row>
    <row r="49" spans="1:22" ht="14.25" x14ac:dyDescent="0.2">
      <c r="A49" s="14"/>
      <c r="B49" s="14"/>
      <c r="C49" s="15"/>
      <c r="D49" s="15" t="s">
        <v>87</v>
      </c>
      <c r="E49" s="16"/>
      <c r="F49" s="4"/>
      <c r="G49" s="17">
        <f>[90]Source!AL118</f>
        <v>37.659999999999997</v>
      </c>
      <c r="H49" s="18">
        <f>[90]Source!DD118</f>
        <v>0</v>
      </c>
      <c r="I49" s="4">
        <f>[90]Source!AW119</f>
        <v>1.081</v>
      </c>
      <c r="J49" s="19">
        <f>[90]Source!P118</f>
        <v>237.38</v>
      </c>
      <c r="K49" s="4">
        <f>IF([90]Source!BC119&lt;&gt; 0, [90]Source!BC119, 1)</f>
        <v>5.58</v>
      </c>
      <c r="L49" s="19">
        <f>[90]Source!P119</f>
        <v>1324.58</v>
      </c>
    </row>
    <row r="50" spans="1:22" ht="14.25" x14ac:dyDescent="0.2">
      <c r="A50" s="14"/>
      <c r="B50" s="14"/>
      <c r="C50" s="15"/>
      <c r="D50" s="15" t="s">
        <v>88</v>
      </c>
      <c r="E50" s="16" t="s">
        <v>89</v>
      </c>
      <c r="F50" s="4">
        <f>[90]Source!DN119</f>
        <v>112</v>
      </c>
      <c r="G50" s="17"/>
      <c r="H50" s="18"/>
      <c r="I50" s="4"/>
      <c r="J50" s="19">
        <f>SUM(Q45:Q49)</f>
        <v>2181.0100000000002</v>
      </c>
      <c r="K50" s="4">
        <f>[90]Source!BZ119</f>
        <v>90</v>
      </c>
      <c r="L50" s="19">
        <f>SUM(R45:R49)</f>
        <v>42465.43</v>
      </c>
    </row>
    <row r="51" spans="1:22" ht="14.25" x14ac:dyDescent="0.2">
      <c r="A51" s="14"/>
      <c r="B51" s="14"/>
      <c r="C51" s="15"/>
      <c r="D51" s="15" t="s">
        <v>90</v>
      </c>
      <c r="E51" s="16" t="s">
        <v>89</v>
      </c>
      <c r="F51" s="4">
        <f>[90]Source!DO119</f>
        <v>70</v>
      </c>
      <c r="G51" s="17"/>
      <c r="H51" s="18"/>
      <c r="I51" s="4"/>
      <c r="J51" s="19">
        <f>SUM(S45:S50)</f>
        <v>1363.13</v>
      </c>
      <c r="K51" s="4">
        <f>[90]Source!CA119</f>
        <v>43</v>
      </c>
      <c r="L51" s="19">
        <f>SUM(T45:T50)</f>
        <v>20289.04</v>
      </c>
    </row>
    <row r="52" spans="1:22" ht="14.25" x14ac:dyDescent="0.2">
      <c r="A52" s="14"/>
      <c r="B52" s="14"/>
      <c r="C52" s="15"/>
      <c r="D52" s="15" t="s">
        <v>91</v>
      </c>
      <c r="E52" s="16" t="s">
        <v>89</v>
      </c>
      <c r="F52" s="4">
        <f>175</f>
        <v>175</v>
      </c>
      <c r="G52" s="17"/>
      <c r="H52" s="18"/>
      <c r="I52" s="4"/>
      <c r="J52" s="19">
        <f>SUM(U45:U51)-J58</f>
        <v>719.46</v>
      </c>
      <c r="K52" s="4">
        <f>157</f>
        <v>157</v>
      </c>
      <c r="L52" s="19">
        <f>SUM(V45:V51)-L58</f>
        <v>15639.6</v>
      </c>
    </row>
    <row r="53" spans="1:22" ht="14.25" x14ac:dyDescent="0.2">
      <c r="A53" s="14"/>
      <c r="B53" s="14"/>
      <c r="C53" s="15"/>
      <c r="D53" s="15" t="s">
        <v>92</v>
      </c>
      <c r="E53" s="16" t="s">
        <v>93</v>
      </c>
      <c r="F53" s="4">
        <f>[90]Source!AQ118</f>
        <v>15.2</v>
      </c>
      <c r="G53" s="17"/>
      <c r="H53" s="18">
        <f>[90]Source!DI118</f>
        <v>0</v>
      </c>
      <c r="I53" s="4">
        <f>[90]Source!AV119</f>
        <v>1.0669999999999999</v>
      </c>
      <c r="J53" s="19">
        <f>[90]Source!U118</f>
        <v>94.57</v>
      </c>
      <c r="K53" s="4"/>
      <c r="L53" s="19"/>
    </row>
    <row r="54" spans="1:22" ht="15" x14ac:dyDescent="0.25">
      <c r="I54" s="847">
        <f>J46+J47+J49+J50+J51+J52</f>
        <v>9052.9500000000007</v>
      </c>
      <c r="J54" s="847"/>
      <c r="K54" s="847">
        <f>L46+L47+L49+L50+L51+L52</f>
        <v>149068.04999999999</v>
      </c>
      <c r="L54" s="847"/>
      <c r="O54" s="21">
        <f>J46+J47+J49+J50+J51+J52</f>
        <v>9052.9500000000007</v>
      </c>
      <c r="P54" s="21">
        <f>L46+L47+L49+L50+L51+L52</f>
        <v>149068.04999999999</v>
      </c>
    </row>
    <row r="55" spans="1:22" ht="28.5" x14ac:dyDescent="0.2">
      <c r="A55" s="22"/>
      <c r="B55" s="22"/>
      <c r="C55" s="23"/>
      <c r="D55" s="23" t="s">
        <v>94</v>
      </c>
      <c r="E55" s="16"/>
      <c r="F55" s="24"/>
      <c r="G55" s="25"/>
      <c r="H55" s="16"/>
      <c r="I55" s="24"/>
      <c r="J55" s="20"/>
      <c r="K55" s="24"/>
      <c r="L55" s="20"/>
    </row>
    <row r="56" spans="1:22" ht="14.25" x14ac:dyDescent="0.2">
      <c r="A56" s="22"/>
      <c r="B56" s="22"/>
      <c r="C56" s="23"/>
      <c r="D56" s="23" t="s">
        <v>85</v>
      </c>
      <c r="E56" s="16"/>
      <c r="F56" s="24"/>
      <c r="G56" s="25">
        <f t="shared" ref="G56:L56" si="1">G57</f>
        <v>66.08</v>
      </c>
      <c r="H56" s="26" t="str">
        <f t="shared" si="1"/>
        <v>)*(1.67-1)</v>
      </c>
      <c r="I56" s="24">
        <f t="shared" si="1"/>
        <v>1.0669999999999999</v>
      </c>
      <c r="J56" s="20">
        <f t="shared" si="1"/>
        <v>275.45999999999998</v>
      </c>
      <c r="K56" s="24">
        <f t="shared" si="1"/>
        <v>24.23</v>
      </c>
      <c r="L56" s="20">
        <f t="shared" si="1"/>
        <v>6674.3</v>
      </c>
    </row>
    <row r="57" spans="1:22" ht="14.25" x14ac:dyDescent="0.2">
      <c r="A57" s="22"/>
      <c r="B57" s="22"/>
      <c r="C57" s="23"/>
      <c r="D57" s="23" t="s">
        <v>86</v>
      </c>
      <c r="E57" s="16"/>
      <c r="F57" s="24"/>
      <c r="G57" s="25">
        <f>[90]Source!AN118</f>
        <v>66.08</v>
      </c>
      <c r="H57" s="26" t="s">
        <v>95</v>
      </c>
      <c r="I57" s="24">
        <f>[90]Source!AV119</f>
        <v>1.0669999999999999</v>
      </c>
      <c r="J57" s="20">
        <f>ROUND(F45*G57*I57*(1.67-1), 2)</f>
        <v>275.45999999999998</v>
      </c>
      <c r="K57" s="24">
        <f>IF([90]Source!BS119&lt;&gt; 0, [90]Source!BS119, 1)</f>
        <v>24.23</v>
      </c>
      <c r="L57" s="20">
        <f>ROUND(F45*G57*I57*(1.67-1)*K57, 2)</f>
        <v>6674.3</v>
      </c>
    </row>
    <row r="58" spans="1:22" ht="14.25" x14ac:dyDescent="0.2">
      <c r="A58" s="22"/>
      <c r="B58" s="22"/>
      <c r="C58" s="23"/>
      <c r="D58" s="23" t="s">
        <v>91</v>
      </c>
      <c r="E58" s="16" t="s">
        <v>89</v>
      </c>
      <c r="F58" s="24">
        <f>175</f>
        <v>175</v>
      </c>
      <c r="G58" s="25"/>
      <c r="H58" s="16"/>
      <c r="I58" s="24"/>
      <c r="J58" s="20">
        <f>ROUND(J57*(F58/100), 2)</f>
        <v>482.06</v>
      </c>
      <c r="K58" s="24">
        <f>157</f>
        <v>157</v>
      </c>
      <c r="L58" s="20">
        <f>ROUND(L57*(K58/100), 2)</f>
        <v>10478.65</v>
      </c>
    </row>
    <row r="59" spans="1:22" ht="15" x14ac:dyDescent="0.25">
      <c r="I59" s="847">
        <f>J58+J57</f>
        <v>757.52</v>
      </c>
      <c r="J59" s="847"/>
      <c r="K59" s="847">
        <f>L58+L57</f>
        <v>17152.95</v>
      </c>
      <c r="L59" s="847"/>
      <c r="O59" s="21">
        <f>I59</f>
        <v>757.52</v>
      </c>
      <c r="P59" s="21">
        <f>K59</f>
        <v>17152.95</v>
      </c>
    </row>
    <row r="61" spans="1:22" ht="15" x14ac:dyDescent="0.25">
      <c r="A61" s="27"/>
      <c r="B61" s="27"/>
      <c r="C61" s="28"/>
      <c r="D61" s="28" t="s">
        <v>96</v>
      </c>
      <c r="E61" s="29"/>
      <c r="F61" s="30"/>
      <c r="G61" s="31"/>
      <c r="H61" s="32"/>
      <c r="I61" s="847">
        <f>I54+I59</f>
        <v>9810.4699999999993</v>
      </c>
      <c r="J61" s="847"/>
      <c r="K61" s="847">
        <f>K54+K59</f>
        <v>166221</v>
      </c>
      <c r="L61" s="847"/>
    </row>
    <row r="62" spans="1:22" ht="57" x14ac:dyDescent="0.2">
      <c r="A62" s="14">
        <v>3</v>
      </c>
      <c r="B62" s="14" t="str">
        <f>[90]Source!E120</f>
        <v>10</v>
      </c>
      <c r="C62" s="15" t="s">
        <v>205</v>
      </c>
      <c r="D62" s="15" t="s">
        <v>206</v>
      </c>
      <c r="E62" s="16" t="str">
        <f>[90]Source!H120</f>
        <v>100 М КАБЕЛЯ</v>
      </c>
      <c r="F62" s="4">
        <f>[90]Source!I120</f>
        <v>0.53900000000000003</v>
      </c>
      <c r="G62" s="17"/>
      <c r="H62" s="18"/>
      <c r="I62" s="4"/>
      <c r="J62" s="19"/>
      <c r="K62" s="4"/>
      <c r="L62" s="19"/>
      <c r="N62" s="1">
        <f>0.539*0.7</f>
        <v>0.37730000000000002</v>
      </c>
      <c r="Q62" s="1">
        <f>[90]Source!X120</f>
        <v>246.7</v>
      </c>
      <c r="R62" s="1">
        <f>[90]Source!X121</f>
        <v>4803.43</v>
      </c>
      <c r="S62" s="1">
        <f>[90]Source!Y120</f>
        <v>154.19</v>
      </c>
      <c r="T62" s="1">
        <f>[90]Source!Y121</f>
        <v>2294.9699999999998</v>
      </c>
      <c r="U62" s="1">
        <f>ROUND((175/100)*ROUND([90]Source!R120, 2), 2)</f>
        <v>138.47999999999999</v>
      </c>
      <c r="V62" s="1">
        <f>ROUND((157/100)*ROUND([90]Source!R121, 2), 2)</f>
        <v>3010.19</v>
      </c>
    </row>
    <row r="63" spans="1:22" ht="14.25" x14ac:dyDescent="0.2">
      <c r="A63" s="14"/>
      <c r="B63" s="14"/>
      <c r="C63" s="15"/>
      <c r="D63" s="15" t="s">
        <v>84</v>
      </c>
      <c r="E63" s="16"/>
      <c r="F63" s="4"/>
      <c r="G63" s="17">
        <f>[90]Source!AO120</f>
        <v>229.34</v>
      </c>
      <c r="H63" s="18" t="str">
        <f>[90]Source!DG120</f>
        <v>)*1,67</v>
      </c>
      <c r="I63" s="4">
        <f>[90]Source!AV121</f>
        <v>1.0669999999999999</v>
      </c>
      <c r="J63" s="19">
        <f>[90]Source!S120</f>
        <v>220.27</v>
      </c>
      <c r="K63" s="4">
        <f>IF([90]Source!BA121&lt;&gt; 0, [90]Source!BA121, 1)</f>
        <v>24.23</v>
      </c>
      <c r="L63" s="19">
        <f>[90]Source!S121</f>
        <v>5337.14</v>
      </c>
    </row>
    <row r="64" spans="1:22" ht="14.25" x14ac:dyDescent="0.2">
      <c r="A64" s="14"/>
      <c r="B64" s="14"/>
      <c r="C64" s="15"/>
      <c r="D64" s="15" t="s">
        <v>85</v>
      </c>
      <c r="E64" s="16"/>
      <c r="F64" s="4"/>
      <c r="G64" s="17">
        <f>[90]Source!AM120</f>
        <v>517.55999999999995</v>
      </c>
      <c r="H64" s="18">
        <f>[90]Source!DE120</f>
        <v>0</v>
      </c>
      <c r="I64" s="4">
        <f>[90]Source!AV121</f>
        <v>1.0669999999999999</v>
      </c>
      <c r="J64" s="19">
        <f>[90]Source!Q120-J73</f>
        <v>297.66000000000003</v>
      </c>
      <c r="K64" s="4">
        <f>IF([90]Source!BB121&lt;&gt; 0, [90]Source!BB121, 1)</f>
        <v>8.5299999999999994</v>
      </c>
      <c r="L64" s="19">
        <f>[90]Source!Q121-L73</f>
        <v>2539.11</v>
      </c>
    </row>
    <row r="65" spans="1:22" ht="14.25" x14ac:dyDescent="0.2">
      <c r="A65" s="14"/>
      <c r="B65" s="14"/>
      <c r="C65" s="15"/>
      <c r="D65" s="15" t="s">
        <v>86</v>
      </c>
      <c r="E65" s="16"/>
      <c r="F65" s="4"/>
      <c r="G65" s="17">
        <f>[90]Source!AN120</f>
        <v>82.39</v>
      </c>
      <c r="H65" s="18">
        <f>[90]Source!DE120</f>
        <v>0</v>
      </c>
      <c r="I65" s="4">
        <f>[90]Source!AV121</f>
        <v>1.0669999999999999</v>
      </c>
      <c r="J65" s="20">
        <f>[90]Source!R120-J74</f>
        <v>47.38</v>
      </c>
      <c r="K65" s="4">
        <f>IF([90]Source!BS121&lt;&gt; 0, [90]Source!BS121, 1)</f>
        <v>24.23</v>
      </c>
      <c r="L65" s="20">
        <f>[90]Source!R121-L74</f>
        <v>1148.0899999999999</v>
      </c>
    </row>
    <row r="66" spans="1:22" ht="14.25" x14ac:dyDescent="0.2">
      <c r="A66" s="14"/>
      <c r="B66" s="14"/>
      <c r="C66" s="15"/>
      <c r="D66" s="15" t="s">
        <v>87</v>
      </c>
      <c r="E66" s="16"/>
      <c r="F66" s="4"/>
      <c r="G66" s="17">
        <f>[90]Source!AL120</f>
        <v>38.08</v>
      </c>
      <c r="H66" s="18">
        <f>[90]Source!DD120</f>
        <v>0</v>
      </c>
      <c r="I66" s="4">
        <f>[90]Source!AW121</f>
        <v>1.081</v>
      </c>
      <c r="J66" s="19">
        <f>[90]Source!P120</f>
        <v>22.19</v>
      </c>
      <c r="K66" s="4">
        <f>IF([90]Source!BC121&lt;&gt; 0, [90]Source!BC121, 1)</f>
        <v>5.58</v>
      </c>
      <c r="L66" s="19">
        <f>[90]Source!P121</f>
        <v>123.82</v>
      </c>
    </row>
    <row r="67" spans="1:22" ht="14.25" x14ac:dyDescent="0.2">
      <c r="A67" s="14"/>
      <c r="B67" s="14"/>
      <c r="C67" s="15"/>
      <c r="D67" s="15" t="s">
        <v>88</v>
      </c>
      <c r="E67" s="16" t="s">
        <v>89</v>
      </c>
      <c r="F67" s="4">
        <f>[90]Source!DN121</f>
        <v>112</v>
      </c>
      <c r="G67" s="17"/>
      <c r="H67" s="18"/>
      <c r="I67" s="4"/>
      <c r="J67" s="19">
        <f>SUM(Q62:Q66)</f>
        <v>246.7</v>
      </c>
      <c r="K67" s="4">
        <f>[90]Source!BZ121</f>
        <v>90</v>
      </c>
      <c r="L67" s="19">
        <f>SUM(R62:R66)</f>
        <v>4803.43</v>
      </c>
    </row>
    <row r="68" spans="1:22" ht="14.25" x14ac:dyDescent="0.2">
      <c r="A68" s="14"/>
      <c r="B68" s="14"/>
      <c r="C68" s="15"/>
      <c r="D68" s="15" t="s">
        <v>90</v>
      </c>
      <c r="E68" s="16" t="s">
        <v>89</v>
      </c>
      <c r="F68" s="4">
        <f>[90]Source!DO121</f>
        <v>70</v>
      </c>
      <c r="G68" s="17"/>
      <c r="H68" s="18"/>
      <c r="I68" s="4"/>
      <c r="J68" s="19">
        <f>SUM(S62:S67)</f>
        <v>154.19</v>
      </c>
      <c r="K68" s="4">
        <f>[90]Source!CA121</f>
        <v>43</v>
      </c>
      <c r="L68" s="19">
        <f>SUM(T62:T67)</f>
        <v>2294.9699999999998</v>
      </c>
    </row>
    <row r="69" spans="1:22" ht="14.25" x14ac:dyDescent="0.2">
      <c r="A69" s="14"/>
      <c r="B69" s="14"/>
      <c r="C69" s="15"/>
      <c r="D69" s="15" t="s">
        <v>91</v>
      </c>
      <c r="E69" s="16" t="s">
        <v>89</v>
      </c>
      <c r="F69" s="4">
        <f>175</f>
        <v>175</v>
      </c>
      <c r="G69" s="17"/>
      <c r="H69" s="18"/>
      <c r="I69" s="4"/>
      <c r="J69" s="19">
        <f>SUM(U62:U68)-J75</f>
        <v>82.92</v>
      </c>
      <c r="K69" s="4">
        <f>157</f>
        <v>157</v>
      </c>
      <c r="L69" s="19">
        <f>SUM(V62:V68)-L75</f>
        <v>1802.5</v>
      </c>
    </row>
    <row r="70" spans="1:22" ht="14.25" x14ac:dyDescent="0.2">
      <c r="A70" s="14"/>
      <c r="B70" s="14"/>
      <c r="C70" s="15"/>
      <c r="D70" s="15" t="s">
        <v>92</v>
      </c>
      <c r="E70" s="16" t="s">
        <v>93</v>
      </c>
      <c r="F70" s="4">
        <f>[90]Source!AQ120</f>
        <v>18.600000000000001</v>
      </c>
      <c r="G70" s="17"/>
      <c r="H70" s="18">
        <f>[90]Source!DI120</f>
        <v>0</v>
      </c>
      <c r="I70" s="4">
        <f>[90]Source!AV121</f>
        <v>1.0669999999999999</v>
      </c>
      <c r="J70" s="19">
        <f>[90]Source!U120</f>
        <v>10.7</v>
      </c>
      <c r="K70" s="4"/>
      <c r="L70" s="19"/>
    </row>
    <row r="71" spans="1:22" ht="15" x14ac:dyDescent="0.25">
      <c r="I71" s="847">
        <f>J63+J64+J66+J67+J68+J69</f>
        <v>1023.93</v>
      </c>
      <c r="J71" s="847"/>
      <c r="K71" s="847">
        <f>L63+L64+L66+L67+L68+L69</f>
        <v>16900.97</v>
      </c>
      <c r="L71" s="847"/>
      <c r="O71" s="21">
        <f>J63+J64+J66+J67+J68+J69</f>
        <v>1023.93</v>
      </c>
      <c r="P71" s="21">
        <f>L63+L64+L66+L67+L68+L69</f>
        <v>16900.97</v>
      </c>
    </row>
    <row r="72" spans="1:22" ht="28.5" x14ac:dyDescent="0.2">
      <c r="A72" s="22"/>
      <c r="B72" s="22"/>
      <c r="C72" s="23"/>
      <c r="D72" s="23" t="s">
        <v>94</v>
      </c>
      <c r="E72" s="16"/>
      <c r="F72" s="24"/>
      <c r="G72" s="25"/>
      <c r="H72" s="16"/>
      <c r="I72" s="24"/>
      <c r="J72" s="20"/>
      <c r="K72" s="24"/>
      <c r="L72" s="20"/>
    </row>
    <row r="73" spans="1:22" ht="14.25" x14ac:dyDescent="0.2">
      <c r="A73" s="22"/>
      <c r="B73" s="22"/>
      <c r="C73" s="23"/>
      <c r="D73" s="23" t="s">
        <v>85</v>
      </c>
      <c r="E73" s="16"/>
      <c r="F73" s="24"/>
      <c r="G73" s="25">
        <f t="shared" ref="G73:L73" si="2">G74</f>
        <v>82.39</v>
      </c>
      <c r="H73" s="26" t="str">
        <f t="shared" si="2"/>
        <v>)*(1.67-1)</v>
      </c>
      <c r="I73" s="24">
        <f t="shared" si="2"/>
        <v>1.0669999999999999</v>
      </c>
      <c r="J73" s="20">
        <f t="shared" si="2"/>
        <v>31.75</v>
      </c>
      <c r="K73" s="24">
        <f t="shared" si="2"/>
        <v>24.23</v>
      </c>
      <c r="L73" s="20">
        <f t="shared" si="2"/>
        <v>769.23</v>
      </c>
    </row>
    <row r="74" spans="1:22" ht="14.25" x14ac:dyDescent="0.2">
      <c r="A74" s="22"/>
      <c r="B74" s="22"/>
      <c r="C74" s="23"/>
      <c r="D74" s="23" t="s">
        <v>86</v>
      </c>
      <c r="E74" s="16"/>
      <c r="F74" s="24"/>
      <c r="G74" s="25">
        <f>[90]Source!AN120</f>
        <v>82.39</v>
      </c>
      <c r="H74" s="26" t="s">
        <v>95</v>
      </c>
      <c r="I74" s="24">
        <f>[90]Source!AV121</f>
        <v>1.0669999999999999</v>
      </c>
      <c r="J74" s="20">
        <f>ROUND(F62*G74*I74*(1.67-1), 2)</f>
        <v>31.75</v>
      </c>
      <c r="K74" s="24">
        <f>IF([90]Source!BS121&lt;&gt; 0, [90]Source!BS121, 1)</f>
        <v>24.23</v>
      </c>
      <c r="L74" s="20">
        <f>ROUND(F62*G74*I74*(1.67-1)*K74, 2)</f>
        <v>769.23</v>
      </c>
    </row>
    <row r="75" spans="1:22" ht="14.25" x14ac:dyDescent="0.2">
      <c r="A75" s="22"/>
      <c r="B75" s="22"/>
      <c r="C75" s="23"/>
      <c r="D75" s="23" t="s">
        <v>91</v>
      </c>
      <c r="E75" s="16" t="s">
        <v>89</v>
      </c>
      <c r="F75" s="24">
        <f>175</f>
        <v>175</v>
      </c>
      <c r="G75" s="25"/>
      <c r="H75" s="16"/>
      <c r="I75" s="24"/>
      <c r="J75" s="20">
        <f>ROUND(J74*(F75/100), 2)</f>
        <v>55.56</v>
      </c>
      <c r="K75" s="24">
        <f>157</f>
        <v>157</v>
      </c>
      <c r="L75" s="20">
        <f>ROUND(L74*(K75/100), 2)</f>
        <v>1207.69</v>
      </c>
    </row>
    <row r="76" spans="1:22" ht="15" x14ac:dyDescent="0.25">
      <c r="I76" s="847">
        <f>J75+J74</f>
        <v>87.31</v>
      </c>
      <c r="J76" s="847"/>
      <c r="K76" s="847">
        <f>L75+L74</f>
        <v>1976.92</v>
      </c>
      <c r="L76" s="847"/>
      <c r="O76" s="21">
        <f>I76</f>
        <v>87.31</v>
      </c>
      <c r="P76" s="21">
        <f>K76</f>
        <v>1976.92</v>
      </c>
    </row>
    <row r="78" spans="1:22" ht="15" x14ac:dyDescent="0.25">
      <c r="A78" s="27"/>
      <c r="B78" s="27"/>
      <c r="C78" s="28"/>
      <c r="D78" s="28" t="s">
        <v>96</v>
      </c>
      <c r="E78" s="29"/>
      <c r="F78" s="30"/>
      <c r="G78" s="31"/>
      <c r="H78" s="32"/>
      <c r="I78" s="847">
        <f>I71+I76</f>
        <v>1111.24</v>
      </c>
      <c r="J78" s="847"/>
      <c r="K78" s="847">
        <f>K71+K76</f>
        <v>18877.89</v>
      </c>
      <c r="L78" s="847"/>
    </row>
    <row r="79" spans="1:22" ht="57" x14ac:dyDescent="0.2">
      <c r="A79" s="14">
        <v>4</v>
      </c>
      <c r="B79" s="14" t="str">
        <f>[90]Source!E124</f>
        <v>12</v>
      </c>
      <c r="C79" s="15" t="s">
        <v>207</v>
      </c>
      <c r="D79" s="15" t="s">
        <v>208</v>
      </c>
      <c r="E79" s="16" t="str">
        <f>[90]Source!H124</f>
        <v>100 М КАБЕЛЯ</v>
      </c>
      <c r="F79" s="4">
        <f>[90]Source!I124</f>
        <v>0.53900000000000003</v>
      </c>
      <c r="G79" s="17"/>
      <c r="H79" s="18"/>
      <c r="I79" s="4"/>
      <c r="J79" s="19"/>
      <c r="K79" s="4"/>
      <c r="L79" s="19"/>
      <c r="N79" s="1">
        <f>0.539*0.7</f>
        <v>0.37730000000000002</v>
      </c>
      <c r="Q79" s="1">
        <f>[90]Source!X124</f>
        <v>297.08999999999997</v>
      </c>
      <c r="R79" s="1">
        <f>[90]Source!X125</f>
        <v>5784.53</v>
      </c>
      <c r="S79" s="1">
        <f>[90]Source!Y124</f>
        <v>185.68</v>
      </c>
      <c r="T79" s="1">
        <f>[90]Source!Y125</f>
        <v>2763.72</v>
      </c>
      <c r="U79" s="1">
        <f>ROUND((175/100)*ROUND([90]Source!R124, 2), 2)</f>
        <v>169.65</v>
      </c>
      <c r="V79" s="1">
        <f>ROUND((157/100)*ROUND([90]Source!R125, 2), 2)</f>
        <v>3687.71</v>
      </c>
    </row>
    <row r="80" spans="1:22" ht="14.25" x14ac:dyDescent="0.2">
      <c r="A80" s="14"/>
      <c r="B80" s="14"/>
      <c r="C80" s="15"/>
      <c r="D80" s="15" t="s">
        <v>84</v>
      </c>
      <c r="E80" s="16"/>
      <c r="F80" s="4"/>
      <c r="G80" s="17">
        <f>[90]Source!AO124</f>
        <v>276.19</v>
      </c>
      <c r="H80" s="18" t="str">
        <f>[90]Source!DG124</f>
        <v>)*1,67</v>
      </c>
      <c r="I80" s="4">
        <f>[90]Source!AV125</f>
        <v>1.0669999999999999</v>
      </c>
      <c r="J80" s="19">
        <f>[90]Source!S124</f>
        <v>265.26</v>
      </c>
      <c r="K80" s="4">
        <f>IF([90]Source!BA125&lt;&gt; 0, [90]Source!BA125, 1)</f>
        <v>24.23</v>
      </c>
      <c r="L80" s="19">
        <f>[90]Source!S125</f>
        <v>6427.25</v>
      </c>
    </row>
    <row r="81" spans="1:22" ht="14.25" x14ac:dyDescent="0.2">
      <c r="A81" s="14"/>
      <c r="B81" s="14"/>
      <c r="C81" s="15"/>
      <c r="D81" s="15" t="s">
        <v>85</v>
      </c>
      <c r="E81" s="16"/>
      <c r="F81" s="4"/>
      <c r="G81" s="17">
        <f>[90]Source!AM124</f>
        <v>630.9</v>
      </c>
      <c r="H81" s="18">
        <f>[90]Source!DE124</f>
        <v>0</v>
      </c>
      <c r="I81" s="4">
        <f>[90]Source!AV125</f>
        <v>1.0669999999999999</v>
      </c>
      <c r="J81" s="19">
        <f>[90]Source!Q124-J90</f>
        <v>362.84</v>
      </c>
      <c r="K81" s="4">
        <f>IF([90]Source!BB125&lt;&gt; 0, [90]Source!BB125, 1)</f>
        <v>8.5500000000000007</v>
      </c>
      <c r="L81" s="19">
        <f>[90]Source!Q125-L90</f>
        <v>3102.25</v>
      </c>
    </row>
    <row r="82" spans="1:22" ht="14.25" x14ac:dyDescent="0.2">
      <c r="A82" s="14"/>
      <c r="B82" s="14"/>
      <c r="C82" s="15"/>
      <c r="D82" s="15" t="s">
        <v>86</v>
      </c>
      <c r="E82" s="16"/>
      <c r="F82" s="4"/>
      <c r="G82" s="17">
        <f>[90]Source!AN124</f>
        <v>100.93</v>
      </c>
      <c r="H82" s="18">
        <f>[90]Source!DE124</f>
        <v>0</v>
      </c>
      <c r="I82" s="4">
        <f>[90]Source!AV125</f>
        <v>1.0669999999999999</v>
      </c>
      <c r="J82" s="20">
        <f>[90]Source!R124-J91</f>
        <v>58.05</v>
      </c>
      <c r="K82" s="4">
        <f>IF([90]Source!BS125&lt;&gt; 0, [90]Source!BS125, 1)</f>
        <v>24.23</v>
      </c>
      <c r="L82" s="20">
        <f>[90]Source!R125-L91</f>
        <v>1406.53</v>
      </c>
    </row>
    <row r="83" spans="1:22" ht="14.25" x14ac:dyDescent="0.2">
      <c r="A83" s="14"/>
      <c r="B83" s="14"/>
      <c r="C83" s="15"/>
      <c r="D83" s="15" t="s">
        <v>87</v>
      </c>
      <c r="E83" s="16"/>
      <c r="F83" s="4"/>
      <c r="G83" s="17">
        <f>[90]Source!AL124</f>
        <v>38.78</v>
      </c>
      <c r="H83" s="18">
        <f>[90]Source!DD124</f>
        <v>0</v>
      </c>
      <c r="I83" s="4">
        <f>[90]Source!AW125</f>
        <v>1.081</v>
      </c>
      <c r="J83" s="19">
        <f>[90]Source!P124</f>
        <v>22.6</v>
      </c>
      <c r="K83" s="4">
        <f>IF([90]Source!BC125&lt;&gt; 0, [90]Source!BC125, 1)</f>
        <v>5.58</v>
      </c>
      <c r="L83" s="19">
        <f>[90]Source!P125</f>
        <v>126.11</v>
      </c>
    </row>
    <row r="84" spans="1:22" ht="14.25" x14ac:dyDescent="0.2">
      <c r="A84" s="14"/>
      <c r="B84" s="14"/>
      <c r="C84" s="15"/>
      <c r="D84" s="15" t="s">
        <v>88</v>
      </c>
      <c r="E84" s="16" t="s">
        <v>89</v>
      </c>
      <c r="F84" s="4">
        <f>[90]Source!DN125</f>
        <v>112</v>
      </c>
      <c r="G84" s="17"/>
      <c r="H84" s="18"/>
      <c r="I84" s="4"/>
      <c r="J84" s="19">
        <f>SUM(Q79:Q83)</f>
        <v>297.08999999999997</v>
      </c>
      <c r="K84" s="4">
        <f>[90]Source!BZ125</f>
        <v>90</v>
      </c>
      <c r="L84" s="19">
        <f>SUM(R79:R83)</f>
        <v>5784.53</v>
      </c>
    </row>
    <row r="85" spans="1:22" ht="14.25" x14ac:dyDescent="0.2">
      <c r="A85" s="14"/>
      <c r="B85" s="14"/>
      <c r="C85" s="15"/>
      <c r="D85" s="15" t="s">
        <v>90</v>
      </c>
      <c r="E85" s="16" t="s">
        <v>89</v>
      </c>
      <c r="F85" s="4">
        <f>[90]Source!DO125</f>
        <v>70</v>
      </c>
      <c r="G85" s="17"/>
      <c r="H85" s="18"/>
      <c r="I85" s="4"/>
      <c r="J85" s="19">
        <f>SUM(S79:S84)</f>
        <v>185.68</v>
      </c>
      <c r="K85" s="4">
        <f>[90]Source!CA125</f>
        <v>43</v>
      </c>
      <c r="L85" s="19">
        <f>SUM(T79:T84)</f>
        <v>2763.72</v>
      </c>
    </row>
    <row r="86" spans="1:22" ht="14.25" x14ac:dyDescent="0.2">
      <c r="A86" s="14"/>
      <c r="B86" s="14"/>
      <c r="C86" s="15"/>
      <c r="D86" s="15" t="s">
        <v>91</v>
      </c>
      <c r="E86" s="16" t="s">
        <v>89</v>
      </c>
      <c r="F86" s="4">
        <f>175</f>
        <v>175</v>
      </c>
      <c r="G86" s="17"/>
      <c r="H86" s="18"/>
      <c r="I86" s="4"/>
      <c r="J86" s="19">
        <f>SUM(U79:U85)-J92</f>
        <v>101.59</v>
      </c>
      <c r="K86" s="4">
        <f>157</f>
        <v>157</v>
      </c>
      <c r="L86" s="19">
        <f>SUM(V79:V85)-L92</f>
        <v>2208.25</v>
      </c>
    </row>
    <row r="87" spans="1:22" ht="14.25" x14ac:dyDescent="0.2">
      <c r="A87" s="14"/>
      <c r="B87" s="14"/>
      <c r="C87" s="15"/>
      <c r="D87" s="15" t="s">
        <v>92</v>
      </c>
      <c r="E87" s="16" t="s">
        <v>93</v>
      </c>
      <c r="F87" s="4">
        <f>[90]Source!AQ124</f>
        <v>22.4</v>
      </c>
      <c r="G87" s="17"/>
      <c r="H87" s="18">
        <f>[90]Source!DI124</f>
        <v>0</v>
      </c>
      <c r="I87" s="4">
        <f>[90]Source!AV125</f>
        <v>1.0669999999999999</v>
      </c>
      <c r="J87" s="19">
        <f>[90]Source!U124</f>
        <v>12.88</v>
      </c>
      <c r="K87" s="4"/>
      <c r="L87" s="19"/>
    </row>
    <row r="88" spans="1:22" ht="15" x14ac:dyDescent="0.25">
      <c r="I88" s="847">
        <f>J80+J81+J83+J84+J85+J86</f>
        <v>1235.06</v>
      </c>
      <c r="J88" s="847"/>
      <c r="K88" s="847">
        <f>L80+L81+L83+L84+L85+L86</f>
        <v>20412.11</v>
      </c>
      <c r="L88" s="847"/>
      <c r="O88" s="21">
        <f>J80+J81+J83+J84+J85+J86</f>
        <v>1235.06</v>
      </c>
      <c r="P88" s="21">
        <f>L80+L81+L83+L84+L85+L86</f>
        <v>20412.11</v>
      </c>
    </row>
    <row r="89" spans="1:22" ht="28.5" x14ac:dyDescent="0.2">
      <c r="A89" s="22"/>
      <c r="B89" s="22"/>
      <c r="C89" s="23"/>
      <c r="D89" s="23" t="s">
        <v>94</v>
      </c>
      <c r="E89" s="16"/>
      <c r="F89" s="24"/>
      <c r="G89" s="25"/>
      <c r="H89" s="16"/>
      <c r="I89" s="24"/>
      <c r="J89" s="20"/>
      <c r="K89" s="24"/>
      <c r="L89" s="20"/>
    </row>
    <row r="90" spans="1:22" ht="14.25" x14ac:dyDescent="0.2">
      <c r="A90" s="22"/>
      <c r="B90" s="22"/>
      <c r="C90" s="23"/>
      <c r="D90" s="23" t="s">
        <v>85</v>
      </c>
      <c r="E90" s="16"/>
      <c r="F90" s="24"/>
      <c r="G90" s="25">
        <f t="shared" ref="G90:L90" si="3">G91</f>
        <v>100.93</v>
      </c>
      <c r="H90" s="26" t="str">
        <f t="shared" si="3"/>
        <v>)*(1.67-1)</v>
      </c>
      <c r="I90" s="24">
        <f t="shared" si="3"/>
        <v>1.0669999999999999</v>
      </c>
      <c r="J90" s="20">
        <f t="shared" si="3"/>
        <v>38.89</v>
      </c>
      <c r="K90" s="24">
        <f t="shared" si="3"/>
        <v>24.23</v>
      </c>
      <c r="L90" s="20">
        <f t="shared" si="3"/>
        <v>942.33</v>
      </c>
    </row>
    <row r="91" spans="1:22" ht="14.25" x14ac:dyDescent="0.2">
      <c r="A91" s="22"/>
      <c r="B91" s="22"/>
      <c r="C91" s="23"/>
      <c r="D91" s="23" t="s">
        <v>86</v>
      </c>
      <c r="E91" s="16"/>
      <c r="F91" s="24"/>
      <c r="G91" s="25">
        <f>[90]Source!AN124</f>
        <v>100.93</v>
      </c>
      <c r="H91" s="26" t="s">
        <v>95</v>
      </c>
      <c r="I91" s="24">
        <f>[90]Source!AV125</f>
        <v>1.0669999999999999</v>
      </c>
      <c r="J91" s="20">
        <f>ROUND(F79*G91*I91*(1.67-1), 2)</f>
        <v>38.89</v>
      </c>
      <c r="K91" s="24">
        <f>IF([90]Source!BS125&lt;&gt; 0, [90]Source!BS125, 1)</f>
        <v>24.23</v>
      </c>
      <c r="L91" s="20">
        <f>ROUND(F79*G91*I91*(1.67-1)*K91, 2)</f>
        <v>942.33</v>
      </c>
    </row>
    <row r="92" spans="1:22" ht="14.25" x14ac:dyDescent="0.2">
      <c r="A92" s="22"/>
      <c r="B92" s="22"/>
      <c r="C92" s="23"/>
      <c r="D92" s="23" t="s">
        <v>91</v>
      </c>
      <c r="E92" s="16" t="s">
        <v>89</v>
      </c>
      <c r="F92" s="24">
        <f>175</f>
        <v>175</v>
      </c>
      <c r="G92" s="25"/>
      <c r="H92" s="16"/>
      <c r="I92" s="24"/>
      <c r="J92" s="20">
        <f>ROUND(J91*(F92/100), 2)</f>
        <v>68.06</v>
      </c>
      <c r="K92" s="24">
        <f>157</f>
        <v>157</v>
      </c>
      <c r="L92" s="20">
        <f>ROUND(L91*(K92/100), 2)</f>
        <v>1479.46</v>
      </c>
    </row>
    <row r="93" spans="1:22" ht="15" x14ac:dyDescent="0.25">
      <c r="I93" s="847">
        <f>J92+J91</f>
        <v>106.95</v>
      </c>
      <c r="J93" s="847"/>
      <c r="K93" s="847">
        <f>L92+L91</f>
        <v>2421.79</v>
      </c>
      <c r="L93" s="847"/>
      <c r="O93" s="21">
        <f>I93</f>
        <v>106.95</v>
      </c>
      <c r="P93" s="21">
        <f>K93</f>
        <v>2421.79</v>
      </c>
    </row>
    <row r="95" spans="1:22" ht="15" x14ac:dyDescent="0.25">
      <c r="A95" s="27"/>
      <c r="B95" s="27"/>
      <c r="C95" s="28"/>
      <c r="D95" s="28" t="s">
        <v>96</v>
      </c>
      <c r="E95" s="29"/>
      <c r="F95" s="30"/>
      <c r="G95" s="31"/>
      <c r="H95" s="32"/>
      <c r="I95" s="847">
        <f>I88+I93</f>
        <v>1342.01</v>
      </c>
      <c r="J95" s="847"/>
      <c r="K95" s="847">
        <f>K88+K93</f>
        <v>22833.9</v>
      </c>
      <c r="L95" s="847"/>
    </row>
    <row r="96" spans="1:22" ht="57" x14ac:dyDescent="0.2">
      <c r="A96" s="14">
        <v>5</v>
      </c>
      <c r="B96" s="14" t="str">
        <f>[90]Source!E126</f>
        <v>13</v>
      </c>
      <c r="C96" s="15" t="s">
        <v>178</v>
      </c>
      <c r="D96" s="15" t="s">
        <v>179</v>
      </c>
      <c r="E96" s="16" t="str">
        <f>[90]Source!H126</f>
        <v>100 М КАБЕЛЯ</v>
      </c>
      <c r="F96" s="4">
        <f>[90]Source!I126</f>
        <v>0.41894999999999999</v>
      </c>
      <c r="G96" s="17"/>
      <c r="H96" s="18"/>
      <c r="I96" s="4"/>
      <c r="J96" s="19"/>
      <c r="K96" s="4"/>
      <c r="L96" s="19"/>
      <c r="N96" s="1">
        <f>0.41895*0.7</f>
        <v>0.293265</v>
      </c>
      <c r="Q96" s="1">
        <f>[90]Source!X126</f>
        <v>156.69999999999999</v>
      </c>
      <c r="R96" s="1">
        <f>[90]Source!X127</f>
        <v>3051.02</v>
      </c>
      <c r="S96" s="1">
        <f>[90]Source!Y126</f>
        <v>97.94</v>
      </c>
      <c r="T96" s="1">
        <f>[90]Source!Y127</f>
        <v>1457.71</v>
      </c>
      <c r="U96" s="1">
        <f>ROUND((175/100)*ROUND([90]Source!R126, 2), 2)</f>
        <v>86.33</v>
      </c>
      <c r="V96" s="1">
        <f>ROUND((157/100)*ROUND([90]Source!R127, 2), 2)</f>
        <v>1876.57</v>
      </c>
    </row>
    <row r="97" spans="1:16" ht="14.25" x14ac:dyDescent="0.2">
      <c r="A97" s="14"/>
      <c r="B97" s="14"/>
      <c r="C97" s="15"/>
      <c r="D97" s="15" t="s">
        <v>84</v>
      </c>
      <c r="E97" s="16"/>
      <c r="F97" s="4"/>
      <c r="G97" s="17">
        <f>[90]Source!AO126</f>
        <v>187.42</v>
      </c>
      <c r="H97" s="18" t="str">
        <f>[90]Source!DG126</f>
        <v>)*1,67</v>
      </c>
      <c r="I97" s="4">
        <f>[90]Source!AV127</f>
        <v>1.0669999999999999</v>
      </c>
      <c r="J97" s="19">
        <f>[90]Source!S126</f>
        <v>139.91</v>
      </c>
      <c r="K97" s="4">
        <f>IF([90]Source!BA127&lt;&gt; 0, [90]Source!BA127, 1)</f>
        <v>24.23</v>
      </c>
      <c r="L97" s="19">
        <f>[90]Source!S127</f>
        <v>3390.02</v>
      </c>
    </row>
    <row r="98" spans="1:16" ht="14.25" x14ac:dyDescent="0.2">
      <c r="A98" s="14"/>
      <c r="B98" s="14"/>
      <c r="C98" s="15"/>
      <c r="D98" s="15" t="s">
        <v>85</v>
      </c>
      <c r="E98" s="16"/>
      <c r="F98" s="4"/>
      <c r="G98" s="17">
        <f>[90]Source!AM126</f>
        <v>418.64</v>
      </c>
      <c r="H98" s="18">
        <f>[90]Source!DE126</f>
        <v>0</v>
      </c>
      <c r="I98" s="4">
        <f>[90]Source!AV127</f>
        <v>1.0669999999999999</v>
      </c>
      <c r="J98" s="19">
        <f>[90]Source!Q126-J107</f>
        <v>187.14</v>
      </c>
      <c r="K98" s="4">
        <f>IF([90]Source!BB127&lt;&gt; 0, [90]Source!BB127, 1)</f>
        <v>8.51</v>
      </c>
      <c r="L98" s="19">
        <f>[90]Source!Q127-L107</f>
        <v>1592.53</v>
      </c>
    </row>
    <row r="99" spans="1:16" ht="14.25" x14ac:dyDescent="0.2">
      <c r="A99" s="14"/>
      <c r="B99" s="14"/>
      <c r="C99" s="15"/>
      <c r="D99" s="15" t="s">
        <v>86</v>
      </c>
      <c r="E99" s="16"/>
      <c r="F99" s="4"/>
      <c r="G99" s="17">
        <f>[90]Source!AN126</f>
        <v>66.08</v>
      </c>
      <c r="H99" s="18">
        <f>[90]Source!DE126</f>
        <v>0</v>
      </c>
      <c r="I99" s="4">
        <f>[90]Source!AV127</f>
        <v>1.0669999999999999</v>
      </c>
      <c r="J99" s="20">
        <f>[90]Source!R126-J108</f>
        <v>29.54</v>
      </c>
      <c r="K99" s="4">
        <f>IF([90]Source!BS127&lt;&gt; 0, [90]Source!BS127, 1)</f>
        <v>24.23</v>
      </c>
      <c r="L99" s="20">
        <f>[90]Source!R127-L108</f>
        <v>715.73</v>
      </c>
    </row>
    <row r="100" spans="1:16" ht="14.25" x14ac:dyDescent="0.2">
      <c r="A100" s="14"/>
      <c r="B100" s="14"/>
      <c r="C100" s="15"/>
      <c r="D100" s="15" t="s">
        <v>87</v>
      </c>
      <c r="E100" s="16"/>
      <c r="F100" s="4"/>
      <c r="G100" s="17">
        <f>[90]Source!AL126</f>
        <v>37.659999999999997</v>
      </c>
      <c r="H100" s="18">
        <f>[90]Source!DD126</f>
        <v>0</v>
      </c>
      <c r="I100" s="4">
        <f>[90]Source!AW127</f>
        <v>1.081</v>
      </c>
      <c r="J100" s="19">
        <f>[90]Source!P126</f>
        <v>17.059999999999999</v>
      </c>
      <c r="K100" s="4">
        <f>IF([90]Source!BC127&lt;&gt; 0, [90]Source!BC127, 1)</f>
        <v>5.58</v>
      </c>
      <c r="L100" s="19">
        <f>[90]Source!P127</f>
        <v>95.19</v>
      </c>
    </row>
    <row r="101" spans="1:16" ht="14.25" x14ac:dyDescent="0.2">
      <c r="A101" s="14"/>
      <c r="B101" s="14"/>
      <c r="C101" s="15"/>
      <c r="D101" s="15" t="s">
        <v>88</v>
      </c>
      <c r="E101" s="16" t="s">
        <v>89</v>
      </c>
      <c r="F101" s="4">
        <f>[90]Source!DN127</f>
        <v>112</v>
      </c>
      <c r="G101" s="17"/>
      <c r="H101" s="18"/>
      <c r="I101" s="4"/>
      <c r="J101" s="19">
        <f>SUM(Q96:Q100)</f>
        <v>156.69999999999999</v>
      </c>
      <c r="K101" s="4">
        <f>[90]Source!BZ127</f>
        <v>90</v>
      </c>
      <c r="L101" s="19">
        <f>SUM(R96:R100)</f>
        <v>3051.02</v>
      </c>
    </row>
    <row r="102" spans="1:16" ht="14.25" x14ac:dyDescent="0.2">
      <c r="A102" s="14"/>
      <c r="B102" s="14"/>
      <c r="C102" s="15"/>
      <c r="D102" s="15" t="s">
        <v>90</v>
      </c>
      <c r="E102" s="16" t="s">
        <v>89</v>
      </c>
      <c r="F102" s="4">
        <f>[90]Source!DO127</f>
        <v>70</v>
      </c>
      <c r="G102" s="17"/>
      <c r="H102" s="18"/>
      <c r="I102" s="4"/>
      <c r="J102" s="19">
        <f>SUM(S96:S101)</f>
        <v>97.94</v>
      </c>
      <c r="K102" s="4">
        <f>[90]Source!CA127</f>
        <v>43</v>
      </c>
      <c r="L102" s="19">
        <f>SUM(T96:T101)</f>
        <v>1457.71</v>
      </c>
    </row>
    <row r="103" spans="1:16" ht="14.25" x14ac:dyDescent="0.2">
      <c r="A103" s="14"/>
      <c r="B103" s="14"/>
      <c r="C103" s="15"/>
      <c r="D103" s="15" t="s">
        <v>91</v>
      </c>
      <c r="E103" s="16" t="s">
        <v>89</v>
      </c>
      <c r="F103" s="4">
        <f>175</f>
        <v>175</v>
      </c>
      <c r="G103" s="17"/>
      <c r="H103" s="18"/>
      <c r="I103" s="4"/>
      <c r="J103" s="19">
        <f>SUM(U96:U102)-J109</f>
        <v>51.7</v>
      </c>
      <c r="K103" s="4">
        <f>157</f>
        <v>157</v>
      </c>
      <c r="L103" s="19">
        <f>SUM(V96:V102)-L109</f>
        <v>1123.69</v>
      </c>
    </row>
    <row r="104" spans="1:16" ht="14.25" x14ac:dyDescent="0.2">
      <c r="A104" s="14"/>
      <c r="B104" s="14"/>
      <c r="C104" s="15"/>
      <c r="D104" s="15" t="s">
        <v>92</v>
      </c>
      <c r="E104" s="16" t="s">
        <v>93</v>
      </c>
      <c r="F104" s="4">
        <f>[90]Source!AQ126</f>
        <v>15.2</v>
      </c>
      <c r="G104" s="17"/>
      <c r="H104" s="18">
        <f>[90]Source!DI126</f>
        <v>0</v>
      </c>
      <c r="I104" s="4">
        <f>[90]Source!AV127</f>
        <v>1.0669999999999999</v>
      </c>
      <c r="J104" s="19">
        <f>[90]Source!U126</f>
        <v>6.79</v>
      </c>
      <c r="K104" s="4"/>
      <c r="L104" s="19"/>
    </row>
    <row r="105" spans="1:16" ht="15" x14ac:dyDescent="0.25">
      <c r="I105" s="847">
        <f>J97+J98+J100+J101+J102+J103</f>
        <v>650.45000000000005</v>
      </c>
      <c r="J105" s="847"/>
      <c r="K105" s="847">
        <f>L97+L98+L100+L101+L102+L103</f>
        <v>10710.16</v>
      </c>
      <c r="L105" s="847"/>
      <c r="O105" s="21">
        <f>J97+J98+J100+J101+J102+J103</f>
        <v>650.45000000000005</v>
      </c>
      <c r="P105" s="21">
        <f>L97+L98+L100+L101+L102+L103</f>
        <v>10710.16</v>
      </c>
    </row>
    <row r="106" spans="1:16" ht="28.5" x14ac:dyDescent="0.2">
      <c r="A106" s="22"/>
      <c r="B106" s="22"/>
      <c r="C106" s="23"/>
      <c r="D106" s="23" t="s">
        <v>94</v>
      </c>
      <c r="E106" s="16"/>
      <c r="F106" s="24"/>
      <c r="G106" s="25"/>
      <c r="H106" s="16"/>
      <c r="I106" s="24"/>
      <c r="J106" s="20"/>
      <c r="K106" s="24"/>
      <c r="L106" s="20"/>
    </row>
    <row r="107" spans="1:16" ht="14.25" x14ac:dyDescent="0.2">
      <c r="A107" s="22"/>
      <c r="B107" s="22"/>
      <c r="C107" s="23"/>
      <c r="D107" s="23" t="s">
        <v>85</v>
      </c>
      <c r="E107" s="16"/>
      <c r="F107" s="24"/>
      <c r="G107" s="25">
        <f t="shared" ref="G107:L107" si="4">G108</f>
        <v>66.08</v>
      </c>
      <c r="H107" s="26" t="str">
        <f t="shared" si="4"/>
        <v>)*(1.67-1)</v>
      </c>
      <c r="I107" s="24">
        <f t="shared" si="4"/>
        <v>1.0669999999999999</v>
      </c>
      <c r="J107" s="20">
        <f t="shared" si="4"/>
        <v>19.79</v>
      </c>
      <c r="K107" s="24">
        <f t="shared" si="4"/>
        <v>24.23</v>
      </c>
      <c r="L107" s="20">
        <f t="shared" si="4"/>
        <v>479.54</v>
      </c>
    </row>
    <row r="108" spans="1:16" ht="14.25" x14ac:dyDescent="0.2">
      <c r="A108" s="22"/>
      <c r="B108" s="22"/>
      <c r="C108" s="23"/>
      <c r="D108" s="23" t="s">
        <v>86</v>
      </c>
      <c r="E108" s="16"/>
      <c r="F108" s="24"/>
      <c r="G108" s="25">
        <f>[90]Source!AN126</f>
        <v>66.08</v>
      </c>
      <c r="H108" s="26" t="s">
        <v>95</v>
      </c>
      <c r="I108" s="24">
        <f>[90]Source!AV127</f>
        <v>1.0669999999999999</v>
      </c>
      <c r="J108" s="20">
        <f>ROUND(F96*G108*I108*(1.67-1), 2)</f>
        <v>19.79</v>
      </c>
      <c r="K108" s="24">
        <f>IF([90]Source!BS127&lt;&gt; 0, [90]Source!BS127, 1)</f>
        <v>24.23</v>
      </c>
      <c r="L108" s="20">
        <f>ROUND(F96*G108*I108*(1.67-1)*K108, 2)</f>
        <v>479.54</v>
      </c>
    </row>
    <row r="109" spans="1:16" ht="14.25" x14ac:dyDescent="0.2">
      <c r="A109" s="22"/>
      <c r="B109" s="22"/>
      <c r="C109" s="23"/>
      <c r="D109" s="23" t="s">
        <v>91</v>
      </c>
      <c r="E109" s="16" t="s">
        <v>89</v>
      </c>
      <c r="F109" s="24">
        <f>175</f>
        <v>175</v>
      </c>
      <c r="G109" s="25"/>
      <c r="H109" s="16"/>
      <c r="I109" s="24"/>
      <c r="J109" s="20">
        <f>ROUND(J108*(F109/100), 2)</f>
        <v>34.630000000000003</v>
      </c>
      <c r="K109" s="24">
        <f>157</f>
        <v>157</v>
      </c>
      <c r="L109" s="20">
        <f>ROUND(L108*(K109/100), 2)</f>
        <v>752.88</v>
      </c>
    </row>
    <row r="110" spans="1:16" ht="15" x14ac:dyDescent="0.25">
      <c r="I110" s="847">
        <f>J109+J108</f>
        <v>54.42</v>
      </c>
      <c r="J110" s="847"/>
      <c r="K110" s="847">
        <f>L109+L108</f>
        <v>1232.42</v>
      </c>
      <c r="L110" s="847"/>
      <c r="O110" s="21">
        <f>I110</f>
        <v>54.42</v>
      </c>
      <c r="P110" s="21">
        <f>K110</f>
        <v>1232.42</v>
      </c>
    </row>
    <row r="112" spans="1:16" ht="15" x14ac:dyDescent="0.25">
      <c r="A112" s="27"/>
      <c r="B112" s="27"/>
      <c r="C112" s="28"/>
      <c r="D112" s="28" t="s">
        <v>96</v>
      </c>
      <c r="E112" s="29"/>
      <c r="F112" s="30"/>
      <c r="G112" s="31"/>
      <c r="H112" s="32"/>
      <c r="I112" s="847">
        <f>I105+I110</f>
        <v>704.87</v>
      </c>
      <c r="J112" s="847"/>
      <c r="K112" s="847">
        <f>K105+K110</f>
        <v>11942.58</v>
      </c>
      <c r="L112" s="847"/>
    </row>
    <row r="113" spans="1:22" ht="57" x14ac:dyDescent="0.2">
      <c r="A113" s="14">
        <v>6</v>
      </c>
      <c r="B113" s="14" t="str">
        <f>[90]Source!E128</f>
        <v>14</v>
      </c>
      <c r="C113" s="15" t="s">
        <v>178</v>
      </c>
      <c r="D113" s="15" t="s">
        <v>179</v>
      </c>
      <c r="E113" s="16" t="str">
        <f>[90]Source!H128</f>
        <v>100 М КАБЕЛЯ</v>
      </c>
      <c r="F113" s="4">
        <f>[90]Source!I128</f>
        <v>0.13965</v>
      </c>
      <c r="G113" s="17"/>
      <c r="H113" s="18"/>
      <c r="I113" s="4"/>
      <c r="J113" s="19"/>
      <c r="K113" s="4"/>
      <c r="L113" s="19"/>
      <c r="N113" s="1">
        <f>0.13965*0.7</f>
        <v>9.7754999999999995E-2</v>
      </c>
      <c r="Q113" s="1">
        <f>[90]Source!X128</f>
        <v>52.24</v>
      </c>
      <c r="R113" s="1">
        <f>[90]Source!X129</f>
        <v>1017.08</v>
      </c>
      <c r="S113" s="1">
        <f>[90]Source!Y128</f>
        <v>32.65</v>
      </c>
      <c r="T113" s="1">
        <f>[90]Source!Y129</f>
        <v>485.94</v>
      </c>
      <c r="U113" s="1">
        <f>ROUND((175/100)*ROUND([90]Source!R128, 2), 2)</f>
        <v>28.77</v>
      </c>
      <c r="V113" s="1">
        <f>ROUND((157/100)*ROUND([90]Source!R129, 2), 2)</f>
        <v>625.39</v>
      </c>
    </row>
    <row r="114" spans="1:22" ht="14.25" x14ac:dyDescent="0.2">
      <c r="A114" s="14"/>
      <c r="B114" s="14"/>
      <c r="C114" s="15"/>
      <c r="D114" s="15" t="s">
        <v>84</v>
      </c>
      <c r="E114" s="16"/>
      <c r="F114" s="4"/>
      <c r="G114" s="17">
        <f>[90]Source!AO128</f>
        <v>187.42</v>
      </c>
      <c r="H114" s="18" t="str">
        <f>[90]Source!DG128</f>
        <v>)*1,67</v>
      </c>
      <c r="I114" s="4">
        <f>[90]Source!AV129</f>
        <v>1.0669999999999999</v>
      </c>
      <c r="J114" s="19">
        <f>[90]Source!S128</f>
        <v>46.64</v>
      </c>
      <c r="K114" s="4">
        <f>IF([90]Source!BA129&lt;&gt; 0, [90]Source!BA129, 1)</f>
        <v>24.23</v>
      </c>
      <c r="L114" s="19">
        <f>[90]Source!S129</f>
        <v>1130.0899999999999</v>
      </c>
    </row>
    <row r="115" spans="1:22" ht="14.25" x14ac:dyDescent="0.2">
      <c r="A115" s="14"/>
      <c r="B115" s="14"/>
      <c r="C115" s="15"/>
      <c r="D115" s="15" t="s">
        <v>85</v>
      </c>
      <c r="E115" s="16"/>
      <c r="F115" s="4"/>
      <c r="G115" s="17">
        <f>[90]Source!AM128</f>
        <v>418.64</v>
      </c>
      <c r="H115" s="18">
        <f>[90]Source!DE128</f>
        <v>0</v>
      </c>
      <c r="I115" s="4">
        <f>[90]Source!AV129</f>
        <v>1.0669999999999999</v>
      </c>
      <c r="J115" s="19">
        <f>[90]Source!Q128-J124</f>
        <v>62.38</v>
      </c>
      <c r="K115" s="4">
        <f>IF([90]Source!BB129&lt;&gt; 0, [90]Source!BB129, 1)</f>
        <v>8.51</v>
      </c>
      <c r="L115" s="19">
        <f>[90]Source!Q129-L124</f>
        <v>530.91999999999996</v>
      </c>
    </row>
    <row r="116" spans="1:22" ht="14.25" x14ac:dyDescent="0.2">
      <c r="A116" s="14"/>
      <c r="B116" s="14"/>
      <c r="C116" s="15"/>
      <c r="D116" s="15" t="s">
        <v>86</v>
      </c>
      <c r="E116" s="16"/>
      <c r="F116" s="4"/>
      <c r="G116" s="17">
        <f>[90]Source!AN128</f>
        <v>66.08</v>
      </c>
      <c r="H116" s="18">
        <f>[90]Source!DE128</f>
        <v>0</v>
      </c>
      <c r="I116" s="4">
        <f>[90]Source!AV129</f>
        <v>1.0669999999999999</v>
      </c>
      <c r="J116" s="20">
        <f>[90]Source!R128-J125</f>
        <v>9.84</v>
      </c>
      <c r="K116" s="4">
        <f>IF([90]Source!BS129&lt;&gt; 0, [90]Source!BS129, 1)</f>
        <v>24.23</v>
      </c>
      <c r="L116" s="20">
        <f>[90]Source!R129-L125</f>
        <v>238.49</v>
      </c>
    </row>
    <row r="117" spans="1:22" ht="14.25" x14ac:dyDescent="0.2">
      <c r="A117" s="14"/>
      <c r="B117" s="14"/>
      <c r="C117" s="15"/>
      <c r="D117" s="15" t="s">
        <v>87</v>
      </c>
      <c r="E117" s="16"/>
      <c r="F117" s="4"/>
      <c r="G117" s="17">
        <f>[90]Source!AL128</f>
        <v>37.659999999999997</v>
      </c>
      <c r="H117" s="18">
        <f>[90]Source!DD128</f>
        <v>0</v>
      </c>
      <c r="I117" s="4">
        <f>[90]Source!AW129</f>
        <v>1.081</v>
      </c>
      <c r="J117" s="19">
        <f>[90]Source!P128</f>
        <v>5.69</v>
      </c>
      <c r="K117" s="4">
        <f>IF([90]Source!BC129&lt;&gt; 0, [90]Source!BC129, 1)</f>
        <v>5.58</v>
      </c>
      <c r="L117" s="19">
        <f>[90]Source!P129</f>
        <v>31.75</v>
      </c>
    </row>
    <row r="118" spans="1:22" ht="14.25" x14ac:dyDescent="0.2">
      <c r="A118" s="14"/>
      <c r="B118" s="14"/>
      <c r="C118" s="15"/>
      <c r="D118" s="15" t="s">
        <v>88</v>
      </c>
      <c r="E118" s="16" t="s">
        <v>89</v>
      </c>
      <c r="F118" s="4">
        <f>[90]Source!DN129</f>
        <v>112</v>
      </c>
      <c r="G118" s="17"/>
      <c r="H118" s="18"/>
      <c r="I118" s="4"/>
      <c r="J118" s="19">
        <f>SUM(Q113:Q117)</f>
        <v>52.24</v>
      </c>
      <c r="K118" s="4">
        <f>[90]Source!BZ129</f>
        <v>90</v>
      </c>
      <c r="L118" s="19">
        <f>SUM(R113:R117)</f>
        <v>1017.08</v>
      </c>
    </row>
    <row r="119" spans="1:22" ht="14.25" x14ac:dyDescent="0.2">
      <c r="A119" s="14"/>
      <c r="B119" s="14"/>
      <c r="C119" s="15"/>
      <c r="D119" s="15" t="s">
        <v>90</v>
      </c>
      <c r="E119" s="16" t="s">
        <v>89</v>
      </c>
      <c r="F119" s="4">
        <f>[90]Source!DO129</f>
        <v>70</v>
      </c>
      <c r="G119" s="17"/>
      <c r="H119" s="18"/>
      <c r="I119" s="4"/>
      <c r="J119" s="19">
        <f>SUM(S113:S118)</f>
        <v>32.65</v>
      </c>
      <c r="K119" s="4">
        <f>[90]Source!CA129</f>
        <v>43</v>
      </c>
      <c r="L119" s="19">
        <f>SUM(T113:T118)</f>
        <v>485.94</v>
      </c>
    </row>
    <row r="120" spans="1:22" ht="14.25" x14ac:dyDescent="0.2">
      <c r="A120" s="14"/>
      <c r="B120" s="14"/>
      <c r="C120" s="15"/>
      <c r="D120" s="15" t="s">
        <v>91</v>
      </c>
      <c r="E120" s="16" t="s">
        <v>89</v>
      </c>
      <c r="F120" s="4">
        <f>175</f>
        <v>175</v>
      </c>
      <c r="G120" s="17"/>
      <c r="H120" s="18"/>
      <c r="I120" s="4"/>
      <c r="J120" s="19">
        <f>SUM(U113:U119)-J126</f>
        <v>17.22</v>
      </c>
      <c r="K120" s="4">
        <f>157</f>
        <v>157</v>
      </c>
      <c r="L120" s="19">
        <f>SUM(V113:V119)-L126</f>
        <v>374.43</v>
      </c>
    </row>
    <row r="121" spans="1:22" ht="14.25" x14ac:dyDescent="0.2">
      <c r="A121" s="14"/>
      <c r="B121" s="14"/>
      <c r="C121" s="15"/>
      <c r="D121" s="15" t="s">
        <v>92</v>
      </c>
      <c r="E121" s="16" t="s">
        <v>93</v>
      </c>
      <c r="F121" s="4">
        <f>[90]Source!AQ128</f>
        <v>15.2</v>
      </c>
      <c r="G121" s="17"/>
      <c r="H121" s="18">
        <f>[90]Source!DI128</f>
        <v>0</v>
      </c>
      <c r="I121" s="4">
        <f>[90]Source!AV129</f>
        <v>1.0669999999999999</v>
      </c>
      <c r="J121" s="19">
        <f>[90]Source!U128</f>
        <v>2.2599999999999998</v>
      </c>
      <c r="K121" s="4"/>
      <c r="L121" s="19"/>
    </row>
    <row r="122" spans="1:22" ht="15" x14ac:dyDescent="0.25">
      <c r="I122" s="847">
        <f>J114+J115+J117+J118+J119+J120</f>
        <v>216.82</v>
      </c>
      <c r="J122" s="847"/>
      <c r="K122" s="847">
        <f>L114+L115+L117+L118+L119+L120</f>
        <v>3570.21</v>
      </c>
      <c r="L122" s="847"/>
      <c r="O122" s="21">
        <f>J114+J115+J117+J118+J119+J120</f>
        <v>216.82</v>
      </c>
      <c r="P122" s="21">
        <f>L114+L115+L117+L118+L119+L120</f>
        <v>3570.21</v>
      </c>
    </row>
    <row r="123" spans="1:22" ht="28.5" x14ac:dyDescent="0.2">
      <c r="A123" s="22"/>
      <c r="B123" s="22"/>
      <c r="C123" s="23"/>
      <c r="D123" s="23" t="s">
        <v>94</v>
      </c>
      <c r="E123" s="16"/>
      <c r="F123" s="24"/>
      <c r="G123" s="25"/>
      <c r="H123" s="16"/>
      <c r="I123" s="24"/>
      <c r="J123" s="20"/>
      <c r="K123" s="24"/>
      <c r="L123" s="20"/>
    </row>
    <row r="124" spans="1:22" ht="14.25" x14ac:dyDescent="0.2">
      <c r="A124" s="22"/>
      <c r="B124" s="22"/>
      <c r="C124" s="23"/>
      <c r="D124" s="23" t="s">
        <v>85</v>
      </c>
      <c r="E124" s="16"/>
      <c r="F124" s="24"/>
      <c r="G124" s="25">
        <f t="shared" ref="G124:L124" si="5">G125</f>
        <v>66.08</v>
      </c>
      <c r="H124" s="26" t="str">
        <f t="shared" si="5"/>
        <v>)*(1.67-1)</v>
      </c>
      <c r="I124" s="24">
        <f t="shared" si="5"/>
        <v>1.0669999999999999</v>
      </c>
      <c r="J124" s="20">
        <f t="shared" si="5"/>
        <v>6.6</v>
      </c>
      <c r="K124" s="24">
        <f t="shared" si="5"/>
        <v>24.23</v>
      </c>
      <c r="L124" s="20">
        <f t="shared" si="5"/>
        <v>159.85</v>
      </c>
    </row>
    <row r="125" spans="1:22" ht="14.25" x14ac:dyDescent="0.2">
      <c r="A125" s="22"/>
      <c r="B125" s="22"/>
      <c r="C125" s="23"/>
      <c r="D125" s="23" t="s">
        <v>86</v>
      </c>
      <c r="E125" s="16"/>
      <c r="F125" s="24"/>
      <c r="G125" s="25">
        <f>[90]Source!AN128</f>
        <v>66.08</v>
      </c>
      <c r="H125" s="26" t="s">
        <v>95</v>
      </c>
      <c r="I125" s="24">
        <f>[90]Source!AV129</f>
        <v>1.0669999999999999</v>
      </c>
      <c r="J125" s="20">
        <f>ROUND(F113*G125*I125*(1.67-1), 2)</f>
        <v>6.6</v>
      </c>
      <c r="K125" s="24">
        <f>IF([90]Source!BS129&lt;&gt; 0, [90]Source!BS129, 1)</f>
        <v>24.23</v>
      </c>
      <c r="L125" s="20">
        <f>ROUND(F113*G125*I125*(1.67-1)*K125, 2)</f>
        <v>159.85</v>
      </c>
    </row>
    <row r="126" spans="1:22" ht="14.25" x14ac:dyDescent="0.2">
      <c r="A126" s="22"/>
      <c r="B126" s="22"/>
      <c r="C126" s="23"/>
      <c r="D126" s="23" t="s">
        <v>91</v>
      </c>
      <c r="E126" s="16" t="s">
        <v>89</v>
      </c>
      <c r="F126" s="24">
        <f>175</f>
        <v>175</v>
      </c>
      <c r="G126" s="25"/>
      <c r="H126" s="16"/>
      <c r="I126" s="24"/>
      <c r="J126" s="20">
        <f>ROUND(J125*(F126/100), 2)</f>
        <v>11.55</v>
      </c>
      <c r="K126" s="24">
        <f>157</f>
        <v>157</v>
      </c>
      <c r="L126" s="20">
        <f>ROUND(L125*(K126/100), 2)</f>
        <v>250.96</v>
      </c>
    </row>
    <row r="127" spans="1:22" ht="15" x14ac:dyDescent="0.25">
      <c r="I127" s="847">
        <f>J126+J125</f>
        <v>18.149999999999999</v>
      </c>
      <c r="J127" s="847"/>
      <c r="K127" s="847">
        <f>L126+L125</f>
        <v>410.81</v>
      </c>
      <c r="L127" s="847"/>
      <c r="O127" s="21">
        <f>I127</f>
        <v>18.149999999999999</v>
      </c>
      <c r="P127" s="21">
        <f>K127</f>
        <v>410.81</v>
      </c>
    </row>
    <row r="129" spans="1:22" ht="15" x14ac:dyDescent="0.25">
      <c r="A129" s="27"/>
      <c r="B129" s="27"/>
      <c r="C129" s="28"/>
      <c r="D129" s="28" t="s">
        <v>96</v>
      </c>
      <c r="E129" s="29"/>
      <c r="F129" s="30"/>
      <c r="G129" s="31"/>
      <c r="H129" s="32"/>
      <c r="I129" s="847">
        <f>I122+I127</f>
        <v>234.97</v>
      </c>
      <c r="J129" s="847"/>
      <c r="K129" s="847">
        <f>K122+K127</f>
        <v>3981.02</v>
      </c>
      <c r="L129" s="847"/>
    </row>
    <row r="130" spans="1:22" ht="57" x14ac:dyDescent="0.2">
      <c r="A130" s="14">
        <v>7</v>
      </c>
      <c r="B130" s="14" t="str">
        <f>[90]Source!E130</f>
        <v>15</v>
      </c>
      <c r="C130" s="15" t="s">
        <v>205</v>
      </c>
      <c r="D130" s="15" t="s">
        <v>206</v>
      </c>
      <c r="E130" s="16" t="str">
        <f>[90]Source!H130</f>
        <v>100 М КАБЕЛЯ</v>
      </c>
      <c r="F130" s="4">
        <f>[90]Source!I130</f>
        <v>9.5549999999999996E-2</v>
      </c>
      <c r="G130" s="17"/>
      <c r="H130" s="18"/>
      <c r="I130" s="4"/>
      <c r="J130" s="19"/>
      <c r="K130" s="4"/>
      <c r="L130" s="19"/>
      <c r="N130" s="1">
        <f>0.09555*0.7</f>
        <v>6.6885E-2</v>
      </c>
      <c r="Q130" s="1">
        <f>[90]Source!X130</f>
        <v>43.74</v>
      </c>
      <c r="R130" s="1">
        <f>[90]Source!X131</f>
        <v>851.56</v>
      </c>
      <c r="S130" s="1">
        <f>[90]Source!Y130</f>
        <v>27.34</v>
      </c>
      <c r="T130" s="1">
        <f>[90]Source!Y131</f>
        <v>406.86</v>
      </c>
      <c r="U130" s="1">
        <f>ROUND((175/100)*ROUND([90]Source!R130, 2), 2)</f>
        <v>24.55</v>
      </c>
      <c r="V130" s="1">
        <f>ROUND((157/100)*ROUND([90]Source!R131, 2), 2)</f>
        <v>533.72</v>
      </c>
    </row>
    <row r="131" spans="1:22" ht="14.25" x14ac:dyDescent="0.2">
      <c r="A131" s="14"/>
      <c r="B131" s="14"/>
      <c r="C131" s="15"/>
      <c r="D131" s="15" t="s">
        <v>84</v>
      </c>
      <c r="E131" s="16"/>
      <c r="F131" s="4"/>
      <c r="G131" s="17">
        <f>[90]Source!AO130</f>
        <v>229.34</v>
      </c>
      <c r="H131" s="18" t="str">
        <f>[90]Source!DG130</f>
        <v>)*1,67</v>
      </c>
      <c r="I131" s="4">
        <f>[90]Source!AV131</f>
        <v>1.0669999999999999</v>
      </c>
      <c r="J131" s="19">
        <f>[90]Source!S130</f>
        <v>39.049999999999997</v>
      </c>
      <c r="K131" s="4">
        <f>IF([90]Source!BA131&lt;&gt; 0, [90]Source!BA131, 1)</f>
        <v>24.23</v>
      </c>
      <c r="L131" s="19">
        <f>[90]Source!S131</f>
        <v>946.18</v>
      </c>
    </row>
    <row r="132" spans="1:22" ht="14.25" x14ac:dyDescent="0.2">
      <c r="A132" s="14"/>
      <c r="B132" s="14"/>
      <c r="C132" s="15"/>
      <c r="D132" s="15" t="s">
        <v>85</v>
      </c>
      <c r="E132" s="16"/>
      <c r="F132" s="4"/>
      <c r="G132" s="17">
        <f>[90]Source!AM130</f>
        <v>517.55999999999995</v>
      </c>
      <c r="H132" s="18">
        <f>[90]Source!DE130</f>
        <v>0</v>
      </c>
      <c r="I132" s="4">
        <f>[90]Source!AV131</f>
        <v>1.0669999999999999</v>
      </c>
      <c r="J132" s="19">
        <f>[90]Source!Q130-J141</f>
        <v>52.77</v>
      </c>
      <c r="K132" s="4">
        <f>IF([90]Source!BB131&lt;&gt; 0, [90]Source!BB131, 1)</f>
        <v>8.5299999999999994</v>
      </c>
      <c r="L132" s="19">
        <f>[90]Source!Q131-L141</f>
        <v>450.18</v>
      </c>
    </row>
    <row r="133" spans="1:22" ht="14.25" x14ac:dyDescent="0.2">
      <c r="A133" s="14"/>
      <c r="B133" s="14"/>
      <c r="C133" s="15"/>
      <c r="D133" s="15" t="s">
        <v>86</v>
      </c>
      <c r="E133" s="16"/>
      <c r="F133" s="4"/>
      <c r="G133" s="17">
        <f>[90]Source!AN130</f>
        <v>82.39</v>
      </c>
      <c r="H133" s="18">
        <f>[90]Source!DE130</f>
        <v>0</v>
      </c>
      <c r="I133" s="4">
        <f>[90]Source!AV131</f>
        <v>1.0669999999999999</v>
      </c>
      <c r="J133" s="20">
        <f>[90]Source!R130-J142</f>
        <v>8.4</v>
      </c>
      <c r="K133" s="4">
        <f>IF([90]Source!BS131&lt;&gt; 0, [90]Source!BS131, 1)</f>
        <v>24.23</v>
      </c>
      <c r="L133" s="20">
        <f>[90]Source!R131-L142</f>
        <v>203.59</v>
      </c>
    </row>
    <row r="134" spans="1:22" ht="14.25" x14ac:dyDescent="0.2">
      <c r="A134" s="14"/>
      <c r="B134" s="14"/>
      <c r="C134" s="15"/>
      <c r="D134" s="15" t="s">
        <v>87</v>
      </c>
      <c r="E134" s="16"/>
      <c r="F134" s="4"/>
      <c r="G134" s="17">
        <f>[90]Source!AL130</f>
        <v>38.08</v>
      </c>
      <c r="H134" s="18">
        <f>[90]Source!DD130</f>
        <v>0</v>
      </c>
      <c r="I134" s="4">
        <f>[90]Source!AW131</f>
        <v>1.081</v>
      </c>
      <c r="J134" s="19">
        <f>[90]Source!P130</f>
        <v>3.93</v>
      </c>
      <c r="K134" s="4">
        <f>IF([90]Source!BC131&lt;&gt; 0, [90]Source!BC131, 1)</f>
        <v>5.58</v>
      </c>
      <c r="L134" s="19">
        <f>[90]Source!P131</f>
        <v>21.93</v>
      </c>
    </row>
    <row r="135" spans="1:22" ht="14.25" x14ac:dyDescent="0.2">
      <c r="A135" s="14"/>
      <c r="B135" s="14"/>
      <c r="C135" s="15"/>
      <c r="D135" s="15" t="s">
        <v>88</v>
      </c>
      <c r="E135" s="16" t="s">
        <v>89</v>
      </c>
      <c r="F135" s="4">
        <f>[90]Source!DN131</f>
        <v>112</v>
      </c>
      <c r="G135" s="17"/>
      <c r="H135" s="18"/>
      <c r="I135" s="4"/>
      <c r="J135" s="19">
        <f>SUM(Q130:Q134)</f>
        <v>43.74</v>
      </c>
      <c r="K135" s="4">
        <f>[90]Source!BZ131</f>
        <v>90</v>
      </c>
      <c r="L135" s="19">
        <f>SUM(R130:R134)</f>
        <v>851.56</v>
      </c>
    </row>
    <row r="136" spans="1:22" ht="14.25" x14ac:dyDescent="0.2">
      <c r="A136" s="14"/>
      <c r="B136" s="14"/>
      <c r="C136" s="15"/>
      <c r="D136" s="15" t="s">
        <v>90</v>
      </c>
      <c r="E136" s="16" t="s">
        <v>89</v>
      </c>
      <c r="F136" s="4">
        <f>[90]Source!DO131</f>
        <v>70</v>
      </c>
      <c r="G136" s="17"/>
      <c r="H136" s="18"/>
      <c r="I136" s="4"/>
      <c r="J136" s="19">
        <f>SUM(S130:S135)</f>
        <v>27.34</v>
      </c>
      <c r="K136" s="4">
        <f>[90]Source!CA131</f>
        <v>43</v>
      </c>
      <c r="L136" s="19">
        <f>SUM(T130:T135)</f>
        <v>406.86</v>
      </c>
    </row>
    <row r="137" spans="1:22" ht="14.25" x14ac:dyDescent="0.2">
      <c r="A137" s="14"/>
      <c r="B137" s="14"/>
      <c r="C137" s="15"/>
      <c r="D137" s="15" t="s">
        <v>91</v>
      </c>
      <c r="E137" s="16" t="s">
        <v>89</v>
      </c>
      <c r="F137" s="4">
        <f>175</f>
        <v>175</v>
      </c>
      <c r="G137" s="17"/>
      <c r="H137" s="18"/>
      <c r="I137" s="4"/>
      <c r="J137" s="19">
        <f>SUM(U130:U136)-J143</f>
        <v>14.7</v>
      </c>
      <c r="K137" s="4">
        <f>157</f>
        <v>157</v>
      </c>
      <c r="L137" s="19">
        <f>SUM(V130:V136)-L143</f>
        <v>319.63</v>
      </c>
    </row>
    <row r="138" spans="1:22" ht="14.25" x14ac:dyDescent="0.2">
      <c r="A138" s="14"/>
      <c r="B138" s="14"/>
      <c r="C138" s="15"/>
      <c r="D138" s="15" t="s">
        <v>92</v>
      </c>
      <c r="E138" s="16" t="s">
        <v>93</v>
      </c>
      <c r="F138" s="4">
        <f>[90]Source!AQ130</f>
        <v>18.600000000000001</v>
      </c>
      <c r="G138" s="17"/>
      <c r="H138" s="18">
        <f>[90]Source!DI130</f>
        <v>0</v>
      </c>
      <c r="I138" s="4">
        <f>[90]Source!AV131</f>
        <v>1.0669999999999999</v>
      </c>
      <c r="J138" s="19">
        <f>[90]Source!U130</f>
        <v>1.9</v>
      </c>
      <c r="K138" s="4"/>
      <c r="L138" s="19"/>
    </row>
    <row r="139" spans="1:22" ht="15" x14ac:dyDescent="0.25">
      <c r="I139" s="847">
        <f>J131+J132+J134+J135+J136+J137</f>
        <v>181.53</v>
      </c>
      <c r="J139" s="847"/>
      <c r="K139" s="847">
        <f>L131+L132+L134+L135+L136+L137</f>
        <v>2996.34</v>
      </c>
      <c r="L139" s="847"/>
      <c r="O139" s="21">
        <f>J131+J132+J134+J135+J136+J137</f>
        <v>181.53</v>
      </c>
      <c r="P139" s="21">
        <f>L131+L132+L134+L135+L136+L137</f>
        <v>2996.34</v>
      </c>
    </row>
    <row r="140" spans="1:22" ht="28.5" x14ac:dyDescent="0.2">
      <c r="A140" s="22"/>
      <c r="B140" s="22"/>
      <c r="C140" s="23"/>
      <c r="D140" s="23" t="s">
        <v>94</v>
      </c>
      <c r="E140" s="16"/>
      <c r="F140" s="24"/>
      <c r="G140" s="25"/>
      <c r="H140" s="16"/>
      <c r="I140" s="24"/>
      <c r="J140" s="20"/>
      <c r="K140" s="24"/>
      <c r="L140" s="20"/>
    </row>
    <row r="141" spans="1:22" ht="14.25" x14ac:dyDescent="0.2">
      <c r="A141" s="22"/>
      <c r="B141" s="22"/>
      <c r="C141" s="23"/>
      <c r="D141" s="23" t="s">
        <v>85</v>
      </c>
      <c r="E141" s="16"/>
      <c r="F141" s="24"/>
      <c r="G141" s="25">
        <f t="shared" ref="G141:L141" si="6">G142</f>
        <v>82.39</v>
      </c>
      <c r="H141" s="26" t="str">
        <f t="shared" si="6"/>
        <v>)*(1.67-1)</v>
      </c>
      <c r="I141" s="24">
        <f t="shared" si="6"/>
        <v>1.0669999999999999</v>
      </c>
      <c r="J141" s="20">
        <f t="shared" si="6"/>
        <v>5.63</v>
      </c>
      <c r="K141" s="24">
        <f t="shared" si="6"/>
        <v>24.23</v>
      </c>
      <c r="L141" s="20">
        <f t="shared" si="6"/>
        <v>136.36000000000001</v>
      </c>
    </row>
    <row r="142" spans="1:22" ht="14.25" x14ac:dyDescent="0.2">
      <c r="A142" s="22"/>
      <c r="B142" s="22"/>
      <c r="C142" s="23"/>
      <c r="D142" s="23" t="s">
        <v>86</v>
      </c>
      <c r="E142" s="16"/>
      <c r="F142" s="24"/>
      <c r="G142" s="25">
        <f>[90]Source!AN130</f>
        <v>82.39</v>
      </c>
      <c r="H142" s="26" t="s">
        <v>95</v>
      </c>
      <c r="I142" s="24">
        <f>[90]Source!AV131</f>
        <v>1.0669999999999999</v>
      </c>
      <c r="J142" s="20">
        <f>ROUND(F130*G142*I142*(1.67-1), 2)</f>
        <v>5.63</v>
      </c>
      <c r="K142" s="24">
        <f>IF([90]Source!BS131&lt;&gt; 0, [90]Source!BS131, 1)</f>
        <v>24.23</v>
      </c>
      <c r="L142" s="20">
        <f>ROUND(F130*G142*I142*(1.67-1)*K142, 2)</f>
        <v>136.36000000000001</v>
      </c>
    </row>
    <row r="143" spans="1:22" ht="14.25" x14ac:dyDescent="0.2">
      <c r="A143" s="22"/>
      <c r="B143" s="22"/>
      <c r="C143" s="23"/>
      <c r="D143" s="23" t="s">
        <v>91</v>
      </c>
      <c r="E143" s="16" t="s">
        <v>89</v>
      </c>
      <c r="F143" s="24">
        <f>175</f>
        <v>175</v>
      </c>
      <c r="G143" s="25"/>
      <c r="H143" s="16"/>
      <c r="I143" s="24"/>
      <c r="J143" s="20">
        <f>ROUND(J142*(F143/100), 2)</f>
        <v>9.85</v>
      </c>
      <c r="K143" s="24">
        <f>157</f>
        <v>157</v>
      </c>
      <c r="L143" s="20">
        <f>ROUND(L142*(K143/100), 2)</f>
        <v>214.09</v>
      </c>
    </row>
    <row r="144" spans="1:22" ht="15" x14ac:dyDescent="0.25">
      <c r="I144" s="847">
        <f>J143+J142</f>
        <v>15.48</v>
      </c>
      <c r="J144" s="847"/>
      <c r="K144" s="847">
        <f>L143+L142</f>
        <v>350.45</v>
      </c>
      <c r="L144" s="847"/>
      <c r="O144" s="21">
        <f>I144</f>
        <v>15.48</v>
      </c>
      <c r="P144" s="21">
        <f>K144</f>
        <v>350.45</v>
      </c>
    </row>
    <row r="146" spans="1:22" ht="15" x14ac:dyDescent="0.25">
      <c r="A146" s="27"/>
      <c r="B146" s="27"/>
      <c r="C146" s="28"/>
      <c r="D146" s="28" t="s">
        <v>96</v>
      </c>
      <c r="E146" s="29"/>
      <c r="F146" s="30"/>
      <c r="G146" s="31"/>
      <c r="H146" s="32"/>
      <c r="I146" s="847">
        <f>I139+I144</f>
        <v>197.01</v>
      </c>
      <c r="J146" s="847"/>
      <c r="K146" s="847">
        <f>K139+K144</f>
        <v>3346.79</v>
      </c>
      <c r="L146" s="847"/>
    </row>
    <row r="148" spans="1:22" ht="15" x14ac:dyDescent="0.25">
      <c r="A148" s="879" t="str">
        <f>CONCATENATE("Итого по подразделу: ",IF([90]Source!G135&lt;&gt;"Новый подраздел", [90]Source!G135, ""))</f>
        <v>Итого по подразделу: Кабель и провода</v>
      </c>
      <c r="B148" s="879"/>
      <c r="C148" s="879"/>
      <c r="D148" s="879"/>
      <c r="E148" s="879"/>
      <c r="F148" s="879"/>
      <c r="G148" s="879"/>
      <c r="H148" s="879"/>
      <c r="I148" s="880">
        <f>SUM(O44:O147)</f>
        <v>13400.57</v>
      </c>
      <c r="J148" s="881"/>
      <c r="K148" s="880">
        <f>SUM(P44:P147)</f>
        <v>227203.18</v>
      </c>
      <c r="L148" s="881"/>
    </row>
    <row r="149" spans="1:22" hidden="1" x14ac:dyDescent="0.2">
      <c r="A149" s="1" t="s">
        <v>139</v>
      </c>
      <c r="J149" s="1">
        <f>SUM(W44:W148)</f>
        <v>0</v>
      </c>
      <c r="K149" s="1">
        <f>SUM(X44:X148)</f>
        <v>0</v>
      </c>
    </row>
    <row r="150" spans="1:22" hidden="1" x14ac:dyDescent="0.2">
      <c r="A150" s="1" t="s">
        <v>140</v>
      </c>
      <c r="J150" s="1">
        <f>SUM(Y44:Y149)</f>
        <v>0</v>
      </c>
      <c r="K150" s="1">
        <f>SUM(Z44:Z149)</f>
        <v>0</v>
      </c>
    </row>
    <row r="152" spans="1:22" ht="15" x14ac:dyDescent="0.25">
      <c r="A152" s="879" t="str">
        <f>CONCATENATE("Итого по разделу: ",IF([90]Source!G338&lt;&gt;"Новый раздел", [90]Source!G338, ""))</f>
        <v>Итого по разделу: Монтажные работы</v>
      </c>
      <c r="B152" s="879"/>
      <c r="C152" s="879"/>
      <c r="D152" s="879"/>
      <c r="E152" s="879"/>
      <c r="F152" s="879"/>
      <c r="G152" s="879"/>
      <c r="H152" s="879"/>
      <c r="I152" s="880">
        <f>SUM(O19:O151)</f>
        <v>16374.11</v>
      </c>
      <c r="J152" s="881"/>
      <c r="K152" s="880">
        <f>SUM(P19:P151)</f>
        <v>268264.78000000003</v>
      </c>
      <c r="L152" s="881"/>
    </row>
    <row r="153" spans="1:22" hidden="1" x14ac:dyDescent="0.2">
      <c r="A153" s="1" t="s">
        <v>139</v>
      </c>
      <c r="J153" s="1">
        <f>SUM(W19:W152)</f>
        <v>0</v>
      </c>
      <c r="K153" s="1">
        <f>SUM(X19:X152)</f>
        <v>0</v>
      </c>
    </row>
    <row r="154" spans="1:22" hidden="1" x14ac:dyDescent="0.2">
      <c r="A154" s="1" t="s">
        <v>140</v>
      </c>
      <c r="J154" s="1">
        <f>SUM(Y19:Y153)</f>
        <v>0</v>
      </c>
      <c r="K154" s="1">
        <f>SUM(Z19:Z153)</f>
        <v>0</v>
      </c>
    </row>
    <row r="156" spans="1:22" ht="16.5" x14ac:dyDescent="0.25">
      <c r="A156" s="854" t="str">
        <f>CONCATENATE("Раздел: ",IF([90]Source!G367&lt;&gt;"Новый раздел", [90]Source!G367, ""))</f>
        <v>Раздел: Низковольтное оборудование</v>
      </c>
      <c r="B156" s="854"/>
      <c r="C156" s="854"/>
      <c r="D156" s="854"/>
      <c r="E156" s="854"/>
      <c r="F156" s="854"/>
      <c r="G156" s="854"/>
      <c r="H156" s="854"/>
      <c r="I156" s="854"/>
      <c r="J156" s="854"/>
      <c r="K156" s="854"/>
      <c r="L156" s="854"/>
    </row>
    <row r="157" spans="1:22" ht="228" x14ac:dyDescent="0.2">
      <c r="A157" s="877">
        <v>8</v>
      </c>
      <c r="B157" s="877" t="str">
        <f>[90]Source!E371</f>
        <v>29</v>
      </c>
      <c r="C157" s="34" t="str">
        <f>[90]Source!F371</f>
        <v>Прайс-лист</v>
      </c>
      <c r="D157" s="34" t="s">
        <v>209</v>
      </c>
      <c r="E157" s="52" t="str">
        <f>[90]Source!H371</f>
        <v>шт.</v>
      </c>
      <c r="F157" s="77">
        <f>[90]Source!I371</f>
        <v>4</v>
      </c>
      <c r="G157" s="19"/>
      <c r="H157" s="18">
        <f>[90]Source!DD371</f>
        <v>0</v>
      </c>
      <c r="I157" s="4"/>
      <c r="J157" s="19"/>
      <c r="K157" s="4"/>
      <c r="L157" s="19"/>
      <c r="Q157" s="1">
        <f>[90]Source!X371</f>
        <v>0</v>
      </c>
      <c r="R157" s="1">
        <f>[90]Source!X372</f>
        <v>0</v>
      </c>
      <c r="S157" s="1">
        <f>[90]Source!Y371</f>
        <v>0</v>
      </c>
      <c r="T157" s="1">
        <f>[90]Source!Y372</f>
        <v>0</v>
      </c>
      <c r="U157" s="1">
        <f>ROUND((175/100)*ROUND([90]Source!R371, 2), 2)</f>
        <v>0</v>
      </c>
      <c r="V157" s="1">
        <f>ROUND((157/100)*ROUND([90]Source!R372, 2), 2)</f>
        <v>0</v>
      </c>
    </row>
    <row r="158" spans="1:22" ht="42.75" x14ac:dyDescent="0.2">
      <c r="A158" s="877"/>
      <c r="B158" s="877"/>
      <c r="C158" s="15" t="s">
        <v>216</v>
      </c>
      <c r="D158" s="15" t="s">
        <v>217</v>
      </c>
      <c r="E158" s="16" t="str">
        <f>[90]Source!H372</f>
        <v>шт.</v>
      </c>
      <c r="F158" s="75">
        <v>1</v>
      </c>
      <c r="G158" s="19">
        <f>J158/F158</f>
        <v>8791.16</v>
      </c>
      <c r="H158" s="18"/>
      <c r="I158" s="4"/>
      <c r="J158" s="19">
        <f>L158/K158</f>
        <v>8791.16</v>
      </c>
      <c r="K158" s="4">
        <v>4.5599999999999996</v>
      </c>
      <c r="L158" s="19">
        <f>40087.71*F158</f>
        <v>40087.71</v>
      </c>
    </row>
    <row r="159" spans="1:22" ht="42.75" x14ac:dyDescent="0.2">
      <c r="A159" s="877"/>
      <c r="B159" s="877"/>
      <c r="C159" s="15" t="s">
        <v>216</v>
      </c>
      <c r="D159" s="15" t="s">
        <v>222</v>
      </c>
      <c r="E159" s="16" t="str">
        <f>[90]Source!H373</f>
        <v>шт.</v>
      </c>
      <c r="F159" s="75">
        <v>1</v>
      </c>
      <c r="G159" s="19">
        <f>J159/F159</f>
        <v>9265.18</v>
      </c>
      <c r="H159" s="18"/>
      <c r="I159" s="4"/>
      <c r="J159" s="19">
        <f>L159/K159</f>
        <v>9265.18</v>
      </c>
      <c r="K159" s="4">
        <v>4.5599999999999996</v>
      </c>
      <c r="L159" s="19">
        <f>42249.24*F159</f>
        <v>42249.24</v>
      </c>
    </row>
    <row r="160" spans="1:22" ht="42.75" x14ac:dyDescent="0.2">
      <c r="A160" s="877"/>
      <c r="B160" s="877"/>
      <c r="C160" s="15" t="s">
        <v>216</v>
      </c>
      <c r="D160" s="15" t="s">
        <v>223</v>
      </c>
      <c r="E160" s="16" t="str">
        <f>[90]Source!H374</f>
        <v>шт.</v>
      </c>
      <c r="F160" s="75">
        <v>1</v>
      </c>
      <c r="G160" s="19">
        <f>J160/F160</f>
        <v>7532.37</v>
      </c>
      <c r="H160" s="18"/>
      <c r="I160" s="4"/>
      <c r="J160" s="19">
        <f>L160/K160</f>
        <v>7532.37</v>
      </c>
      <c r="K160" s="4">
        <v>4.5599999999999996</v>
      </c>
      <c r="L160" s="19">
        <f>34347.6*F160</f>
        <v>34347.599999999999</v>
      </c>
    </row>
    <row r="161" spans="1:22" ht="42.75" x14ac:dyDescent="0.2">
      <c r="A161" s="878"/>
      <c r="B161" s="878"/>
      <c r="C161" s="15" t="s">
        <v>216</v>
      </c>
      <c r="D161" s="15" t="s">
        <v>224</v>
      </c>
      <c r="E161" s="16" t="str">
        <f>[90]Source!H375</f>
        <v>шт.</v>
      </c>
      <c r="F161" s="75">
        <v>1</v>
      </c>
      <c r="G161" s="19">
        <f>J161/F161</f>
        <v>11969.82</v>
      </c>
      <c r="H161" s="18"/>
      <c r="I161" s="4"/>
      <c r="J161" s="19">
        <f>L161/K161</f>
        <v>11969.82</v>
      </c>
      <c r="K161" s="4">
        <v>4.5599999999999996</v>
      </c>
      <c r="L161" s="19">
        <f>54582.4*F161</f>
        <v>54582.400000000001</v>
      </c>
    </row>
    <row r="162" spans="1:22" ht="15" x14ac:dyDescent="0.25">
      <c r="A162" s="35"/>
      <c r="B162" s="35"/>
      <c r="C162" s="35"/>
      <c r="D162" s="35"/>
      <c r="E162" s="35"/>
      <c r="F162" s="35"/>
      <c r="G162" s="35"/>
      <c r="H162" s="35"/>
      <c r="I162" s="847">
        <f>J158+J159+J160+J161</f>
        <v>37558.53</v>
      </c>
      <c r="J162" s="847"/>
      <c r="K162" s="847">
        <f>L158+L159+L160+L161</f>
        <v>171266.95</v>
      </c>
      <c r="L162" s="847"/>
      <c r="O162" s="21">
        <f>J157</f>
        <v>0</v>
      </c>
      <c r="P162" s="21">
        <f>L157</f>
        <v>0</v>
      </c>
    </row>
    <row r="163" spans="1:22" ht="242.25" x14ac:dyDescent="0.2">
      <c r="A163" s="877">
        <v>9</v>
      </c>
      <c r="B163" s="877" t="str">
        <f>[90]Source!E373</f>
        <v>30</v>
      </c>
      <c r="C163" s="34" t="str">
        <f>[90]Source!F373</f>
        <v>Прайс-лист</v>
      </c>
      <c r="D163" s="34" t="s">
        <v>210</v>
      </c>
      <c r="E163" s="52" t="str">
        <f>[90]Source!H373</f>
        <v>шт.</v>
      </c>
      <c r="F163" s="77">
        <v>1</v>
      </c>
      <c r="G163" s="19"/>
      <c r="H163" s="18"/>
      <c r="I163" s="4"/>
      <c r="J163" s="19"/>
      <c r="K163" s="4"/>
      <c r="L163" s="19"/>
      <c r="Q163" s="1">
        <f>[90]Source!X373</f>
        <v>0</v>
      </c>
      <c r="R163" s="1">
        <f>[90]Source!X374</f>
        <v>0</v>
      </c>
      <c r="S163" s="1">
        <f>[90]Source!Y373</f>
        <v>0</v>
      </c>
      <c r="T163" s="1">
        <f>[90]Source!Y374</f>
        <v>0</v>
      </c>
      <c r="U163" s="1">
        <f>ROUND((175/100)*ROUND([90]Source!R373, 2), 2)</f>
        <v>0</v>
      </c>
      <c r="V163" s="1">
        <f>ROUND((157/100)*ROUND([90]Source!R374, 2), 2)</f>
        <v>0</v>
      </c>
    </row>
    <row r="164" spans="1:22" ht="42.75" x14ac:dyDescent="0.2">
      <c r="A164" s="877"/>
      <c r="B164" s="877"/>
      <c r="C164" s="15" t="s">
        <v>216</v>
      </c>
      <c r="D164" s="15" t="s">
        <v>225</v>
      </c>
      <c r="E164" s="16" t="str">
        <f>[90]Source!H374</f>
        <v>шт.</v>
      </c>
      <c r="F164" s="75">
        <v>1</v>
      </c>
      <c r="G164" s="19">
        <f>J164/F164</f>
        <v>11328.24</v>
      </c>
      <c r="H164" s="18"/>
      <c r="I164" s="4"/>
      <c r="J164" s="19">
        <f>L164/K164</f>
        <v>11328.24</v>
      </c>
      <c r="K164" s="4">
        <v>4.5599999999999996</v>
      </c>
      <c r="L164" s="19">
        <f>51656.76*F164</f>
        <v>51656.76</v>
      </c>
    </row>
    <row r="165" spans="1:22" ht="15" x14ac:dyDescent="0.25">
      <c r="A165" s="35"/>
      <c r="B165" s="35"/>
      <c r="C165" s="35"/>
      <c r="D165" s="35"/>
      <c r="E165" s="35"/>
      <c r="F165" s="35"/>
      <c r="G165" s="35"/>
      <c r="H165" s="35"/>
      <c r="I165" s="847">
        <f>J164</f>
        <v>11328.24</v>
      </c>
      <c r="J165" s="847"/>
      <c r="K165" s="847">
        <f>L164</f>
        <v>51656.76</v>
      </c>
      <c r="L165" s="847"/>
      <c r="O165" s="21">
        <f>J163</f>
        <v>0</v>
      </c>
      <c r="P165" s="21">
        <f>L163</f>
        <v>0</v>
      </c>
    </row>
    <row r="167" spans="1:22" ht="15" x14ac:dyDescent="0.25">
      <c r="A167" s="879" t="str">
        <f>CONCATENATE("Итого по разделу: ",IF([90]Source!G396&lt;&gt;"Новый раздел", [90]Source!G396, ""))</f>
        <v>Итого по разделу: Низковольтное оборудование</v>
      </c>
      <c r="B167" s="879"/>
      <c r="C167" s="879"/>
      <c r="D167" s="879"/>
      <c r="E167" s="879"/>
      <c r="F167" s="879"/>
      <c r="G167" s="879"/>
      <c r="H167" s="879"/>
      <c r="I167" s="880">
        <f>I165+I162</f>
        <v>48886.77</v>
      </c>
      <c r="J167" s="881"/>
      <c r="K167" s="880">
        <f>K165+K162</f>
        <v>222923.71</v>
      </c>
      <c r="L167" s="881"/>
    </row>
    <row r="168" spans="1:22" hidden="1" x14ac:dyDescent="0.2">
      <c r="A168" s="1" t="s">
        <v>139</v>
      </c>
      <c r="J168" s="1">
        <f>SUM(W156:W167)</f>
        <v>0</v>
      </c>
      <c r="K168" s="1">
        <f>SUM(X156:X167)</f>
        <v>0</v>
      </c>
    </row>
    <row r="169" spans="1:22" hidden="1" x14ac:dyDescent="0.2">
      <c r="A169" s="1" t="s">
        <v>140</v>
      </c>
      <c r="J169" s="1">
        <f>SUM(Y156:Y168)</f>
        <v>0</v>
      </c>
      <c r="K169" s="1">
        <f>SUM(Z156:Z168)</f>
        <v>0</v>
      </c>
    </row>
    <row r="171" spans="1:22" ht="16.5" x14ac:dyDescent="0.25">
      <c r="A171" s="854" t="str">
        <f>CONCATENATE("Раздел: ",IF([90]Source!G425&lt;&gt;"Новый раздел", [90]Source!G425, ""))</f>
        <v>Раздел: Материалы, не учтённые в цене монтажа</v>
      </c>
      <c r="B171" s="854"/>
      <c r="C171" s="854"/>
      <c r="D171" s="854"/>
      <c r="E171" s="854"/>
      <c r="F171" s="854"/>
      <c r="G171" s="854"/>
      <c r="H171" s="854"/>
      <c r="I171" s="854"/>
      <c r="J171" s="854"/>
      <c r="K171" s="854"/>
      <c r="L171" s="854"/>
    </row>
    <row r="173" spans="1:22" ht="16.5" x14ac:dyDescent="0.25">
      <c r="A173" s="854" t="str">
        <f>CONCATENATE("Подраздел: ",IF([90]Source!G489&lt;&gt;"Новый подраздел", [90]Source!G489, ""))</f>
        <v>Подраздел: Кабели и провода. Кабельные изделия.</v>
      </c>
      <c r="B173" s="854"/>
      <c r="C173" s="854"/>
      <c r="D173" s="854"/>
      <c r="E173" s="854"/>
      <c r="F173" s="854"/>
      <c r="G173" s="854"/>
      <c r="H173" s="854"/>
      <c r="I173" s="854"/>
      <c r="J173" s="854"/>
      <c r="K173" s="854"/>
      <c r="L173" s="854"/>
    </row>
    <row r="174" spans="1:22" s="60" customFormat="1" ht="114" x14ac:dyDescent="0.2">
      <c r="A174" s="906">
        <v>12</v>
      </c>
      <c r="B174" s="906" t="str">
        <f>[90]Source!E513</f>
        <v>64</v>
      </c>
      <c r="C174" s="63" t="str">
        <f>[90]Source!F513</f>
        <v>1.23-8-687</v>
      </c>
      <c r="D174" s="63" t="s">
        <v>211</v>
      </c>
      <c r="E174" s="56" t="s">
        <v>105</v>
      </c>
      <c r="F174" s="59">
        <f>0.125*0.7</f>
        <v>8.7499999999999994E-2</v>
      </c>
      <c r="G174" s="124">
        <v>57588.71</v>
      </c>
      <c r="H174" s="58"/>
      <c r="I174" s="59"/>
      <c r="J174" s="57">
        <f>F174*G174</f>
        <v>5039.01</v>
      </c>
      <c r="K174" s="59">
        <v>2.96</v>
      </c>
      <c r="L174" s="57">
        <f>J174*K174</f>
        <v>14915.47</v>
      </c>
      <c r="Q174" s="60">
        <f>[90]Source!X513</f>
        <v>0</v>
      </c>
      <c r="R174" s="60">
        <f>[90]Source!X514</f>
        <v>0</v>
      </c>
      <c r="S174" s="60">
        <f>[90]Source!Y513</f>
        <v>0</v>
      </c>
      <c r="T174" s="60">
        <f>[90]Source!Y514</f>
        <v>0</v>
      </c>
      <c r="U174" s="60">
        <f>ROUND((175/100)*ROUND([90]Source!R513, 2), 2)</f>
        <v>0</v>
      </c>
      <c r="V174" s="60">
        <f>ROUND((157/100)*ROUND([90]Source!R514, 2), 2)</f>
        <v>0</v>
      </c>
    </row>
    <row r="175" spans="1:22" s="60" customFormat="1" ht="42.75" hidden="1" x14ac:dyDescent="0.2">
      <c r="A175" s="907"/>
      <c r="B175" s="907"/>
      <c r="C175" s="55" t="s">
        <v>226</v>
      </c>
      <c r="D175" s="55" t="s">
        <v>227</v>
      </c>
      <c r="E175" s="56" t="s">
        <v>105</v>
      </c>
      <c r="F175" s="59">
        <f>0.125*0.7</f>
        <v>8.7499999999999994E-2</v>
      </c>
      <c r="G175" s="57">
        <f>J175/F175</f>
        <v>21627.77</v>
      </c>
      <c r="H175" s="58"/>
      <c r="I175" s="59"/>
      <c r="J175" s="57">
        <f>L175/K175</f>
        <v>1892.43</v>
      </c>
      <c r="K175" s="59">
        <v>5.58</v>
      </c>
      <c r="L175" s="57">
        <f>120683.21*F175</f>
        <v>10559.78</v>
      </c>
      <c r="N175" s="60">
        <v>8.7499999999999994E-2</v>
      </c>
    </row>
    <row r="176" spans="1:22" s="60" customFormat="1" ht="15" x14ac:dyDescent="0.25">
      <c r="A176" s="61"/>
      <c r="B176" s="61"/>
      <c r="C176" s="61"/>
      <c r="D176" s="61"/>
      <c r="E176" s="61"/>
      <c r="F176" s="61"/>
      <c r="G176" s="61"/>
      <c r="H176" s="61"/>
      <c r="I176" s="905">
        <f>J174</f>
        <v>5039.01</v>
      </c>
      <c r="J176" s="905"/>
      <c r="K176" s="905">
        <f>L174</f>
        <v>14915.47</v>
      </c>
      <c r="L176" s="905"/>
      <c r="O176" s="62">
        <f>J174</f>
        <v>5039.01</v>
      </c>
      <c r="P176" s="62">
        <f>L174</f>
        <v>14915.47</v>
      </c>
    </row>
    <row r="177" spans="1:41" s="60" customFormat="1" ht="57" x14ac:dyDescent="0.2">
      <c r="A177" s="906">
        <v>13</v>
      </c>
      <c r="B177" s="906" t="str">
        <f>[90]Source!E519</f>
        <v>67</v>
      </c>
      <c r="C177" s="63" t="str">
        <f>[90]Source!F519</f>
        <v>1.23-8-1037</v>
      </c>
      <c r="D177" s="63" t="s">
        <v>212</v>
      </c>
      <c r="E177" s="56" t="s">
        <v>105</v>
      </c>
      <c r="F177" s="59">
        <v>4.5499999999999999E-2</v>
      </c>
      <c r="G177" s="124">
        <v>92003</v>
      </c>
      <c r="H177" s="58"/>
      <c r="I177" s="59"/>
      <c r="J177" s="57">
        <f>F177*G177</f>
        <v>4186.1400000000003</v>
      </c>
      <c r="K177" s="59">
        <v>4.87</v>
      </c>
      <c r="L177" s="57">
        <f>J177*K177</f>
        <v>20386.5</v>
      </c>
      <c r="Q177" s="60">
        <f>[90]Source!X519</f>
        <v>0</v>
      </c>
      <c r="R177" s="60">
        <f>[90]Source!X520</f>
        <v>0</v>
      </c>
      <c r="S177" s="60">
        <f>[90]Source!Y519</f>
        <v>0</v>
      </c>
      <c r="T177" s="60">
        <f>[90]Source!Y520</f>
        <v>0</v>
      </c>
      <c r="U177" s="60">
        <f>ROUND((175/100)*ROUND([90]Source!R519, 2), 2)</f>
        <v>0</v>
      </c>
      <c r="V177" s="60">
        <f>ROUND((157/100)*ROUND([90]Source!R520, 2), 2)</f>
        <v>0</v>
      </c>
    </row>
    <row r="178" spans="1:41" s="60" customFormat="1" ht="42.75" hidden="1" x14ac:dyDescent="0.2">
      <c r="A178" s="907"/>
      <c r="B178" s="907"/>
      <c r="C178" s="55" t="s">
        <v>226</v>
      </c>
      <c r="D178" s="55" t="s">
        <v>228</v>
      </c>
      <c r="E178" s="56" t="s">
        <v>105</v>
      </c>
      <c r="F178" s="59">
        <v>4.5499999999999999E-2</v>
      </c>
      <c r="G178" s="57">
        <f>J178/F178</f>
        <v>59060.44</v>
      </c>
      <c r="H178" s="58"/>
      <c r="I178" s="59"/>
      <c r="J178" s="57">
        <f>L178/K178</f>
        <v>2687.25</v>
      </c>
      <c r="K178" s="59">
        <v>5.58</v>
      </c>
      <c r="L178" s="57">
        <f>329556.83*F178</f>
        <v>14994.84</v>
      </c>
      <c r="N178" s="60">
        <v>4.5499999999999999E-2</v>
      </c>
    </row>
    <row r="179" spans="1:41" s="60" customFormat="1" ht="15" x14ac:dyDescent="0.25">
      <c r="A179" s="61"/>
      <c r="B179" s="61"/>
      <c r="C179" s="61"/>
      <c r="D179" s="61"/>
      <c r="E179" s="61"/>
      <c r="F179" s="61"/>
      <c r="G179" s="61"/>
      <c r="H179" s="61"/>
      <c r="I179" s="905">
        <f>J177</f>
        <v>4186.1400000000003</v>
      </c>
      <c r="J179" s="905"/>
      <c r="K179" s="905">
        <f>L177</f>
        <v>20386.5</v>
      </c>
      <c r="L179" s="905"/>
      <c r="O179" s="62">
        <f>J177</f>
        <v>4186.1400000000003</v>
      </c>
      <c r="P179" s="62">
        <f>L177</f>
        <v>20386.5</v>
      </c>
    </row>
    <row r="180" spans="1:41" s="60" customFormat="1" ht="57" x14ac:dyDescent="0.2">
      <c r="A180" s="906">
        <v>14</v>
      </c>
      <c r="B180" s="906" t="str">
        <f>[90]Source!E521</f>
        <v>68</v>
      </c>
      <c r="C180" s="63" t="str">
        <f>[90]Source!F521</f>
        <v>1.23-8-866</v>
      </c>
      <c r="D180" s="63" t="s">
        <v>213</v>
      </c>
      <c r="E180" s="56" t="s">
        <v>105</v>
      </c>
      <c r="F180" s="59">
        <f>0.095*0.7</f>
        <v>6.6500000000000004E-2</v>
      </c>
      <c r="G180" s="124">
        <v>59818.06</v>
      </c>
      <c r="H180" s="58"/>
      <c r="I180" s="59"/>
      <c r="J180" s="57">
        <f>F180*G180</f>
        <v>3977.9</v>
      </c>
      <c r="K180" s="59">
        <v>5.14</v>
      </c>
      <c r="L180" s="57">
        <f>J180*K180</f>
        <v>20446.41</v>
      </c>
      <c r="Q180" s="60">
        <f>[90]Source!X521</f>
        <v>0</v>
      </c>
      <c r="R180" s="60">
        <f>[90]Source!X522</f>
        <v>0</v>
      </c>
      <c r="S180" s="60">
        <f>[90]Source!Y521</f>
        <v>0</v>
      </c>
      <c r="T180" s="60">
        <f>[90]Source!Y522</f>
        <v>0</v>
      </c>
      <c r="U180" s="60">
        <f>ROUND((175/100)*ROUND([90]Source!R521, 2), 2)</f>
        <v>0</v>
      </c>
      <c r="V180" s="60">
        <f>ROUND((157/100)*ROUND([90]Source!R522, 2), 2)</f>
        <v>0</v>
      </c>
      <c r="AO180" s="60">
        <f>F130+F113+F96+F79+F62+F45</f>
        <v>7.5631500000000003</v>
      </c>
    </row>
    <row r="181" spans="1:41" s="60" customFormat="1" ht="42.75" hidden="1" x14ac:dyDescent="0.2">
      <c r="A181" s="907"/>
      <c r="B181" s="907"/>
      <c r="C181" s="55" t="s">
        <v>226</v>
      </c>
      <c r="D181" s="55" t="s">
        <v>229</v>
      </c>
      <c r="E181" s="56" t="s">
        <v>105</v>
      </c>
      <c r="F181" s="59">
        <f>0.095*0.7</f>
        <v>6.6500000000000004E-2</v>
      </c>
      <c r="G181" s="57">
        <f>J181/F181</f>
        <v>19209.47</v>
      </c>
      <c r="H181" s="58"/>
      <c r="I181" s="59"/>
      <c r="J181" s="57">
        <f>L181/K181</f>
        <v>1277.43</v>
      </c>
      <c r="K181" s="59">
        <v>5.58</v>
      </c>
      <c r="L181" s="57">
        <f>107188.96*F181</f>
        <v>7128.07</v>
      </c>
      <c r="N181" s="60">
        <v>6.6500000000000004E-2</v>
      </c>
      <c r="AM181" s="60" t="e">
        <f>(F175+F178+F181+#REF!+F184+F187+F190)*10*0.98</f>
        <v>#REF!</v>
      </c>
      <c r="AO181" s="60">
        <f>N130+N113+N96+N79+N62+N45</f>
        <v>5.2942049999999998</v>
      </c>
    </row>
    <row r="182" spans="1:41" s="60" customFormat="1" ht="15" x14ac:dyDescent="0.25">
      <c r="A182" s="61"/>
      <c r="B182" s="61"/>
      <c r="C182" s="61"/>
      <c r="D182" s="61"/>
      <c r="E182" s="61"/>
      <c r="F182" s="61"/>
      <c r="G182" s="61"/>
      <c r="H182" s="61"/>
      <c r="I182" s="905">
        <f>J180</f>
        <v>3977.9</v>
      </c>
      <c r="J182" s="905"/>
      <c r="K182" s="905">
        <f>L180</f>
        <v>20446.41</v>
      </c>
      <c r="L182" s="905"/>
      <c r="O182" s="62">
        <f>J180</f>
        <v>3977.9</v>
      </c>
      <c r="P182" s="62">
        <f>L180</f>
        <v>20446.41</v>
      </c>
    </row>
    <row r="183" spans="1:41" s="60" customFormat="1" ht="57" x14ac:dyDescent="0.2">
      <c r="A183" s="906">
        <v>15</v>
      </c>
      <c r="B183" s="906" t="str">
        <f>[90]Source!E527</f>
        <v>71</v>
      </c>
      <c r="C183" s="63" t="str">
        <f>[90]Source!F527</f>
        <v>1.23-8-863</v>
      </c>
      <c r="D183" s="63" t="s">
        <v>214</v>
      </c>
      <c r="E183" s="56" t="s">
        <v>105</v>
      </c>
      <c r="F183" s="59">
        <v>0.14349999999999999</v>
      </c>
      <c r="G183" s="124">
        <v>19268.12</v>
      </c>
      <c r="H183" s="58"/>
      <c r="I183" s="59"/>
      <c r="J183" s="57">
        <f>F183*G183</f>
        <v>2764.98</v>
      </c>
      <c r="K183" s="59">
        <v>4.8099999999999996</v>
      </c>
      <c r="L183" s="57">
        <f>J183*K183</f>
        <v>13299.55</v>
      </c>
      <c r="Q183" s="60">
        <f>[90]Source!X527</f>
        <v>0</v>
      </c>
      <c r="R183" s="60">
        <f>[90]Source!X528</f>
        <v>0</v>
      </c>
      <c r="S183" s="60">
        <f>[90]Source!Y527</f>
        <v>0</v>
      </c>
      <c r="T183" s="60">
        <f>[90]Source!Y528</f>
        <v>0</v>
      </c>
      <c r="U183" s="60">
        <f>ROUND((175/100)*ROUND([90]Source!R527, 2), 2)</f>
        <v>0</v>
      </c>
      <c r="V183" s="60">
        <f>ROUND((157/100)*ROUND([90]Source!R528, 2), 2)</f>
        <v>0</v>
      </c>
    </row>
    <row r="184" spans="1:41" s="60" customFormat="1" ht="42.75" hidden="1" x14ac:dyDescent="0.2">
      <c r="A184" s="907"/>
      <c r="B184" s="907"/>
      <c r="C184" s="55" t="s">
        <v>226</v>
      </c>
      <c r="D184" s="55" t="s">
        <v>230</v>
      </c>
      <c r="E184" s="56" t="s">
        <v>105</v>
      </c>
      <c r="F184" s="59">
        <v>0.14349999999999999</v>
      </c>
      <c r="G184" s="57">
        <f>J184/F184</f>
        <v>13042.09</v>
      </c>
      <c r="H184" s="58"/>
      <c r="I184" s="59"/>
      <c r="J184" s="57">
        <f>L184/K184</f>
        <v>1871.54</v>
      </c>
      <c r="K184" s="59">
        <v>5.58</v>
      </c>
      <c r="L184" s="57">
        <f>72774.98*F184</f>
        <v>10443.209999999999</v>
      </c>
      <c r="N184" s="60">
        <v>0.14349999999999999</v>
      </c>
    </row>
    <row r="185" spans="1:41" s="60" customFormat="1" ht="15" x14ac:dyDescent="0.25">
      <c r="A185" s="61"/>
      <c r="B185" s="61"/>
      <c r="C185" s="61"/>
      <c r="D185" s="61"/>
      <c r="E185" s="61"/>
      <c r="F185" s="61"/>
      <c r="G185" s="61"/>
      <c r="H185" s="61"/>
      <c r="I185" s="905">
        <f>J183</f>
        <v>2764.98</v>
      </c>
      <c r="J185" s="905"/>
      <c r="K185" s="905">
        <f>L183</f>
        <v>13299.55</v>
      </c>
      <c r="L185" s="905"/>
      <c r="O185" s="62">
        <f>J183</f>
        <v>2764.98</v>
      </c>
      <c r="P185" s="62">
        <f>L183</f>
        <v>13299.55</v>
      </c>
    </row>
    <row r="186" spans="1:41" s="60" customFormat="1" ht="42.75" x14ac:dyDescent="0.2">
      <c r="A186" s="906">
        <v>16</v>
      </c>
      <c r="B186" s="906" t="str">
        <f>[90]Source!E533</f>
        <v>74</v>
      </c>
      <c r="C186" s="63" t="str">
        <f>[90]Source!F533</f>
        <v>1.23-8-852</v>
      </c>
      <c r="D186" s="63" t="s">
        <v>186</v>
      </c>
      <c r="E186" s="56" t="s">
        <v>105</v>
      </c>
      <c r="F186" s="59">
        <v>0.15872</v>
      </c>
      <c r="G186" s="124">
        <v>18683</v>
      </c>
      <c r="H186" s="58"/>
      <c r="I186" s="59"/>
      <c r="J186" s="57">
        <f>F186*G186</f>
        <v>2965.37</v>
      </c>
      <c r="K186" s="59">
        <v>4.87</v>
      </c>
      <c r="L186" s="57">
        <f>J186*K186</f>
        <v>14441.35</v>
      </c>
      <c r="Q186" s="60">
        <f>[90]Source!X533</f>
        <v>0</v>
      </c>
      <c r="R186" s="60">
        <f>[90]Source!X534</f>
        <v>0</v>
      </c>
      <c r="S186" s="60">
        <f>[90]Source!Y533</f>
        <v>0</v>
      </c>
      <c r="T186" s="60">
        <f>[90]Source!Y534</f>
        <v>0</v>
      </c>
      <c r="U186" s="60">
        <f>ROUND((175/100)*ROUND([90]Source!R533, 2), 2)</f>
        <v>0</v>
      </c>
      <c r="V186" s="60">
        <f>ROUND((157/100)*ROUND([90]Source!R534, 2), 2)</f>
        <v>0</v>
      </c>
    </row>
    <row r="187" spans="1:41" s="60" customFormat="1" ht="42.75" hidden="1" x14ac:dyDescent="0.2">
      <c r="A187" s="907"/>
      <c r="B187" s="907"/>
      <c r="C187" s="55" t="s">
        <v>226</v>
      </c>
      <c r="D187" s="55" t="s">
        <v>231</v>
      </c>
      <c r="E187" s="56" t="s">
        <v>105</v>
      </c>
      <c r="F187" s="59">
        <v>0.15872</v>
      </c>
      <c r="G187" s="57">
        <f>J187/F187</f>
        <v>12809.22</v>
      </c>
      <c r="H187" s="58"/>
      <c r="I187" s="59"/>
      <c r="J187" s="57">
        <f>L187/K187</f>
        <v>2033.08</v>
      </c>
      <c r="K187" s="59">
        <v>5.58</v>
      </c>
      <c r="L187" s="57">
        <f>71475.5*F187</f>
        <v>11344.59</v>
      </c>
      <c r="N187" s="60">
        <v>0.434</v>
      </c>
    </row>
    <row r="188" spans="1:41" s="60" customFormat="1" ht="15" x14ac:dyDescent="0.25">
      <c r="A188" s="61"/>
      <c r="B188" s="61"/>
      <c r="C188" s="61"/>
      <c r="D188" s="61"/>
      <c r="E188" s="61"/>
      <c r="F188" s="61"/>
      <c r="G188" s="61"/>
      <c r="H188" s="61"/>
      <c r="I188" s="905">
        <f>J186</f>
        <v>2965.37</v>
      </c>
      <c r="J188" s="905"/>
      <c r="K188" s="905">
        <f>L186</f>
        <v>14441.35</v>
      </c>
      <c r="L188" s="905"/>
      <c r="O188" s="62">
        <f>J186</f>
        <v>2965.37</v>
      </c>
      <c r="P188" s="62">
        <f>L186</f>
        <v>14441.35</v>
      </c>
    </row>
    <row r="189" spans="1:41" s="60" customFormat="1" ht="57" x14ac:dyDescent="0.2">
      <c r="A189" s="906">
        <v>17</v>
      </c>
      <c r="B189" s="906" t="str">
        <f>[90]Source!E535</f>
        <v>75</v>
      </c>
      <c r="C189" s="63" t="str">
        <f>[90]Source!F535</f>
        <v>1.23-8-851</v>
      </c>
      <c r="D189" s="63" t="s">
        <v>215</v>
      </c>
      <c r="E189" s="56" t="s">
        <v>105</v>
      </c>
      <c r="F189" s="59">
        <f>0.055*0.7</f>
        <v>3.85E-2</v>
      </c>
      <c r="G189" s="124">
        <v>13203.52</v>
      </c>
      <c r="H189" s="58"/>
      <c r="I189" s="59"/>
      <c r="J189" s="57">
        <f>F189*G189</f>
        <v>508.34</v>
      </c>
      <c r="K189" s="59">
        <v>4.63</v>
      </c>
      <c r="L189" s="57">
        <f>J189*K189</f>
        <v>2353.61</v>
      </c>
      <c r="Q189" s="60">
        <f>[90]Source!X535</f>
        <v>0</v>
      </c>
      <c r="R189" s="60">
        <f>[90]Source!X536</f>
        <v>0</v>
      </c>
      <c r="S189" s="60">
        <f>[90]Source!Y535</f>
        <v>0</v>
      </c>
      <c r="T189" s="60">
        <f>[90]Source!Y536</f>
        <v>0</v>
      </c>
      <c r="U189" s="60">
        <f>ROUND((175/100)*ROUND([90]Source!R535, 2), 2)</f>
        <v>0</v>
      </c>
      <c r="V189" s="60">
        <f>ROUND((157/100)*ROUND([90]Source!R536, 2), 2)</f>
        <v>0</v>
      </c>
    </row>
    <row r="190" spans="1:41" s="60" customFormat="1" ht="42.75" hidden="1" x14ac:dyDescent="0.2">
      <c r="A190" s="907"/>
      <c r="B190" s="907"/>
      <c r="C190" s="55" t="s">
        <v>226</v>
      </c>
      <c r="D190" s="55" t="s">
        <v>232</v>
      </c>
      <c r="E190" s="56" t="s">
        <v>105</v>
      </c>
      <c r="F190" s="59">
        <f>0.055*0.7</f>
        <v>3.85E-2</v>
      </c>
      <c r="G190" s="57">
        <f>J190/F190</f>
        <v>8629.61</v>
      </c>
      <c r="H190" s="58"/>
      <c r="I190" s="59"/>
      <c r="J190" s="57">
        <f>L190/K190</f>
        <v>332.24</v>
      </c>
      <c r="K190" s="59">
        <v>5.58</v>
      </c>
      <c r="L190" s="57">
        <f>48153.27*F190</f>
        <v>1853.9</v>
      </c>
      <c r="N190" s="60">
        <v>3.85E-2</v>
      </c>
    </row>
    <row r="191" spans="1:41" ht="15" x14ac:dyDescent="0.25">
      <c r="A191" s="35"/>
      <c r="B191" s="35"/>
      <c r="C191" s="35"/>
      <c r="D191" s="35"/>
      <c r="E191" s="35"/>
      <c r="F191" s="35"/>
      <c r="G191" s="35"/>
      <c r="H191" s="35"/>
      <c r="I191" s="847">
        <f>J189</f>
        <v>508.34</v>
      </c>
      <c r="J191" s="847"/>
      <c r="K191" s="847">
        <f>L189</f>
        <v>2353.61</v>
      </c>
      <c r="L191" s="847"/>
      <c r="O191" s="21">
        <f>J189</f>
        <v>508.34</v>
      </c>
      <c r="P191" s="21">
        <f>L189</f>
        <v>2353.61</v>
      </c>
    </row>
    <row r="193" spans="1:32" ht="15" x14ac:dyDescent="0.25">
      <c r="A193" s="879" t="str">
        <f>CONCATENATE("Итого по подразделу: ",IF([90]Source!G588&lt;&gt;"Новый подраздел", [90]Source!G588, ""))</f>
        <v>Итого по подразделу: Кабели и провода. Кабельные изделия.</v>
      </c>
      <c r="B193" s="879"/>
      <c r="C193" s="879"/>
      <c r="D193" s="879"/>
      <c r="E193" s="879"/>
      <c r="F193" s="879"/>
      <c r="G193" s="879"/>
      <c r="H193" s="879"/>
      <c r="I193" s="880">
        <f>J190+J187+J184+J181+J178+J175</f>
        <v>10093.969999999999</v>
      </c>
      <c r="J193" s="881"/>
      <c r="K193" s="880">
        <f>L190+L187+L184+L181+L178+L175</f>
        <v>56324.39</v>
      </c>
      <c r="L193" s="881"/>
    </row>
    <row r="195" spans="1:32" ht="15" x14ac:dyDescent="0.25">
      <c r="A195" s="879" t="str">
        <f>CONCATENATE("Итого по разделу: ",IF([90]Source!G617&lt;&gt;"Новый раздел", [90]Source!G617, ""))</f>
        <v>Итого по разделу: Материалы, не учтённые в цене монтажа</v>
      </c>
      <c r="B195" s="879"/>
      <c r="C195" s="879"/>
      <c r="D195" s="879"/>
      <c r="E195" s="879"/>
      <c r="F195" s="879"/>
      <c r="G195" s="879"/>
      <c r="H195" s="879"/>
      <c r="I195" s="880">
        <f>I193</f>
        <v>10093.969999999999</v>
      </c>
      <c r="J195" s="881"/>
      <c r="K195" s="880">
        <f>K193</f>
        <v>56324.39</v>
      </c>
      <c r="L195" s="881"/>
    </row>
    <row r="197" spans="1:32" ht="17.25" customHeight="1" x14ac:dyDescent="0.25">
      <c r="A197" s="900" t="s">
        <v>113</v>
      </c>
      <c r="B197" s="900"/>
      <c r="C197" s="900"/>
      <c r="D197" s="900"/>
      <c r="E197" s="900"/>
      <c r="F197" s="900"/>
      <c r="G197" s="900"/>
      <c r="H197" s="900"/>
      <c r="I197" s="36"/>
      <c r="J197" s="37">
        <f>I152+I167+I193</f>
        <v>75354.850000000006</v>
      </c>
      <c r="K197" s="36"/>
      <c r="L197" s="37">
        <f>K152+K167+K193</f>
        <v>547512.88</v>
      </c>
      <c r="AF197" s="48" t="str">
        <f>CONCATENATE("Итого по локальной смете: ",IF([90]Source!G646&lt;&gt;"Новая локальная смета", [90]Source!G646, ""))</f>
        <v>Итого по локальной смете: Станционный комплекс "Аминьевское шоссе". Вестибюль №2, камера съездов, ТПП. Внутренние инженерные системы (не включая ТПП). Электрооборудование. Силовое электрооборудование.</v>
      </c>
    </row>
    <row r="198" spans="1:32" s="38" customFormat="1" ht="14.25" x14ac:dyDescent="0.2">
      <c r="D198" s="39" t="s">
        <v>114</v>
      </c>
      <c r="E198" s="39"/>
      <c r="F198" s="39"/>
      <c r="G198" s="39"/>
      <c r="H198" s="39"/>
      <c r="I198" s="902">
        <f>SUMIF(D1:D189,"МР",J1:J189)+I193</f>
        <v>11309.32</v>
      </c>
      <c r="J198" s="903"/>
      <c r="K198" s="902">
        <f>SUMIF(D1:D189,"МР",L1:L189)+K193</f>
        <v>63106.04</v>
      </c>
      <c r="L198" s="903"/>
    </row>
    <row r="199" spans="1:32" s="38" customFormat="1" ht="14.25" x14ac:dyDescent="0.2">
      <c r="D199" s="39" t="s">
        <v>115</v>
      </c>
      <c r="E199" s="39"/>
      <c r="F199" s="39"/>
      <c r="G199" s="39"/>
      <c r="H199" s="39"/>
      <c r="I199" s="871">
        <f>SUMIF(D1:D189,"в т.ч. ЗПМ",J1:J189)</f>
        <v>1037.43</v>
      </c>
      <c r="J199" s="871"/>
      <c r="K199" s="871">
        <f>SUMIF(D1:D189,"в т.ч. ЗПМ",L1:L189)</f>
        <v>25136.94</v>
      </c>
      <c r="L199" s="871"/>
    </row>
    <row r="200" spans="1:32" s="38" customFormat="1" ht="14.25" x14ac:dyDescent="0.2">
      <c r="D200" s="39" t="s">
        <v>116</v>
      </c>
      <c r="E200" s="39"/>
      <c r="F200" s="39"/>
      <c r="G200" s="39"/>
      <c r="H200" s="39"/>
      <c r="I200" s="871">
        <f>SUMIF(D1:D189,"ЗП",J1:J189)</f>
        <v>3150.12</v>
      </c>
      <c r="J200" s="871"/>
      <c r="K200" s="871">
        <f>SUMIF(D1:D189,"ЗП",L1:L189)</f>
        <v>76327.41</v>
      </c>
      <c r="L200" s="871"/>
    </row>
    <row r="201" spans="1:32" s="38" customFormat="1" ht="14.25" x14ac:dyDescent="0.2">
      <c r="D201" s="39" t="s">
        <v>117</v>
      </c>
      <c r="E201" s="39"/>
      <c r="F201" s="39"/>
      <c r="G201" s="39"/>
      <c r="H201" s="39"/>
      <c r="I201" s="871">
        <f>SUMIF(D1:D189,"НР от ЗП",J1:J189)</f>
        <v>3528.14</v>
      </c>
      <c r="J201" s="871"/>
      <c r="K201" s="871">
        <f>SUMIF(D1:D189,"НР от ЗП",L1:L189)</f>
        <v>68694.679999999993</v>
      </c>
      <c r="L201" s="871"/>
    </row>
    <row r="202" spans="1:32" s="38" customFormat="1" ht="14.25" x14ac:dyDescent="0.2">
      <c r="D202" s="39" t="s">
        <v>118</v>
      </c>
      <c r="E202" s="39"/>
      <c r="F202" s="39"/>
      <c r="G202" s="39"/>
      <c r="H202" s="39"/>
      <c r="I202" s="871">
        <f>SUMIF(D1:D189,"СП от ЗП",J1:J189)</f>
        <v>2205.09</v>
      </c>
      <c r="J202" s="871"/>
      <c r="K202" s="871">
        <f>SUMIF(D1:D189,"СП от ЗП",L1:L189)</f>
        <v>32820.800000000003</v>
      </c>
      <c r="L202" s="871"/>
    </row>
    <row r="203" spans="1:32" ht="14.25" x14ac:dyDescent="0.2">
      <c r="A203" s="40"/>
      <c r="B203" s="40"/>
      <c r="C203" s="40"/>
      <c r="D203" s="40"/>
      <c r="E203" s="40"/>
      <c r="F203" s="40"/>
      <c r="G203" s="40"/>
      <c r="H203" s="40"/>
      <c r="I203" s="36"/>
      <c r="J203" s="36"/>
      <c r="K203" s="36"/>
      <c r="L203" s="36"/>
    </row>
    <row r="204" spans="1:32" ht="14.25" x14ac:dyDescent="0.2">
      <c r="A204" s="40"/>
      <c r="B204" s="40"/>
      <c r="C204" s="40"/>
      <c r="D204" s="874" t="s">
        <v>268</v>
      </c>
      <c r="E204" s="874"/>
      <c r="F204" s="874"/>
      <c r="G204" s="213"/>
      <c r="H204" s="213"/>
      <c r="I204" s="214"/>
      <c r="J204" s="215">
        <f>J197</f>
        <v>75354.850000000006</v>
      </c>
      <c r="K204" s="215"/>
      <c r="L204" s="215">
        <f>L197</f>
        <v>547512.88</v>
      </c>
    </row>
    <row r="205" spans="1:32" ht="14.25" x14ac:dyDescent="0.2">
      <c r="A205" s="40"/>
      <c r="B205" s="40"/>
      <c r="C205" s="40"/>
      <c r="D205" s="872" t="s">
        <v>3</v>
      </c>
      <c r="E205" s="872"/>
      <c r="F205" s="872"/>
      <c r="G205" s="218"/>
      <c r="H205" s="218"/>
      <c r="I205" s="219"/>
      <c r="J205" s="215">
        <f>J204</f>
        <v>75354.850000000006</v>
      </c>
      <c r="K205"/>
      <c r="L205" s="215">
        <f>L204</f>
        <v>547512.88</v>
      </c>
    </row>
    <row r="206" spans="1:32" ht="15" x14ac:dyDescent="0.25">
      <c r="A206" s="40"/>
      <c r="B206" s="40"/>
      <c r="C206" s="40"/>
      <c r="D206" s="872" t="s">
        <v>269</v>
      </c>
      <c r="E206" s="872"/>
      <c r="F206" s="872"/>
      <c r="G206" s="218"/>
      <c r="H206" s="218"/>
      <c r="I206" s="221"/>
      <c r="J206" s="222">
        <f>I200+I199</f>
        <v>4187.55</v>
      </c>
      <c r="K206" s="222"/>
      <c r="L206" s="222">
        <f>K200+K199</f>
        <v>101464.35</v>
      </c>
      <c r="AF206" s="48" t="str">
        <f>CONCATENATE("Итого по акту: ",IF([90]Source!G675&lt;&gt;"Новый объект", [90]Source!G675, ""))</f>
        <v>Итого по акту: 12-4017-Л-Р-11.4.3.3-ЭМ3-СМ1К (49688) (взамен СМ1) Правильная</v>
      </c>
    </row>
    <row r="207" spans="1:32" ht="14.25" x14ac:dyDescent="0.2">
      <c r="A207" s="40"/>
      <c r="B207" s="40"/>
      <c r="C207" s="40"/>
      <c r="D207" s="872" t="s">
        <v>270</v>
      </c>
      <c r="E207" s="872"/>
      <c r="F207" s="872"/>
      <c r="G207" s="218"/>
      <c r="H207" s="218"/>
      <c r="I207" s="221"/>
      <c r="J207" s="222">
        <f>I198</f>
        <v>11309.32</v>
      </c>
      <c r="K207" s="222"/>
      <c r="L207" s="222">
        <f>K198</f>
        <v>63106.04</v>
      </c>
    </row>
    <row r="208" spans="1:32" ht="14.25" x14ac:dyDescent="0.2">
      <c r="A208" s="40"/>
      <c r="B208" s="40"/>
      <c r="C208" s="40"/>
      <c r="D208" s="872" t="s">
        <v>271</v>
      </c>
      <c r="E208" s="872"/>
      <c r="F208" s="872"/>
      <c r="G208" s="218"/>
      <c r="H208" s="218"/>
      <c r="I208" s="221"/>
      <c r="J208" s="215">
        <v>0</v>
      </c>
      <c r="K208" s="223"/>
      <c r="L208" s="215">
        <v>0</v>
      </c>
    </row>
    <row r="209" spans="1:12" ht="14.25" x14ac:dyDescent="0.2">
      <c r="A209" s="40"/>
      <c r="B209" s="40"/>
      <c r="C209" s="40"/>
      <c r="D209" s="872" t="s">
        <v>272</v>
      </c>
      <c r="E209" s="872"/>
      <c r="F209" s="872"/>
      <c r="G209" s="224"/>
      <c r="H209" s="224"/>
      <c r="I209" s="225"/>
      <c r="J209" s="226">
        <f>J205*5.61%</f>
        <v>4227.41</v>
      </c>
      <c r="K209" s="223"/>
      <c r="L209" s="226">
        <f>L205*5.61%</f>
        <v>30715.47</v>
      </c>
    </row>
    <row r="210" spans="1:12" ht="15" x14ac:dyDescent="0.25">
      <c r="A210" s="40"/>
      <c r="B210" s="40"/>
      <c r="C210" s="40"/>
      <c r="D210" s="873" t="s">
        <v>273</v>
      </c>
      <c r="E210" s="873"/>
      <c r="F210" s="873"/>
      <c r="G210" s="228"/>
      <c r="H210" s="228"/>
      <c r="I210" s="229"/>
      <c r="J210" s="230">
        <f>ROUND(J205+J209,2)</f>
        <v>79582.259999999995</v>
      </c>
      <c r="K210" s="223"/>
      <c r="L210" s="230">
        <f>ROUND(L205+L209,2)</f>
        <v>578228.35</v>
      </c>
    </row>
    <row r="211" spans="1:12" ht="14.25" x14ac:dyDescent="0.2">
      <c r="A211" s="40"/>
      <c r="B211" s="40"/>
      <c r="C211" s="40"/>
      <c r="D211" s="872" t="s">
        <v>274</v>
      </c>
      <c r="E211" s="872"/>
      <c r="F211" s="872"/>
      <c r="G211" s="224"/>
      <c r="H211" s="224"/>
      <c r="I211" s="225"/>
      <c r="J211" s="226">
        <f>J206*0.15</f>
        <v>628.13</v>
      </c>
      <c r="K211" s="232"/>
      <c r="L211" s="226">
        <f>L206*0.15</f>
        <v>15219.65</v>
      </c>
    </row>
    <row r="212" spans="1:12" ht="15" x14ac:dyDescent="0.25">
      <c r="A212" s="40"/>
      <c r="B212" s="40"/>
      <c r="C212" s="40"/>
      <c r="D212" s="873" t="s">
        <v>275</v>
      </c>
      <c r="E212" s="873"/>
      <c r="F212" s="873"/>
      <c r="G212" s="228"/>
      <c r="H212" s="228"/>
      <c r="I212" s="229"/>
      <c r="J212" s="230">
        <f>J210+J211</f>
        <v>80210.39</v>
      </c>
      <c r="K212" s="223"/>
      <c r="L212" s="230">
        <f>L210+L211</f>
        <v>593448</v>
      </c>
    </row>
    <row r="213" spans="1:12" ht="14.25" x14ac:dyDescent="0.2">
      <c r="A213" s="40"/>
      <c r="B213" s="40"/>
      <c r="C213" s="40"/>
      <c r="D213" s="233"/>
      <c r="E213" s="233"/>
      <c r="F213" s="233"/>
      <c r="G213" s="234"/>
      <c r="H213" s="234"/>
      <c r="I213" s="235"/>
      <c r="J213" s="236"/>
      <c r="K213"/>
      <c r="L213" s="237"/>
    </row>
    <row r="214" spans="1:12" ht="14.25" x14ac:dyDescent="0.2">
      <c r="D214" s="874" t="s">
        <v>276</v>
      </c>
      <c r="E214" s="874"/>
      <c r="F214" s="874"/>
      <c r="G214" s="238"/>
      <c r="H214" s="238"/>
      <c r="I214" s="238"/>
      <c r="J214" s="238"/>
      <c r="K214" s="876">
        <f>L204*0.975</f>
        <v>533825.06000000006</v>
      </c>
      <c r="L214" s="876"/>
    </row>
    <row r="215" spans="1:12" ht="14.25" x14ac:dyDescent="0.2">
      <c r="D215" s="872" t="s">
        <v>277</v>
      </c>
      <c r="E215" s="872"/>
      <c r="F215" s="872"/>
      <c r="G215" s="224"/>
      <c r="H215" s="224"/>
      <c r="I215" s="224"/>
      <c r="J215" s="224"/>
      <c r="K215" s="869">
        <f>L205*0.975</f>
        <v>533825.06000000006</v>
      </c>
      <c r="L215" s="869"/>
    </row>
    <row r="216" spans="1:12" ht="14.25" x14ac:dyDescent="0.2">
      <c r="D216" s="872" t="s">
        <v>278</v>
      </c>
      <c r="E216" s="872"/>
      <c r="F216" s="872"/>
      <c r="G216" s="224"/>
      <c r="H216" s="224"/>
      <c r="I216" s="224"/>
      <c r="J216" s="224"/>
      <c r="K216" s="869">
        <f>L206*0.975</f>
        <v>98927.74</v>
      </c>
      <c r="L216" s="869"/>
    </row>
    <row r="217" spans="1:12" ht="14.25" x14ac:dyDescent="0.2">
      <c r="D217" s="872" t="s">
        <v>279</v>
      </c>
      <c r="E217" s="872"/>
      <c r="F217" s="872"/>
      <c r="G217" s="224"/>
      <c r="H217" s="224"/>
      <c r="I217" s="224"/>
      <c r="J217" s="224"/>
      <c r="K217" s="869">
        <f>L207*0.975</f>
        <v>61528.39</v>
      </c>
      <c r="L217" s="869"/>
    </row>
    <row r="218" spans="1:12" ht="14.25" x14ac:dyDescent="0.2">
      <c r="D218" s="872" t="s">
        <v>280</v>
      </c>
      <c r="E218" s="872"/>
      <c r="F218" s="872"/>
      <c r="G218" s="224"/>
      <c r="H218" s="224"/>
      <c r="I218" s="224"/>
      <c r="J218" s="224"/>
      <c r="K218" s="869">
        <v>0</v>
      </c>
      <c r="L218" s="869"/>
    </row>
    <row r="219" spans="1:12" ht="14.25" x14ac:dyDescent="0.2">
      <c r="D219" s="872" t="s">
        <v>281</v>
      </c>
      <c r="E219" s="872"/>
      <c r="F219" s="872"/>
      <c r="G219" s="224"/>
      <c r="H219" s="224"/>
      <c r="I219" s="224"/>
      <c r="J219" s="224"/>
      <c r="K219" s="869">
        <f>K215*0.0561</f>
        <v>29947.59</v>
      </c>
      <c r="L219" s="869"/>
    </row>
    <row r="220" spans="1:12" ht="15" x14ac:dyDescent="0.25">
      <c r="D220" s="873" t="s">
        <v>282</v>
      </c>
      <c r="E220" s="873"/>
      <c r="F220" s="873"/>
      <c r="G220" s="228"/>
      <c r="H220" s="228"/>
      <c r="I220" s="228"/>
      <c r="J220" s="228"/>
      <c r="K220" s="870">
        <f>ROUND(K215+K219,2)</f>
        <v>563772.65</v>
      </c>
      <c r="L220" s="870"/>
    </row>
    <row r="221" spans="1:12" ht="15" x14ac:dyDescent="0.25">
      <c r="D221" s="872" t="s">
        <v>283</v>
      </c>
      <c r="E221" s="872"/>
      <c r="F221" s="872"/>
      <c r="G221" s="224"/>
      <c r="H221" s="224"/>
      <c r="I221" s="224"/>
      <c r="J221" s="224"/>
      <c r="K221" s="870">
        <f>L211*0.975</f>
        <v>14839.16</v>
      </c>
      <c r="L221" s="870"/>
    </row>
    <row r="222" spans="1:12" ht="15" x14ac:dyDescent="0.25">
      <c r="D222" s="873" t="s">
        <v>275</v>
      </c>
      <c r="E222" s="873"/>
      <c r="F222" s="873"/>
      <c r="G222" s="228"/>
      <c r="H222" s="228"/>
      <c r="I222" s="228"/>
      <c r="J222" s="228"/>
      <c r="K222" s="231"/>
      <c r="L222" s="231">
        <f>K220+K221</f>
        <v>578611.81000000006</v>
      </c>
    </row>
    <row r="223" spans="1:12" ht="15" x14ac:dyDescent="0.25">
      <c r="D223" s="240"/>
      <c r="E223" s="241"/>
      <c r="F223" s="241"/>
      <c r="G223" s="241"/>
      <c r="H223" s="241"/>
      <c r="I223" s="242"/>
      <c r="J223" s="242"/>
      <c r="K223" s="242"/>
      <c r="L223" s="242"/>
    </row>
    <row r="224" spans="1:12" ht="14.25" x14ac:dyDescent="0.2">
      <c r="D224" s="874" t="s">
        <v>284</v>
      </c>
      <c r="E224" s="874"/>
      <c r="F224" s="874"/>
      <c r="G224" s="238"/>
      <c r="H224" s="238"/>
      <c r="I224" s="238"/>
      <c r="J224" s="238"/>
      <c r="K224" s="216"/>
      <c r="L224" s="239">
        <f>K214*0.998999999999673</f>
        <v>533291.23</v>
      </c>
    </row>
    <row r="225" spans="4:12" ht="14.25" x14ac:dyDescent="0.2">
      <c r="D225" s="872" t="s">
        <v>285</v>
      </c>
      <c r="E225" s="872"/>
      <c r="F225" s="872"/>
      <c r="G225" s="224"/>
      <c r="H225" s="224"/>
      <c r="I225" s="224"/>
      <c r="J225" s="224"/>
      <c r="K225" s="223"/>
      <c r="L225" s="227">
        <f>K215*0.998999999999673</f>
        <v>533291.23</v>
      </c>
    </row>
    <row r="226" spans="4:12" ht="14.25" x14ac:dyDescent="0.2">
      <c r="D226" s="872" t="s">
        <v>286</v>
      </c>
      <c r="E226" s="872"/>
      <c r="F226" s="872"/>
      <c r="G226" s="224"/>
      <c r="H226" s="224"/>
      <c r="I226" s="224"/>
      <c r="J226" s="224"/>
      <c r="K226" s="223"/>
      <c r="L226" s="227">
        <f>K216*0.998999999999673</f>
        <v>98828.81</v>
      </c>
    </row>
    <row r="227" spans="4:12" ht="14.25" x14ac:dyDescent="0.2">
      <c r="D227" s="872" t="s">
        <v>287</v>
      </c>
      <c r="E227" s="872"/>
      <c r="F227" s="872"/>
      <c r="G227" s="224"/>
      <c r="H227" s="224"/>
      <c r="I227" s="224"/>
      <c r="J227" s="224"/>
      <c r="K227" s="223"/>
      <c r="L227" s="227">
        <f>K217*0.998999999999673</f>
        <v>61466.86</v>
      </c>
    </row>
    <row r="228" spans="4:12" ht="14.25" x14ac:dyDescent="0.2">
      <c r="D228" s="872" t="s">
        <v>288</v>
      </c>
      <c r="E228" s="872"/>
      <c r="F228" s="872"/>
      <c r="G228" s="224"/>
      <c r="H228" s="224"/>
      <c r="I228" s="224"/>
      <c r="J228" s="224"/>
      <c r="K228" s="223"/>
      <c r="L228" s="227">
        <v>0</v>
      </c>
    </row>
    <row r="229" spans="4:12" ht="14.25" x14ac:dyDescent="0.2">
      <c r="D229" s="872" t="s">
        <v>289</v>
      </c>
      <c r="E229" s="872"/>
      <c r="F229" s="872"/>
      <c r="G229" s="224"/>
      <c r="H229" s="224"/>
      <c r="I229" s="224"/>
      <c r="J229" s="224"/>
      <c r="K229" s="216"/>
      <c r="L229" s="227">
        <f>L225*0.0561</f>
        <v>29917.64</v>
      </c>
    </row>
    <row r="230" spans="4:12" ht="15" x14ac:dyDescent="0.25">
      <c r="D230" s="873" t="s">
        <v>290</v>
      </c>
      <c r="E230" s="873"/>
      <c r="F230" s="873"/>
      <c r="G230" s="228"/>
      <c r="H230" s="228"/>
      <c r="I230" s="228"/>
      <c r="J230" s="228"/>
      <c r="K230" s="223"/>
      <c r="L230" s="231">
        <f>ROUND(L225+L229,2)</f>
        <v>563208.87</v>
      </c>
    </row>
    <row r="231" spans="4:12" ht="15" x14ac:dyDescent="0.25">
      <c r="D231" s="872" t="s">
        <v>291</v>
      </c>
      <c r="E231" s="872"/>
      <c r="F231" s="872"/>
      <c r="G231" s="224"/>
      <c r="H231" s="224"/>
      <c r="I231" s="224"/>
      <c r="J231" s="224"/>
      <c r="K231" s="223"/>
      <c r="L231" s="231">
        <f>K221*0.998999999999673</f>
        <v>14824.32</v>
      </c>
    </row>
    <row r="232" spans="4:12" ht="15" x14ac:dyDescent="0.25">
      <c r="D232" s="873" t="s">
        <v>275</v>
      </c>
      <c r="E232" s="873"/>
      <c r="F232" s="873"/>
      <c r="G232" s="228"/>
      <c r="H232" s="228"/>
      <c r="I232" s="228"/>
      <c r="J232" s="228"/>
      <c r="K232" s="223"/>
      <c r="L232" s="231">
        <f>L230+L231</f>
        <v>578033.18999999994</v>
      </c>
    </row>
    <row r="233" spans="4:12" x14ac:dyDescent="0.2">
      <c r="D233" s="79"/>
      <c r="E233" s="79"/>
      <c r="F233" s="79"/>
      <c r="G233" s="79"/>
      <c r="H233" s="79"/>
      <c r="I233" s="79"/>
      <c r="J233" s="79"/>
      <c r="K233" s="79"/>
      <c r="L233" s="79"/>
    </row>
  </sheetData>
  <mergeCells count="161">
    <mergeCell ref="D210:F210"/>
    <mergeCell ref="D211:F211"/>
    <mergeCell ref="D212:F212"/>
    <mergeCell ref="D204:F204"/>
    <mergeCell ref="B186:B187"/>
    <mergeCell ref="A186:A187"/>
    <mergeCell ref="A195:H195"/>
    <mergeCell ref="D205:F205"/>
    <mergeCell ref="D206:F206"/>
    <mergeCell ref="D207:F207"/>
    <mergeCell ref="D208:F208"/>
    <mergeCell ref="D209:F209"/>
    <mergeCell ref="I198:J198"/>
    <mergeCell ref="K198:L198"/>
    <mergeCell ref="I199:J199"/>
    <mergeCell ref="K199:L199"/>
    <mergeCell ref="I200:J200"/>
    <mergeCell ref="K200:L200"/>
    <mergeCell ref="I201:J201"/>
    <mergeCell ref="K201:L201"/>
    <mergeCell ref="I202:J202"/>
    <mergeCell ref="K202:L202"/>
    <mergeCell ref="I195:J195"/>
    <mergeCell ref="K195:L195"/>
    <mergeCell ref="A197:H197"/>
    <mergeCell ref="I188:J188"/>
    <mergeCell ref="K188:L188"/>
    <mergeCell ref="I191:J191"/>
    <mergeCell ref="K191:L191"/>
    <mergeCell ref="A193:H193"/>
    <mergeCell ref="I193:J193"/>
    <mergeCell ref="K193:L193"/>
    <mergeCell ref="B189:B190"/>
    <mergeCell ref="A189:A190"/>
    <mergeCell ref="K182:L182"/>
    <mergeCell ref="I185:J185"/>
    <mergeCell ref="K185:L185"/>
    <mergeCell ref="A171:L171"/>
    <mergeCell ref="A173:L173"/>
    <mergeCell ref="I176:J176"/>
    <mergeCell ref="K176:L176"/>
    <mergeCell ref="I179:J179"/>
    <mergeCell ref="K179:L179"/>
    <mergeCell ref="B180:B181"/>
    <mergeCell ref="A180:A181"/>
    <mergeCell ref="B183:B184"/>
    <mergeCell ref="A183:A184"/>
    <mergeCell ref="I182:J182"/>
    <mergeCell ref="B174:B175"/>
    <mergeCell ref="A174:A175"/>
    <mergeCell ref="B177:B178"/>
    <mergeCell ref="A177:A178"/>
    <mergeCell ref="A156:L156"/>
    <mergeCell ref="I162:J162"/>
    <mergeCell ref="K162:L162"/>
    <mergeCell ref="I165:J165"/>
    <mergeCell ref="K165:L165"/>
    <mergeCell ref="A167:H167"/>
    <mergeCell ref="I167:J167"/>
    <mergeCell ref="K167:L167"/>
    <mergeCell ref="B157:B161"/>
    <mergeCell ref="A157:A161"/>
    <mergeCell ref="B163:B164"/>
    <mergeCell ref="A163:A164"/>
    <mergeCell ref="A148:H148"/>
    <mergeCell ref="I148:J148"/>
    <mergeCell ref="K148:L148"/>
    <mergeCell ref="A152:H152"/>
    <mergeCell ref="I152:J152"/>
    <mergeCell ref="K152:L152"/>
    <mergeCell ref="I139:J139"/>
    <mergeCell ref="K139:L139"/>
    <mergeCell ref="I144:J144"/>
    <mergeCell ref="K144:L144"/>
    <mergeCell ref="I146:J146"/>
    <mergeCell ref="K146:L146"/>
    <mergeCell ref="I122:J122"/>
    <mergeCell ref="K122:L122"/>
    <mergeCell ref="I127:J127"/>
    <mergeCell ref="K127:L127"/>
    <mergeCell ref="I129:J129"/>
    <mergeCell ref="K129:L129"/>
    <mergeCell ref="I105:J105"/>
    <mergeCell ref="K105:L105"/>
    <mergeCell ref="I110:J110"/>
    <mergeCell ref="K110:L110"/>
    <mergeCell ref="I112:J112"/>
    <mergeCell ref="K112:L112"/>
    <mergeCell ref="I88:J88"/>
    <mergeCell ref="K88:L88"/>
    <mergeCell ref="I93:J93"/>
    <mergeCell ref="K93:L93"/>
    <mergeCell ref="I95:J95"/>
    <mergeCell ref="K95:L95"/>
    <mergeCell ref="I71:J71"/>
    <mergeCell ref="K71:L71"/>
    <mergeCell ref="I76:J76"/>
    <mergeCell ref="K76:L76"/>
    <mergeCell ref="I78:J78"/>
    <mergeCell ref="K78:L78"/>
    <mergeCell ref="I54:J54"/>
    <mergeCell ref="K54:L54"/>
    <mergeCell ref="I59:J59"/>
    <mergeCell ref="K59:L59"/>
    <mergeCell ref="I61:J61"/>
    <mergeCell ref="K61:L61"/>
    <mergeCell ref="I38:J38"/>
    <mergeCell ref="K38:L38"/>
    <mergeCell ref="A40:H40"/>
    <mergeCell ref="I40:J40"/>
    <mergeCell ref="K40:L40"/>
    <mergeCell ref="A44:L44"/>
    <mergeCell ref="A19:L19"/>
    <mergeCell ref="A21:L21"/>
    <mergeCell ref="I31:J31"/>
    <mergeCell ref="K31:L31"/>
    <mergeCell ref="I36:J36"/>
    <mergeCell ref="K36:L36"/>
    <mergeCell ref="J10:J14"/>
    <mergeCell ref="K10:K14"/>
    <mergeCell ref="L10:L14"/>
    <mergeCell ref="A11:A14"/>
    <mergeCell ref="B11:B14"/>
    <mergeCell ref="A17:L17"/>
    <mergeCell ref="E1:G1"/>
    <mergeCell ref="E2:G2"/>
    <mergeCell ref="A9:L9"/>
    <mergeCell ref="A10:B10"/>
    <mergeCell ref="C10:C14"/>
    <mergeCell ref="D10:D14"/>
    <mergeCell ref="E10:E14"/>
    <mergeCell ref="F10:F14"/>
    <mergeCell ref="G10:G14"/>
    <mergeCell ref="H10:H14"/>
    <mergeCell ref="I10:I14"/>
    <mergeCell ref="D230:F230"/>
    <mergeCell ref="D231:F231"/>
    <mergeCell ref="D232:F232"/>
    <mergeCell ref="D220:F220"/>
    <mergeCell ref="D221:F221"/>
    <mergeCell ref="D222:F222"/>
    <mergeCell ref="D224:F224"/>
    <mergeCell ref="D225:F225"/>
    <mergeCell ref="D226:F226"/>
    <mergeCell ref="D227:F227"/>
    <mergeCell ref="D228:F228"/>
    <mergeCell ref="D229:F229"/>
    <mergeCell ref="D219:F219"/>
    <mergeCell ref="K219:L219"/>
    <mergeCell ref="K220:L220"/>
    <mergeCell ref="K221:L221"/>
    <mergeCell ref="D214:F214"/>
    <mergeCell ref="K214:L214"/>
    <mergeCell ref="D215:F215"/>
    <mergeCell ref="K215:L215"/>
    <mergeCell ref="D216:F216"/>
    <mergeCell ref="K216:L216"/>
    <mergeCell ref="D217:F217"/>
    <mergeCell ref="K217:L217"/>
    <mergeCell ref="D218:F218"/>
    <mergeCell ref="K218:L218"/>
  </mergeCells>
  <pageMargins left="0.4" right="0.2" top="0.2" bottom="0.4" header="0.2" footer="0.2"/>
  <pageSetup paperSize="9" scale="64" fitToHeight="0" orientation="portrait" r:id="rId1"/>
  <headerFooter>
    <oddHeader>&amp;L&amp;8</oddHeader>
    <oddFooter>&amp;R&amp;P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AF144"/>
  <sheetViews>
    <sheetView workbookViewId="0"/>
  </sheetViews>
  <sheetFormatPr defaultColWidth="9.33203125" defaultRowHeight="12.75" x14ac:dyDescent="0.2"/>
  <cols>
    <col min="1" max="2" width="6.6640625" style="1" customWidth="1"/>
    <col min="3" max="3" width="13.6640625" style="1" customWidth="1"/>
    <col min="4" max="4" width="47.5" style="1" customWidth="1"/>
    <col min="5" max="6" width="13.6640625" style="1" customWidth="1"/>
    <col min="7" max="7" width="16.6640625" style="1" customWidth="1"/>
    <col min="8" max="8" width="14.83203125" style="1" customWidth="1"/>
    <col min="9" max="9" width="14" style="1" customWidth="1"/>
    <col min="10" max="10" width="17.6640625" style="1" customWidth="1"/>
    <col min="11" max="11" width="14.83203125" style="1" customWidth="1"/>
    <col min="12" max="12" width="18.83203125" style="1" customWidth="1"/>
    <col min="13" max="14" width="9.33203125" style="1"/>
    <col min="15" max="29" width="0" style="1" hidden="1" customWidth="1"/>
    <col min="30" max="30" width="116.33203125" style="1" hidden="1" customWidth="1"/>
    <col min="31" max="31" width="181.6640625" style="1" hidden="1" customWidth="1"/>
    <col min="32" max="32" width="128" style="1" hidden="1" customWidth="1"/>
    <col min="33" max="36" width="0" style="1" hidden="1" customWidth="1"/>
    <col min="37" max="16384" width="9.33203125" style="1"/>
  </cols>
  <sheetData>
    <row r="1" spans="1:12" ht="18" x14ac:dyDescent="0.25">
      <c r="A1" s="11"/>
      <c r="B1" s="11"/>
      <c r="C1" s="11"/>
      <c r="D1" s="11"/>
      <c r="E1" s="855" t="s">
        <v>301</v>
      </c>
      <c r="F1" s="855"/>
      <c r="G1" s="855"/>
      <c r="H1" s="11"/>
      <c r="I1" s="11"/>
      <c r="J1" s="11"/>
      <c r="K1" s="11"/>
      <c r="L1" s="11"/>
    </row>
    <row r="2" spans="1:12" ht="18" x14ac:dyDescent="0.25">
      <c r="A2" s="11"/>
      <c r="B2" s="11"/>
      <c r="C2" s="11"/>
      <c r="D2" s="11"/>
      <c r="E2" s="848" t="s">
        <v>145</v>
      </c>
      <c r="F2" s="848"/>
      <c r="G2" s="848"/>
      <c r="H2" s="11"/>
      <c r="I2" s="11"/>
      <c r="J2" s="11"/>
      <c r="K2" s="11"/>
      <c r="L2" s="11"/>
    </row>
    <row r="3" spans="1:12" ht="18" x14ac:dyDescent="0.25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</row>
    <row r="4" spans="1:12" ht="18" x14ac:dyDescent="0.25">
      <c r="A4" s="11"/>
      <c r="B4" s="11"/>
      <c r="C4" s="11"/>
      <c r="D4" s="65" t="s">
        <v>233</v>
      </c>
      <c r="E4" s="11"/>
      <c r="F4" s="11"/>
      <c r="G4" s="11"/>
      <c r="H4" s="11"/>
      <c r="I4" s="11"/>
      <c r="J4" s="11"/>
      <c r="K4" s="11"/>
      <c r="L4" s="11"/>
    </row>
    <row r="5" spans="1:12" ht="18" x14ac:dyDescent="0.25">
      <c r="A5" s="11"/>
      <c r="B5" s="11"/>
      <c r="C5" s="11"/>
      <c r="D5" s="65" t="s">
        <v>234</v>
      </c>
      <c r="E5" s="11"/>
      <c r="F5" s="11"/>
      <c r="G5" s="11"/>
      <c r="H5" s="11"/>
      <c r="I5" s="11"/>
      <c r="J5" s="11"/>
      <c r="K5" s="11"/>
      <c r="L5" s="11"/>
    </row>
    <row r="6" spans="1:12" ht="18" x14ac:dyDescent="0.25">
      <c r="A6" s="11"/>
      <c r="B6" s="11"/>
      <c r="C6" s="11"/>
      <c r="D6" s="65" t="s">
        <v>235</v>
      </c>
      <c r="E6" s="11"/>
      <c r="F6" s="11"/>
      <c r="G6" s="11"/>
      <c r="H6" s="11"/>
      <c r="I6" s="11"/>
      <c r="J6" s="11"/>
      <c r="K6" s="11"/>
      <c r="L6" s="11"/>
    </row>
    <row r="7" spans="1:12" ht="57.75" customHeight="1" x14ac:dyDescent="0.25">
      <c r="A7" s="11"/>
      <c r="B7" s="11"/>
      <c r="C7" s="11"/>
      <c r="D7" s="65" t="s">
        <v>35</v>
      </c>
      <c r="E7" s="11"/>
      <c r="F7" s="11"/>
      <c r="G7" s="11"/>
      <c r="H7" s="11"/>
      <c r="I7" s="11"/>
      <c r="J7" s="11"/>
      <c r="K7" s="11"/>
      <c r="L7" s="11"/>
    </row>
    <row r="8" spans="1:12" ht="18" x14ac:dyDescent="0.25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</row>
    <row r="9" spans="1:12" ht="14.25" x14ac:dyDescent="0.2">
      <c r="A9" s="849" t="s">
        <v>149</v>
      </c>
      <c r="B9" s="849"/>
      <c r="C9" s="849"/>
      <c r="D9" s="849"/>
      <c r="E9" s="849"/>
      <c r="F9" s="849"/>
      <c r="G9" s="849"/>
      <c r="H9" s="849"/>
      <c r="I9" s="849"/>
      <c r="J9" s="849"/>
      <c r="K9" s="849"/>
      <c r="L9" s="849"/>
    </row>
    <row r="10" spans="1:12" ht="14.25" x14ac:dyDescent="0.2">
      <c r="A10" s="850" t="s">
        <v>67</v>
      </c>
      <c r="B10" s="850"/>
      <c r="C10" s="850" t="s">
        <v>68</v>
      </c>
      <c r="D10" s="850" t="s">
        <v>69</v>
      </c>
      <c r="E10" s="850" t="s">
        <v>70</v>
      </c>
      <c r="F10" s="850" t="s">
        <v>71</v>
      </c>
      <c r="G10" s="850" t="s">
        <v>72</v>
      </c>
      <c r="H10" s="851" t="s">
        <v>73</v>
      </c>
      <c r="I10" s="851" t="s">
        <v>74</v>
      </c>
      <c r="J10" s="850" t="s">
        <v>75</v>
      </c>
      <c r="K10" s="850" t="s">
        <v>76</v>
      </c>
      <c r="L10" s="850" t="s">
        <v>77</v>
      </c>
    </row>
    <row r="11" spans="1:12" x14ac:dyDescent="0.2">
      <c r="A11" s="851" t="s">
        <v>78</v>
      </c>
      <c r="B11" s="851" t="s">
        <v>79</v>
      </c>
      <c r="C11" s="850"/>
      <c r="D11" s="850"/>
      <c r="E11" s="850"/>
      <c r="F11" s="850"/>
      <c r="G11" s="850"/>
      <c r="H11" s="852"/>
      <c r="I11" s="852"/>
      <c r="J11" s="850"/>
      <c r="K11" s="850"/>
      <c r="L11" s="850"/>
    </row>
    <row r="12" spans="1:12" x14ac:dyDescent="0.2">
      <c r="A12" s="852"/>
      <c r="B12" s="852"/>
      <c r="C12" s="850"/>
      <c r="D12" s="850"/>
      <c r="E12" s="850"/>
      <c r="F12" s="850"/>
      <c r="G12" s="850"/>
      <c r="H12" s="852"/>
      <c r="I12" s="852"/>
      <c r="J12" s="850"/>
      <c r="K12" s="850"/>
      <c r="L12" s="850"/>
    </row>
    <row r="13" spans="1:12" ht="20.100000000000001" customHeight="1" x14ac:dyDescent="0.2">
      <c r="A13" s="852"/>
      <c r="B13" s="852"/>
      <c r="C13" s="850"/>
      <c r="D13" s="850"/>
      <c r="E13" s="850"/>
      <c r="F13" s="850"/>
      <c r="G13" s="850"/>
      <c r="H13" s="852"/>
      <c r="I13" s="852"/>
      <c r="J13" s="850"/>
      <c r="K13" s="850"/>
      <c r="L13" s="850"/>
    </row>
    <row r="14" spans="1:12" ht="20.100000000000001" customHeight="1" x14ac:dyDescent="0.2">
      <c r="A14" s="853"/>
      <c r="B14" s="853"/>
      <c r="C14" s="850"/>
      <c r="D14" s="850"/>
      <c r="E14" s="850"/>
      <c r="F14" s="850"/>
      <c r="G14" s="850"/>
      <c r="H14" s="853"/>
      <c r="I14" s="853"/>
      <c r="J14" s="850"/>
      <c r="K14" s="850"/>
      <c r="L14" s="850"/>
    </row>
    <row r="15" spans="1:12" ht="14.25" x14ac:dyDescent="0.2">
      <c r="A15" s="13">
        <v>1</v>
      </c>
      <c r="B15" s="13">
        <v>2</v>
      </c>
      <c r="C15" s="13">
        <v>3</v>
      </c>
      <c r="D15" s="13">
        <v>4</v>
      </c>
      <c r="E15" s="13">
        <v>5</v>
      </c>
      <c r="F15" s="13">
        <v>6</v>
      </c>
      <c r="G15" s="13">
        <v>7</v>
      </c>
      <c r="H15" s="13">
        <v>8</v>
      </c>
      <c r="I15" s="13">
        <v>9</v>
      </c>
      <c r="J15" s="13">
        <v>10</v>
      </c>
      <c r="K15" s="13">
        <v>11</v>
      </c>
      <c r="L15" s="13">
        <v>12</v>
      </c>
    </row>
    <row r="17" spans="1:31" ht="36" customHeight="1" x14ac:dyDescent="0.25">
      <c r="A17" s="854" t="str">
        <f>CONCATENATE("Локальная смета: ",IF([91]Source!G20&lt;&gt;"Новая локальная смета", [91]Source!G20, ""))</f>
        <v>Локальная смета: Станционный комплекс "Аминьевское шоссе". Инженерные системы ТПП. Электрооборудование. Электроснабжение 20кВ.</v>
      </c>
      <c r="B17" s="854"/>
      <c r="C17" s="854"/>
      <c r="D17" s="854"/>
      <c r="E17" s="854"/>
      <c r="F17" s="854"/>
      <c r="G17" s="854"/>
      <c r="H17" s="854"/>
      <c r="I17" s="854"/>
      <c r="J17" s="854"/>
      <c r="K17" s="854"/>
      <c r="L17" s="854"/>
      <c r="AE17" s="46" t="str">
        <f>CONCATENATE("Локальная смета: ",IF([91]Source!G20&lt;&gt;"Новая локальная смета", [91]Source!G20, ""))</f>
        <v>Локальная смета: Станционный комплекс "Аминьевское шоссе". Инженерные системы ТПП. Электрооборудование. Электроснабжение 20кВ.</v>
      </c>
    </row>
    <row r="19" spans="1:31" ht="16.5" x14ac:dyDescent="0.25">
      <c r="A19" s="854" t="str">
        <f>CONCATENATE("Раздел: ",IF([91]Source!G24&lt;&gt;"Новый раздел", [91]Source!G24, ""))</f>
        <v>Раздел: Электрооборудование</v>
      </c>
      <c r="B19" s="854"/>
      <c r="C19" s="854"/>
      <c r="D19" s="854"/>
      <c r="E19" s="854"/>
      <c r="F19" s="854"/>
      <c r="G19" s="854"/>
      <c r="H19" s="854"/>
      <c r="I19" s="854"/>
      <c r="J19" s="854"/>
      <c r="K19" s="854"/>
      <c r="L19" s="854"/>
    </row>
    <row r="20" spans="1:31" ht="85.5" x14ac:dyDescent="0.2">
      <c r="A20" s="33">
        <v>1</v>
      </c>
      <c r="B20" s="33" t="str">
        <f>[91]Source!E28</f>
        <v>1</v>
      </c>
      <c r="C20" s="15" t="s">
        <v>236</v>
      </c>
      <c r="D20" s="15" t="s">
        <v>237</v>
      </c>
      <c r="E20" s="16" t="str">
        <f>[91]Source!H28</f>
        <v>1  ШТ.</v>
      </c>
      <c r="F20" s="5">
        <f>[91]Source!I28</f>
        <v>4</v>
      </c>
      <c r="G20" s="17"/>
      <c r="H20" s="18"/>
      <c r="I20" s="5"/>
      <c r="J20" s="19"/>
      <c r="K20" s="5"/>
      <c r="L20" s="19"/>
      <c r="Q20" s="1">
        <f>[91]Source!X28</f>
        <v>5713.87</v>
      </c>
      <c r="R20" s="1">
        <f>[91]Source!X29</f>
        <v>111252.11</v>
      </c>
      <c r="S20" s="1">
        <f>[91]Source!Y28</f>
        <v>3571.17</v>
      </c>
      <c r="T20" s="1">
        <f>[91]Source!Y29</f>
        <v>53153.79</v>
      </c>
      <c r="U20" s="1">
        <f>ROUND((175/100)*ROUND([91]Source!R28, 2), 2)</f>
        <v>2959.74</v>
      </c>
      <c r="V20" s="1">
        <f>ROUND((157/100)*ROUND([91]Source!R29, 2), 2)</f>
        <v>64338.14</v>
      </c>
    </row>
    <row r="21" spans="1:31" ht="14.25" x14ac:dyDescent="0.2">
      <c r="A21" s="33"/>
      <c r="B21" s="33"/>
      <c r="C21" s="15"/>
      <c r="D21" s="15" t="s">
        <v>84</v>
      </c>
      <c r="E21" s="16"/>
      <c r="F21" s="5"/>
      <c r="G21" s="17">
        <f>[91]Source!AO28</f>
        <v>729.44</v>
      </c>
      <c r="H21" s="18" t="str">
        <f>[91]Source!DG28</f>
        <v>)*1,67</v>
      </c>
      <c r="I21" s="5">
        <f>[91]Source!AV29</f>
        <v>1.0469999999999999</v>
      </c>
      <c r="J21" s="19">
        <f>[91]Source!S28</f>
        <v>5101.67</v>
      </c>
      <c r="K21" s="5">
        <f>IF([91]Source!BA29&lt;&gt; 0, [91]Source!BA29, 1)</f>
        <v>24.23</v>
      </c>
      <c r="L21" s="19">
        <f>[91]Source!S29</f>
        <v>123613.46</v>
      </c>
    </row>
    <row r="22" spans="1:31" ht="14.25" x14ac:dyDescent="0.2">
      <c r="A22" s="33"/>
      <c r="B22" s="33"/>
      <c r="C22" s="15"/>
      <c r="D22" s="15" t="s">
        <v>85</v>
      </c>
      <c r="E22" s="16"/>
      <c r="F22" s="5"/>
      <c r="G22" s="17">
        <f>[91]Source!AM28</f>
        <v>1041.32</v>
      </c>
      <c r="H22" s="18">
        <f>[91]Source!DE28</f>
        <v>0</v>
      </c>
      <c r="I22" s="5">
        <f>[91]Source!AV29</f>
        <v>1.0469999999999999</v>
      </c>
      <c r="J22" s="19">
        <f>[91]Source!Q28-J31</f>
        <v>4361.05</v>
      </c>
      <c r="K22" s="5">
        <f>IF([91]Source!BB29&lt;&gt; 0, [91]Source!BB29, 1)</f>
        <v>9.9</v>
      </c>
      <c r="L22" s="19">
        <f>[91]Source!Q29-L31</f>
        <v>43174.46</v>
      </c>
    </row>
    <row r="23" spans="1:31" ht="14.25" x14ac:dyDescent="0.2">
      <c r="A23" s="33"/>
      <c r="B23" s="33"/>
      <c r="C23" s="15"/>
      <c r="D23" s="15" t="s">
        <v>86</v>
      </c>
      <c r="E23" s="16"/>
      <c r="F23" s="5"/>
      <c r="G23" s="17">
        <f>[91]Source!AN28</f>
        <v>241.82</v>
      </c>
      <c r="H23" s="18">
        <f>[91]Source!DE28</f>
        <v>0</v>
      </c>
      <c r="I23" s="5">
        <f>[91]Source!AV29</f>
        <v>1.0469999999999999</v>
      </c>
      <c r="J23" s="20">
        <f>[91]Source!R28-J32</f>
        <v>1012.74</v>
      </c>
      <c r="K23" s="5">
        <f>IF([91]Source!BS29&lt;&gt; 0, [91]Source!BS29, 1)</f>
        <v>24.23</v>
      </c>
      <c r="L23" s="20">
        <f>[91]Source!R29-L32</f>
        <v>24538.75</v>
      </c>
    </row>
    <row r="24" spans="1:31" ht="14.25" x14ac:dyDescent="0.2">
      <c r="A24" s="33"/>
      <c r="B24" s="33"/>
      <c r="C24" s="15"/>
      <c r="D24" s="15" t="s">
        <v>87</v>
      </c>
      <c r="E24" s="16"/>
      <c r="F24" s="5"/>
      <c r="G24" s="17">
        <f>[91]Source!AL28</f>
        <v>573.29999999999995</v>
      </c>
      <c r="H24" s="18">
        <f>[91]Source!DD28</f>
        <v>0</v>
      </c>
      <c r="I24" s="5">
        <f>[91]Source!AW29</f>
        <v>1</v>
      </c>
      <c r="J24" s="19">
        <f>[91]Source!P28</f>
        <v>2293.1999999999998</v>
      </c>
      <c r="K24" s="5">
        <f>IF([91]Source!BC29&lt;&gt; 0, [91]Source!BC29, 1)</f>
        <v>5.58</v>
      </c>
      <c r="L24" s="19">
        <f>[91]Source!P29</f>
        <v>12796.06</v>
      </c>
    </row>
    <row r="25" spans="1:31" ht="14.25" x14ac:dyDescent="0.2">
      <c r="A25" s="33"/>
      <c r="B25" s="33"/>
      <c r="C25" s="15"/>
      <c r="D25" s="15" t="s">
        <v>88</v>
      </c>
      <c r="E25" s="16" t="s">
        <v>89</v>
      </c>
      <c r="F25" s="5">
        <f>[91]Source!DN29</f>
        <v>112</v>
      </c>
      <c r="G25" s="17"/>
      <c r="H25" s="18"/>
      <c r="I25" s="5"/>
      <c r="J25" s="19">
        <f>SUM(Q20:Q24)</f>
        <v>5713.87</v>
      </c>
      <c r="K25" s="5">
        <f>[91]Source!BZ29</f>
        <v>90</v>
      </c>
      <c r="L25" s="19">
        <f>SUM(R20:R24)</f>
        <v>111252.11</v>
      </c>
    </row>
    <row r="26" spans="1:31" ht="14.25" x14ac:dyDescent="0.2">
      <c r="A26" s="33"/>
      <c r="B26" s="33"/>
      <c r="C26" s="15"/>
      <c r="D26" s="15" t="s">
        <v>90</v>
      </c>
      <c r="E26" s="16" t="s">
        <v>89</v>
      </c>
      <c r="F26" s="5">
        <f>[91]Source!DO29</f>
        <v>70</v>
      </c>
      <c r="G26" s="17"/>
      <c r="H26" s="18"/>
      <c r="I26" s="5"/>
      <c r="J26" s="19">
        <f>SUM(S20:S25)</f>
        <v>3571.17</v>
      </c>
      <c r="K26" s="5">
        <f>[91]Source!CA29</f>
        <v>43</v>
      </c>
      <c r="L26" s="19">
        <f>SUM(T20:T25)</f>
        <v>53153.79</v>
      </c>
    </row>
    <row r="27" spans="1:31" ht="14.25" x14ac:dyDescent="0.2">
      <c r="A27" s="33"/>
      <c r="B27" s="33"/>
      <c r="C27" s="15"/>
      <c r="D27" s="15" t="s">
        <v>91</v>
      </c>
      <c r="E27" s="16" t="s">
        <v>89</v>
      </c>
      <c r="F27" s="5">
        <f>175</f>
        <v>175</v>
      </c>
      <c r="G27" s="17"/>
      <c r="H27" s="18"/>
      <c r="I27" s="5"/>
      <c r="J27" s="19">
        <f>SUM(U20:U26)-J33</f>
        <v>1772.29</v>
      </c>
      <c r="K27" s="5">
        <f>157</f>
        <v>157</v>
      </c>
      <c r="L27" s="19">
        <f>SUM(V20:V26)-L33</f>
        <v>38525.83</v>
      </c>
    </row>
    <row r="28" spans="1:31" ht="14.25" x14ac:dyDescent="0.2">
      <c r="A28" s="33"/>
      <c r="B28" s="33"/>
      <c r="C28" s="15"/>
      <c r="D28" s="15" t="s">
        <v>92</v>
      </c>
      <c r="E28" s="16" t="s">
        <v>93</v>
      </c>
      <c r="F28" s="5">
        <f>[91]Source!AQ28</f>
        <v>57.8</v>
      </c>
      <c r="G28" s="17"/>
      <c r="H28" s="18">
        <f>[91]Source!DI28</f>
        <v>0</v>
      </c>
      <c r="I28" s="5">
        <f>[91]Source!AV29</f>
        <v>1.0469999999999999</v>
      </c>
      <c r="J28" s="19">
        <f>[91]Source!U28</f>
        <v>242.07</v>
      </c>
      <c r="K28" s="5"/>
      <c r="L28" s="19"/>
    </row>
    <row r="29" spans="1:31" ht="15" x14ac:dyDescent="0.25">
      <c r="I29" s="847">
        <f>J21+J22+J24+J25+J26+J27</f>
        <v>22813.25</v>
      </c>
      <c r="J29" s="847"/>
      <c r="K29" s="847">
        <f>L21+L22+L24+L25+L26+L27</f>
        <v>382515.71</v>
      </c>
      <c r="L29" s="847"/>
      <c r="O29" s="21">
        <f>J21+J22+J24+J25+J26+J27</f>
        <v>22813.25</v>
      </c>
      <c r="P29" s="21">
        <f>L21+L22+L24+L25+L26+L27</f>
        <v>382515.71</v>
      </c>
    </row>
    <row r="30" spans="1:31" ht="28.5" x14ac:dyDescent="0.2">
      <c r="A30" s="22"/>
      <c r="B30" s="22"/>
      <c r="C30" s="23"/>
      <c r="D30" s="23" t="s">
        <v>94</v>
      </c>
      <c r="E30" s="16"/>
      <c r="F30" s="24"/>
      <c r="G30" s="25"/>
      <c r="H30" s="16"/>
      <c r="I30" s="24"/>
      <c r="J30" s="20"/>
      <c r="K30" s="24"/>
      <c r="L30" s="20"/>
    </row>
    <row r="31" spans="1:31" ht="14.25" x14ac:dyDescent="0.2">
      <c r="A31" s="22"/>
      <c r="B31" s="22"/>
      <c r="C31" s="23"/>
      <c r="D31" s="23" t="s">
        <v>85</v>
      </c>
      <c r="E31" s="16"/>
      <c r="F31" s="24"/>
      <c r="G31" s="25">
        <f t="shared" ref="G31:L31" si="0">G32</f>
        <v>241.82</v>
      </c>
      <c r="H31" s="26" t="str">
        <f t="shared" si="0"/>
        <v>)*(1.67-1)</v>
      </c>
      <c r="I31" s="24">
        <f t="shared" si="0"/>
        <v>1.0469999999999999</v>
      </c>
      <c r="J31" s="20">
        <f t="shared" si="0"/>
        <v>678.54</v>
      </c>
      <c r="K31" s="24">
        <f t="shared" si="0"/>
        <v>24.23</v>
      </c>
      <c r="L31" s="20">
        <f t="shared" si="0"/>
        <v>16440.96</v>
      </c>
    </row>
    <row r="32" spans="1:31" ht="14.25" x14ac:dyDescent="0.2">
      <c r="A32" s="22"/>
      <c r="B32" s="22"/>
      <c r="C32" s="23"/>
      <c r="D32" s="23" t="s">
        <v>86</v>
      </c>
      <c r="E32" s="16"/>
      <c r="F32" s="24"/>
      <c r="G32" s="25">
        <f>[91]Source!AN28</f>
        <v>241.82</v>
      </c>
      <c r="H32" s="26" t="s">
        <v>95</v>
      </c>
      <c r="I32" s="24">
        <f>[91]Source!AV29</f>
        <v>1.0469999999999999</v>
      </c>
      <c r="J32" s="20">
        <f>ROUND(F20*G32*I32*(1.67-1), 2)</f>
        <v>678.54</v>
      </c>
      <c r="K32" s="24">
        <f>IF([91]Source!BS29&lt;&gt; 0, [91]Source!BS29, 1)</f>
        <v>24.23</v>
      </c>
      <c r="L32" s="20">
        <f>ROUND(F20*G32*I32*(1.67-1)*K32, 2)</f>
        <v>16440.96</v>
      </c>
    </row>
    <row r="33" spans="1:22" ht="14.25" x14ac:dyDescent="0.2">
      <c r="A33" s="22"/>
      <c r="B33" s="22"/>
      <c r="C33" s="23"/>
      <c r="D33" s="23" t="s">
        <v>91</v>
      </c>
      <c r="E33" s="16" t="s">
        <v>89</v>
      </c>
      <c r="F33" s="24">
        <f>175</f>
        <v>175</v>
      </c>
      <c r="G33" s="25"/>
      <c r="H33" s="16"/>
      <c r="I33" s="24"/>
      <c r="J33" s="20">
        <f>ROUND(J32*(F33/100), 2)</f>
        <v>1187.45</v>
      </c>
      <c r="K33" s="24">
        <f>157</f>
        <v>157</v>
      </c>
      <c r="L33" s="20">
        <f>ROUND(L32*(K33/100), 2)</f>
        <v>25812.31</v>
      </c>
    </row>
    <row r="34" spans="1:22" ht="15" x14ac:dyDescent="0.25">
      <c r="I34" s="847">
        <f>J33+J32</f>
        <v>1865.99</v>
      </c>
      <c r="J34" s="847"/>
      <c r="K34" s="847">
        <f>L33+L32</f>
        <v>42253.27</v>
      </c>
      <c r="L34" s="847"/>
      <c r="O34" s="21">
        <f>I34</f>
        <v>1865.99</v>
      </c>
      <c r="P34" s="21">
        <f>K34</f>
        <v>42253.27</v>
      </c>
    </row>
    <row r="36" spans="1:22" ht="15" x14ac:dyDescent="0.25">
      <c r="A36" s="27"/>
      <c r="B36" s="27"/>
      <c r="C36" s="28"/>
      <c r="D36" s="28" t="s">
        <v>96</v>
      </c>
      <c r="E36" s="29"/>
      <c r="F36" s="30"/>
      <c r="G36" s="31"/>
      <c r="H36" s="32"/>
      <c r="I36" s="847">
        <f>I29+I34</f>
        <v>24679.24</v>
      </c>
      <c r="J36" s="847"/>
      <c r="K36" s="847">
        <f>K29+K34</f>
        <v>424768.98</v>
      </c>
      <c r="L36" s="847"/>
    </row>
    <row r="37" spans="1:22" ht="78" x14ac:dyDescent="0.2">
      <c r="A37" s="33">
        <v>2</v>
      </c>
      <c r="B37" s="33" t="str">
        <f>[91]Source!E30</f>
        <v>2</v>
      </c>
      <c r="C37" s="15" t="s">
        <v>238</v>
      </c>
      <c r="D37" s="15" t="s">
        <v>239</v>
      </c>
      <c r="E37" s="16" t="str">
        <f>[91]Source!H30</f>
        <v>1  ШТ.</v>
      </c>
      <c r="F37" s="5">
        <f>[91]Source!I30</f>
        <v>2</v>
      </c>
      <c r="G37" s="17"/>
      <c r="H37" s="18"/>
      <c r="I37" s="5"/>
      <c r="J37" s="19"/>
      <c r="K37" s="5"/>
      <c r="L37" s="19"/>
      <c r="Q37" s="1">
        <f>[91]Source!X30</f>
        <v>1932.62</v>
      </c>
      <c r="R37" s="1">
        <f>[91]Source!X31</f>
        <v>37629.07</v>
      </c>
      <c r="S37" s="1">
        <f>[91]Source!Y30</f>
        <v>1207.8900000000001</v>
      </c>
      <c r="T37" s="1">
        <f>[91]Source!Y31</f>
        <v>17978.330000000002</v>
      </c>
      <c r="U37" s="1">
        <f>ROUND((175/100)*ROUND([91]Source!R30, 2), 2)</f>
        <v>0</v>
      </c>
      <c r="V37" s="1">
        <f>ROUND((157/100)*ROUND([91]Source!R31, 2), 2)</f>
        <v>0</v>
      </c>
    </row>
    <row r="38" spans="1:22" ht="14.25" x14ac:dyDescent="0.2">
      <c r="A38" s="33"/>
      <c r="B38" s="33"/>
      <c r="C38" s="15"/>
      <c r="D38" s="15" t="s">
        <v>84</v>
      </c>
      <c r="E38" s="16"/>
      <c r="F38" s="5"/>
      <c r="G38" s="17">
        <f>[91]Source!AO30</f>
        <v>493.44</v>
      </c>
      <c r="H38" s="18" t="str">
        <f>[91]Source!DG30</f>
        <v>)*1,67</v>
      </c>
      <c r="I38" s="5">
        <f>[91]Source!AV31</f>
        <v>1.0469999999999999</v>
      </c>
      <c r="J38" s="19">
        <f>[91]Source!S30</f>
        <v>1725.55</v>
      </c>
      <c r="K38" s="5">
        <f>IF([91]Source!BA31&lt;&gt; 0, [91]Source!BA31, 1)</f>
        <v>24.23</v>
      </c>
      <c r="L38" s="19">
        <f>[91]Source!S31</f>
        <v>41810.080000000002</v>
      </c>
    </row>
    <row r="39" spans="1:22" ht="14.25" x14ac:dyDescent="0.2">
      <c r="A39" s="33"/>
      <c r="B39" s="33"/>
      <c r="C39" s="15"/>
      <c r="D39" s="15" t="s">
        <v>87</v>
      </c>
      <c r="E39" s="16"/>
      <c r="F39" s="5"/>
      <c r="G39" s="17">
        <f>[91]Source!AL30</f>
        <v>44.1</v>
      </c>
      <c r="H39" s="18">
        <f>[91]Source!DD30</f>
        <v>0</v>
      </c>
      <c r="I39" s="5">
        <f>[91]Source!AW31</f>
        <v>1</v>
      </c>
      <c r="J39" s="19">
        <f>[91]Source!P30</f>
        <v>88.2</v>
      </c>
      <c r="K39" s="5">
        <f>IF([91]Source!BC31&lt;&gt; 0, [91]Source!BC31, 1)</f>
        <v>5.58</v>
      </c>
      <c r="L39" s="19">
        <f>[91]Source!P31</f>
        <v>492.16</v>
      </c>
    </row>
    <row r="40" spans="1:22" ht="14.25" x14ac:dyDescent="0.2">
      <c r="A40" s="33"/>
      <c r="B40" s="33"/>
      <c r="C40" s="15"/>
      <c r="D40" s="15" t="s">
        <v>88</v>
      </c>
      <c r="E40" s="16" t="s">
        <v>89</v>
      </c>
      <c r="F40" s="5">
        <f>[91]Source!DN31</f>
        <v>112</v>
      </c>
      <c r="G40" s="17"/>
      <c r="H40" s="18"/>
      <c r="I40" s="5"/>
      <c r="J40" s="19">
        <f>SUM(Q37:Q39)</f>
        <v>1932.62</v>
      </c>
      <c r="K40" s="5">
        <f>[91]Source!BZ31</f>
        <v>90</v>
      </c>
      <c r="L40" s="19">
        <f>SUM(R37:R39)</f>
        <v>37629.07</v>
      </c>
    </row>
    <row r="41" spans="1:22" ht="14.25" x14ac:dyDescent="0.2">
      <c r="A41" s="33"/>
      <c r="B41" s="33"/>
      <c r="C41" s="15"/>
      <c r="D41" s="15" t="s">
        <v>90</v>
      </c>
      <c r="E41" s="16" t="s">
        <v>89</v>
      </c>
      <c r="F41" s="5">
        <f>[91]Source!DO31</f>
        <v>70</v>
      </c>
      <c r="G41" s="17"/>
      <c r="H41" s="18"/>
      <c r="I41" s="5"/>
      <c r="J41" s="19">
        <f>SUM(S37:S40)</f>
        <v>1207.8900000000001</v>
      </c>
      <c r="K41" s="5">
        <f>[91]Source!CA31</f>
        <v>43</v>
      </c>
      <c r="L41" s="19">
        <f>SUM(T37:T40)</f>
        <v>17978.330000000002</v>
      </c>
    </row>
    <row r="42" spans="1:22" ht="14.25" x14ac:dyDescent="0.2">
      <c r="A42" s="33"/>
      <c r="B42" s="33"/>
      <c r="C42" s="15"/>
      <c r="D42" s="15" t="s">
        <v>92</v>
      </c>
      <c r="E42" s="16" t="s">
        <v>93</v>
      </c>
      <c r="F42" s="5">
        <f>[91]Source!AQ30</f>
        <v>39.1</v>
      </c>
      <c r="G42" s="17"/>
      <c r="H42" s="18">
        <f>[91]Source!DI30</f>
        <v>0</v>
      </c>
      <c r="I42" s="5">
        <f>[91]Source!AV31</f>
        <v>1.0469999999999999</v>
      </c>
      <c r="J42" s="19">
        <f>[91]Source!U30</f>
        <v>81.88</v>
      </c>
      <c r="K42" s="5"/>
      <c r="L42" s="19"/>
    </row>
    <row r="43" spans="1:22" ht="15" x14ac:dyDescent="0.25">
      <c r="A43" s="35"/>
      <c r="B43" s="35"/>
      <c r="C43" s="35"/>
      <c r="D43" s="35"/>
      <c r="E43" s="35"/>
      <c r="F43" s="35"/>
      <c r="G43" s="35"/>
      <c r="H43" s="35"/>
      <c r="I43" s="847">
        <f>J38+J39+J40+J41</f>
        <v>4954.26</v>
      </c>
      <c r="J43" s="847"/>
      <c r="K43" s="847">
        <f>L38+L39+L40+L41</f>
        <v>97909.64</v>
      </c>
      <c r="L43" s="847"/>
      <c r="O43" s="21">
        <f>J38+J39+J40+J41</f>
        <v>4954.26</v>
      </c>
      <c r="P43" s="21">
        <f>L38+L39+L40+L41</f>
        <v>97909.64</v>
      </c>
    </row>
    <row r="44" spans="1:22" ht="85.5" x14ac:dyDescent="0.2">
      <c r="A44" s="33">
        <v>3</v>
      </c>
      <c r="B44" s="33" t="str">
        <f>[91]Source!E32</f>
        <v>3</v>
      </c>
      <c r="C44" s="15" t="s">
        <v>240</v>
      </c>
      <c r="D44" s="15" t="s">
        <v>241</v>
      </c>
      <c r="E44" s="16" t="str">
        <f>[91]Source!H32</f>
        <v>1  ШТ.</v>
      </c>
      <c r="F44" s="5">
        <f>[91]Source!I32</f>
        <v>3</v>
      </c>
      <c r="G44" s="17"/>
      <c r="H44" s="18"/>
      <c r="I44" s="5"/>
      <c r="J44" s="19"/>
      <c r="K44" s="5"/>
      <c r="L44" s="19"/>
      <c r="Q44" s="1">
        <f>[91]Source!X32</f>
        <v>2046.3</v>
      </c>
      <c r="R44" s="1">
        <f>[91]Source!X33</f>
        <v>39842.480000000003</v>
      </c>
      <c r="S44" s="1">
        <f>[91]Source!Y32</f>
        <v>1278.94</v>
      </c>
      <c r="T44" s="1">
        <f>[91]Source!Y33</f>
        <v>19035.849999999999</v>
      </c>
      <c r="U44" s="1">
        <f>ROUND((175/100)*ROUND([91]Source!R32, 2), 2)</f>
        <v>960.09</v>
      </c>
      <c r="V44" s="1">
        <f>ROUND((157/100)*ROUND([91]Source!R33, 2), 2)</f>
        <v>20870.099999999999</v>
      </c>
    </row>
    <row r="45" spans="1:22" ht="14.25" x14ac:dyDescent="0.2">
      <c r="A45" s="33"/>
      <c r="B45" s="33"/>
      <c r="C45" s="15"/>
      <c r="D45" s="15" t="s">
        <v>84</v>
      </c>
      <c r="E45" s="16"/>
      <c r="F45" s="5"/>
      <c r="G45" s="17">
        <f>[91]Source!AO32</f>
        <v>348.31</v>
      </c>
      <c r="H45" s="18" t="str">
        <f>[91]Source!DG32</f>
        <v>)*1,67</v>
      </c>
      <c r="I45" s="5">
        <f>[91]Source!AV33</f>
        <v>1.0469999999999999</v>
      </c>
      <c r="J45" s="19">
        <f>[91]Source!S32</f>
        <v>1827.05</v>
      </c>
      <c r="K45" s="5">
        <f>IF([91]Source!BA33&lt;&gt; 0, [91]Source!BA33, 1)</f>
        <v>24.23</v>
      </c>
      <c r="L45" s="19">
        <f>[91]Source!S33</f>
        <v>44269.42</v>
      </c>
    </row>
    <row r="46" spans="1:22" ht="14.25" x14ac:dyDescent="0.2">
      <c r="A46" s="33"/>
      <c r="B46" s="33"/>
      <c r="C46" s="15"/>
      <c r="D46" s="15" t="s">
        <v>85</v>
      </c>
      <c r="E46" s="16"/>
      <c r="F46" s="5"/>
      <c r="G46" s="17">
        <f>[91]Source!AM32</f>
        <v>450.39</v>
      </c>
      <c r="H46" s="18">
        <f>[91]Source!DE32</f>
        <v>0</v>
      </c>
      <c r="I46" s="5">
        <f>[91]Source!AV33</f>
        <v>1.0469999999999999</v>
      </c>
      <c r="J46" s="19">
        <f>[91]Source!Q32-J55</f>
        <v>1414.67</v>
      </c>
      <c r="K46" s="5">
        <f>IF([91]Source!BB33&lt;&gt; 0, [91]Source!BB33, 1)</f>
        <v>9.9</v>
      </c>
      <c r="L46" s="19">
        <f>[91]Source!Q33-L55</f>
        <v>14005.32</v>
      </c>
    </row>
    <row r="47" spans="1:22" ht="14.25" x14ac:dyDescent="0.2">
      <c r="A47" s="33"/>
      <c r="B47" s="33"/>
      <c r="C47" s="15"/>
      <c r="D47" s="15" t="s">
        <v>86</v>
      </c>
      <c r="E47" s="16"/>
      <c r="F47" s="5"/>
      <c r="G47" s="17">
        <f>[91]Source!AN32</f>
        <v>104.59</v>
      </c>
      <c r="H47" s="18">
        <f>[91]Source!DE32</f>
        <v>0</v>
      </c>
      <c r="I47" s="5">
        <f>[91]Source!AV33</f>
        <v>1.0469999999999999</v>
      </c>
      <c r="J47" s="20">
        <f>[91]Source!R32-J56</f>
        <v>328.51</v>
      </c>
      <c r="K47" s="5">
        <f>IF([91]Source!BS33&lt;&gt; 0, [91]Source!BS33, 1)</f>
        <v>24.23</v>
      </c>
      <c r="L47" s="20">
        <f>[91]Source!R33-L56</f>
        <v>7959.88</v>
      </c>
    </row>
    <row r="48" spans="1:22" ht="14.25" x14ac:dyDescent="0.2">
      <c r="A48" s="33"/>
      <c r="B48" s="33"/>
      <c r="C48" s="15"/>
      <c r="D48" s="15" t="s">
        <v>87</v>
      </c>
      <c r="E48" s="16"/>
      <c r="F48" s="5"/>
      <c r="G48" s="17">
        <f>[91]Source!AL32</f>
        <v>277.89999999999998</v>
      </c>
      <c r="H48" s="18">
        <f>[91]Source!DD32</f>
        <v>0</v>
      </c>
      <c r="I48" s="5">
        <f>[91]Source!AW33</f>
        <v>1</v>
      </c>
      <c r="J48" s="19">
        <f>[91]Source!P32</f>
        <v>833.7</v>
      </c>
      <c r="K48" s="5">
        <f>IF([91]Source!BC33&lt;&gt; 0, [91]Source!BC33, 1)</f>
        <v>5.58</v>
      </c>
      <c r="L48" s="19">
        <f>[91]Source!P33</f>
        <v>4652.05</v>
      </c>
    </row>
    <row r="49" spans="1:22" ht="14.25" x14ac:dyDescent="0.2">
      <c r="A49" s="33"/>
      <c r="B49" s="33"/>
      <c r="C49" s="15"/>
      <c r="D49" s="15" t="s">
        <v>88</v>
      </c>
      <c r="E49" s="16" t="s">
        <v>89</v>
      </c>
      <c r="F49" s="5">
        <f>[91]Source!DN33</f>
        <v>112</v>
      </c>
      <c r="G49" s="17"/>
      <c r="H49" s="18"/>
      <c r="I49" s="5"/>
      <c r="J49" s="19">
        <f>SUM(Q44:Q48)</f>
        <v>2046.3</v>
      </c>
      <c r="K49" s="5">
        <f>[91]Source!BZ33</f>
        <v>90</v>
      </c>
      <c r="L49" s="19">
        <f>SUM(R44:R48)</f>
        <v>39842.480000000003</v>
      </c>
    </row>
    <row r="50" spans="1:22" ht="14.25" x14ac:dyDescent="0.2">
      <c r="A50" s="33"/>
      <c r="B50" s="33"/>
      <c r="C50" s="15"/>
      <c r="D50" s="15" t="s">
        <v>90</v>
      </c>
      <c r="E50" s="16" t="s">
        <v>89</v>
      </c>
      <c r="F50" s="5">
        <f>[91]Source!DO33</f>
        <v>70</v>
      </c>
      <c r="G50" s="17"/>
      <c r="H50" s="18"/>
      <c r="I50" s="5"/>
      <c r="J50" s="19">
        <f>SUM(S44:S49)</f>
        <v>1278.94</v>
      </c>
      <c r="K50" s="5">
        <f>[91]Source!CA33</f>
        <v>43</v>
      </c>
      <c r="L50" s="19">
        <f>SUM(T44:T49)</f>
        <v>19035.849999999999</v>
      </c>
    </row>
    <row r="51" spans="1:22" ht="14.25" x14ac:dyDescent="0.2">
      <c r="A51" s="33"/>
      <c r="B51" s="33"/>
      <c r="C51" s="15"/>
      <c r="D51" s="15" t="s">
        <v>91</v>
      </c>
      <c r="E51" s="16" t="s">
        <v>89</v>
      </c>
      <c r="F51" s="5">
        <f>175</f>
        <v>175</v>
      </c>
      <c r="G51" s="17"/>
      <c r="H51" s="18"/>
      <c r="I51" s="5"/>
      <c r="J51" s="19">
        <f>SUM(U44:U50)-J57</f>
        <v>574.9</v>
      </c>
      <c r="K51" s="5">
        <f>157</f>
        <v>157</v>
      </c>
      <c r="L51" s="19">
        <f>SUM(V44:V50)-L57</f>
        <v>12497.01</v>
      </c>
    </row>
    <row r="52" spans="1:22" ht="14.25" x14ac:dyDescent="0.2">
      <c r="A52" s="33"/>
      <c r="B52" s="33"/>
      <c r="C52" s="15"/>
      <c r="D52" s="15" t="s">
        <v>92</v>
      </c>
      <c r="E52" s="16" t="s">
        <v>93</v>
      </c>
      <c r="F52" s="5">
        <f>[91]Source!AQ32</f>
        <v>27.6</v>
      </c>
      <c r="G52" s="17"/>
      <c r="H52" s="18">
        <f>[91]Source!DI32</f>
        <v>0</v>
      </c>
      <c r="I52" s="5">
        <f>[91]Source!AV33</f>
        <v>1.0469999999999999</v>
      </c>
      <c r="J52" s="19">
        <f>[91]Source!U32</f>
        <v>86.69</v>
      </c>
      <c r="K52" s="5"/>
      <c r="L52" s="19"/>
    </row>
    <row r="53" spans="1:22" ht="15" x14ac:dyDescent="0.25">
      <c r="I53" s="847">
        <f>J45+J46+J48+J49+J50+J51</f>
        <v>7975.56</v>
      </c>
      <c r="J53" s="847"/>
      <c r="K53" s="847">
        <f>L45+L46+L48+L49+L50+L51</f>
        <v>134302.13</v>
      </c>
      <c r="L53" s="847"/>
      <c r="O53" s="21">
        <f>J45+J46+J48+J49+J50+J51</f>
        <v>7975.56</v>
      </c>
      <c r="P53" s="21">
        <f>L45+L46+L48+L49+L50+L51</f>
        <v>134302.13</v>
      </c>
    </row>
    <row r="54" spans="1:22" ht="28.5" x14ac:dyDescent="0.2">
      <c r="A54" s="22"/>
      <c r="B54" s="22"/>
      <c r="C54" s="23"/>
      <c r="D54" s="23" t="s">
        <v>94</v>
      </c>
      <c r="E54" s="16"/>
      <c r="F54" s="24"/>
      <c r="G54" s="25"/>
      <c r="H54" s="16"/>
      <c r="I54" s="24"/>
      <c r="J54" s="20"/>
      <c r="K54" s="24"/>
      <c r="L54" s="20"/>
    </row>
    <row r="55" spans="1:22" ht="14.25" x14ac:dyDescent="0.2">
      <c r="A55" s="22"/>
      <c r="B55" s="22"/>
      <c r="C55" s="23"/>
      <c r="D55" s="23" t="s">
        <v>85</v>
      </c>
      <c r="E55" s="16"/>
      <c r="F55" s="24"/>
      <c r="G55" s="25">
        <f t="shared" ref="G55:L55" si="1">G56</f>
        <v>104.59</v>
      </c>
      <c r="H55" s="26" t="str">
        <f t="shared" si="1"/>
        <v>)*(1.67-1)</v>
      </c>
      <c r="I55" s="24">
        <f t="shared" si="1"/>
        <v>1.0469999999999999</v>
      </c>
      <c r="J55" s="20">
        <f t="shared" si="1"/>
        <v>220.11</v>
      </c>
      <c r="K55" s="24">
        <f t="shared" si="1"/>
        <v>24.23</v>
      </c>
      <c r="L55" s="20">
        <f t="shared" si="1"/>
        <v>5333.18</v>
      </c>
    </row>
    <row r="56" spans="1:22" ht="14.25" x14ac:dyDescent="0.2">
      <c r="A56" s="22"/>
      <c r="B56" s="22"/>
      <c r="C56" s="23"/>
      <c r="D56" s="23" t="s">
        <v>86</v>
      </c>
      <c r="E56" s="16"/>
      <c r="F56" s="24"/>
      <c r="G56" s="25">
        <f>[91]Source!AN32</f>
        <v>104.59</v>
      </c>
      <c r="H56" s="26" t="s">
        <v>95</v>
      </c>
      <c r="I56" s="24">
        <f>[91]Source!AV33</f>
        <v>1.0469999999999999</v>
      </c>
      <c r="J56" s="20">
        <f>ROUND(F44*G56*I56*(1.67-1), 2)</f>
        <v>220.11</v>
      </c>
      <c r="K56" s="24">
        <f>IF([91]Source!BS33&lt;&gt; 0, [91]Source!BS33, 1)</f>
        <v>24.23</v>
      </c>
      <c r="L56" s="20">
        <f>ROUND(F44*G56*I56*(1.67-1)*K56, 2)</f>
        <v>5333.18</v>
      </c>
    </row>
    <row r="57" spans="1:22" ht="14.25" x14ac:dyDescent="0.2">
      <c r="A57" s="22"/>
      <c r="B57" s="22"/>
      <c r="C57" s="23"/>
      <c r="D57" s="23" t="s">
        <v>91</v>
      </c>
      <c r="E57" s="16" t="s">
        <v>89</v>
      </c>
      <c r="F57" s="24">
        <f>175</f>
        <v>175</v>
      </c>
      <c r="G57" s="25"/>
      <c r="H57" s="16"/>
      <c r="I57" s="24"/>
      <c r="J57" s="20">
        <f>ROUND(J56*(F57/100), 2)</f>
        <v>385.19</v>
      </c>
      <c r="K57" s="24">
        <f>157</f>
        <v>157</v>
      </c>
      <c r="L57" s="20">
        <f>ROUND(L56*(K57/100), 2)</f>
        <v>8373.09</v>
      </c>
    </row>
    <row r="58" spans="1:22" ht="15" x14ac:dyDescent="0.25">
      <c r="I58" s="847">
        <f>J57+J56</f>
        <v>605.29999999999995</v>
      </c>
      <c r="J58" s="847"/>
      <c r="K58" s="847">
        <f>L57+L56</f>
        <v>13706.27</v>
      </c>
      <c r="L58" s="847"/>
      <c r="O58" s="21">
        <f>I58</f>
        <v>605.29999999999995</v>
      </c>
      <c r="P58" s="21">
        <f>K58</f>
        <v>13706.27</v>
      </c>
    </row>
    <row r="60" spans="1:22" ht="15" x14ac:dyDescent="0.25">
      <c r="A60" s="27"/>
      <c r="B60" s="27"/>
      <c r="C60" s="28"/>
      <c r="D60" s="28" t="s">
        <v>96</v>
      </c>
      <c r="E60" s="29"/>
      <c r="F60" s="30"/>
      <c r="G60" s="31"/>
      <c r="H60" s="32"/>
      <c r="I60" s="847">
        <f>I53+I58</f>
        <v>8580.86</v>
      </c>
      <c r="J60" s="847"/>
      <c r="K60" s="847">
        <f>K53+K58</f>
        <v>148008.4</v>
      </c>
      <c r="L60" s="847"/>
    </row>
    <row r="61" spans="1:22" ht="78" x14ac:dyDescent="0.2">
      <c r="A61" s="33">
        <v>4</v>
      </c>
      <c r="B61" s="33" t="str">
        <f>[91]Source!E34</f>
        <v>4</v>
      </c>
      <c r="C61" s="15" t="s">
        <v>242</v>
      </c>
      <c r="D61" s="15" t="s">
        <v>243</v>
      </c>
      <c r="E61" s="16" t="str">
        <f>[91]Source!H34</f>
        <v>1  ШТ.</v>
      </c>
      <c r="F61" s="5">
        <f>[91]Source!I34</f>
        <v>1</v>
      </c>
      <c r="G61" s="17"/>
      <c r="H61" s="18"/>
      <c r="I61" s="5"/>
      <c r="J61" s="19"/>
      <c r="K61" s="5"/>
      <c r="L61" s="19"/>
      <c r="Q61" s="1">
        <f>[91]Source!X34</f>
        <v>486.85</v>
      </c>
      <c r="R61" s="1">
        <f>[91]Source!X35</f>
        <v>9479.2900000000009</v>
      </c>
      <c r="S61" s="1">
        <f>[91]Source!Y34</f>
        <v>304.27999999999997</v>
      </c>
      <c r="T61" s="1">
        <f>[91]Source!Y35</f>
        <v>4528.99</v>
      </c>
      <c r="U61" s="1">
        <f>ROUND((175/100)*ROUND([91]Source!R34, 2), 2)</f>
        <v>182.28</v>
      </c>
      <c r="V61" s="1">
        <f>ROUND((157/100)*ROUND([91]Source!R35, 2), 2)</f>
        <v>3962.37</v>
      </c>
    </row>
    <row r="62" spans="1:22" ht="14.25" x14ac:dyDescent="0.2">
      <c r="A62" s="33"/>
      <c r="B62" s="33"/>
      <c r="C62" s="15"/>
      <c r="D62" s="15" t="s">
        <v>84</v>
      </c>
      <c r="E62" s="16"/>
      <c r="F62" s="5"/>
      <c r="G62" s="17">
        <f>[91]Source!AO34</f>
        <v>248.61</v>
      </c>
      <c r="H62" s="18" t="str">
        <f>[91]Source!DG34</f>
        <v>)*1,67</v>
      </c>
      <c r="I62" s="5">
        <f>[91]Source!AV35</f>
        <v>1.0469999999999999</v>
      </c>
      <c r="J62" s="19">
        <f>[91]Source!S34</f>
        <v>434.69</v>
      </c>
      <c r="K62" s="5">
        <f>IF([91]Source!BA35&lt;&gt; 0, [91]Source!BA35, 1)</f>
        <v>24.23</v>
      </c>
      <c r="L62" s="19">
        <f>[91]Source!S35</f>
        <v>10532.54</v>
      </c>
    </row>
    <row r="63" spans="1:22" ht="14.25" x14ac:dyDescent="0.2">
      <c r="A63" s="33"/>
      <c r="B63" s="33"/>
      <c r="C63" s="15"/>
      <c r="D63" s="15" t="s">
        <v>85</v>
      </c>
      <c r="E63" s="16"/>
      <c r="F63" s="5"/>
      <c r="G63" s="17">
        <f>[91]Source!AM34</f>
        <v>256.52</v>
      </c>
      <c r="H63" s="18">
        <f>[91]Source!DE34</f>
        <v>0</v>
      </c>
      <c r="I63" s="5">
        <f>[91]Source!AV35</f>
        <v>1.0469999999999999</v>
      </c>
      <c r="J63" s="19">
        <f>[91]Source!Q34-J72</f>
        <v>268.58</v>
      </c>
      <c r="K63" s="5">
        <f>IF([91]Source!BB35&lt;&gt; 0, [91]Source!BB35, 1)</f>
        <v>9.9</v>
      </c>
      <c r="L63" s="19">
        <f>[91]Source!Q35-L72</f>
        <v>2658.99</v>
      </c>
    </row>
    <row r="64" spans="1:22" ht="14.25" x14ac:dyDescent="0.2">
      <c r="A64" s="33"/>
      <c r="B64" s="33"/>
      <c r="C64" s="15"/>
      <c r="D64" s="15" t="s">
        <v>86</v>
      </c>
      <c r="E64" s="16"/>
      <c r="F64" s="5"/>
      <c r="G64" s="17">
        <f>[91]Source!AN34</f>
        <v>59.57</v>
      </c>
      <c r="H64" s="18">
        <f>[91]Source!DE34</f>
        <v>0</v>
      </c>
      <c r="I64" s="5">
        <f>[91]Source!AV35</f>
        <v>1.0469999999999999</v>
      </c>
      <c r="J64" s="20">
        <f>[91]Source!R34-J73</f>
        <v>62.37</v>
      </c>
      <c r="K64" s="5">
        <f>IF([91]Source!BS35&lt;&gt; 0, [91]Source!BS35, 1)</f>
        <v>24.23</v>
      </c>
      <c r="L64" s="20">
        <f>[91]Source!R35-L73</f>
        <v>1511.28</v>
      </c>
    </row>
    <row r="65" spans="1:16" ht="14.25" x14ac:dyDescent="0.2">
      <c r="A65" s="33"/>
      <c r="B65" s="33"/>
      <c r="C65" s="15"/>
      <c r="D65" s="15" t="s">
        <v>87</v>
      </c>
      <c r="E65" s="16"/>
      <c r="F65" s="5"/>
      <c r="G65" s="17">
        <f>[91]Source!AL34</f>
        <v>180.6</v>
      </c>
      <c r="H65" s="18">
        <f>[91]Source!DD34</f>
        <v>0</v>
      </c>
      <c r="I65" s="5">
        <f>[91]Source!AW35</f>
        <v>1</v>
      </c>
      <c r="J65" s="19">
        <f>[91]Source!P34</f>
        <v>180.6</v>
      </c>
      <c r="K65" s="5">
        <f>IF([91]Source!BC35&lt;&gt; 0, [91]Source!BC35, 1)</f>
        <v>5.58</v>
      </c>
      <c r="L65" s="19">
        <f>[91]Source!P35</f>
        <v>1007.75</v>
      </c>
    </row>
    <row r="66" spans="1:16" ht="14.25" x14ac:dyDescent="0.2">
      <c r="A66" s="33"/>
      <c r="B66" s="33"/>
      <c r="C66" s="15"/>
      <c r="D66" s="15" t="s">
        <v>88</v>
      </c>
      <c r="E66" s="16" t="s">
        <v>89</v>
      </c>
      <c r="F66" s="5">
        <f>[91]Source!DN35</f>
        <v>112</v>
      </c>
      <c r="G66" s="17"/>
      <c r="H66" s="18"/>
      <c r="I66" s="5"/>
      <c r="J66" s="19">
        <f>SUM(Q61:Q65)</f>
        <v>486.85</v>
      </c>
      <c r="K66" s="5">
        <f>[91]Source!BZ35</f>
        <v>90</v>
      </c>
      <c r="L66" s="19">
        <f>SUM(R61:R65)</f>
        <v>9479.2900000000009</v>
      </c>
    </row>
    <row r="67" spans="1:16" ht="14.25" x14ac:dyDescent="0.2">
      <c r="A67" s="33"/>
      <c r="B67" s="33"/>
      <c r="C67" s="15"/>
      <c r="D67" s="15" t="s">
        <v>90</v>
      </c>
      <c r="E67" s="16" t="s">
        <v>89</v>
      </c>
      <c r="F67" s="5">
        <f>[91]Source!DO35</f>
        <v>70</v>
      </c>
      <c r="G67" s="17"/>
      <c r="H67" s="18"/>
      <c r="I67" s="5"/>
      <c r="J67" s="19">
        <f>SUM(S61:S66)</f>
        <v>304.27999999999997</v>
      </c>
      <c r="K67" s="5">
        <f>[91]Source!CA35</f>
        <v>43</v>
      </c>
      <c r="L67" s="19">
        <f>SUM(T61:T66)</f>
        <v>4528.99</v>
      </c>
    </row>
    <row r="68" spans="1:16" ht="14.25" x14ac:dyDescent="0.2">
      <c r="A68" s="33"/>
      <c r="B68" s="33"/>
      <c r="C68" s="15"/>
      <c r="D68" s="15" t="s">
        <v>91</v>
      </c>
      <c r="E68" s="16" t="s">
        <v>89</v>
      </c>
      <c r="F68" s="5">
        <f>175</f>
        <v>175</v>
      </c>
      <c r="G68" s="17"/>
      <c r="H68" s="18"/>
      <c r="I68" s="5"/>
      <c r="J68" s="19">
        <f>SUM(U61:U67)-J74</f>
        <v>109.15</v>
      </c>
      <c r="K68" s="5">
        <f>157</f>
        <v>157</v>
      </c>
      <c r="L68" s="19">
        <f>SUM(V61:V67)-L74</f>
        <v>2372.71</v>
      </c>
    </row>
    <row r="69" spans="1:16" ht="14.25" x14ac:dyDescent="0.2">
      <c r="A69" s="33"/>
      <c r="B69" s="33"/>
      <c r="C69" s="15"/>
      <c r="D69" s="15" t="s">
        <v>92</v>
      </c>
      <c r="E69" s="16" t="s">
        <v>93</v>
      </c>
      <c r="F69" s="5">
        <f>[91]Source!AQ34</f>
        <v>19.7</v>
      </c>
      <c r="G69" s="17"/>
      <c r="H69" s="18">
        <f>[91]Source!DI34</f>
        <v>0</v>
      </c>
      <c r="I69" s="5">
        <f>[91]Source!AV35</f>
        <v>1.0469999999999999</v>
      </c>
      <c r="J69" s="19">
        <f>[91]Source!U34</f>
        <v>20.63</v>
      </c>
      <c r="K69" s="5"/>
      <c r="L69" s="19"/>
    </row>
    <row r="70" spans="1:16" ht="15" x14ac:dyDescent="0.25">
      <c r="I70" s="847">
        <f>J62+J63+J65+J66+J67+J68</f>
        <v>1784.15</v>
      </c>
      <c r="J70" s="847"/>
      <c r="K70" s="847">
        <f>L62+L63+L65+L66+L67+L68</f>
        <v>30580.27</v>
      </c>
      <c r="L70" s="847"/>
      <c r="O70" s="21">
        <f>J62+J63+J65+J66+J67+J68</f>
        <v>1784.15</v>
      </c>
      <c r="P70" s="21">
        <f>L62+L63+L65+L66+L67+L68</f>
        <v>30580.27</v>
      </c>
    </row>
    <row r="71" spans="1:16" ht="28.5" x14ac:dyDescent="0.2">
      <c r="A71" s="22"/>
      <c r="B71" s="22"/>
      <c r="C71" s="23"/>
      <c r="D71" s="23" t="s">
        <v>94</v>
      </c>
      <c r="E71" s="16"/>
      <c r="F71" s="24"/>
      <c r="G71" s="25"/>
      <c r="H71" s="16"/>
      <c r="I71" s="24"/>
      <c r="J71" s="20"/>
      <c r="K71" s="24"/>
      <c r="L71" s="20"/>
    </row>
    <row r="72" spans="1:16" ht="14.25" x14ac:dyDescent="0.2">
      <c r="A72" s="22"/>
      <c r="B72" s="22"/>
      <c r="C72" s="23"/>
      <c r="D72" s="23" t="s">
        <v>85</v>
      </c>
      <c r="E72" s="16"/>
      <c r="F72" s="24"/>
      <c r="G72" s="25">
        <f t="shared" ref="G72:L72" si="2">G73</f>
        <v>59.57</v>
      </c>
      <c r="H72" s="26" t="str">
        <f t="shared" si="2"/>
        <v>)*(1.67-1)</v>
      </c>
      <c r="I72" s="24">
        <f t="shared" si="2"/>
        <v>1.0469999999999999</v>
      </c>
      <c r="J72" s="20">
        <f t="shared" si="2"/>
        <v>41.79</v>
      </c>
      <c r="K72" s="24">
        <f t="shared" si="2"/>
        <v>24.23</v>
      </c>
      <c r="L72" s="20">
        <f t="shared" si="2"/>
        <v>1012.52</v>
      </c>
    </row>
    <row r="73" spans="1:16" ht="14.25" x14ac:dyDescent="0.2">
      <c r="A73" s="22"/>
      <c r="B73" s="22"/>
      <c r="C73" s="23"/>
      <c r="D73" s="23" t="s">
        <v>86</v>
      </c>
      <c r="E73" s="16"/>
      <c r="F73" s="24"/>
      <c r="G73" s="25">
        <f>[91]Source!AN34</f>
        <v>59.57</v>
      </c>
      <c r="H73" s="26" t="s">
        <v>95</v>
      </c>
      <c r="I73" s="24">
        <f>[91]Source!AV35</f>
        <v>1.0469999999999999</v>
      </c>
      <c r="J73" s="20">
        <f>ROUND(F61*G73*I73*(1.67-1), 2)</f>
        <v>41.79</v>
      </c>
      <c r="K73" s="24">
        <f>IF([91]Source!BS35&lt;&gt; 0, [91]Source!BS35, 1)</f>
        <v>24.23</v>
      </c>
      <c r="L73" s="20">
        <f>ROUND(F61*G73*I73*(1.67-1)*K73, 2)</f>
        <v>1012.52</v>
      </c>
    </row>
    <row r="74" spans="1:16" ht="14.25" x14ac:dyDescent="0.2">
      <c r="A74" s="22"/>
      <c r="B74" s="22"/>
      <c r="C74" s="23"/>
      <c r="D74" s="23" t="s">
        <v>91</v>
      </c>
      <c r="E74" s="16" t="s">
        <v>89</v>
      </c>
      <c r="F74" s="24">
        <f>175</f>
        <v>175</v>
      </c>
      <c r="G74" s="25"/>
      <c r="H74" s="16"/>
      <c r="I74" s="24"/>
      <c r="J74" s="20">
        <f>ROUND(J73*(F74/100), 2)</f>
        <v>73.13</v>
      </c>
      <c r="K74" s="24">
        <f>157</f>
        <v>157</v>
      </c>
      <c r="L74" s="20">
        <f>ROUND(L73*(K74/100), 2)</f>
        <v>1589.66</v>
      </c>
    </row>
    <row r="75" spans="1:16" ht="15" x14ac:dyDescent="0.25">
      <c r="I75" s="847">
        <f>J74+J73</f>
        <v>114.92</v>
      </c>
      <c r="J75" s="847"/>
      <c r="K75" s="847">
        <f>L74+L73</f>
        <v>2602.1799999999998</v>
      </c>
      <c r="L75" s="847"/>
      <c r="O75" s="21">
        <f>I75</f>
        <v>114.92</v>
      </c>
      <c r="P75" s="21">
        <f>K75</f>
        <v>2602.1799999999998</v>
      </c>
    </row>
    <row r="77" spans="1:16" ht="15" x14ac:dyDescent="0.25">
      <c r="A77" s="27"/>
      <c r="B77" s="27"/>
      <c r="C77" s="28"/>
      <c r="D77" s="28" t="s">
        <v>96</v>
      </c>
      <c r="E77" s="29"/>
      <c r="F77" s="30"/>
      <c r="G77" s="31"/>
      <c r="H77" s="32"/>
      <c r="I77" s="847">
        <f>I70+I75</f>
        <v>1899.07</v>
      </c>
      <c r="J77" s="847"/>
      <c r="K77" s="847">
        <f>K70+K75</f>
        <v>33182.449999999997</v>
      </c>
      <c r="L77" s="847"/>
    </row>
    <row r="79" spans="1:16" ht="15" x14ac:dyDescent="0.25">
      <c r="A79" s="879" t="str">
        <f>CONCATENATE("Итого по разделу: ",IF([91]Source!G59&lt;&gt;"Новый раздел", [91]Source!G59, ""))</f>
        <v>Итого по разделу: Электрооборудование</v>
      </c>
      <c r="B79" s="879"/>
      <c r="C79" s="879"/>
      <c r="D79" s="879"/>
      <c r="E79" s="879"/>
      <c r="F79" s="879"/>
      <c r="G79" s="879"/>
      <c r="H79" s="879"/>
      <c r="I79" s="880">
        <f>SUM(O19:O78)</f>
        <v>40113.43</v>
      </c>
      <c r="J79" s="881"/>
      <c r="K79" s="880">
        <f>SUM(P19:P78)</f>
        <v>703869.47</v>
      </c>
      <c r="L79" s="881"/>
    </row>
    <row r="80" spans="1:16" hidden="1" x14ac:dyDescent="0.2">
      <c r="A80" s="1" t="s">
        <v>139</v>
      </c>
      <c r="J80" s="1">
        <f>SUM(W19:W79)</f>
        <v>0</v>
      </c>
      <c r="K80" s="1">
        <f>SUM(X19:X79)</f>
        <v>0</v>
      </c>
    </row>
    <row r="81" spans="1:22" hidden="1" x14ac:dyDescent="0.2">
      <c r="A81" s="1" t="s">
        <v>140</v>
      </c>
      <c r="J81" s="1">
        <f>SUM(Y19:Y80)</f>
        <v>0</v>
      </c>
      <c r="K81" s="1">
        <f>SUM(Z19:Z80)</f>
        <v>0</v>
      </c>
    </row>
    <row r="83" spans="1:22" ht="16.5" x14ac:dyDescent="0.25">
      <c r="A83" s="854" t="str">
        <f>CONCATENATE("Раздел: ",IF([91]Source!G178&lt;&gt;"Новый раздел", [91]Source!G178, ""))</f>
        <v>Раздел: Оборудование</v>
      </c>
      <c r="B83" s="854"/>
      <c r="C83" s="854"/>
      <c r="D83" s="854"/>
      <c r="E83" s="854"/>
      <c r="F83" s="854"/>
      <c r="G83" s="854"/>
      <c r="H83" s="854"/>
      <c r="I83" s="854"/>
      <c r="J83" s="854"/>
      <c r="K83" s="854"/>
      <c r="L83" s="854"/>
    </row>
    <row r="84" spans="1:22" ht="285" x14ac:dyDescent="0.2">
      <c r="A84" s="877">
        <v>5</v>
      </c>
      <c r="B84" s="877" t="str">
        <f>[91]Source!E182</f>
        <v>26</v>
      </c>
      <c r="C84" s="34" t="str">
        <f>[91]Source!F182</f>
        <v>МКЭ-33-1310/9-3 от 30.08.2019</v>
      </c>
      <c r="D84" s="34" t="s">
        <v>351</v>
      </c>
      <c r="E84" s="16" t="s">
        <v>197</v>
      </c>
      <c r="F84" s="246">
        <v>2</v>
      </c>
      <c r="G84" s="19">
        <f>J84/F84</f>
        <v>1157575.83</v>
      </c>
      <c r="H84" s="18"/>
      <c r="I84" s="5"/>
      <c r="J84" s="19">
        <f>L84/K84</f>
        <v>2315151.66</v>
      </c>
      <c r="K84" s="5">
        <v>4.5599999999999996</v>
      </c>
      <c r="L84" s="19">
        <f>5064033.34*1.03*1.012*F84</f>
        <v>10557091.58</v>
      </c>
      <c r="Q84" s="1">
        <f>[91]Source!X182</f>
        <v>0</v>
      </c>
      <c r="R84" s="1">
        <f>[91]Source!X183</f>
        <v>0</v>
      </c>
      <c r="S84" s="1">
        <f>[91]Source!Y182</f>
        <v>0</v>
      </c>
      <c r="T84" s="1">
        <f>[91]Source!Y183</f>
        <v>0</v>
      </c>
      <c r="U84" s="1">
        <f>ROUND((175/100)*ROUND([91]Source!R182, 2), 2)</f>
        <v>0</v>
      </c>
      <c r="V84" s="1">
        <f>ROUND((157/100)*ROUND([91]Source!R183, 2), 2)</f>
        <v>0</v>
      </c>
    </row>
    <row r="85" spans="1:22" ht="42.75" hidden="1" x14ac:dyDescent="0.2">
      <c r="A85" s="878"/>
      <c r="B85" s="878"/>
      <c r="C85" s="15" t="s">
        <v>250</v>
      </c>
      <c r="D85" s="15" t="s">
        <v>253</v>
      </c>
      <c r="E85" s="16" t="str">
        <f>[91]Source!H183</f>
        <v>шт.</v>
      </c>
      <c r="F85" s="5">
        <f>[91]Source!I183</f>
        <v>2</v>
      </c>
      <c r="G85" s="19">
        <f>J85/F85</f>
        <v>1055028.8799999999</v>
      </c>
      <c r="H85" s="18"/>
      <c r="I85" s="5"/>
      <c r="J85" s="19">
        <f>L85/K85</f>
        <v>2110057.75</v>
      </c>
      <c r="K85" s="5">
        <v>4.5599999999999996</v>
      </c>
      <c r="L85" s="19">
        <f>4810931.67*F85</f>
        <v>9621863.3399999999</v>
      </c>
    </row>
    <row r="86" spans="1:22" ht="15" x14ac:dyDescent="0.25">
      <c r="A86" s="35"/>
      <c r="B86" s="35"/>
      <c r="C86" s="35"/>
      <c r="D86" s="35"/>
      <c r="E86" s="35"/>
      <c r="F86" s="35"/>
      <c r="G86" s="35"/>
      <c r="H86" s="35"/>
      <c r="I86" s="847">
        <f>J84</f>
        <v>2315151.66</v>
      </c>
      <c r="J86" s="847"/>
      <c r="K86" s="847">
        <f>L84</f>
        <v>10557091.58</v>
      </c>
      <c r="L86" s="847"/>
      <c r="O86" s="21">
        <f>J84</f>
        <v>2315151.66</v>
      </c>
      <c r="P86" s="21">
        <f>L84</f>
        <v>10557091.58</v>
      </c>
    </row>
    <row r="87" spans="1:22" ht="171" x14ac:dyDescent="0.2">
      <c r="A87" s="877">
        <v>6</v>
      </c>
      <c r="B87" s="877" t="str">
        <f>[91]Source!E184</f>
        <v>27</v>
      </c>
      <c r="C87" s="34" t="str">
        <f>[91]Source!F184</f>
        <v>МКЭ-33-1624/9-1 от 23.08.2019</v>
      </c>
      <c r="D87" s="34" t="s">
        <v>244</v>
      </c>
      <c r="E87" s="16" t="s">
        <v>197</v>
      </c>
      <c r="F87" s="246">
        <v>2</v>
      </c>
      <c r="G87" s="19">
        <f>J87/F87</f>
        <v>636242.18000000005</v>
      </c>
      <c r="H87" s="18"/>
      <c r="I87" s="246"/>
      <c r="J87" s="19">
        <f>L87/K87</f>
        <v>1272484.3600000001</v>
      </c>
      <c r="K87" s="246">
        <v>4.5599999999999996</v>
      </c>
      <c r="L87" s="19">
        <f>2783361.15*1.03*1.012*F87</f>
        <v>5802528.6600000001</v>
      </c>
      <c r="Q87" s="1">
        <f>[91]Source!X184</f>
        <v>0</v>
      </c>
      <c r="R87" s="1">
        <f>[91]Source!X185</f>
        <v>0</v>
      </c>
      <c r="S87" s="1">
        <f>[91]Source!Y184</f>
        <v>0</v>
      </c>
      <c r="T87" s="1">
        <f>[91]Source!Y185</f>
        <v>0</v>
      </c>
      <c r="U87" s="1">
        <f>ROUND((175/100)*ROUND([91]Source!R184, 2), 2)</f>
        <v>0</v>
      </c>
      <c r="V87" s="1">
        <f>ROUND((157/100)*ROUND([91]Source!R185, 2), 2)</f>
        <v>0</v>
      </c>
    </row>
    <row r="88" spans="1:22" ht="57" hidden="1" x14ac:dyDescent="0.2">
      <c r="A88" s="878"/>
      <c r="B88" s="878"/>
      <c r="C88" s="15" t="s">
        <v>251</v>
      </c>
      <c r="D88" s="15" t="s">
        <v>254</v>
      </c>
      <c r="E88" s="16" t="str">
        <f>[91]Source!H185</f>
        <v>шт.</v>
      </c>
      <c r="F88" s="5">
        <f>[91]Source!I185</f>
        <v>2</v>
      </c>
      <c r="G88" s="19">
        <f>J88/F88</f>
        <v>447464.48</v>
      </c>
      <c r="H88" s="18"/>
      <c r="I88" s="5"/>
      <c r="J88" s="19">
        <f>L88/K88</f>
        <v>894928.95</v>
      </c>
      <c r="K88" s="5">
        <v>4.5599999999999996</v>
      </c>
      <c r="L88" s="19">
        <f>2040438*F88</f>
        <v>4080876</v>
      </c>
    </row>
    <row r="89" spans="1:22" ht="15" x14ac:dyDescent="0.25">
      <c r="A89" s="35"/>
      <c r="B89" s="35"/>
      <c r="C89" s="35"/>
      <c r="D89" s="35"/>
      <c r="E89" s="35"/>
      <c r="F89" s="35"/>
      <c r="G89" s="35"/>
      <c r="H89" s="35"/>
      <c r="I89" s="847">
        <f>J87</f>
        <v>1272484.3600000001</v>
      </c>
      <c r="J89" s="847"/>
      <c r="K89" s="847">
        <f>L87</f>
        <v>5802528.6600000001</v>
      </c>
      <c r="L89" s="847"/>
      <c r="O89" s="21">
        <f>J87</f>
        <v>1272484.3600000001</v>
      </c>
      <c r="P89" s="21">
        <f>L87</f>
        <v>5802528.6600000001</v>
      </c>
    </row>
    <row r="90" spans="1:22" ht="270.75" x14ac:dyDescent="0.2">
      <c r="A90" s="877">
        <v>7</v>
      </c>
      <c r="B90" s="877" t="str">
        <f>[91]Source!E186</f>
        <v>28</v>
      </c>
      <c r="C90" s="66" t="str">
        <f>[91]Source!F186</f>
        <v>МКЭ-33-1586/8-1 от 17.10.2018</v>
      </c>
      <c r="D90" s="34" t="s">
        <v>245</v>
      </c>
      <c r="E90" s="16" t="s">
        <v>197</v>
      </c>
      <c r="F90" s="5">
        <v>1</v>
      </c>
      <c r="G90" s="19">
        <f>J90/F90</f>
        <v>894387.87</v>
      </c>
      <c r="H90" s="18"/>
      <c r="I90" s="246"/>
      <c r="J90" s="19">
        <f>L90/K90</f>
        <v>894387.87</v>
      </c>
      <c r="K90" s="246">
        <v>4.5599999999999996</v>
      </c>
      <c r="L90" s="19">
        <f>3912668.08*1.03*1.012*F90</f>
        <v>4078408.7</v>
      </c>
      <c r="Q90" s="1">
        <f>[91]Source!X186</f>
        <v>0</v>
      </c>
      <c r="R90" s="1">
        <f>[91]Source!X187</f>
        <v>0</v>
      </c>
      <c r="S90" s="1">
        <f>[91]Source!Y186</f>
        <v>0</v>
      </c>
      <c r="T90" s="1">
        <f>[91]Source!Y187</f>
        <v>0</v>
      </c>
      <c r="U90" s="1">
        <f>ROUND((175/100)*ROUND([91]Source!R186, 2), 2)</f>
        <v>0</v>
      </c>
      <c r="V90" s="1">
        <f>ROUND((157/100)*ROUND([91]Source!R187, 2), 2)</f>
        <v>0</v>
      </c>
    </row>
    <row r="91" spans="1:22" ht="42.75" hidden="1" x14ac:dyDescent="0.2">
      <c r="A91" s="878"/>
      <c r="B91" s="878"/>
      <c r="C91" s="67" t="s">
        <v>252</v>
      </c>
      <c r="D91" s="15" t="s">
        <v>255</v>
      </c>
      <c r="E91" s="16" t="str">
        <f>[91]Source!H187</f>
        <v>шт.</v>
      </c>
      <c r="F91" s="5">
        <f>[91]Source!I187</f>
        <v>1</v>
      </c>
      <c r="G91" s="19">
        <f>J91/F91</f>
        <v>937125</v>
      </c>
      <c r="H91" s="18"/>
      <c r="I91" s="5"/>
      <c r="J91" s="19">
        <f>L91/K91</f>
        <v>937125</v>
      </c>
      <c r="K91" s="5">
        <v>4.5599999999999996</v>
      </c>
      <c r="L91" s="19">
        <f>4273290*F91</f>
        <v>4273290</v>
      </c>
    </row>
    <row r="92" spans="1:22" ht="15" x14ac:dyDescent="0.25">
      <c r="A92" s="35"/>
      <c r="B92" s="35"/>
      <c r="C92" s="35"/>
      <c r="D92" s="35"/>
      <c r="E92" s="35"/>
      <c r="F92" s="35"/>
      <c r="G92" s="35"/>
      <c r="H92" s="35"/>
      <c r="I92" s="847">
        <f>J90</f>
        <v>894387.87</v>
      </c>
      <c r="J92" s="847"/>
      <c r="K92" s="847">
        <f>L90</f>
        <v>4078408.7</v>
      </c>
      <c r="L92" s="847"/>
      <c r="O92" s="21">
        <f>J90</f>
        <v>894387.87</v>
      </c>
      <c r="P92" s="21">
        <f>L90</f>
        <v>4078408.7</v>
      </c>
    </row>
    <row r="93" spans="1:22" ht="128.25" x14ac:dyDescent="0.2">
      <c r="A93" s="877">
        <v>8</v>
      </c>
      <c r="B93" s="877" t="str">
        <f>[91]Source!E188</f>
        <v>29</v>
      </c>
      <c r="C93" s="66" t="str">
        <f>[91]Source!F188</f>
        <v>13.1-1-224</v>
      </c>
      <c r="D93" s="34" t="s">
        <v>246</v>
      </c>
      <c r="E93" s="16"/>
      <c r="F93" s="5"/>
      <c r="G93" s="17"/>
      <c r="H93" s="18"/>
      <c r="I93" s="5"/>
      <c r="J93" s="19"/>
      <c r="K93" s="5"/>
      <c r="L93" s="19"/>
      <c r="Q93" s="1">
        <f>[91]Source!X188</f>
        <v>0</v>
      </c>
      <c r="R93" s="1">
        <f>[91]Source!X189</f>
        <v>0</v>
      </c>
      <c r="S93" s="1">
        <f>[91]Source!Y188</f>
        <v>0</v>
      </c>
      <c r="T93" s="1">
        <f>[91]Source!Y189</f>
        <v>0</v>
      </c>
      <c r="U93" s="1">
        <f>ROUND((175/100)*ROUND([91]Source!R188, 2), 2)</f>
        <v>0</v>
      </c>
      <c r="V93" s="1">
        <f>ROUND((157/100)*ROUND([91]Source!R189, 2), 2)</f>
        <v>0</v>
      </c>
    </row>
    <row r="94" spans="1:22" ht="42.75" x14ac:dyDescent="0.2">
      <c r="A94" s="878"/>
      <c r="B94" s="878"/>
      <c r="C94" s="67" t="s">
        <v>252</v>
      </c>
      <c r="D94" s="15" t="s">
        <v>256</v>
      </c>
      <c r="E94" s="16" t="str">
        <f>[91]Source!H190</f>
        <v>шт.</v>
      </c>
      <c r="F94" s="5">
        <f>[91]Source!I190</f>
        <v>1</v>
      </c>
      <c r="G94" s="19">
        <f>J94/F94</f>
        <v>346830.07</v>
      </c>
      <c r="H94" s="18"/>
      <c r="I94" s="5"/>
      <c r="J94" s="19">
        <f>L94/K94</f>
        <v>346830.07</v>
      </c>
      <c r="K94" s="5">
        <v>4.5599999999999996</v>
      </c>
      <c r="L94" s="19">
        <f>1581545.14*F94</f>
        <v>1581545.14</v>
      </c>
    </row>
    <row r="95" spans="1:22" ht="15" x14ac:dyDescent="0.25">
      <c r="A95" s="35"/>
      <c r="B95" s="35"/>
      <c r="C95" s="35"/>
      <c r="D95" s="35"/>
      <c r="E95" s="35"/>
      <c r="F95" s="35"/>
      <c r="G95" s="35"/>
      <c r="H95" s="35"/>
      <c r="I95" s="847">
        <f>J94</f>
        <v>346830.07</v>
      </c>
      <c r="J95" s="847"/>
      <c r="K95" s="847">
        <f>L94</f>
        <v>1581545.14</v>
      </c>
      <c r="L95" s="847"/>
      <c r="O95" s="21">
        <f>J93</f>
        <v>0</v>
      </c>
      <c r="P95" s="21">
        <f>L93</f>
        <v>0</v>
      </c>
    </row>
    <row r="96" spans="1:22" ht="199.5" x14ac:dyDescent="0.2">
      <c r="A96" s="877">
        <v>9</v>
      </c>
      <c r="B96" s="877" t="str">
        <f>[91]Source!E190</f>
        <v>30</v>
      </c>
      <c r="C96" s="66" t="str">
        <f>[91]Source!F190</f>
        <v>МКЭ-33-1586/8-1 от 17.10.2018</v>
      </c>
      <c r="D96" s="34" t="s">
        <v>247</v>
      </c>
      <c r="E96" s="16"/>
      <c r="F96" s="5"/>
      <c r="G96" s="19"/>
      <c r="H96" s="18"/>
      <c r="I96" s="5"/>
      <c r="J96" s="19"/>
      <c r="K96" s="5"/>
      <c r="L96" s="19"/>
      <c r="Q96" s="1">
        <f>[91]Source!X190</f>
        <v>0</v>
      </c>
      <c r="R96" s="1">
        <f>[91]Source!X191</f>
        <v>0</v>
      </c>
      <c r="S96" s="1">
        <f>[91]Source!Y190</f>
        <v>0</v>
      </c>
      <c r="T96" s="1">
        <f>[91]Source!Y191</f>
        <v>0</v>
      </c>
      <c r="U96" s="1">
        <f>ROUND((175/100)*ROUND([91]Source!R190, 2), 2)</f>
        <v>0</v>
      </c>
      <c r="V96" s="1">
        <f>ROUND((157/100)*ROUND([91]Source!R191, 2), 2)</f>
        <v>0</v>
      </c>
    </row>
    <row r="97" spans="1:32" ht="42.75" x14ac:dyDescent="0.2">
      <c r="A97" s="878"/>
      <c r="B97" s="878"/>
      <c r="C97" s="67" t="s">
        <v>252</v>
      </c>
      <c r="D97" s="15" t="s">
        <v>257</v>
      </c>
      <c r="E97" s="16" t="s">
        <v>197</v>
      </c>
      <c r="F97" s="5">
        <v>1</v>
      </c>
      <c r="G97" s="19">
        <f>J97/F97</f>
        <v>226041.67</v>
      </c>
      <c r="H97" s="18"/>
      <c r="I97" s="5"/>
      <c r="J97" s="19">
        <f>L97/K97</f>
        <v>226041.67</v>
      </c>
      <c r="K97" s="5">
        <v>4.5599999999999996</v>
      </c>
      <c r="L97" s="19">
        <f>1030750*F97</f>
        <v>1030750</v>
      </c>
    </row>
    <row r="98" spans="1:32" ht="15" x14ac:dyDescent="0.25">
      <c r="A98" s="35"/>
      <c r="B98" s="35"/>
      <c r="C98" s="35"/>
      <c r="D98" s="35"/>
      <c r="E98" s="35"/>
      <c r="F98" s="35"/>
      <c r="G98" s="35"/>
      <c r="H98" s="35"/>
      <c r="I98" s="847">
        <f>J97</f>
        <v>226041.67</v>
      </c>
      <c r="J98" s="847"/>
      <c r="K98" s="847">
        <f>L97</f>
        <v>1030750</v>
      </c>
      <c r="L98" s="847"/>
      <c r="O98" s="21">
        <f>J96</f>
        <v>0</v>
      </c>
      <c r="P98" s="21">
        <f>L96</f>
        <v>0</v>
      </c>
    </row>
    <row r="99" spans="1:32" ht="85.5" x14ac:dyDescent="0.2">
      <c r="A99" s="877">
        <v>10</v>
      </c>
      <c r="B99" s="877" t="str">
        <f>[91]Source!E192</f>
        <v>31</v>
      </c>
      <c r="C99" s="66" t="str">
        <f>[91]Source!F192</f>
        <v>13.1-1-774</v>
      </c>
      <c r="D99" s="34" t="s">
        <v>248</v>
      </c>
      <c r="E99" s="16"/>
      <c r="F99" s="5"/>
      <c r="G99" s="17"/>
      <c r="H99" s="18"/>
      <c r="I99" s="5"/>
      <c r="J99" s="19"/>
      <c r="K99" s="5"/>
      <c r="L99" s="19"/>
      <c r="Q99" s="1">
        <f>[91]Source!X192</f>
        <v>0</v>
      </c>
      <c r="R99" s="1">
        <f>[91]Source!X193</f>
        <v>0</v>
      </c>
      <c r="S99" s="1">
        <f>[91]Source!Y192</f>
        <v>0</v>
      </c>
      <c r="T99" s="1">
        <f>[91]Source!Y193</f>
        <v>0</v>
      </c>
      <c r="U99" s="1">
        <f>ROUND((175/100)*ROUND([91]Source!R192, 2), 2)</f>
        <v>0</v>
      </c>
      <c r="V99" s="1">
        <f>ROUND((157/100)*ROUND([91]Source!R193, 2), 2)</f>
        <v>0</v>
      </c>
    </row>
    <row r="100" spans="1:32" ht="42.75" x14ac:dyDescent="0.2">
      <c r="A100" s="878"/>
      <c r="B100" s="878"/>
      <c r="C100" s="67" t="s">
        <v>252</v>
      </c>
      <c r="D100" s="15" t="s">
        <v>258</v>
      </c>
      <c r="E100" s="16" t="s">
        <v>197</v>
      </c>
      <c r="F100" s="5">
        <v>1</v>
      </c>
      <c r="G100" s="19">
        <f>J100/F100</f>
        <v>263297.51</v>
      </c>
      <c r="H100" s="18"/>
      <c r="I100" s="5"/>
      <c r="J100" s="19">
        <f>L100/K100</f>
        <v>263297.51</v>
      </c>
      <c r="K100" s="5">
        <v>4.5599999999999996</v>
      </c>
      <c r="L100" s="19">
        <f>1200636.64*F100</f>
        <v>1200636.6399999999</v>
      </c>
    </row>
    <row r="101" spans="1:32" ht="15" x14ac:dyDescent="0.25">
      <c r="A101" s="35"/>
      <c r="B101" s="35"/>
      <c r="C101" s="35"/>
      <c r="D101" s="35"/>
      <c r="E101" s="35"/>
      <c r="F101" s="35"/>
      <c r="G101" s="35"/>
      <c r="H101" s="35"/>
      <c r="I101" s="847">
        <f>J100</f>
        <v>263297.51</v>
      </c>
      <c r="J101" s="847"/>
      <c r="K101" s="847">
        <f>L100</f>
        <v>1200636.6399999999</v>
      </c>
      <c r="L101" s="847"/>
      <c r="O101" s="21">
        <f>J99</f>
        <v>0</v>
      </c>
      <c r="P101" s="21">
        <f>L99</f>
        <v>0</v>
      </c>
    </row>
    <row r="102" spans="1:32" ht="114" x14ac:dyDescent="0.2">
      <c r="A102" s="877">
        <v>11</v>
      </c>
      <c r="B102" s="877" t="str">
        <f>[91]Source!E194</f>
        <v>32</v>
      </c>
      <c r="C102" s="66" t="str">
        <f>[91]Source!F194</f>
        <v>13.1-1-222</v>
      </c>
      <c r="D102" s="34" t="s">
        <v>249</v>
      </c>
      <c r="E102" s="16"/>
      <c r="F102" s="5"/>
      <c r="G102" s="17"/>
      <c r="H102" s="18"/>
      <c r="I102" s="5"/>
      <c r="J102" s="19"/>
      <c r="K102" s="5"/>
      <c r="L102" s="19"/>
      <c r="Q102" s="1">
        <f>[91]Source!X194</f>
        <v>0</v>
      </c>
      <c r="R102" s="1">
        <f>[91]Source!X195</f>
        <v>0</v>
      </c>
      <c r="S102" s="1">
        <f>[91]Source!Y194</f>
        <v>0</v>
      </c>
      <c r="T102" s="1">
        <f>[91]Source!Y195</f>
        <v>0</v>
      </c>
      <c r="U102" s="1">
        <f>ROUND((175/100)*ROUND([91]Source!R194, 2), 2)</f>
        <v>0</v>
      </c>
      <c r="V102" s="1">
        <f>ROUND((157/100)*ROUND([91]Source!R195, 2), 2)</f>
        <v>0</v>
      </c>
    </row>
    <row r="103" spans="1:32" ht="42.75" x14ac:dyDescent="0.2">
      <c r="A103" s="878"/>
      <c r="B103" s="878"/>
      <c r="C103" s="67" t="s">
        <v>252</v>
      </c>
      <c r="D103" s="15" t="s">
        <v>259</v>
      </c>
      <c r="E103" s="16" t="s">
        <v>197</v>
      </c>
      <c r="F103" s="5">
        <v>1</v>
      </c>
      <c r="G103" s="19">
        <f>J103/F103</f>
        <v>110833.33</v>
      </c>
      <c r="H103" s="18"/>
      <c r="I103" s="5"/>
      <c r="J103" s="19">
        <f>L103/K103</f>
        <v>110833.33</v>
      </c>
      <c r="K103" s="5">
        <v>4.5599999999999996</v>
      </c>
      <c r="L103" s="19">
        <f>505400*F103</f>
        <v>505400</v>
      </c>
    </row>
    <row r="104" spans="1:32" ht="15" x14ac:dyDescent="0.25">
      <c r="A104" s="35"/>
      <c r="B104" s="35"/>
      <c r="C104" s="35"/>
      <c r="D104" s="35"/>
      <c r="E104" s="35"/>
      <c r="F104" s="35"/>
      <c r="G104" s="35"/>
      <c r="H104" s="35"/>
      <c r="I104" s="847">
        <f>J103</f>
        <v>110833.33</v>
      </c>
      <c r="J104" s="847"/>
      <c r="K104" s="847">
        <f>L103</f>
        <v>505400</v>
      </c>
      <c r="L104" s="847"/>
      <c r="O104" s="21">
        <f>J102</f>
        <v>0</v>
      </c>
      <c r="P104" s="21">
        <f>L102</f>
        <v>0</v>
      </c>
    </row>
    <row r="106" spans="1:32" ht="15" x14ac:dyDescent="0.25">
      <c r="A106" s="879" t="str">
        <f>CONCATENATE("Итого по разделу: ",IF([91]Source!G203&lt;&gt;"Новый раздел", [91]Source!G203, ""))</f>
        <v>Итого по разделу: Оборудование</v>
      </c>
      <c r="B106" s="879"/>
      <c r="C106" s="879"/>
      <c r="D106" s="879"/>
      <c r="E106" s="879"/>
      <c r="F106" s="879"/>
      <c r="G106" s="879"/>
      <c r="H106" s="879"/>
      <c r="I106" s="880">
        <f>I104+I101+I98+I95+I92+I89+I86</f>
        <v>5429026.4699999997</v>
      </c>
      <c r="J106" s="881"/>
      <c r="K106" s="880">
        <f>K104+K101+K98+K95+K92+K89+K86</f>
        <v>24756360.719999999</v>
      </c>
      <c r="L106" s="881"/>
    </row>
    <row r="108" spans="1:32" ht="18.75" customHeight="1" x14ac:dyDescent="0.25">
      <c r="A108" s="900" t="s">
        <v>113</v>
      </c>
      <c r="B108" s="900"/>
      <c r="C108" s="900"/>
      <c r="D108" s="900"/>
      <c r="E108" s="900"/>
      <c r="F108" s="900"/>
      <c r="G108" s="900"/>
      <c r="H108" s="900"/>
      <c r="I108" s="36"/>
      <c r="J108" s="37">
        <f>I79+I106</f>
        <v>5469139.9000000004</v>
      </c>
      <c r="K108" s="36"/>
      <c r="L108" s="37">
        <f>K79+K106</f>
        <v>25460230.190000001</v>
      </c>
      <c r="AF108" s="48" t="str">
        <f>CONCATENATE("Итого по локальной смете: ",IF([91]Source!G717&lt;&gt;"Новая локальная смета", [91]Source!G717, ""))</f>
        <v>Итого по локальной смете: Станционный комплекс "Аминьевское шоссе". Инженерные системы ТПП. Электрооборудование. Электроснабжение 20кВ.</v>
      </c>
    </row>
    <row r="109" spans="1:32" s="38" customFormat="1" ht="14.25" x14ac:dyDescent="0.2">
      <c r="D109" s="39" t="s">
        <v>114</v>
      </c>
      <c r="E109" s="39"/>
      <c r="F109" s="39"/>
      <c r="G109" s="39"/>
      <c r="H109" s="39"/>
      <c r="I109" s="902">
        <f>SUMIF(D18:D100,"МР",J18:J100)</f>
        <v>3395.7</v>
      </c>
      <c r="J109" s="903"/>
      <c r="K109" s="902">
        <f>SUMIF(D18:D100,"МР",L18:L100)</f>
        <v>18948.02</v>
      </c>
      <c r="L109" s="903"/>
    </row>
    <row r="110" spans="1:32" s="38" customFormat="1" ht="14.25" x14ac:dyDescent="0.2">
      <c r="D110" s="39" t="s">
        <v>115</v>
      </c>
      <c r="E110" s="39"/>
      <c r="F110" s="39"/>
      <c r="G110" s="39"/>
      <c r="H110" s="39"/>
      <c r="I110" s="871">
        <f>SUMIF(D18:D100,"в т.ч. ЗПМ",J18:J100)</f>
        <v>2344.06</v>
      </c>
      <c r="J110" s="871"/>
      <c r="K110" s="871">
        <f>SUMIF(D18:D100,"в т.ч. ЗПМ",L18:L100)</f>
        <v>56796.57</v>
      </c>
      <c r="L110" s="871"/>
    </row>
    <row r="111" spans="1:32" s="38" customFormat="1" ht="14.25" x14ac:dyDescent="0.2">
      <c r="D111" s="39" t="s">
        <v>116</v>
      </c>
      <c r="E111" s="39"/>
      <c r="F111" s="39"/>
      <c r="G111" s="39"/>
      <c r="H111" s="39"/>
      <c r="I111" s="871">
        <f>SUMIF(D18:D100,"ЗП",J18:J100)</f>
        <v>9088.9599999999991</v>
      </c>
      <c r="J111" s="871"/>
      <c r="K111" s="871">
        <f>SUMIF(D18:D100,"ЗП",L18:L100)</f>
        <v>220225.5</v>
      </c>
      <c r="L111" s="871"/>
    </row>
    <row r="112" spans="1:32" s="38" customFormat="1" ht="14.25" x14ac:dyDescent="0.2">
      <c r="D112" s="39" t="s">
        <v>117</v>
      </c>
      <c r="E112" s="39"/>
      <c r="F112" s="39"/>
      <c r="G112" s="39"/>
      <c r="H112" s="39"/>
      <c r="I112" s="871">
        <f>SUMIF(D18:D100,"НР от ЗП",J18:J100)</f>
        <v>10179.64</v>
      </c>
      <c r="J112" s="871"/>
      <c r="K112" s="871">
        <f>SUMIF(D18:D100,"НР от ЗП",L18:L100)</f>
        <v>198202.95</v>
      </c>
      <c r="L112" s="871"/>
    </row>
    <row r="113" spans="1:32" s="38" customFormat="1" ht="14.25" x14ac:dyDescent="0.2">
      <c r="D113" s="39" t="s">
        <v>118</v>
      </c>
      <c r="E113" s="39"/>
      <c r="F113" s="39"/>
      <c r="G113" s="39"/>
      <c r="H113" s="39"/>
      <c r="I113" s="871">
        <f>SUMIF(D18:D100,"СП от ЗП",J18:J100)</f>
        <v>6362.28</v>
      </c>
      <c r="J113" s="871"/>
      <c r="K113" s="871">
        <f>SUMIF(D18:D100,"СП от ЗП",L18:L100)</f>
        <v>94696.960000000006</v>
      </c>
      <c r="L113" s="871"/>
    </row>
    <row r="114" spans="1:32" ht="14.25" x14ac:dyDescent="0.2">
      <c r="A114" s="40"/>
      <c r="B114" s="40"/>
      <c r="C114" s="40"/>
      <c r="D114" s="40"/>
      <c r="E114" s="40"/>
      <c r="F114" s="40"/>
      <c r="G114" s="40"/>
      <c r="H114" s="40"/>
      <c r="I114" s="36"/>
      <c r="J114" s="36"/>
      <c r="K114" s="36"/>
      <c r="L114" s="36"/>
    </row>
    <row r="115" spans="1:32" ht="14.25" x14ac:dyDescent="0.2">
      <c r="A115" s="40"/>
      <c r="B115" s="40"/>
      <c r="C115" s="40"/>
      <c r="D115" s="874" t="s">
        <v>268</v>
      </c>
      <c r="E115" s="874"/>
      <c r="F115" s="874"/>
      <c r="G115" s="213"/>
      <c r="H115" s="213"/>
      <c r="I115" s="214"/>
      <c r="J115" s="215">
        <f>J108</f>
        <v>5469139.9000000004</v>
      </c>
      <c r="K115" s="215"/>
      <c r="L115" s="215">
        <f>L108</f>
        <v>25460230.190000001</v>
      </c>
    </row>
    <row r="116" spans="1:32" ht="14.25" x14ac:dyDescent="0.2">
      <c r="A116" s="40"/>
      <c r="B116" s="40"/>
      <c r="C116" s="40"/>
      <c r="D116" s="872" t="s">
        <v>3</v>
      </c>
      <c r="E116" s="872"/>
      <c r="F116" s="872"/>
      <c r="G116" s="218"/>
      <c r="H116" s="218"/>
      <c r="I116" s="219"/>
      <c r="J116" s="215">
        <f>J115</f>
        <v>5469139.9000000004</v>
      </c>
      <c r="K116"/>
      <c r="L116" s="215">
        <f>L115</f>
        <v>25460230.190000001</v>
      </c>
    </row>
    <row r="117" spans="1:32" ht="14.25" x14ac:dyDescent="0.2">
      <c r="A117" s="40"/>
      <c r="B117" s="40"/>
      <c r="C117" s="40"/>
      <c r="D117" s="872" t="s">
        <v>269</v>
      </c>
      <c r="E117" s="872"/>
      <c r="F117" s="872"/>
      <c r="G117" s="218"/>
      <c r="H117" s="218"/>
      <c r="I117" s="221"/>
      <c r="J117" s="222">
        <f>I111+I110</f>
        <v>11433.02</v>
      </c>
      <c r="K117" s="222"/>
      <c r="L117" s="222">
        <f>K111+K110</f>
        <v>277022.07</v>
      </c>
    </row>
    <row r="118" spans="1:32" ht="19.5" customHeight="1" x14ac:dyDescent="0.25">
      <c r="A118" s="40"/>
      <c r="B118" s="40"/>
      <c r="C118" s="40"/>
      <c r="D118" s="872" t="s">
        <v>270</v>
      </c>
      <c r="E118" s="872"/>
      <c r="F118" s="872"/>
      <c r="G118" s="218"/>
      <c r="H118" s="218"/>
      <c r="I118" s="221"/>
      <c r="J118" s="222">
        <f>I109</f>
        <v>3395.7</v>
      </c>
      <c r="K118" s="222"/>
      <c r="L118" s="222">
        <f>K109</f>
        <v>18948.02</v>
      </c>
      <c r="AF118" s="48" t="str">
        <f>CONCATENATE("Итого по акту: ",IF([91]Source!G746&lt;&gt;"Новый объект", [91]Source!G746, ""))</f>
        <v>Итого по акту: 12-4017-Л-Р-11.5.5.-ЭП1-СМ1К (48878) взамен 12-4017-Л-Р-11.5.5-ЭП1-СМ1)_Правильный вариант</v>
      </c>
    </row>
    <row r="119" spans="1:32" ht="14.25" x14ac:dyDescent="0.2">
      <c r="A119" s="40"/>
      <c r="B119" s="40"/>
      <c r="C119" s="40"/>
      <c r="D119" s="872" t="s">
        <v>271</v>
      </c>
      <c r="E119" s="872"/>
      <c r="F119" s="872"/>
      <c r="G119" s="218"/>
      <c r="H119" s="218"/>
      <c r="I119" s="221"/>
      <c r="J119" s="215">
        <v>0</v>
      </c>
      <c r="K119" s="223"/>
      <c r="L119" s="215">
        <v>0</v>
      </c>
    </row>
    <row r="120" spans="1:32" ht="14.25" x14ac:dyDescent="0.2">
      <c r="A120" s="40"/>
      <c r="B120" s="40"/>
      <c r="C120" s="40"/>
      <c r="D120" s="872" t="s">
        <v>272</v>
      </c>
      <c r="E120" s="872"/>
      <c r="F120" s="872"/>
      <c r="G120" s="224"/>
      <c r="H120" s="224"/>
      <c r="I120" s="225"/>
      <c r="J120" s="226">
        <f>J116*5.61%</f>
        <v>306818.75</v>
      </c>
      <c r="K120" s="223"/>
      <c r="L120" s="226">
        <f>L116*5.61%</f>
        <v>1428318.91</v>
      </c>
    </row>
    <row r="121" spans="1:32" ht="15" x14ac:dyDescent="0.25">
      <c r="A121" s="40"/>
      <c r="B121" s="40"/>
      <c r="C121" s="40"/>
      <c r="D121" s="873" t="s">
        <v>273</v>
      </c>
      <c r="E121" s="873"/>
      <c r="F121" s="873"/>
      <c r="G121" s="228"/>
      <c r="H121" s="228"/>
      <c r="I121" s="229"/>
      <c r="J121" s="230">
        <f>ROUND(J116+J120,2)</f>
        <v>5775958.6500000004</v>
      </c>
      <c r="K121" s="223"/>
      <c r="L121" s="230">
        <f>ROUND(L116+L120,2)</f>
        <v>26888549.100000001</v>
      </c>
    </row>
    <row r="122" spans="1:32" ht="14.25" x14ac:dyDescent="0.2">
      <c r="A122" s="40"/>
      <c r="B122" s="40"/>
      <c r="C122" s="40"/>
      <c r="D122" s="872" t="s">
        <v>274</v>
      </c>
      <c r="E122" s="872"/>
      <c r="F122" s="872"/>
      <c r="G122" s="224"/>
      <c r="H122" s="224"/>
      <c r="I122" s="225"/>
      <c r="J122" s="226">
        <f>J117*0.15</f>
        <v>1714.95</v>
      </c>
      <c r="K122" s="232"/>
      <c r="L122" s="226">
        <f>L117*0.15</f>
        <v>41553.31</v>
      </c>
    </row>
    <row r="123" spans="1:32" ht="15" x14ac:dyDescent="0.25">
      <c r="A123" s="40"/>
      <c r="B123" s="40"/>
      <c r="C123" s="40"/>
      <c r="D123" s="873" t="s">
        <v>275</v>
      </c>
      <c r="E123" s="873"/>
      <c r="F123" s="873"/>
      <c r="G123" s="228"/>
      <c r="H123" s="228"/>
      <c r="I123" s="229"/>
      <c r="J123" s="230">
        <f>J121+J122</f>
        <v>5777673.5999999996</v>
      </c>
      <c r="K123" s="223"/>
      <c r="L123" s="230">
        <f>L121+L122</f>
        <v>26930102.41</v>
      </c>
    </row>
    <row r="124" spans="1:32" ht="14.25" x14ac:dyDescent="0.2">
      <c r="A124" s="40"/>
      <c r="B124" s="40"/>
      <c r="C124" s="40"/>
      <c r="D124" s="233"/>
      <c r="E124" s="233"/>
      <c r="F124" s="233"/>
      <c r="G124" s="234"/>
      <c r="H124" s="234"/>
      <c r="I124" s="235"/>
      <c r="J124" s="236"/>
      <c r="K124"/>
      <c r="L124" s="237"/>
    </row>
    <row r="125" spans="1:32" ht="14.25" x14ac:dyDescent="0.2">
      <c r="D125" s="874" t="s">
        <v>276</v>
      </c>
      <c r="E125" s="874"/>
      <c r="F125" s="874"/>
      <c r="G125" s="238"/>
      <c r="H125" s="238"/>
      <c r="I125" s="238"/>
      <c r="J125" s="238"/>
      <c r="K125" s="876">
        <f>L115*0.975</f>
        <v>24823724.440000001</v>
      </c>
      <c r="L125" s="876"/>
    </row>
    <row r="126" spans="1:32" ht="14.25" x14ac:dyDescent="0.2">
      <c r="D126" s="872" t="s">
        <v>277</v>
      </c>
      <c r="E126" s="872"/>
      <c r="F126" s="872"/>
      <c r="G126" s="224"/>
      <c r="H126" s="224"/>
      <c r="I126" s="224"/>
      <c r="J126" s="224"/>
      <c r="K126" s="869">
        <f>L116*0.975</f>
        <v>24823724.440000001</v>
      </c>
      <c r="L126" s="869"/>
    </row>
    <row r="127" spans="1:32" ht="14.25" x14ac:dyDescent="0.2">
      <c r="D127" s="872" t="s">
        <v>278</v>
      </c>
      <c r="E127" s="872"/>
      <c r="F127" s="872"/>
      <c r="G127" s="224"/>
      <c r="H127" s="224"/>
      <c r="I127" s="224"/>
      <c r="J127" s="224"/>
      <c r="K127" s="869">
        <f>L117*0.975</f>
        <v>270096.52</v>
      </c>
      <c r="L127" s="869"/>
    </row>
    <row r="128" spans="1:32" ht="14.25" x14ac:dyDescent="0.2">
      <c r="D128" s="872" t="s">
        <v>279</v>
      </c>
      <c r="E128" s="872"/>
      <c r="F128" s="872"/>
      <c r="G128" s="224"/>
      <c r="H128" s="224"/>
      <c r="I128" s="224"/>
      <c r="J128" s="224"/>
      <c r="K128" s="869">
        <f>L118*0.975</f>
        <v>18474.32</v>
      </c>
      <c r="L128" s="869"/>
    </row>
    <row r="129" spans="4:12" ht="14.25" x14ac:dyDescent="0.2">
      <c r="D129" s="872" t="s">
        <v>280</v>
      </c>
      <c r="E129" s="872"/>
      <c r="F129" s="872"/>
      <c r="G129" s="224"/>
      <c r="H129" s="224"/>
      <c r="I129" s="224"/>
      <c r="J129" s="224"/>
      <c r="K129" s="869">
        <v>0</v>
      </c>
      <c r="L129" s="869"/>
    </row>
    <row r="130" spans="4:12" ht="14.25" x14ac:dyDescent="0.2">
      <c r="D130" s="872" t="s">
        <v>281</v>
      </c>
      <c r="E130" s="872"/>
      <c r="F130" s="872"/>
      <c r="G130" s="224"/>
      <c r="H130" s="224"/>
      <c r="I130" s="224"/>
      <c r="J130" s="224"/>
      <c r="K130" s="869">
        <f>K126*0.0561</f>
        <v>1392610.94</v>
      </c>
      <c r="L130" s="869"/>
    </row>
    <row r="131" spans="4:12" ht="15" x14ac:dyDescent="0.25">
      <c r="D131" s="873" t="s">
        <v>282</v>
      </c>
      <c r="E131" s="873"/>
      <c r="F131" s="873"/>
      <c r="G131" s="228"/>
      <c r="H131" s="228"/>
      <c r="I131" s="228"/>
      <c r="J131" s="228"/>
      <c r="K131" s="870">
        <f>ROUND(K126+K130,2)</f>
        <v>26216335.379999999</v>
      </c>
      <c r="L131" s="870"/>
    </row>
    <row r="132" spans="4:12" ht="15" x14ac:dyDescent="0.25">
      <c r="D132" s="872" t="s">
        <v>283</v>
      </c>
      <c r="E132" s="872"/>
      <c r="F132" s="872"/>
      <c r="G132" s="224"/>
      <c r="H132" s="224"/>
      <c r="I132" s="224"/>
      <c r="J132" s="224"/>
      <c r="K132" s="870">
        <f>L122*0.975</f>
        <v>40514.480000000003</v>
      </c>
      <c r="L132" s="870"/>
    </row>
    <row r="133" spans="4:12" ht="15" x14ac:dyDescent="0.25">
      <c r="D133" s="873" t="s">
        <v>275</v>
      </c>
      <c r="E133" s="873"/>
      <c r="F133" s="873"/>
      <c r="G133" s="228"/>
      <c r="H133" s="228"/>
      <c r="I133" s="228"/>
      <c r="J133" s="228"/>
      <c r="K133" s="231"/>
      <c r="L133" s="231">
        <f>K131+K132</f>
        <v>26256849.859999999</v>
      </c>
    </row>
    <row r="134" spans="4:12" ht="15" x14ac:dyDescent="0.25">
      <c r="D134" s="240"/>
      <c r="E134" s="241"/>
      <c r="F134" s="241"/>
      <c r="G134" s="241"/>
      <c r="H134" s="241"/>
      <c r="I134" s="242"/>
      <c r="J134" s="242"/>
      <c r="K134" s="242"/>
      <c r="L134" s="242"/>
    </row>
    <row r="135" spans="4:12" ht="14.25" x14ac:dyDescent="0.2">
      <c r="D135" s="874" t="s">
        <v>284</v>
      </c>
      <c r="E135" s="874"/>
      <c r="F135" s="874"/>
      <c r="G135" s="238"/>
      <c r="H135" s="238"/>
      <c r="I135" s="238"/>
      <c r="J135" s="238"/>
      <c r="K135" s="216"/>
      <c r="L135" s="239">
        <f>K125*0.998999999999673</f>
        <v>24798900.719999999</v>
      </c>
    </row>
    <row r="136" spans="4:12" ht="14.25" x14ac:dyDescent="0.2">
      <c r="D136" s="872" t="s">
        <v>285</v>
      </c>
      <c r="E136" s="872"/>
      <c r="F136" s="872"/>
      <c r="G136" s="224"/>
      <c r="H136" s="224"/>
      <c r="I136" s="224"/>
      <c r="J136" s="224"/>
      <c r="K136" s="223"/>
      <c r="L136" s="227">
        <f>K126*0.998999999999673</f>
        <v>24798900.719999999</v>
      </c>
    </row>
    <row r="137" spans="4:12" ht="14.25" x14ac:dyDescent="0.2">
      <c r="D137" s="872" t="s">
        <v>286</v>
      </c>
      <c r="E137" s="872"/>
      <c r="F137" s="872"/>
      <c r="G137" s="224"/>
      <c r="H137" s="224"/>
      <c r="I137" s="224"/>
      <c r="J137" s="224"/>
      <c r="K137" s="223"/>
      <c r="L137" s="227">
        <f>K127*0.998999999999673</f>
        <v>269826.42</v>
      </c>
    </row>
    <row r="138" spans="4:12" ht="14.25" x14ac:dyDescent="0.2">
      <c r="D138" s="872" t="s">
        <v>287</v>
      </c>
      <c r="E138" s="872"/>
      <c r="F138" s="872"/>
      <c r="G138" s="224"/>
      <c r="H138" s="224"/>
      <c r="I138" s="224"/>
      <c r="J138" s="224"/>
      <c r="K138" s="223"/>
      <c r="L138" s="227">
        <f>K128*0.998999999999673</f>
        <v>18455.849999999999</v>
      </c>
    </row>
    <row r="139" spans="4:12" ht="14.25" x14ac:dyDescent="0.2">
      <c r="D139" s="872" t="s">
        <v>288</v>
      </c>
      <c r="E139" s="872"/>
      <c r="F139" s="872"/>
      <c r="G139" s="224"/>
      <c r="H139" s="224"/>
      <c r="I139" s="224"/>
      <c r="J139" s="224"/>
      <c r="K139" s="223"/>
      <c r="L139" s="227">
        <v>0</v>
      </c>
    </row>
    <row r="140" spans="4:12" ht="14.25" x14ac:dyDescent="0.2">
      <c r="D140" s="872" t="s">
        <v>289</v>
      </c>
      <c r="E140" s="872"/>
      <c r="F140" s="872"/>
      <c r="G140" s="224"/>
      <c r="H140" s="224"/>
      <c r="I140" s="224"/>
      <c r="J140" s="224"/>
      <c r="K140" s="216"/>
      <c r="L140" s="227">
        <f>L136*0.0561</f>
        <v>1391218.33</v>
      </c>
    </row>
    <row r="141" spans="4:12" ht="15" x14ac:dyDescent="0.25">
      <c r="D141" s="873" t="s">
        <v>290</v>
      </c>
      <c r="E141" s="873"/>
      <c r="F141" s="873"/>
      <c r="G141" s="228"/>
      <c r="H141" s="228"/>
      <c r="I141" s="228"/>
      <c r="J141" s="228"/>
      <c r="K141" s="223"/>
      <c r="L141" s="231">
        <f>ROUND(L136+L140,2)</f>
        <v>26190119.050000001</v>
      </c>
    </row>
    <row r="142" spans="4:12" ht="15" x14ac:dyDescent="0.25">
      <c r="D142" s="872" t="s">
        <v>291</v>
      </c>
      <c r="E142" s="872"/>
      <c r="F142" s="872"/>
      <c r="G142" s="224"/>
      <c r="H142" s="224"/>
      <c r="I142" s="224"/>
      <c r="J142" s="224"/>
      <c r="K142" s="223"/>
      <c r="L142" s="231">
        <f>K132*0.998999999999673</f>
        <v>40473.97</v>
      </c>
    </row>
    <row r="143" spans="4:12" ht="15" x14ac:dyDescent="0.25">
      <c r="D143" s="873" t="s">
        <v>275</v>
      </c>
      <c r="E143" s="873"/>
      <c r="F143" s="873"/>
      <c r="G143" s="228"/>
      <c r="H143" s="228"/>
      <c r="I143" s="228"/>
      <c r="J143" s="228"/>
      <c r="K143" s="223"/>
      <c r="L143" s="231">
        <f>L141+L142</f>
        <v>26230593.02</v>
      </c>
    </row>
    <row r="144" spans="4:12" x14ac:dyDescent="0.2">
      <c r="D144" s="79"/>
      <c r="E144" s="79"/>
      <c r="F144" s="79"/>
      <c r="G144" s="79"/>
      <c r="H144" s="79"/>
      <c r="I144" s="79"/>
      <c r="J144" s="79"/>
      <c r="K144" s="79"/>
      <c r="L144" s="79"/>
    </row>
  </sheetData>
  <mergeCells count="119">
    <mergeCell ref="E2:G2"/>
    <mergeCell ref="A9:L9"/>
    <mergeCell ref="A10:B10"/>
    <mergeCell ref="C10:C14"/>
    <mergeCell ref="D10:D14"/>
    <mergeCell ref="E10:E14"/>
    <mergeCell ref="F10:F14"/>
    <mergeCell ref="G10:G14"/>
    <mergeCell ref="H10:H14"/>
    <mergeCell ref="I10:I14"/>
    <mergeCell ref="A19:L19"/>
    <mergeCell ref="I29:J29"/>
    <mergeCell ref="K29:L29"/>
    <mergeCell ref="I34:J34"/>
    <mergeCell ref="K34:L34"/>
    <mergeCell ref="I36:J36"/>
    <mergeCell ref="K36:L36"/>
    <mergeCell ref="J10:J14"/>
    <mergeCell ref="K10:K14"/>
    <mergeCell ref="L10:L14"/>
    <mergeCell ref="A11:A14"/>
    <mergeCell ref="B11:B14"/>
    <mergeCell ref="A17:L17"/>
    <mergeCell ref="I60:J60"/>
    <mergeCell ref="K60:L60"/>
    <mergeCell ref="I70:J70"/>
    <mergeCell ref="K70:L70"/>
    <mergeCell ref="I75:J75"/>
    <mergeCell ref="K75:L75"/>
    <mergeCell ref="I43:J43"/>
    <mergeCell ref="K43:L43"/>
    <mergeCell ref="I53:J53"/>
    <mergeCell ref="K53:L53"/>
    <mergeCell ref="I58:J58"/>
    <mergeCell ref="K58:L58"/>
    <mergeCell ref="I86:J86"/>
    <mergeCell ref="K86:L86"/>
    <mergeCell ref="I89:J89"/>
    <mergeCell ref="K89:L89"/>
    <mergeCell ref="I92:J92"/>
    <mergeCell ref="K92:L92"/>
    <mergeCell ref="I77:J77"/>
    <mergeCell ref="K77:L77"/>
    <mergeCell ref="A79:H79"/>
    <mergeCell ref="I79:J79"/>
    <mergeCell ref="K79:L79"/>
    <mergeCell ref="A83:L83"/>
    <mergeCell ref="A96:A97"/>
    <mergeCell ref="B99:B100"/>
    <mergeCell ref="A99:A100"/>
    <mergeCell ref="B102:B103"/>
    <mergeCell ref="A102:A103"/>
    <mergeCell ref="B84:B85"/>
    <mergeCell ref="A84:A85"/>
    <mergeCell ref="B87:B88"/>
    <mergeCell ref="A87:A88"/>
    <mergeCell ref="B90:B91"/>
    <mergeCell ref="A90:A91"/>
    <mergeCell ref="B93:B94"/>
    <mergeCell ref="A93:A94"/>
    <mergeCell ref="I112:J112"/>
    <mergeCell ref="K112:L112"/>
    <mergeCell ref="I113:J113"/>
    <mergeCell ref="K113:L113"/>
    <mergeCell ref="E1:G1"/>
    <mergeCell ref="I109:J109"/>
    <mergeCell ref="K109:L109"/>
    <mergeCell ref="I110:J110"/>
    <mergeCell ref="K110:L110"/>
    <mergeCell ref="I111:J111"/>
    <mergeCell ref="K111:L111"/>
    <mergeCell ref="I104:J104"/>
    <mergeCell ref="K104:L104"/>
    <mergeCell ref="I106:J106"/>
    <mergeCell ref="K106:L106"/>
    <mergeCell ref="I95:J95"/>
    <mergeCell ref="K95:L95"/>
    <mergeCell ref="I98:J98"/>
    <mergeCell ref="K98:L98"/>
    <mergeCell ref="I101:J101"/>
    <mergeCell ref="K101:L101"/>
    <mergeCell ref="A106:H106"/>
    <mergeCell ref="A108:H108"/>
    <mergeCell ref="B96:B97"/>
    <mergeCell ref="D115:F115"/>
    <mergeCell ref="D116:F116"/>
    <mergeCell ref="D117:F117"/>
    <mergeCell ref="D118:F118"/>
    <mergeCell ref="D119:F119"/>
    <mergeCell ref="D120:F120"/>
    <mergeCell ref="D121:F121"/>
    <mergeCell ref="D122:F122"/>
    <mergeCell ref="D123:F123"/>
    <mergeCell ref="D136:F136"/>
    <mergeCell ref="D137:F137"/>
    <mergeCell ref="D138:F138"/>
    <mergeCell ref="D139:F139"/>
    <mergeCell ref="D140:F140"/>
    <mergeCell ref="D141:F141"/>
    <mergeCell ref="D142:F142"/>
    <mergeCell ref="D143:F143"/>
    <mergeCell ref="D125:F125"/>
    <mergeCell ref="D126:F126"/>
    <mergeCell ref="D127:F127"/>
    <mergeCell ref="D128:F128"/>
    <mergeCell ref="D129:F129"/>
    <mergeCell ref="D130:F130"/>
    <mergeCell ref="D131:F131"/>
    <mergeCell ref="D132:F132"/>
    <mergeCell ref="D133:F133"/>
    <mergeCell ref="K125:L125"/>
    <mergeCell ref="K126:L126"/>
    <mergeCell ref="K127:L127"/>
    <mergeCell ref="K128:L128"/>
    <mergeCell ref="K129:L129"/>
    <mergeCell ref="K130:L130"/>
    <mergeCell ref="K131:L131"/>
    <mergeCell ref="K132:L132"/>
    <mergeCell ref="D135:F135"/>
  </mergeCells>
  <pageMargins left="0.4" right="0.2" top="0.2" bottom="0.4" header="0.2" footer="0.2"/>
  <pageSetup paperSize="9" scale="62" fitToHeight="0" orientation="portrait" r:id="rId1"/>
  <headerFooter>
    <oddHeader>&amp;L&amp;8</oddHeader>
    <oddFooter>&amp;R&amp;P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IP79"/>
  <sheetViews>
    <sheetView view="pageBreakPreview" topLeftCell="A28" zoomScale="60" zoomScaleNormal="100" workbookViewId="0">
      <selection activeCell="L28" sqref="L1:L1048576"/>
    </sheetView>
  </sheetViews>
  <sheetFormatPr defaultColWidth="10.6640625" defaultRowHeight="15.75" x14ac:dyDescent="0.25"/>
  <cols>
    <col min="1" max="1" width="6.5" style="414" customWidth="1"/>
    <col min="2" max="2" width="42" style="414" customWidth="1"/>
    <col min="3" max="3" width="23.5" style="414" customWidth="1"/>
    <col min="4" max="4" width="25.1640625" style="414" customWidth="1"/>
    <col min="5" max="5" width="22.1640625" style="414" customWidth="1"/>
    <col min="6" max="6" width="27.83203125" style="414" customWidth="1"/>
    <col min="7" max="7" width="19.33203125" style="414" customWidth="1"/>
    <col min="8" max="8" width="25.1640625" style="414" customWidth="1"/>
    <col min="9" max="12" width="29.5" style="415" customWidth="1"/>
    <col min="13" max="13" width="41.33203125" style="414" customWidth="1"/>
    <col min="14" max="15" width="15" style="414" bestFit="1" customWidth="1"/>
    <col min="16" max="23" width="10.6640625" style="414"/>
    <col min="24" max="24" width="14.83203125" style="414" bestFit="1" customWidth="1"/>
    <col min="25" max="16384" width="10.6640625" style="414"/>
  </cols>
  <sheetData>
    <row r="1" spans="1:250" ht="15.75" hidden="1" customHeight="1" x14ac:dyDescent="0.25">
      <c r="A1" s="413"/>
      <c r="B1" s="413"/>
      <c r="C1" s="413"/>
      <c r="D1" s="413"/>
      <c r="E1" s="413"/>
      <c r="F1" s="413"/>
      <c r="G1" s="413"/>
      <c r="H1" s="413"/>
    </row>
    <row r="2" spans="1:250" ht="15.75" hidden="1" customHeight="1" x14ac:dyDescent="0.25">
      <c r="A2" s="413"/>
      <c r="B2" s="413"/>
      <c r="C2" s="413"/>
      <c r="D2" s="413"/>
      <c r="E2" s="413"/>
      <c r="F2" s="413"/>
      <c r="G2" s="413"/>
      <c r="H2" s="413"/>
    </row>
    <row r="3" spans="1:250" hidden="1" x14ac:dyDescent="0.25">
      <c r="A3" s="413"/>
      <c r="B3" s="413"/>
      <c r="C3" s="413"/>
      <c r="D3" s="413"/>
      <c r="E3" s="413"/>
      <c r="F3" s="413"/>
      <c r="G3" s="413"/>
      <c r="H3" s="413"/>
    </row>
    <row r="4" spans="1:250" x14ac:dyDescent="0.25">
      <c r="A4" s="413"/>
      <c r="B4" s="413"/>
      <c r="C4" s="413"/>
      <c r="D4" s="413"/>
      <c r="E4" s="413"/>
      <c r="F4" s="413"/>
      <c r="G4" s="413"/>
      <c r="H4" s="413"/>
    </row>
    <row r="5" spans="1:250" x14ac:dyDescent="0.25">
      <c r="A5" s="413"/>
      <c r="B5" s="413"/>
      <c r="C5" s="413"/>
      <c r="D5" s="413"/>
      <c r="E5" s="413"/>
      <c r="F5" s="413"/>
      <c r="G5" s="944" t="s">
        <v>629</v>
      </c>
      <c r="H5" s="945"/>
    </row>
    <row r="6" spans="1:250" x14ac:dyDescent="0.25">
      <c r="A6" s="413"/>
      <c r="B6" s="413"/>
      <c r="C6" s="413"/>
      <c r="D6" s="413"/>
      <c r="E6" s="413"/>
      <c r="F6" s="413"/>
      <c r="G6" s="944" t="s">
        <v>630</v>
      </c>
      <c r="H6" s="945"/>
    </row>
    <row r="7" spans="1:250" x14ac:dyDescent="0.25">
      <c r="A7" s="413"/>
      <c r="B7" s="413"/>
      <c r="C7" s="413"/>
      <c r="D7" s="413"/>
      <c r="E7" s="413"/>
      <c r="F7" s="413"/>
      <c r="G7" s="944" t="s">
        <v>631</v>
      </c>
      <c r="H7" s="945"/>
    </row>
    <row r="8" spans="1:250" x14ac:dyDescent="0.25">
      <c r="A8" s="413"/>
      <c r="B8" s="413"/>
      <c r="C8" s="413"/>
      <c r="D8" s="413"/>
      <c r="E8" s="413"/>
      <c r="F8" s="413"/>
      <c r="G8" s="413"/>
      <c r="H8" s="413"/>
    </row>
    <row r="9" spans="1:250" s="417" customFormat="1" x14ac:dyDescent="0.25">
      <c r="A9" s="414"/>
      <c r="B9" s="414"/>
      <c r="C9" s="414"/>
      <c r="D9" s="414"/>
      <c r="E9" s="414"/>
      <c r="F9" s="414"/>
      <c r="G9" s="942" t="s">
        <v>39</v>
      </c>
      <c r="H9" s="943"/>
      <c r="I9" s="419"/>
      <c r="J9" s="419"/>
      <c r="K9" s="419"/>
      <c r="L9" s="419"/>
      <c r="M9" s="418"/>
      <c r="N9" s="418"/>
      <c r="O9" s="418"/>
      <c r="P9" s="418"/>
      <c r="Q9" s="418"/>
      <c r="R9" s="418"/>
      <c r="S9" s="418"/>
      <c r="T9" s="418"/>
      <c r="U9" s="418"/>
      <c r="V9" s="418"/>
      <c r="W9" s="418"/>
      <c r="X9" s="418"/>
      <c r="Y9" s="420"/>
      <c r="Z9" s="420"/>
      <c r="AA9" s="420"/>
      <c r="AB9" s="420"/>
      <c r="AC9" s="420"/>
      <c r="AD9" s="420"/>
      <c r="AE9" s="420"/>
      <c r="AF9" s="420"/>
      <c r="AG9" s="420"/>
      <c r="AH9" s="420"/>
      <c r="AI9" s="420"/>
      <c r="AJ9" s="420"/>
      <c r="AK9" s="420"/>
      <c r="AL9" s="420"/>
      <c r="AM9" s="420"/>
      <c r="AN9" s="420"/>
      <c r="AO9" s="420"/>
      <c r="AP9" s="420"/>
      <c r="AQ9" s="420"/>
      <c r="AR9" s="420"/>
      <c r="AS9" s="420"/>
      <c r="AT9" s="420"/>
      <c r="AU9" s="420"/>
      <c r="AV9" s="420"/>
      <c r="AW9" s="420"/>
      <c r="AX9" s="420"/>
      <c r="AY9" s="420"/>
      <c r="AZ9" s="420"/>
      <c r="BA9" s="420"/>
      <c r="BB9" s="420"/>
      <c r="BC9" s="420"/>
      <c r="BD9" s="420"/>
      <c r="BE9" s="420"/>
      <c r="BF9" s="420"/>
      <c r="BG9" s="420"/>
      <c r="BH9" s="420"/>
      <c r="BI9" s="420"/>
      <c r="BJ9" s="420"/>
      <c r="BK9" s="420"/>
      <c r="BL9" s="420"/>
      <c r="BM9" s="420"/>
      <c r="BN9" s="420"/>
      <c r="BO9" s="420"/>
      <c r="BP9" s="420"/>
      <c r="BQ9" s="420"/>
      <c r="BR9" s="420"/>
      <c r="BS9" s="420"/>
      <c r="BT9" s="420"/>
      <c r="BU9" s="420"/>
      <c r="BV9" s="420"/>
      <c r="BW9" s="420"/>
      <c r="BX9" s="420"/>
      <c r="BY9" s="420"/>
      <c r="BZ9" s="420"/>
      <c r="CA9" s="420"/>
      <c r="CB9" s="420"/>
      <c r="CC9" s="420"/>
      <c r="CD9" s="420"/>
      <c r="CE9" s="420"/>
      <c r="CF9" s="420"/>
      <c r="CG9" s="420"/>
      <c r="CH9" s="420"/>
      <c r="CI9" s="420"/>
      <c r="CJ9" s="420"/>
      <c r="CK9" s="420"/>
      <c r="CL9" s="420"/>
      <c r="CM9" s="420"/>
      <c r="CN9" s="420"/>
      <c r="CO9" s="420"/>
      <c r="CP9" s="420"/>
      <c r="CQ9" s="420"/>
      <c r="CR9" s="420"/>
      <c r="CS9" s="420"/>
      <c r="CT9" s="420"/>
      <c r="CU9" s="420"/>
      <c r="CV9" s="420"/>
      <c r="CW9" s="420"/>
      <c r="CX9" s="420"/>
      <c r="CY9" s="420"/>
      <c r="CZ9" s="420"/>
      <c r="DA9" s="420"/>
      <c r="DB9" s="420"/>
      <c r="DC9" s="420"/>
      <c r="DD9" s="420"/>
      <c r="DE9" s="420"/>
      <c r="DF9" s="420"/>
      <c r="DG9" s="420"/>
      <c r="DH9" s="420"/>
      <c r="DI9" s="420"/>
      <c r="DJ9" s="420"/>
      <c r="DK9" s="420"/>
      <c r="DL9" s="420"/>
      <c r="DM9" s="420"/>
      <c r="DN9" s="420"/>
      <c r="DO9" s="420"/>
      <c r="DP9" s="420"/>
      <c r="DQ9" s="420"/>
      <c r="DR9" s="420"/>
      <c r="DS9" s="420"/>
      <c r="DT9" s="420"/>
      <c r="DU9" s="420"/>
      <c r="DV9" s="420"/>
      <c r="DW9" s="420"/>
      <c r="DX9" s="420"/>
      <c r="DY9" s="420"/>
      <c r="DZ9" s="420"/>
      <c r="EA9" s="420"/>
      <c r="EB9" s="420"/>
      <c r="EC9" s="420"/>
      <c r="ED9" s="420"/>
      <c r="EE9" s="420"/>
      <c r="EF9" s="420"/>
      <c r="EG9" s="420"/>
      <c r="EH9" s="420"/>
      <c r="EI9" s="420"/>
      <c r="EJ9" s="420"/>
      <c r="EK9" s="420"/>
      <c r="EL9" s="420"/>
      <c r="EM9" s="420"/>
      <c r="EN9" s="420"/>
      <c r="EO9" s="420"/>
      <c r="EP9" s="420"/>
      <c r="EQ9" s="420"/>
      <c r="ER9" s="420"/>
      <c r="ES9" s="420"/>
      <c r="ET9" s="420"/>
      <c r="EU9" s="420"/>
      <c r="EV9" s="420"/>
      <c r="EW9" s="420"/>
      <c r="EX9" s="420"/>
      <c r="EY9" s="420"/>
      <c r="EZ9" s="420"/>
      <c r="FA9" s="420"/>
      <c r="FB9" s="420"/>
      <c r="FC9" s="420"/>
      <c r="FD9" s="420"/>
      <c r="FE9" s="420"/>
      <c r="FF9" s="420"/>
      <c r="FG9" s="420"/>
      <c r="FH9" s="420"/>
      <c r="FI9" s="420"/>
      <c r="FJ9" s="420"/>
      <c r="FK9" s="420"/>
      <c r="FL9" s="420"/>
      <c r="FM9" s="420"/>
      <c r="FN9" s="420"/>
      <c r="FO9" s="420"/>
      <c r="FP9" s="420"/>
      <c r="FQ9" s="420"/>
      <c r="FR9" s="420"/>
      <c r="FS9" s="420"/>
      <c r="FT9" s="420"/>
      <c r="FU9" s="420"/>
      <c r="FV9" s="420"/>
      <c r="FW9" s="420"/>
      <c r="FX9" s="420"/>
      <c r="FY9" s="420"/>
      <c r="FZ9" s="420"/>
      <c r="GA9" s="420"/>
      <c r="GB9" s="420"/>
      <c r="GC9" s="420"/>
      <c r="GD9" s="420"/>
      <c r="GE9" s="420"/>
      <c r="GF9" s="420"/>
      <c r="GG9" s="420"/>
      <c r="GH9" s="420"/>
      <c r="GI9" s="420"/>
      <c r="GJ9" s="420"/>
      <c r="GK9" s="420"/>
      <c r="GL9" s="420"/>
      <c r="GM9" s="420"/>
      <c r="GN9" s="420"/>
      <c r="GO9" s="420"/>
      <c r="GP9" s="420"/>
      <c r="GQ9" s="420"/>
      <c r="GR9" s="420"/>
      <c r="GS9" s="420"/>
      <c r="GT9" s="420"/>
      <c r="GU9" s="420"/>
      <c r="GV9" s="420"/>
      <c r="GW9" s="420"/>
      <c r="GX9" s="420"/>
      <c r="GY9" s="420"/>
      <c r="GZ9" s="420"/>
      <c r="HA9" s="420"/>
      <c r="HB9" s="420"/>
      <c r="HC9" s="420"/>
      <c r="HD9" s="420"/>
      <c r="HE9" s="420"/>
      <c r="HF9" s="420"/>
      <c r="HG9" s="420"/>
      <c r="HH9" s="420"/>
      <c r="HI9" s="420"/>
      <c r="HJ9" s="420"/>
      <c r="HK9" s="420"/>
      <c r="HL9" s="420"/>
      <c r="HM9" s="420"/>
      <c r="HN9" s="420"/>
      <c r="HO9" s="420"/>
      <c r="HP9" s="420"/>
      <c r="HQ9" s="420"/>
      <c r="HR9" s="420"/>
      <c r="HS9" s="420"/>
      <c r="HT9" s="420"/>
      <c r="HU9" s="420"/>
      <c r="HV9" s="420"/>
      <c r="HW9" s="420"/>
      <c r="HX9" s="420"/>
      <c r="HY9" s="420"/>
      <c r="HZ9" s="420"/>
      <c r="IA9" s="420"/>
      <c r="IB9" s="420"/>
      <c r="IC9" s="420"/>
      <c r="ID9" s="420"/>
      <c r="IE9" s="420"/>
      <c r="IF9" s="420"/>
      <c r="IG9" s="420"/>
      <c r="IH9" s="420"/>
      <c r="II9" s="420"/>
      <c r="IJ9" s="420"/>
      <c r="IK9" s="420"/>
      <c r="IL9" s="420"/>
      <c r="IM9" s="420"/>
      <c r="IN9" s="420"/>
      <c r="IO9" s="420"/>
      <c r="IP9" s="420"/>
    </row>
    <row r="10" spans="1:250" s="417" customFormat="1" x14ac:dyDescent="0.25">
      <c r="A10" s="414"/>
      <c r="B10" s="414"/>
      <c r="C10" s="414"/>
      <c r="D10" s="414"/>
      <c r="E10" s="414"/>
      <c r="F10" s="421" t="s">
        <v>40</v>
      </c>
      <c r="G10" s="946" t="s">
        <v>41</v>
      </c>
      <c r="H10" s="947"/>
      <c r="I10" s="419"/>
      <c r="J10" s="419"/>
      <c r="K10" s="419"/>
      <c r="L10" s="419"/>
      <c r="M10" s="418"/>
      <c r="N10" s="418"/>
      <c r="O10" s="418"/>
      <c r="P10" s="418"/>
      <c r="Q10" s="418"/>
      <c r="R10" s="418"/>
      <c r="S10" s="418"/>
      <c r="T10" s="418"/>
      <c r="U10" s="418"/>
      <c r="V10" s="418"/>
      <c r="W10" s="418"/>
      <c r="X10" s="418"/>
      <c r="Y10" s="422"/>
      <c r="Z10" s="420"/>
      <c r="AA10" s="420"/>
      <c r="AB10" s="420"/>
      <c r="AC10" s="420"/>
      <c r="AD10" s="420"/>
      <c r="AE10" s="420"/>
      <c r="AF10" s="420"/>
      <c r="AG10" s="420"/>
      <c r="AH10" s="420"/>
      <c r="AI10" s="420"/>
      <c r="AJ10" s="420"/>
      <c r="AK10" s="420"/>
      <c r="AL10" s="420"/>
      <c r="AM10" s="420"/>
      <c r="AN10" s="420"/>
      <c r="AO10" s="420"/>
      <c r="AP10" s="420"/>
      <c r="AQ10" s="420"/>
      <c r="AR10" s="420"/>
      <c r="AS10" s="420"/>
      <c r="AT10" s="420"/>
      <c r="AU10" s="420"/>
      <c r="AV10" s="420"/>
      <c r="AW10" s="420"/>
      <c r="AX10" s="420"/>
      <c r="AY10" s="420"/>
      <c r="AZ10" s="420"/>
      <c r="BA10" s="420"/>
      <c r="BB10" s="420"/>
      <c r="BC10" s="420"/>
      <c r="BD10" s="420"/>
      <c r="BE10" s="420"/>
      <c r="BF10" s="420"/>
      <c r="BG10" s="420"/>
      <c r="BH10" s="420"/>
      <c r="BI10" s="420"/>
      <c r="BJ10" s="420"/>
      <c r="BK10" s="420"/>
      <c r="BL10" s="420"/>
      <c r="BM10" s="420"/>
      <c r="BN10" s="420"/>
      <c r="BO10" s="420"/>
      <c r="BP10" s="420"/>
      <c r="BQ10" s="420"/>
      <c r="BR10" s="420"/>
      <c r="BS10" s="420"/>
      <c r="BT10" s="420"/>
      <c r="BU10" s="420"/>
      <c r="BV10" s="420"/>
      <c r="BW10" s="420"/>
      <c r="BX10" s="420"/>
      <c r="BY10" s="420"/>
      <c r="BZ10" s="420"/>
      <c r="CA10" s="420"/>
      <c r="CB10" s="420"/>
      <c r="CC10" s="420"/>
      <c r="CD10" s="420"/>
      <c r="CE10" s="420"/>
      <c r="CF10" s="420"/>
      <c r="CG10" s="420"/>
      <c r="CH10" s="420"/>
      <c r="CI10" s="420"/>
      <c r="CJ10" s="420"/>
      <c r="CK10" s="420"/>
      <c r="CL10" s="420"/>
      <c r="CM10" s="420"/>
      <c r="CN10" s="420"/>
      <c r="CO10" s="420"/>
      <c r="CP10" s="420"/>
      <c r="CQ10" s="420"/>
      <c r="CR10" s="420"/>
      <c r="CS10" s="420"/>
      <c r="CT10" s="420"/>
      <c r="CU10" s="420"/>
      <c r="CV10" s="420"/>
      <c r="CW10" s="420"/>
      <c r="CX10" s="420"/>
      <c r="CY10" s="420"/>
      <c r="CZ10" s="420"/>
      <c r="DA10" s="420"/>
      <c r="DB10" s="420"/>
      <c r="DC10" s="420"/>
      <c r="DD10" s="420"/>
      <c r="DE10" s="420"/>
      <c r="DF10" s="420"/>
      <c r="DG10" s="420"/>
      <c r="DH10" s="420"/>
      <c r="DI10" s="420"/>
      <c r="DJ10" s="420"/>
      <c r="DK10" s="420"/>
      <c r="DL10" s="420"/>
      <c r="DM10" s="420"/>
      <c r="DN10" s="420"/>
      <c r="DO10" s="420"/>
      <c r="DP10" s="420"/>
      <c r="DQ10" s="420"/>
      <c r="DR10" s="420"/>
      <c r="DS10" s="420"/>
      <c r="DT10" s="420"/>
      <c r="DU10" s="420"/>
      <c r="DV10" s="420"/>
      <c r="DW10" s="420"/>
      <c r="DX10" s="420"/>
      <c r="DY10" s="420"/>
      <c r="DZ10" s="420"/>
      <c r="EA10" s="420"/>
      <c r="EB10" s="420"/>
      <c r="EC10" s="420"/>
      <c r="ED10" s="420"/>
      <c r="EE10" s="420"/>
      <c r="EF10" s="420"/>
      <c r="EG10" s="420"/>
      <c r="EH10" s="420"/>
      <c r="EI10" s="420"/>
      <c r="EJ10" s="420"/>
      <c r="EK10" s="420"/>
      <c r="EL10" s="420"/>
      <c r="EM10" s="420"/>
      <c r="EN10" s="420"/>
      <c r="EO10" s="420"/>
      <c r="EP10" s="420"/>
      <c r="EQ10" s="420"/>
      <c r="ER10" s="420"/>
      <c r="ES10" s="420"/>
      <c r="ET10" s="420"/>
      <c r="EU10" s="420"/>
      <c r="EV10" s="420"/>
      <c r="EW10" s="420"/>
      <c r="EX10" s="420"/>
      <c r="EY10" s="420"/>
      <c r="EZ10" s="420"/>
      <c r="FA10" s="420"/>
      <c r="FB10" s="420"/>
      <c r="FC10" s="420"/>
      <c r="FD10" s="420"/>
      <c r="FE10" s="420"/>
      <c r="FF10" s="420"/>
      <c r="FG10" s="420"/>
      <c r="FH10" s="420"/>
      <c r="FI10" s="420"/>
      <c r="FJ10" s="420"/>
      <c r="FK10" s="420"/>
      <c r="FL10" s="420"/>
      <c r="FM10" s="420"/>
      <c r="FN10" s="420"/>
      <c r="FO10" s="420"/>
      <c r="FP10" s="420"/>
      <c r="FQ10" s="420"/>
      <c r="FR10" s="420"/>
      <c r="FS10" s="420"/>
      <c r="FT10" s="420"/>
      <c r="FU10" s="420"/>
      <c r="FV10" s="420"/>
      <c r="FW10" s="420"/>
      <c r="FX10" s="420"/>
      <c r="FY10" s="420"/>
      <c r="FZ10" s="420"/>
      <c r="GA10" s="420"/>
      <c r="GB10" s="420"/>
      <c r="GC10" s="420"/>
      <c r="GD10" s="420"/>
      <c r="GE10" s="420"/>
      <c r="GF10" s="420"/>
      <c r="GG10" s="420"/>
      <c r="GH10" s="420"/>
      <c r="GI10" s="420"/>
      <c r="GJ10" s="420"/>
      <c r="GK10" s="420"/>
      <c r="GL10" s="420"/>
      <c r="GM10" s="420"/>
      <c r="GN10" s="420"/>
      <c r="GO10" s="420"/>
      <c r="GP10" s="420"/>
      <c r="GQ10" s="420"/>
      <c r="GR10" s="420"/>
      <c r="GS10" s="420"/>
      <c r="GT10" s="420"/>
      <c r="GU10" s="420"/>
      <c r="GV10" s="420"/>
      <c r="GW10" s="420"/>
      <c r="GX10" s="420"/>
      <c r="GY10" s="420"/>
      <c r="GZ10" s="420"/>
      <c r="HA10" s="420"/>
      <c r="HB10" s="420"/>
      <c r="HC10" s="420"/>
      <c r="HD10" s="420"/>
      <c r="HE10" s="420"/>
      <c r="HF10" s="420"/>
      <c r="HG10" s="420"/>
      <c r="HH10" s="420"/>
      <c r="HI10" s="420"/>
      <c r="HJ10" s="420"/>
      <c r="HK10" s="420"/>
      <c r="HL10" s="420"/>
      <c r="HM10" s="420"/>
      <c r="HN10" s="420"/>
      <c r="HO10" s="420"/>
      <c r="HP10" s="420"/>
      <c r="HQ10" s="420"/>
      <c r="HR10" s="420"/>
      <c r="HS10" s="420"/>
      <c r="HT10" s="420"/>
      <c r="HU10" s="420"/>
      <c r="HV10" s="420"/>
      <c r="HW10" s="420"/>
      <c r="HX10" s="420"/>
      <c r="HY10" s="420"/>
      <c r="HZ10" s="420"/>
      <c r="IA10" s="420"/>
      <c r="IB10" s="420"/>
      <c r="IC10" s="420"/>
      <c r="ID10" s="420"/>
      <c r="IE10" s="420"/>
      <c r="IF10" s="420"/>
      <c r="IG10" s="420"/>
      <c r="IH10" s="420"/>
      <c r="II10" s="420"/>
      <c r="IJ10" s="420"/>
      <c r="IK10" s="420"/>
      <c r="IL10" s="420"/>
      <c r="IM10" s="420"/>
      <c r="IN10" s="420"/>
      <c r="IO10" s="420"/>
      <c r="IP10" s="420"/>
    </row>
    <row r="11" spans="1:250" s="417" customFormat="1" x14ac:dyDescent="0.25">
      <c r="A11" s="414"/>
      <c r="B11" s="414"/>
      <c r="C11" s="414"/>
      <c r="D11" s="414"/>
      <c r="E11" s="414"/>
      <c r="F11" s="414"/>
      <c r="G11" s="948" t="s">
        <v>260</v>
      </c>
      <c r="H11" s="949"/>
      <c r="I11" s="419"/>
      <c r="J11" s="419"/>
      <c r="K11" s="419"/>
      <c r="L11" s="419"/>
      <c r="M11" s="418"/>
      <c r="N11" s="418"/>
      <c r="O11" s="418"/>
      <c r="P11" s="418"/>
      <c r="Q11" s="418"/>
      <c r="R11" s="418"/>
      <c r="S11" s="418"/>
      <c r="T11" s="418"/>
      <c r="U11" s="418"/>
      <c r="V11" s="418"/>
      <c r="W11" s="418"/>
      <c r="X11" s="418"/>
      <c r="Y11" s="420"/>
      <c r="Z11" s="420"/>
      <c r="AA11" s="420"/>
      <c r="AB11" s="420"/>
      <c r="AC11" s="420"/>
      <c r="AD11" s="420"/>
      <c r="AE11" s="420"/>
      <c r="AF11" s="420"/>
      <c r="AG11" s="420"/>
      <c r="AH11" s="420"/>
      <c r="AI11" s="420"/>
      <c r="AJ11" s="420"/>
      <c r="AK11" s="420"/>
      <c r="AL11" s="420"/>
      <c r="AM11" s="420"/>
      <c r="AN11" s="420"/>
      <c r="AO11" s="420"/>
      <c r="AP11" s="420"/>
      <c r="AQ11" s="420"/>
      <c r="AR11" s="420"/>
      <c r="AS11" s="420"/>
      <c r="AT11" s="420"/>
      <c r="AU11" s="420"/>
      <c r="AV11" s="420"/>
      <c r="AW11" s="420"/>
      <c r="AX11" s="420"/>
      <c r="AY11" s="420"/>
      <c r="AZ11" s="420"/>
      <c r="BA11" s="420"/>
      <c r="BB11" s="420"/>
      <c r="BC11" s="420"/>
      <c r="BD11" s="420"/>
      <c r="BE11" s="420"/>
      <c r="BF11" s="420"/>
      <c r="BG11" s="420"/>
      <c r="BH11" s="420"/>
      <c r="BI11" s="420"/>
      <c r="BJ11" s="420"/>
      <c r="BK11" s="420"/>
      <c r="BL11" s="420"/>
      <c r="BM11" s="420"/>
      <c r="BN11" s="420"/>
      <c r="BO11" s="420"/>
      <c r="BP11" s="420"/>
      <c r="BQ11" s="420"/>
      <c r="BR11" s="420"/>
      <c r="BS11" s="420"/>
      <c r="BT11" s="420"/>
      <c r="BU11" s="420"/>
      <c r="BV11" s="420"/>
      <c r="BW11" s="420"/>
      <c r="BX11" s="420"/>
      <c r="BY11" s="420"/>
      <c r="BZ11" s="420"/>
      <c r="CA11" s="420"/>
      <c r="CB11" s="420"/>
      <c r="CC11" s="420"/>
      <c r="CD11" s="420"/>
      <c r="CE11" s="420"/>
      <c r="CF11" s="420"/>
      <c r="CG11" s="420"/>
      <c r="CH11" s="420"/>
      <c r="CI11" s="420"/>
      <c r="CJ11" s="420"/>
      <c r="CK11" s="420"/>
      <c r="CL11" s="420"/>
      <c r="CM11" s="420"/>
      <c r="CN11" s="420"/>
      <c r="CO11" s="420"/>
      <c r="CP11" s="420"/>
      <c r="CQ11" s="420"/>
      <c r="CR11" s="420"/>
      <c r="CS11" s="420"/>
      <c r="CT11" s="420"/>
      <c r="CU11" s="420"/>
      <c r="CV11" s="420"/>
      <c r="CW11" s="420"/>
      <c r="CX11" s="420"/>
      <c r="CY11" s="420"/>
      <c r="CZ11" s="420"/>
      <c r="DA11" s="420"/>
      <c r="DB11" s="420"/>
      <c r="DC11" s="420"/>
      <c r="DD11" s="420"/>
      <c r="DE11" s="420"/>
      <c r="DF11" s="420"/>
      <c r="DG11" s="420"/>
      <c r="DH11" s="420"/>
      <c r="DI11" s="420"/>
      <c r="DJ11" s="420"/>
      <c r="DK11" s="420"/>
      <c r="DL11" s="420"/>
      <c r="DM11" s="420"/>
      <c r="DN11" s="420"/>
      <c r="DO11" s="420"/>
      <c r="DP11" s="420"/>
      <c r="DQ11" s="420"/>
      <c r="DR11" s="420"/>
      <c r="DS11" s="420"/>
      <c r="DT11" s="420"/>
      <c r="DU11" s="420"/>
      <c r="DV11" s="420"/>
      <c r="DW11" s="420"/>
      <c r="DX11" s="420"/>
      <c r="DY11" s="420"/>
      <c r="DZ11" s="420"/>
      <c r="EA11" s="420"/>
      <c r="EB11" s="420"/>
      <c r="EC11" s="420"/>
      <c r="ED11" s="420"/>
      <c r="EE11" s="420"/>
      <c r="EF11" s="420"/>
      <c r="EG11" s="420"/>
      <c r="EH11" s="420"/>
      <c r="EI11" s="420"/>
      <c r="EJ11" s="420"/>
      <c r="EK11" s="420"/>
      <c r="EL11" s="420"/>
      <c r="EM11" s="420"/>
      <c r="EN11" s="420"/>
      <c r="EO11" s="420"/>
      <c r="EP11" s="420"/>
      <c r="EQ11" s="420"/>
      <c r="ER11" s="420"/>
      <c r="ES11" s="420"/>
      <c r="ET11" s="420"/>
      <c r="EU11" s="420"/>
      <c r="EV11" s="420"/>
      <c r="EW11" s="420"/>
      <c r="EX11" s="420"/>
      <c r="EY11" s="420"/>
      <c r="EZ11" s="420"/>
      <c r="FA11" s="420"/>
      <c r="FB11" s="420"/>
      <c r="FC11" s="420"/>
      <c r="FD11" s="420"/>
      <c r="FE11" s="420"/>
      <c r="FF11" s="420"/>
      <c r="FG11" s="420"/>
      <c r="FH11" s="420"/>
      <c r="FI11" s="420"/>
      <c r="FJ11" s="420"/>
      <c r="FK11" s="420"/>
      <c r="FL11" s="420"/>
      <c r="FM11" s="420"/>
      <c r="FN11" s="420"/>
      <c r="FO11" s="420"/>
      <c r="FP11" s="420"/>
      <c r="FQ11" s="420"/>
      <c r="FR11" s="420"/>
      <c r="FS11" s="420"/>
      <c r="FT11" s="420"/>
      <c r="FU11" s="420"/>
      <c r="FV11" s="420"/>
      <c r="FW11" s="420"/>
      <c r="FX11" s="420"/>
      <c r="FY11" s="420"/>
      <c r="FZ11" s="420"/>
      <c r="GA11" s="420"/>
      <c r="GB11" s="420"/>
      <c r="GC11" s="420"/>
      <c r="GD11" s="420"/>
      <c r="GE11" s="420"/>
      <c r="GF11" s="420"/>
      <c r="GG11" s="420"/>
      <c r="GH11" s="420"/>
      <c r="GI11" s="420"/>
      <c r="GJ11" s="420"/>
      <c r="GK11" s="420"/>
      <c r="GL11" s="420"/>
      <c r="GM11" s="420"/>
      <c r="GN11" s="420"/>
      <c r="GO11" s="420"/>
      <c r="GP11" s="420"/>
      <c r="GQ11" s="420"/>
      <c r="GR11" s="420"/>
      <c r="GS11" s="420"/>
      <c r="GT11" s="420"/>
      <c r="GU11" s="420"/>
      <c r="GV11" s="420"/>
      <c r="GW11" s="420"/>
      <c r="GX11" s="420"/>
      <c r="GY11" s="420"/>
      <c r="GZ11" s="420"/>
      <c r="HA11" s="420"/>
      <c r="HB11" s="420"/>
      <c r="HC11" s="420"/>
      <c r="HD11" s="420"/>
      <c r="HE11" s="420"/>
      <c r="HF11" s="420"/>
      <c r="HG11" s="420"/>
      <c r="HH11" s="420"/>
      <c r="HI11" s="420"/>
      <c r="HJ11" s="420"/>
      <c r="HK11" s="420"/>
      <c r="HL11" s="420"/>
      <c r="HM11" s="420"/>
      <c r="HN11" s="420"/>
      <c r="HO11" s="420"/>
      <c r="HP11" s="420"/>
      <c r="HQ11" s="420"/>
      <c r="HR11" s="420"/>
      <c r="HS11" s="420"/>
      <c r="HT11" s="420"/>
      <c r="HU11" s="420"/>
      <c r="HV11" s="420"/>
      <c r="HW11" s="420"/>
      <c r="HX11" s="420"/>
      <c r="HY11" s="420"/>
      <c r="HZ11" s="420"/>
      <c r="IA11" s="420"/>
      <c r="IB11" s="420"/>
      <c r="IC11" s="420"/>
      <c r="ID11" s="420"/>
      <c r="IE11" s="420"/>
      <c r="IF11" s="420"/>
      <c r="IG11" s="420"/>
      <c r="IH11" s="420"/>
      <c r="II11" s="420"/>
      <c r="IJ11" s="420"/>
      <c r="IK11" s="420"/>
      <c r="IL11" s="420"/>
      <c r="IM11" s="420"/>
      <c r="IN11" s="420"/>
      <c r="IO11" s="420"/>
      <c r="IP11" s="420"/>
    </row>
    <row r="12" spans="1:250" s="417" customFormat="1" x14ac:dyDescent="0.25">
      <c r="A12" s="952" t="s">
        <v>632</v>
      </c>
      <c r="B12" s="952"/>
      <c r="C12" s="952"/>
      <c r="D12" s="952"/>
      <c r="E12" s="952"/>
      <c r="F12" s="421" t="s">
        <v>43</v>
      </c>
      <c r="G12" s="950"/>
      <c r="H12" s="951"/>
      <c r="I12" s="419"/>
      <c r="J12" s="419"/>
      <c r="K12" s="419"/>
      <c r="L12" s="419"/>
      <c r="M12" s="418"/>
      <c r="N12" s="418"/>
      <c r="O12" s="418"/>
      <c r="P12" s="418"/>
      <c r="Q12" s="418"/>
      <c r="R12" s="418"/>
      <c r="S12" s="418"/>
      <c r="T12" s="418"/>
      <c r="U12" s="418"/>
      <c r="V12" s="418"/>
      <c r="W12" s="418"/>
      <c r="X12" s="423" t="e">
        <v>#REF!</v>
      </c>
      <c r="Y12" s="420"/>
      <c r="Z12" s="420"/>
      <c r="AA12" s="420"/>
      <c r="AB12" s="420"/>
      <c r="AC12" s="420"/>
      <c r="AD12" s="420"/>
      <c r="AE12" s="420"/>
      <c r="AF12" s="420"/>
      <c r="AG12" s="420"/>
      <c r="AH12" s="420"/>
      <c r="AI12" s="420"/>
      <c r="AJ12" s="420"/>
      <c r="AK12" s="420"/>
      <c r="AL12" s="420"/>
      <c r="AM12" s="420"/>
      <c r="AN12" s="420"/>
      <c r="AO12" s="420"/>
      <c r="AP12" s="420"/>
      <c r="AQ12" s="420"/>
      <c r="AR12" s="420"/>
      <c r="AS12" s="420"/>
      <c r="AT12" s="420"/>
      <c r="AU12" s="420"/>
      <c r="AV12" s="420"/>
      <c r="AW12" s="420"/>
      <c r="AX12" s="420"/>
      <c r="AY12" s="420"/>
      <c r="AZ12" s="420"/>
      <c r="BA12" s="420"/>
      <c r="BB12" s="420"/>
      <c r="BC12" s="420"/>
      <c r="BD12" s="420"/>
      <c r="BE12" s="420"/>
      <c r="BF12" s="420"/>
      <c r="BG12" s="420"/>
      <c r="BH12" s="420"/>
      <c r="BI12" s="420"/>
      <c r="BJ12" s="420"/>
      <c r="BK12" s="420"/>
      <c r="BL12" s="420"/>
      <c r="BM12" s="420"/>
      <c r="BN12" s="420"/>
      <c r="BO12" s="420"/>
      <c r="BP12" s="420"/>
      <c r="BQ12" s="420"/>
      <c r="BR12" s="420"/>
      <c r="BS12" s="420"/>
      <c r="BT12" s="420"/>
      <c r="BU12" s="420"/>
      <c r="BV12" s="420"/>
      <c r="BW12" s="420"/>
      <c r="BX12" s="420"/>
      <c r="BY12" s="420"/>
      <c r="BZ12" s="420"/>
      <c r="CA12" s="420"/>
      <c r="CB12" s="420"/>
      <c r="CC12" s="420"/>
      <c r="CD12" s="420"/>
      <c r="CE12" s="420"/>
      <c r="CF12" s="420"/>
      <c r="CG12" s="420"/>
      <c r="CH12" s="420"/>
      <c r="CI12" s="420"/>
      <c r="CJ12" s="420"/>
      <c r="CK12" s="420"/>
      <c r="CL12" s="420"/>
      <c r="CM12" s="420"/>
      <c r="CN12" s="420"/>
      <c r="CO12" s="420"/>
      <c r="CP12" s="420"/>
      <c r="CQ12" s="420"/>
      <c r="CR12" s="420"/>
      <c r="CS12" s="420"/>
      <c r="CT12" s="420"/>
      <c r="CU12" s="420"/>
      <c r="CV12" s="420"/>
      <c r="CW12" s="420"/>
      <c r="CX12" s="420"/>
      <c r="CY12" s="420"/>
      <c r="CZ12" s="420"/>
      <c r="DA12" s="420"/>
      <c r="DB12" s="420"/>
      <c r="DC12" s="420"/>
      <c r="DD12" s="420"/>
      <c r="DE12" s="420"/>
      <c r="DF12" s="420"/>
      <c r="DG12" s="420"/>
      <c r="DH12" s="420"/>
      <c r="DI12" s="420"/>
      <c r="DJ12" s="420"/>
      <c r="DK12" s="420"/>
      <c r="DL12" s="420"/>
      <c r="DM12" s="420"/>
      <c r="DN12" s="420"/>
      <c r="DO12" s="420"/>
      <c r="DP12" s="420"/>
      <c r="DQ12" s="420"/>
      <c r="DR12" s="420"/>
      <c r="DS12" s="420"/>
      <c r="DT12" s="420"/>
      <c r="DU12" s="420"/>
      <c r="DV12" s="420"/>
      <c r="DW12" s="420"/>
      <c r="DX12" s="420"/>
      <c r="DY12" s="420"/>
      <c r="DZ12" s="420"/>
      <c r="EA12" s="420"/>
      <c r="EB12" s="420"/>
      <c r="EC12" s="420"/>
      <c r="ED12" s="420"/>
      <c r="EE12" s="420"/>
      <c r="EF12" s="420"/>
      <c r="EG12" s="420"/>
      <c r="EH12" s="420"/>
      <c r="EI12" s="420"/>
      <c r="EJ12" s="420"/>
      <c r="EK12" s="420"/>
      <c r="EL12" s="420"/>
      <c r="EM12" s="420"/>
      <c r="EN12" s="420"/>
      <c r="EO12" s="420"/>
      <c r="EP12" s="420"/>
      <c r="EQ12" s="420"/>
      <c r="ER12" s="420"/>
      <c r="ES12" s="420"/>
      <c r="ET12" s="420"/>
      <c r="EU12" s="420"/>
      <c r="EV12" s="420"/>
      <c r="EW12" s="420"/>
      <c r="EX12" s="420"/>
      <c r="EY12" s="420"/>
      <c r="EZ12" s="420"/>
      <c r="FA12" s="420"/>
      <c r="FB12" s="420"/>
      <c r="FC12" s="420"/>
      <c r="FD12" s="420"/>
      <c r="FE12" s="420"/>
      <c r="FF12" s="420"/>
      <c r="FG12" s="420"/>
      <c r="FH12" s="420"/>
      <c r="FI12" s="420"/>
      <c r="FJ12" s="420"/>
      <c r="FK12" s="420"/>
      <c r="FL12" s="420"/>
      <c r="FM12" s="420"/>
      <c r="FN12" s="420"/>
      <c r="FO12" s="420"/>
      <c r="FP12" s="420"/>
      <c r="FQ12" s="420"/>
      <c r="FR12" s="420"/>
      <c r="FS12" s="420"/>
      <c r="FT12" s="420"/>
      <c r="FU12" s="420"/>
      <c r="FV12" s="420"/>
      <c r="FW12" s="420"/>
      <c r="FX12" s="420"/>
      <c r="FY12" s="420"/>
      <c r="FZ12" s="420"/>
      <c r="GA12" s="420"/>
      <c r="GB12" s="420"/>
      <c r="GC12" s="420"/>
      <c r="GD12" s="420"/>
      <c r="GE12" s="420"/>
      <c r="GF12" s="420"/>
      <c r="GG12" s="420"/>
      <c r="GH12" s="420"/>
      <c r="GI12" s="420"/>
      <c r="GJ12" s="420"/>
      <c r="GK12" s="420"/>
      <c r="GL12" s="420"/>
      <c r="GM12" s="420"/>
      <c r="GN12" s="420"/>
      <c r="GO12" s="420"/>
      <c r="GP12" s="420"/>
      <c r="GQ12" s="420"/>
      <c r="GR12" s="420"/>
      <c r="GS12" s="420"/>
      <c r="GT12" s="420"/>
      <c r="GU12" s="420"/>
      <c r="GV12" s="420"/>
      <c r="GW12" s="420"/>
      <c r="GX12" s="420"/>
      <c r="GY12" s="420"/>
      <c r="GZ12" s="420"/>
      <c r="HA12" s="420"/>
      <c r="HB12" s="420"/>
      <c r="HC12" s="420"/>
      <c r="HD12" s="420"/>
      <c r="HE12" s="420"/>
      <c r="HF12" s="420"/>
      <c r="HG12" s="420"/>
      <c r="HH12" s="420"/>
      <c r="HI12" s="420"/>
      <c r="HJ12" s="420"/>
      <c r="HK12" s="420"/>
      <c r="HL12" s="420"/>
      <c r="HM12" s="420"/>
      <c r="HN12" s="420"/>
      <c r="HO12" s="420"/>
      <c r="HP12" s="420"/>
      <c r="HQ12" s="420"/>
      <c r="HR12" s="420"/>
      <c r="HS12" s="420"/>
      <c r="HT12" s="420"/>
      <c r="HU12" s="420"/>
      <c r="HV12" s="420"/>
      <c r="HW12" s="420"/>
      <c r="HX12" s="420"/>
      <c r="HY12" s="420"/>
      <c r="HZ12" s="420"/>
      <c r="IA12" s="420"/>
      <c r="IB12" s="420"/>
      <c r="IC12" s="420"/>
      <c r="ID12" s="420"/>
      <c r="IE12" s="420"/>
      <c r="IF12" s="420"/>
      <c r="IG12" s="420"/>
      <c r="IH12" s="420"/>
      <c r="II12" s="420"/>
      <c r="IJ12" s="420"/>
      <c r="IK12" s="420"/>
      <c r="IL12" s="420"/>
      <c r="IM12" s="420"/>
      <c r="IN12" s="420"/>
      <c r="IO12" s="420"/>
      <c r="IP12" s="420"/>
    </row>
    <row r="13" spans="1:250" s="417" customFormat="1" x14ac:dyDescent="0.25">
      <c r="A13" s="953" t="s">
        <v>44</v>
      </c>
      <c r="B13" s="953"/>
      <c r="C13" s="953"/>
      <c r="D13" s="953"/>
      <c r="E13" s="953"/>
      <c r="F13" s="414"/>
      <c r="G13" s="948" t="s">
        <v>633</v>
      </c>
      <c r="H13" s="949"/>
      <c r="I13" s="419"/>
      <c r="J13" s="419"/>
      <c r="K13" s="419"/>
      <c r="L13" s="419"/>
      <c r="M13" s="418"/>
      <c r="N13" s="418"/>
      <c r="O13" s="418"/>
      <c r="P13" s="418"/>
      <c r="Q13" s="418"/>
      <c r="R13" s="418"/>
      <c r="S13" s="418"/>
      <c r="T13" s="418"/>
      <c r="U13" s="418"/>
      <c r="V13" s="418"/>
      <c r="W13" s="418"/>
      <c r="X13" s="418"/>
      <c r="Y13" s="420"/>
      <c r="Z13" s="420"/>
      <c r="AA13" s="420"/>
      <c r="AB13" s="420"/>
      <c r="AC13" s="420"/>
      <c r="AD13" s="420"/>
      <c r="AE13" s="420"/>
      <c r="AF13" s="420"/>
      <c r="AG13" s="420"/>
      <c r="AH13" s="420"/>
      <c r="AI13" s="420"/>
      <c r="AJ13" s="420"/>
      <c r="AK13" s="420"/>
      <c r="AL13" s="420"/>
      <c r="AM13" s="420"/>
      <c r="AN13" s="420"/>
      <c r="AO13" s="420"/>
      <c r="AP13" s="420"/>
      <c r="AQ13" s="420"/>
      <c r="AR13" s="420"/>
      <c r="AS13" s="420"/>
      <c r="AT13" s="420"/>
      <c r="AU13" s="420"/>
      <c r="AV13" s="420"/>
      <c r="AW13" s="420"/>
      <c r="AX13" s="420"/>
      <c r="AY13" s="420"/>
      <c r="AZ13" s="420"/>
      <c r="BA13" s="420"/>
      <c r="BB13" s="420"/>
      <c r="BC13" s="420"/>
      <c r="BD13" s="420"/>
      <c r="BE13" s="420"/>
      <c r="BF13" s="420"/>
      <c r="BG13" s="420"/>
      <c r="BH13" s="420"/>
      <c r="BI13" s="420"/>
      <c r="BJ13" s="420"/>
      <c r="BK13" s="420"/>
      <c r="BL13" s="420"/>
      <c r="BM13" s="420"/>
      <c r="BN13" s="420"/>
      <c r="BO13" s="420"/>
      <c r="BP13" s="420"/>
      <c r="BQ13" s="420"/>
      <c r="BR13" s="420"/>
      <c r="BS13" s="420"/>
      <c r="BT13" s="420"/>
      <c r="BU13" s="420"/>
      <c r="BV13" s="420"/>
      <c r="BW13" s="420"/>
      <c r="BX13" s="420"/>
      <c r="BY13" s="420"/>
      <c r="BZ13" s="420"/>
      <c r="CA13" s="420"/>
      <c r="CB13" s="420"/>
      <c r="CC13" s="420"/>
      <c r="CD13" s="420"/>
      <c r="CE13" s="420"/>
      <c r="CF13" s="420"/>
      <c r="CG13" s="420"/>
      <c r="CH13" s="420"/>
      <c r="CI13" s="420"/>
      <c r="CJ13" s="420"/>
      <c r="CK13" s="420"/>
      <c r="CL13" s="420"/>
      <c r="CM13" s="420"/>
      <c r="CN13" s="420"/>
      <c r="CO13" s="420"/>
      <c r="CP13" s="420"/>
      <c r="CQ13" s="420"/>
      <c r="CR13" s="420"/>
      <c r="CS13" s="420"/>
      <c r="CT13" s="420"/>
      <c r="CU13" s="420"/>
      <c r="CV13" s="420"/>
      <c r="CW13" s="420"/>
      <c r="CX13" s="420"/>
      <c r="CY13" s="420"/>
      <c r="CZ13" s="420"/>
      <c r="DA13" s="420"/>
      <c r="DB13" s="420"/>
      <c r="DC13" s="420"/>
      <c r="DD13" s="420"/>
      <c r="DE13" s="420"/>
      <c r="DF13" s="420"/>
      <c r="DG13" s="420"/>
      <c r="DH13" s="420"/>
      <c r="DI13" s="420"/>
      <c r="DJ13" s="420"/>
      <c r="DK13" s="420"/>
      <c r="DL13" s="420"/>
      <c r="DM13" s="420"/>
      <c r="DN13" s="420"/>
      <c r="DO13" s="420"/>
      <c r="DP13" s="420"/>
      <c r="DQ13" s="420"/>
      <c r="DR13" s="420"/>
      <c r="DS13" s="420"/>
      <c r="DT13" s="420"/>
      <c r="DU13" s="420"/>
      <c r="DV13" s="420"/>
      <c r="DW13" s="420"/>
      <c r="DX13" s="420"/>
      <c r="DY13" s="420"/>
      <c r="DZ13" s="420"/>
      <c r="EA13" s="420"/>
      <c r="EB13" s="420"/>
      <c r="EC13" s="420"/>
      <c r="ED13" s="420"/>
      <c r="EE13" s="420"/>
      <c r="EF13" s="420"/>
      <c r="EG13" s="420"/>
      <c r="EH13" s="420"/>
      <c r="EI13" s="420"/>
      <c r="EJ13" s="420"/>
      <c r="EK13" s="420"/>
      <c r="EL13" s="420"/>
      <c r="EM13" s="420"/>
      <c r="EN13" s="420"/>
      <c r="EO13" s="420"/>
      <c r="EP13" s="420"/>
      <c r="EQ13" s="420"/>
      <c r="ER13" s="420"/>
      <c r="ES13" s="420"/>
      <c r="ET13" s="420"/>
      <c r="EU13" s="420"/>
      <c r="EV13" s="420"/>
      <c r="EW13" s="420"/>
      <c r="EX13" s="420"/>
      <c r="EY13" s="420"/>
      <c r="EZ13" s="420"/>
      <c r="FA13" s="420"/>
      <c r="FB13" s="420"/>
      <c r="FC13" s="420"/>
      <c r="FD13" s="420"/>
      <c r="FE13" s="420"/>
      <c r="FF13" s="420"/>
      <c r="FG13" s="420"/>
      <c r="FH13" s="420"/>
      <c r="FI13" s="420"/>
      <c r="FJ13" s="420"/>
      <c r="FK13" s="420"/>
      <c r="FL13" s="420"/>
      <c r="FM13" s="420"/>
      <c r="FN13" s="420"/>
      <c r="FO13" s="420"/>
      <c r="FP13" s="420"/>
      <c r="FQ13" s="420"/>
      <c r="FR13" s="420"/>
      <c r="FS13" s="420"/>
      <c r="FT13" s="420"/>
      <c r="FU13" s="420"/>
      <c r="FV13" s="420"/>
      <c r="FW13" s="420"/>
      <c r="FX13" s="420"/>
      <c r="FY13" s="420"/>
      <c r="FZ13" s="420"/>
      <c r="GA13" s="420"/>
      <c r="GB13" s="420"/>
      <c r="GC13" s="420"/>
      <c r="GD13" s="420"/>
      <c r="GE13" s="420"/>
      <c r="GF13" s="420"/>
      <c r="GG13" s="420"/>
      <c r="GH13" s="420"/>
      <c r="GI13" s="420"/>
      <c r="GJ13" s="420"/>
      <c r="GK13" s="420"/>
      <c r="GL13" s="420"/>
      <c r="GM13" s="420"/>
      <c r="GN13" s="420"/>
      <c r="GO13" s="420"/>
      <c r="GP13" s="420"/>
      <c r="GQ13" s="420"/>
      <c r="GR13" s="420"/>
      <c r="GS13" s="420"/>
      <c r="GT13" s="420"/>
      <c r="GU13" s="420"/>
      <c r="GV13" s="420"/>
      <c r="GW13" s="420"/>
      <c r="GX13" s="420"/>
      <c r="GY13" s="420"/>
      <c r="GZ13" s="420"/>
      <c r="HA13" s="420"/>
      <c r="HB13" s="420"/>
      <c r="HC13" s="420"/>
      <c r="HD13" s="420"/>
      <c r="HE13" s="420"/>
      <c r="HF13" s="420"/>
      <c r="HG13" s="420"/>
      <c r="HH13" s="420"/>
      <c r="HI13" s="420"/>
      <c r="HJ13" s="420"/>
      <c r="HK13" s="420"/>
      <c r="HL13" s="420"/>
      <c r="HM13" s="420"/>
      <c r="HN13" s="420"/>
      <c r="HO13" s="420"/>
      <c r="HP13" s="420"/>
      <c r="HQ13" s="420"/>
      <c r="HR13" s="420"/>
      <c r="HS13" s="420"/>
      <c r="HT13" s="420"/>
      <c r="HU13" s="420"/>
      <c r="HV13" s="420"/>
      <c r="HW13" s="420"/>
      <c r="HX13" s="420"/>
      <c r="HY13" s="420"/>
      <c r="HZ13" s="420"/>
      <c r="IA13" s="420"/>
      <c r="IB13" s="420"/>
      <c r="IC13" s="420"/>
      <c r="ID13" s="420"/>
      <c r="IE13" s="420"/>
      <c r="IF13" s="420"/>
      <c r="IG13" s="420"/>
      <c r="IH13" s="420"/>
      <c r="II13" s="420"/>
      <c r="IJ13" s="420"/>
      <c r="IK13" s="420"/>
      <c r="IL13" s="420"/>
      <c r="IM13" s="420"/>
      <c r="IN13" s="420"/>
      <c r="IO13" s="420"/>
      <c r="IP13" s="420"/>
    </row>
    <row r="14" spans="1:250" s="417" customFormat="1" x14ac:dyDescent="0.25">
      <c r="A14" s="952" t="s">
        <v>634</v>
      </c>
      <c r="B14" s="952"/>
      <c r="C14" s="952"/>
      <c r="D14" s="952"/>
      <c r="E14" s="952"/>
      <c r="F14" s="421" t="s">
        <v>43</v>
      </c>
      <c r="G14" s="950"/>
      <c r="H14" s="951"/>
      <c r="I14" s="419"/>
      <c r="J14" s="419"/>
      <c r="K14" s="419"/>
      <c r="L14" s="419"/>
      <c r="M14" s="418"/>
      <c r="N14" s="418"/>
      <c r="O14" s="418"/>
      <c r="P14" s="418"/>
      <c r="Q14" s="418"/>
      <c r="R14" s="418"/>
      <c r="S14" s="418"/>
      <c r="T14" s="418"/>
      <c r="U14" s="418"/>
      <c r="V14" s="418"/>
      <c r="W14" s="418"/>
      <c r="X14" s="423" t="e">
        <v>#REF!</v>
      </c>
      <c r="Y14" s="420"/>
      <c r="Z14" s="420"/>
      <c r="AA14" s="420"/>
      <c r="AB14" s="420"/>
      <c r="AC14" s="420"/>
      <c r="AD14" s="420"/>
      <c r="AE14" s="420"/>
      <c r="AF14" s="420"/>
      <c r="AG14" s="420"/>
      <c r="AH14" s="420"/>
      <c r="AI14" s="420"/>
      <c r="AJ14" s="420"/>
      <c r="AK14" s="420"/>
      <c r="AL14" s="420"/>
      <c r="AM14" s="420"/>
      <c r="AN14" s="420"/>
      <c r="AO14" s="420"/>
      <c r="AP14" s="420"/>
      <c r="AQ14" s="420"/>
      <c r="AR14" s="420"/>
      <c r="AS14" s="420"/>
      <c r="AT14" s="420"/>
      <c r="AU14" s="420"/>
      <c r="AV14" s="420"/>
      <c r="AW14" s="420"/>
      <c r="AX14" s="420"/>
      <c r="AY14" s="420"/>
      <c r="AZ14" s="420"/>
      <c r="BA14" s="420"/>
      <c r="BB14" s="420"/>
      <c r="BC14" s="420"/>
      <c r="BD14" s="420"/>
      <c r="BE14" s="420"/>
      <c r="BF14" s="420"/>
      <c r="BG14" s="420"/>
      <c r="BH14" s="420"/>
      <c r="BI14" s="420"/>
      <c r="BJ14" s="420"/>
      <c r="BK14" s="420"/>
      <c r="BL14" s="420"/>
      <c r="BM14" s="420"/>
      <c r="BN14" s="420"/>
      <c r="BO14" s="420"/>
      <c r="BP14" s="420"/>
      <c r="BQ14" s="420"/>
      <c r="BR14" s="420"/>
      <c r="BS14" s="420"/>
      <c r="BT14" s="420"/>
      <c r="BU14" s="420"/>
      <c r="BV14" s="420"/>
      <c r="BW14" s="420"/>
      <c r="BX14" s="420"/>
      <c r="BY14" s="420"/>
      <c r="BZ14" s="420"/>
      <c r="CA14" s="420"/>
      <c r="CB14" s="420"/>
      <c r="CC14" s="420"/>
      <c r="CD14" s="420"/>
      <c r="CE14" s="420"/>
      <c r="CF14" s="420"/>
      <c r="CG14" s="420"/>
      <c r="CH14" s="420"/>
      <c r="CI14" s="420"/>
      <c r="CJ14" s="420"/>
      <c r="CK14" s="420"/>
      <c r="CL14" s="420"/>
      <c r="CM14" s="420"/>
      <c r="CN14" s="420"/>
      <c r="CO14" s="420"/>
      <c r="CP14" s="420"/>
      <c r="CQ14" s="420"/>
      <c r="CR14" s="420"/>
      <c r="CS14" s="420"/>
      <c r="CT14" s="420"/>
      <c r="CU14" s="420"/>
      <c r="CV14" s="420"/>
      <c r="CW14" s="420"/>
      <c r="CX14" s="420"/>
      <c r="CY14" s="420"/>
      <c r="CZ14" s="420"/>
      <c r="DA14" s="420"/>
      <c r="DB14" s="420"/>
      <c r="DC14" s="420"/>
      <c r="DD14" s="420"/>
      <c r="DE14" s="420"/>
      <c r="DF14" s="420"/>
      <c r="DG14" s="420"/>
      <c r="DH14" s="420"/>
      <c r="DI14" s="420"/>
      <c r="DJ14" s="420"/>
      <c r="DK14" s="420"/>
      <c r="DL14" s="420"/>
      <c r="DM14" s="420"/>
      <c r="DN14" s="420"/>
      <c r="DO14" s="420"/>
      <c r="DP14" s="420"/>
      <c r="DQ14" s="420"/>
      <c r="DR14" s="420"/>
      <c r="DS14" s="420"/>
      <c r="DT14" s="420"/>
      <c r="DU14" s="420"/>
      <c r="DV14" s="420"/>
      <c r="DW14" s="420"/>
      <c r="DX14" s="420"/>
      <c r="DY14" s="420"/>
      <c r="DZ14" s="420"/>
      <c r="EA14" s="420"/>
      <c r="EB14" s="420"/>
      <c r="EC14" s="420"/>
      <c r="ED14" s="420"/>
      <c r="EE14" s="420"/>
      <c r="EF14" s="420"/>
      <c r="EG14" s="420"/>
      <c r="EH14" s="420"/>
      <c r="EI14" s="420"/>
      <c r="EJ14" s="420"/>
      <c r="EK14" s="420"/>
      <c r="EL14" s="420"/>
      <c r="EM14" s="420"/>
      <c r="EN14" s="420"/>
      <c r="EO14" s="420"/>
      <c r="EP14" s="420"/>
      <c r="EQ14" s="420"/>
      <c r="ER14" s="420"/>
      <c r="ES14" s="420"/>
      <c r="ET14" s="420"/>
      <c r="EU14" s="420"/>
      <c r="EV14" s="420"/>
      <c r="EW14" s="420"/>
      <c r="EX14" s="420"/>
      <c r="EY14" s="420"/>
      <c r="EZ14" s="420"/>
      <c r="FA14" s="420"/>
      <c r="FB14" s="420"/>
      <c r="FC14" s="420"/>
      <c r="FD14" s="420"/>
      <c r="FE14" s="420"/>
      <c r="FF14" s="420"/>
      <c r="FG14" s="420"/>
      <c r="FH14" s="420"/>
      <c r="FI14" s="420"/>
      <c r="FJ14" s="420"/>
      <c r="FK14" s="420"/>
      <c r="FL14" s="420"/>
      <c r="FM14" s="420"/>
      <c r="FN14" s="420"/>
      <c r="FO14" s="420"/>
      <c r="FP14" s="420"/>
      <c r="FQ14" s="420"/>
      <c r="FR14" s="420"/>
      <c r="FS14" s="420"/>
      <c r="FT14" s="420"/>
      <c r="FU14" s="420"/>
      <c r="FV14" s="420"/>
      <c r="FW14" s="420"/>
      <c r="FX14" s="420"/>
      <c r="FY14" s="420"/>
      <c r="FZ14" s="420"/>
      <c r="GA14" s="420"/>
      <c r="GB14" s="420"/>
      <c r="GC14" s="420"/>
      <c r="GD14" s="420"/>
      <c r="GE14" s="420"/>
      <c r="GF14" s="420"/>
      <c r="GG14" s="420"/>
      <c r="GH14" s="420"/>
      <c r="GI14" s="420"/>
      <c r="GJ14" s="420"/>
      <c r="GK14" s="420"/>
      <c r="GL14" s="420"/>
      <c r="GM14" s="420"/>
      <c r="GN14" s="420"/>
      <c r="GO14" s="420"/>
      <c r="GP14" s="420"/>
      <c r="GQ14" s="420"/>
      <c r="GR14" s="420"/>
      <c r="GS14" s="420"/>
      <c r="GT14" s="420"/>
      <c r="GU14" s="420"/>
      <c r="GV14" s="420"/>
      <c r="GW14" s="420"/>
      <c r="GX14" s="420"/>
      <c r="GY14" s="420"/>
      <c r="GZ14" s="420"/>
      <c r="HA14" s="420"/>
      <c r="HB14" s="420"/>
      <c r="HC14" s="420"/>
      <c r="HD14" s="420"/>
      <c r="HE14" s="420"/>
      <c r="HF14" s="420"/>
      <c r="HG14" s="420"/>
      <c r="HH14" s="420"/>
      <c r="HI14" s="420"/>
      <c r="HJ14" s="420"/>
      <c r="HK14" s="420"/>
      <c r="HL14" s="420"/>
      <c r="HM14" s="420"/>
      <c r="HN14" s="420"/>
      <c r="HO14" s="420"/>
      <c r="HP14" s="420"/>
      <c r="HQ14" s="420"/>
      <c r="HR14" s="420"/>
      <c r="HS14" s="420"/>
      <c r="HT14" s="420"/>
      <c r="HU14" s="420"/>
      <c r="HV14" s="420"/>
      <c r="HW14" s="420"/>
      <c r="HX14" s="420"/>
      <c r="HY14" s="420"/>
      <c r="HZ14" s="420"/>
      <c r="IA14" s="420"/>
      <c r="IB14" s="420"/>
      <c r="IC14" s="420"/>
      <c r="ID14" s="420"/>
      <c r="IE14" s="420"/>
      <c r="IF14" s="420"/>
      <c r="IG14" s="420"/>
      <c r="IH14" s="420"/>
      <c r="II14" s="420"/>
      <c r="IJ14" s="420"/>
      <c r="IK14" s="420"/>
      <c r="IL14" s="420"/>
      <c r="IM14" s="420"/>
      <c r="IN14" s="420"/>
      <c r="IO14" s="420"/>
      <c r="IP14" s="420"/>
    </row>
    <row r="15" spans="1:250" s="417" customFormat="1" x14ac:dyDescent="0.25">
      <c r="A15" s="953" t="s">
        <v>44</v>
      </c>
      <c r="B15" s="953"/>
      <c r="C15" s="953"/>
      <c r="D15" s="953"/>
      <c r="E15" s="953"/>
      <c r="F15" s="414"/>
      <c r="G15" s="948" t="s">
        <v>593</v>
      </c>
      <c r="H15" s="949"/>
      <c r="I15" s="419"/>
      <c r="J15" s="419"/>
      <c r="K15" s="419"/>
      <c r="L15" s="419"/>
      <c r="M15" s="418"/>
      <c r="N15" s="418"/>
      <c r="O15" s="418"/>
      <c r="P15" s="418"/>
      <c r="Q15" s="418"/>
      <c r="R15" s="418"/>
      <c r="S15" s="418"/>
      <c r="T15" s="418"/>
      <c r="U15" s="418"/>
      <c r="V15" s="418"/>
      <c r="W15" s="418"/>
      <c r="X15" s="418"/>
      <c r="Y15" s="420"/>
      <c r="Z15" s="420"/>
      <c r="AA15" s="420"/>
      <c r="AB15" s="420"/>
      <c r="AC15" s="420"/>
      <c r="AD15" s="420"/>
      <c r="AE15" s="420"/>
      <c r="AF15" s="420"/>
      <c r="AG15" s="420"/>
      <c r="AH15" s="420"/>
      <c r="AI15" s="420"/>
      <c r="AJ15" s="420"/>
      <c r="AK15" s="420"/>
      <c r="AL15" s="420"/>
      <c r="AM15" s="420"/>
      <c r="AN15" s="420"/>
      <c r="AO15" s="420"/>
      <c r="AP15" s="420"/>
      <c r="AQ15" s="420"/>
      <c r="AR15" s="420"/>
      <c r="AS15" s="420"/>
      <c r="AT15" s="420"/>
      <c r="AU15" s="420"/>
      <c r="AV15" s="420"/>
      <c r="AW15" s="420"/>
      <c r="AX15" s="420"/>
      <c r="AY15" s="420"/>
      <c r="AZ15" s="420"/>
      <c r="BA15" s="420"/>
      <c r="BB15" s="420"/>
      <c r="BC15" s="420"/>
      <c r="BD15" s="420"/>
      <c r="BE15" s="420"/>
      <c r="BF15" s="420"/>
      <c r="BG15" s="420"/>
      <c r="BH15" s="420"/>
      <c r="BI15" s="420"/>
      <c r="BJ15" s="420"/>
      <c r="BK15" s="420"/>
      <c r="BL15" s="420"/>
      <c r="BM15" s="420"/>
      <c r="BN15" s="420"/>
      <c r="BO15" s="420"/>
      <c r="BP15" s="420"/>
      <c r="BQ15" s="420"/>
      <c r="BR15" s="420"/>
      <c r="BS15" s="420"/>
      <c r="BT15" s="420"/>
      <c r="BU15" s="420"/>
      <c r="BV15" s="420"/>
      <c r="BW15" s="420"/>
      <c r="BX15" s="420"/>
      <c r="BY15" s="420"/>
      <c r="BZ15" s="420"/>
      <c r="CA15" s="420"/>
      <c r="CB15" s="420"/>
      <c r="CC15" s="420"/>
      <c r="CD15" s="420"/>
      <c r="CE15" s="420"/>
      <c r="CF15" s="420"/>
      <c r="CG15" s="420"/>
      <c r="CH15" s="420"/>
      <c r="CI15" s="420"/>
      <c r="CJ15" s="420"/>
      <c r="CK15" s="420"/>
      <c r="CL15" s="420"/>
      <c r="CM15" s="420"/>
      <c r="CN15" s="420"/>
      <c r="CO15" s="420"/>
      <c r="CP15" s="420"/>
      <c r="CQ15" s="420"/>
      <c r="CR15" s="420"/>
      <c r="CS15" s="420"/>
      <c r="CT15" s="420"/>
      <c r="CU15" s="420"/>
      <c r="CV15" s="420"/>
      <c r="CW15" s="420"/>
      <c r="CX15" s="420"/>
      <c r="CY15" s="420"/>
      <c r="CZ15" s="420"/>
      <c r="DA15" s="420"/>
      <c r="DB15" s="420"/>
      <c r="DC15" s="420"/>
      <c r="DD15" s="420"/>
      <c r="DE15" s="420"/>
      <c r="DF15" s="420"/>
      <c r="DG15" s="420"/>
      <c r="DH15" s="420"/>
      <c r="DI15" s="420"/>
      <c r="DJ15" s="420"/>
      <c r="DK15" s="420"/>
      <c r="DL15" s="420"/>
      <c r="DM15" s="420"/>
      <c r="DN15" s="420"/>
      <c r="DO15" s="420"/>
      <c r="DP15" s="420"/>
      <c r="DQ15" s="420"/>
      <c r="DR15" s="420"/>
      <c r="DS15" s="420"/>
      <c r="DT15" s="420"/>
      <c r="DU15" s="420"/>
      <c r="DV15" s="420"/>
      <c r="DW15" s="420"/>
      <c r="DX15" s="420"/>
      <c r="DY15" s="420"/>
      <c r="DZ15" s="420"/>
      <c r="EA15" s="420"/>
      <c r="EB15" s="420"/>
      <c r="EC15" s="420"/>
      <c r="ED15" s="420"/>
      <c r="EE15" s="420"/>
      <c r="EF15" s="420"/>
      <c r="EG15" s="420"/>
      <c r="EH15" s="420"/>
      <c r="EI15" s="420"/>
      <c r="EJ15" s="420"/>
      <c r="EK15" s="420"/>
      <c r="EL15" s="420"/>
      <c r="EM15" s="420"/>
      <c r="EN15" s="420"/>
      <c r="EO15" s="420"/>
      <c r="EP15" s="420"/>
      <c r="EQ15" s="420"/>
      <c r="ER15" s="420"/>
      <c r="ES15" s="420"/>
      <c r="ET15" s="420"/>
      <c r="EU15" s="420"/>
      <c r="EV15" s="420"/>
      <c r="EW15" s="420"/>
      <c r="EX15" s="420"/>
      <c r="EY15" s="420"/>
      <c r="EZ15" s="420"/>
      <c r="FA15" s="420"/>
      <c r="FB15" s="420"/>
      <c r="FC15" s="420"/>
      <c r="FD15" s="420"/>
      <c r="FE15" s="420"/>
      <c r="FF15" s="420"/>
      <c r="FG15" s="420"/>
      <c r="FH15" s="420"/>
      <c r="FI15" s="420"/>
      <c r="FJ15" s="420"/>
      <c r="FK15" s="420"/>
      <c r="FL15" s="420"/>
      <c r="FM15" s="420"/>
      <c r="FN15" s="420"/>
      <c r="FO15" s="420"/>
      <c r="FP15" s="420"/>
      <c r="FQ15" s="420"/>
      <c r="FR15" s="420"/>
      <c r="FS15" s="420"/>
      <c r="FT15" s="420"/>
      <c r="FU15" s="420"/>
      <c r="FV15" s="420"/>
      <c r="FW15" s="420"/>
      <c r="FX15" s="420"/>
      <c r="FY15" s="420"/>
      <c r="FZ15" s="420"/>
      <c r="GA15" s="420"/>
      <c r="GB15" s="420"/>
      <c r="GC15" s="420"/>
      <c r="GD15" s="420"/>
      <c r="GE15" s="420"/>
      <c r="GF15" s="420"/>
      <c r="GG15" s="420"/>
      <c r="GH15" s="420"/>
      <c r="GI15" s="420"/>
      <c r="GJ15" s="420"/>
      <c r="GK15" s="420"/>
      <c r="GL15" s="420"/>
      <c r="GM15" s="420"/>
      <c r="GN15" s="420"/>
      <c r="GO15" s="420"/>
      <c r="GP15" s="420"/>
      <c r="GQ15" s="420"/>
      <c r="GR15" s="420"/>
      <c r="GS15" s="420"/>
      <c r="GT15" s="420"/>
      <c r="GU15" s="420"/>
      <c r="GV15" s="420"/>
      <c r="GW15" s="420"/>
      <c r="GX15" s="420"/>
      <c r="GY15" s="420"/>
      <c r="GZ15" s="420"/>
      <c r="HA15" s="420"/>
      <c r="HB15" s="420"/>
      <c r="HC15" s="420"/>
      <c r="HD15" s="420"/>
      <c r="HE15" s="420"/>
      <c r="HF15" s="420"/>
      <c r="HG15" s="420"/>
      <c r="HH15" s="420"/>
      <c r="HI15" s="420"/>
      <c r="HJ15" s="420"/>
      <c r="HK15" s="420"/>
      <c r="HL15" s="420"/>
      <c r="HM15" s="420"/>
      <c r="HN15" s="420"/>
      <c r="HO15" s="420"/>
      <c r="HP15" s="420"/>
      <c r="HQ15" s="420"/>
      <c r="HR15" s="420"/>
      <c r="HS15" s="420"/>
      <c r="HT15" s="420"/>
      <c r="HU15" s="420"/>
      <c r="HV15" s="420"/>
      <c r="HW15" s="420"/>
      <c r="HX15" s="420"/>
      <c r="HY15" s="420"/>
      <c r="HZ15" s="420"/>
      <c r="IA15" s="420"/>
      <c r="IB15" s="420"/>
      <c r="IC15" s="420"/>
      <c r="ID15" s="420"/>
      <c r="IE15" s="420"/>
      <c r="IF15" s="420"/>
      <c r="IG15" s="420"/>
      <c r="IH15" s="420"/>
      <c r="II15" s="420"/>
      <c r="IJ15" s="420"/>
      <c r="IK15" s="420"/>
      <c r="IL15" s="420"/>
      <c r="IM15" s="420"/>
      <c r="IN15" s="420"/>
      <c r="IO15" s="420"/>
      <c r="IP15" s="420"/>
    </row>
    <row r="16" spans="1:250" s="417" customFormat="1" x14ac:dyDescent="0.25">
      <c r="A16" s="952" t="s">
        <v>635</v>
      </c>
      <c r="B16" s="952"/>
      <c r="C16" s="952"/>
      <c r="D16" s="952"/>
      <c r="E16" s="952"/>
      <c r="F16" s="421" t="s">
        <v>43</v>
      </c>
      <c r="G16" s="950"/>
      <c r="H16" s="951"/>
      <c r="I16" s="419"/>
      <c r="J16" s="419"/>
      <c r="K16" s="419"/>
      <c r="L16" s="419"/>
      <c r="M16" s="418"/>
      <c r="N16" s="418"/>
      <c r="O16" s="418"/>
      <c r="P16" s="418"/>
      <c r="Q16" s="418"/>
      <c r="R16" s="418"/>
      <c r="S16" s="418"/>
      <c r="T16" s="418"/>
      <c r="U16" s="418"/>
      <c r="V16" s="418"/>
      <c r="W16" s="418"/>
      <c r="X16" s="423" t="e">
        <v>#REF!</v>
      </c>
      <c r="Y16" s="420"/>
      <c r="Z16" s="420"/>
      <c r="AA16" s="420"/>
      <c r="AB16" s="420"/>
      <c r="AC16" s="420"/>
      <c r="AD16" s="420"/>
      <c r="AE16" s="420"/>
      <c r="AF16" s="420"/>
      <c r="AG16" s="420"/>
      <c r="AH16" s="420"/>
      <c r="AI16" s="420"/>
      <c r="AJ16" s="420"/>
      <c r="AK16" s="420"/>
      <c r="AL16" s="420"/>
      <c r="AM16" s="420"/>
      <c r="AN16" s="420"/>
      <c r="AO16" s="420"/>
      <c r="AP16" s="420"/>
      <c r="AQ16" s="420"/>
      <c r="AR16" s="420"/>
      <c r="AS16" s="420"/>
      <c r="AT16" s="420"/>
      <c r="AU16" s="420"/>
      <c r="AV16" s="420"/>
      <c r="AW16" s="420"/>
      <c r="AX16" s="420"/>
      <c r="AY16" s="420"/>
      <c r="AZ16" s="420"/>
      <c r="BA16" s="420"/>
      <c r="BB16" s="420"/>
      <c r="BC16" s="420"/>
      <c r="BD16" s="420"/>
      <c r="BE16" s="420"/>
      <c r="BF16" s="420"/>
      <c r="BG16" s="420"/>
      <c r="BH16" s="420"/>
      <c r="BI16" s="420"/>
      <c r="BJ16" s="420"/>
      <c r="BK16" s="420"/>
      <c r="BL16" s="420"/>
      <c r="BM16" s="420"/>
      <c r="BN16" s="420"/>
      <c r="BO16" s="420"/>
      <c r="BP16" s="420"/>
      <c r="BQ16" s="420"/>
      <c r="BR16" s="420"/>
      <c r="BS16" s="420"/>
      <c r="BT16" s="420"/>
      <c r="BU16" s="420"/>
      <c r="BV16" s="420"/>
      <c r="BW16" s="420"/>
      <c r="BX16" s="420"/>
      <c r="BY16" s="420"/>
      <c r="BZ16" s="420"/>
      <c r="CA16" s="420"/>
      <c r="CB16" s="420"/>
      <c r="CC16" s="420"/>
      <c r="CD16" s="420"/>
      <c r="CE16" s="420"/>
      <c r="CF16" s="420"/>
      <c r="CG16" s="420"/>
      <c r="CH16" s="420"/>
      <c r="CI16" s="420"/>
      <c r="CJ16" s="420"/>
      <c r="CK16" s="420"/>
      <c r="CL16" s="420"/>
      <c r="CM16" s="420"/>
      <c r="CN16" s="420"/>
      <c r="CO16" s="420"/>
      <c r="CP16" s="420"/>
      <c r="CQ16" s="420"/>
      <c r="CR16" s="420"/>
      <c r="CS16" s="420"/>
      <c r="CT16" s="420"/>
      <c r="CU16" s="420"/>
      <c r="CV16" s="420"/>
      <c r="CW16" s="420"/>
      <c r="CX16" s="420"/>
      <c r="CY16" s="420"/>
      <c r="CZ16" s="420"/>
      <c r="DA16" s="420"/>
      <c r="DB16" s="420"/>
      <c r="DC16" s="420"/>
      <c r="DD16" s="420"/>
      <c r="DE16" s="420"/>
      <c r="DF16" s="420"/>
      <c r="DG16" s="420"/>
      <c r="DH16" s="420"/>
      <c r="DI16" s="420"/>
      <c r="DJ16" s="420"/>
      <c r="DK16" s="420"/>
      <c r="DL16" s="420"/>
      <c r="DM16" s="420"/>
      <c r="DN16" s="420"/>
      <c r="DO16" s="420"/>
      <c r="DP16" s="420"/>
      <c r="DQ16" s="420"/>
      <c r="DR16" s="420"/>
      <c r="DS16" s="420"/>
      <c r="DT16" s="420"/>
      <c r="DU16" s="420"/>
      <c r="DV16" s="420"/>
      <c r="DW16" s="420"/>
      <c r="DX16" s="420"/>
      <c r="DY16" s="420"/>
      <c r="DZ16" s="420"/>
      <c r="EA16" s="420"/>
      <c r="EB16" s="420"/>
      <c r="EC16" s="420"/>
      <c r="ED16" s="420"/>
      <c r="EE16" s="420"/>
      <c r="EF16" s="420"/>
      <c r="EG16" s="420"/>
      <c r="EH16" s="420"/>
      <c r="EI16" s="420"/>
      <c r="EJ16" s="420"/>
      <c r="EK16" s="420"/>
      <c r="EL16" s="420"/>
      <c r="EM16" s="420"/>
      <c r="EN16" s="420"/>
      <c r="EO16" s="420"/>
      <c r="EP16" s="420"/>
      <c r="EQ16" s="420"/>
      <c r="ER16" s="420"/>
      <c r="ES16" s="420"/>
      <c r="ET16" s="420"/>
      <c r="EU16" s="420"/>
      <c r="EV16" s="420"/>
      <c r="EW16" s="420"/>
      <c r="EX16" s="420"/>
      <c r="EY16" s="420"/>
      <c r="EZ16" s="420"/>
      <c r="FA16" s="420"/>
      <c r="FB16" s="420"/>
      <c r="FC16" s="420"/>
      <c r="FD16" s="420"/>
      <c r="FE16" s="420"/>
      <c r="FF16" s="420"/>
      <c r="FG16" s="420"/>
      <c r="FH16" s="420"/>
      <c r="FI16" s="420"/>
      <c r="FJ16" s="420"/>
      <c r="FK16" s="420"/>
      <c r="FL16" s="420"/>
      <c r="FM16" s="420"/>
      <c r="FN16" s="420"/>
      <c r="FO16" s="420"/>
      <c r="FP16" s="420"/>
      <c r="FQ16" s="420"/>
      <c r="FR16" s="420"/>
      <c r="FS16" s="420"/>
      <c r="FT16" s="420"/>
      <c r="FU16" s="420"/>
      <c r="FV16" s="420"/>
      <c r="FW16" s="420"/>
      <c r="FX16" s="420"/>
      <c r="FY16" s="420"/>
      <c r="FZ16" s="420"/>
      <c r="GA16" s="420"/>
      <c r="GB16" s="420"/>
      <c r="GC16" s="420"/>
      <c r="GD16" s="420"/>
      <c r="GE16" s="420"/>
      <c r="GF16" s="420"/>
      <c r="GG16" s="420"/>
      <c r="GH16" s="420"/>
      <c r="GI16" s="420"/>
      <c r="GJ16" s="420"/>
      <c r="GK16" s="420"/>
      <c r="GL16" s="420"/>
      <c r="GM16" s="420"/>
      <c r="GN16" s="420"/>
      <c r="GO16" s="420"/>
      <c r="GP16" s="420"/>
      <c r="GQ16" s="420"/>
      <c r="GR16" s="420"/>
      <c r="GS16" s="420"/>
      <c r="GT16" s="420"/>
      <c r="GU16" s="420"/>
      <c r="GV16" s="420"/>
      <c r="GW16" s="420"/>
      <c r="GX16" s="420"/>
      <c r="GY16" s="420"/>
      <c r="GZ16" s="420"/>
      <c r="HA16" s="420"/>
      <c r="HB16" s="420"/>
      <c r="HC16" s="420"/>
      <c r="HD16" s="420"/>
      <c r="HE16" s="420"/>
      <c r="HF16" s="420"/>
      <c r="HG16" s="420"/>
      <c r="HH16" s="420"/>
      <c r="HI16" s="420"/>
      <c r="HJ16" s="420"/>
      <c r="HK16" s="420"/>
      <c r="HL16" s="420"/>
      <c r="HM16" s="420"/>
      <c r="HN16" s="420"/>
      <c r="HO16" s="420"/>
      <c r="HP16" s="420"/>
      <c r="HQ16" s="420"/>
      <c r="HR16" s="420"/>
      <c r="HS16" s="420"/>
      <c r="HT16" s="420"/>
      <c r="HU16" s="420"/>
      <c r="HV16" s="420"/>
      <c r="HW16" s="420"/>
      <c r="HX16" s="420"/>
      <c r="HY16" s="420"/>
      <c r="HZ16" s="420"/>
      <c r="IA16" s="420"/>
      <c r="IB16" s="420"/>
      <c r="IC16" s="420"/>
      <c r="ID16" s="420"/>
      <c r="IE16" s="420"/>
      <c r="IF16" s="420"/>
      <c r="IG16" s="420"/>
      <c r="IH16" s="420"/>
      <c r="II16" s="420"/>
      <c r="IJ16" s="420"/>
      <c r="IK16" s="420"/>
      <c r="IL16" s="420"/>
      <c r="IM16" s="420"/>
      <c r="IN16" s="420"/>
      <c r="IO16" s="420"/>
      <c r="IP16" s="420"/>
    </row>
    <row r="17" spans="1:250" s="417" customFormat="1" x14ac:dyDescent="0.25">
      <c r="A17" s="953" t="s">
        <v>44</v>
      </c>
      <c r="B17" s="953"/>
      <c r="C17" s="953"/>
      <c r="D17" s="953"/>
      <c r="E17" s="953"/>
      <c r="F17" s="414"/>
      <c r="G17" s="948" t="s">
        <v>594</v>
      </c>
      <c r="H17" s="949"/>
      <c r="I17" s="419"/>
      <c r="J17" s="419"/>
      <c r="K17" s="419"/>
      <c r="L17" s="419"/>
      <c r="M17" s="418"/>
      <c r="N17" s="418"/>
      <c r="O17" s="418"/>
      <c r="P17" s="418"/>
      <c r="Q17" s="418"/>
      <c r="R17" s="418"/>
      <c r="S17" s="418"/>
      <c r="T17" s="418"/>
      <c r="U17" s="418"/>
      <c r="V17" s="418"/>
      <c r="W17" s="418"/>
      <c r="X17" s="418"/>
      <c r="Y17" s="420"/>
      <c r="Z17" s="420"/>
      <c r="AA17" s="420"/>
      <c r="AB17" s="420"/>
      <c r="AC17" s="420"/>
      <c r="AD17" s="420"/>
      <c r="AE17" s="420"/>
      <c r="AF17" s="420"/>
      <c r="AG17" s="420"/>
      <c r="AH17" s="420"/>
      <c r="AI17" s="420"/>
      <c r="AJ17" s="420"/>
      <c r="AK17" s="420"/>
      <c r="AL17" s="420"/>
      <c r="AM17" s="420"/>
      <c r="AN17" s="420"/>
      <c r="AO17" s="420"/>
      <c r="AP17" s="420"/>
      <c r="AQ17" s="420"/>
      <c r="AR17" s="420"/>
      <c r="AS17" s="420"/>
      <c r="AT17" s="420"/>
      <c r="AU17" s="420"/>
      <c r="AV17" s="420"/>
      <c r="AW17" s="420"/>
      <c r="AX17" s="420"/>
      <c r="AY17" s="420"/>
      <c r="AZ17" s="420"/>
      <c r="BA17" s="420"/>
      <c r="BB17" s="420"/>
      <c r="BC17" s="420"/>
      <c r="BD17" s="420"/>
      <c r="BE17" s="420"/>
      <c r="BF17" s="420"/>
      <c r="BG17" s="420"/>
      <c r="BH17" s="420"/>
      <c r="BI17" s="420"/>
      <c r="BJ17" s="420"/>
      <c r="BK17" s="420"/>
      <c r="BL17" s="420"/>
      <c r="BM17" s="420"/>
      <c r="BN17" s="420"/>
      <c r="BO17" s="420"/>
      <c r="BP17" s="420"/>
      <c r="BQ17" s="420"/>
      <c r="BR17" s="420"/>
      <c r="BS17" s="420"/>
      <c r="BT17" s="420"/>
      <c r="BU17" s="420"/>
      <c r="BV17" s="420"/>
      <c r="BW17" s="420"/>
      <c r="BX17" s="420"/>
      <c r="BY17" s="420"/>
      <c r="BZ17" s="420"/>
      <c r="CA17" s="420"/>
      <c r="CB17" s="420"/>
      <c r="CC17" s="420"/>
      <c r="CD17" s="420"/>
      <c r="CE17" s="420"/>
      <c r="CF17" s="420"/>
      <c r="CG17" s="420"/>
      <c r="CH17" s="420"/>
      <c r="CI17" s="420"/>
      <c r="CJ17" s="420"/>
      <c r="CK17" s="420"/>
      <c r="CL17" s="420"/>
      <c r="CM17" s="420"/>
      <c r="CN17" s="420"/>
      <c r="CO17" s="420"/>
      <c r="CP17" s="420"/>
      <c r="CQ17" s="420"/>
      <c r="CR17" s="420"/>
      <c r="CS17" s="420"/>
      <c r="CT17" s="420"/>
      <c r="CU17" s="420"/>
      <c r="CV17" s="420"/>
      <c r="CW17" s="420"/>
      <c r="CX17" s="420"/>
      <c r="CY17" s="420"/>
      <c r="CZ17" s="420"/>
      <c r="DA17" s="420"/>
      <c r="DB17" s="420"/>
      <c r="DC17" s="420"/>
      <c r="DD17" s="420"/>
      <c r="DE17" s="420"/>
      <c r="DF17" s="420"/>
      <c r="DG17" s="420"/>
      <c r="DH17" s="420"/>
      <c r="DI17" s="420"/>
      <c r="DJ17" s="420"/>
      <c r="DK17" s="420"/>
      <c r="DL17" s="420"/>
      <c r="DM17" s="420"/>
      <c r="DN17" s="420"/>
      <c r="DO17" s="420"/>
      <c r="DP17" s="420"/>
      <c r="DQ17" s="420"/>
      <c r="DR17" s="420"/>
      <c r="DS17" s="420"/>
      <c r="DT17" s="420"/>
      <c r="DU17" s="420"/>
      <c r="DV17" s="420"/>
      <c r="DW17" s="420"/>
      <c r="DX17" s="420"/>
      <c r="DY17" s="420"/>
      <c r="DZ17" s="420"/>
      <c r="EA17" s="420"/>
      <c r="EB17" s="420"/>
      <c r="EC17" s="420"/>
      <c r="ED17" s="420"/>
      <c r="EE17" s="420"/>
      <c r="EF17" s="420"/>
      <c r="EG17" s="420"/>
      <c r="EH17" s="420"/>
      <c r="EI17" s="420"/>
      <c r="EJ17" s="420"/>
      <c r="EK17" s="420"/>
      <c r="EL17" s="420"/>
      <c r="EM17" s="420"/>
      <c r="EN17" s="420"/>
      <c r="EO17" s="420"/>
      <c r="EP17" s="420"/>
      <c r="EQ17" s="420"/>
      <c r="ER17" s="420"/>
      <c r="ES17" s="420"/>
      <c r="ET17" s="420"/>
      <c r="EU17" s="420"/>
      <c r="EV17" s="420"/>
      <c r="EW17" s="420"/>
      <c r="EX17" s="420"/>
      <c r="EY17" s="420"/>
      <c r="EZ17" s="420"/>
      <c r="FA17" s="420"/>
      <c r="FB17" s="420"/>
      <c r="FC17" s="420"/>
      <c r="FD17" s="420"/>
      <c r="FE17" s="420"/>
      <c r="FF17" s="420"/>
      <c r="FG17" s="420"/>
      <c r="FH17" s="420"/>
      <c r="FI17" s="420"/>
      <c r="FJ17" s="420"/>
      <c r="FK17" s="420"/>
      <c r="FL17" s="420"/>
      <c r="FM17" s="420"/>
      <c r="FN17" s="420"/>
      <c r="FO17" s="420"/>
      <c r="FP17" s="420"/>
      <c r="FQ17" s="420"/>
      <c r="FR17" s="420"/>
      <c r="FS17" s="420"/>
      <c r="FT17" s="420"/>
      <c r="FU17" s="420"/>
      <c r="FV17" s="420"/>
      <c r="FW17" s="420"/>
      <c r="FX17" s="420"/>
      <c r="FY17" s="420"/>
      <c r="FZ17" s="420"/>
      <c r="GA17" s="420"/>
      <c r="GB17" s="420"/>
      <c r="GC17" s="420"/>
      <c r="GD17" s="420"/>
      <c r="GE17" s="420"/>
      <c r="GF17" s="420"/>
      <c r="GG17" s="420"/>
      <c r="GH17" s="420"/>
      <c r="GI17" s="420"/>
      <c r="GJ17" s="420"/>
      <c r="GK17" s="420"/>
      <c r="GL17" s="420"/>
      <c r="GM17" s="420"/>
      <c r="GN17" s="420"/>
      <c r="GO17" s="420"/>
      <c r="GP17" s="420"/>
      <c r="GQ17" s="420"/>
      <c r="GR17" s="420"/>
      <c r="GS17" s="420"/>
      <c r="GT17" s="420"/>
      <c r="GU17" s="420"/>
      <c r="GV17" s="420"/>
      <c r="GW17" s="420"/>
      <c r="GX17" s="420"/>
      <c r="GY17" s="420"/>
      <c r="GZ17" s="420"/>
      <c r="HA17" s="420"/>
      <c r="HB17" s="420"/>
      <c r="HC17" s="420"/>
      <c r="HD17" s="420"/>
      <c r="HE17" s="420"/>
      <c r="HF17" s="420"/>
      <c r="HG17" s="420"/>
      <c r="HH17" s="420"/>
      <c r="HI17" s="420"/>
      <c r="HJ17" s="420"/>
      <c r="HK17" s="420"/>
      <c r="HL17" s="420"/>
      <c r="HM17" s="420"/>
      <c r="HN17" s="420"/>
      <c r="HO17" s="420"/>
      <c r="HP17" s="420"/>
      <c r="HQ17" s="420"/>
      <c r="HR17" s="420"/>
      <c r="HS17" s="420"/>
      <c r="HT17" s="420"/>
      <c r="HU17" s="420"/>
      <c r="HV17" s="420"/>
      <c r="HW17" s="420"/>
      <c r="HX17" s="420"/>
      <c r="HY17" s="420"/>
      <c r="HZ17" s="420"/>
      <c r="IA17" s="420"/>
      <c r="IB17" s="420"/>
      <c r="IC17" s="420"/>
      <c r="ID17" s="420"/>
      <c r="IE17" s="420"/>
      <c r="IF17" s="420"/>
      <c r="IG17" s="420"/>
      <c r="IH17" s="420"/>
      <c r="II17" s="420"/>
      <c r="IJ17" s="420"/>
      <c r="IK17" s="420"/>
      <c r="IL17" s="420"/>
      <c r="IM17" s="420"/>
      <c r="IN17" s="420"/>
      <c r="IO17" s="420"/>
      <c r="IP17" s="420"/>
    </row>
    <row r="18" spans="1:250" s="417" customFormat="1" ht="31.5" customHeight="1" x14ac:dyDescent="0.25">
      <c r="A18" s="952" t="s">
        <v>636</v>
      </c>
      <c r="B18" s="952"/>
      <c r="C18" s="952"/>
      <c r="D18" s="952"/>
      <c r="E18" s="952"/>
      <c r="F18" s="421" t="s">
        <v>43</v>
      </c>
      <c r="G18" s="950"/>
      <c r="H18" s="951"/>
      <c r="I18" s="419"/>
      <c r="J18" s="419"/>
      <c r="K18" s="419"/>
      <c r="L18" s="419"/>
      <c r="M18" s="418"/>
      <c r="N18" s="418"/>
      <c r="O18" s="418"/>
      <c r="P18" s="418"/>
      <c r="Q18" s="418"/>
      <c r="R18" s="418"/>
      <c r="S18" s="418"/>
      <c r="T18" s="418"/>
      <c r="U18" s="418"/>
      <c r="V18" s="418"/>
      <c r="W18" s="418"/>
      <c r="X18" s="423" t="e">
        <v>#REF!</v>
      </c>
      <c r="Y18" s="420"/>
      <c r="Z18" s="420"/>
      <c r="AA18" s="420"/>
      <c r="AB18" s="420"/>
      <c r="AC18" s="420"/>
      <c r="AD18" s="420"/>
      <c r="AE18" s="420"/>
      <c r="AF18" s="420"/>
      <c r="AG18" s="420"/>
      <c r="AH18" s="420"/>
      <c r="AI18" s="420"/>
      <c r="AJ18" s="420"/>
      <c r="AK18" s="420"/>
      <c r="AL18" s="420"/>
      <c r="AM18" s="420"/>
      <c r="AN18" s="420"/>
      <c r="AO18" s="420"/>
      <c r="AP18" s="420"/>
      <c r="AQ18" s="420"/>
      <c r="AR18" s="420"/>
      <c r="AS18" s="420"/>
      <c r="AT18" s="420"/>
      <c r="AU18" s="420"/>
      <c r="AV18" s="420"/>
      <c r="AW18" s="420"/>
      <c r="AX18" s="420"/>
      <c r="AY18" s="420"/>
      <c r="AZ18" s="420"/>
      <c r="BA18" s="420"/>
      <c r="BB18" s="420"/>
      <c r="BC18" s="420"/>
      <c r="BD18" s="420"/>
      <c r="BE18" s="420"/>
      <c r="BF18" s="420"/>
      <c r="BG18" s="420"/>
      <c r="BH18" s="420"/>
      <c r="BI18" s="420"/>
      <c r="BJ18" s="420"/>
      <c r="BK18" s="420"/>
      <c r="BL18" s="420"/>
      <c r="BM18" s="420"/>
      <c r="BN18" s="420"/>
      <c r="BO18" s="420"/>
      <c r="BP18" s="420"/>
      <c r="BQ18" s="420"/>
      <c r="BR18" s="420"/>
      <c r="BS18" s="420"/>
      <c r="BT18" s="420"/>
      <c r="BU18" s="420"/>
      <c r="BV18" s="420"/>
      <c r="BW18" s="420"/>
      <c r="BX18" s="420"/>
      <c r="BY18" s="420"/>
      <c r="BZ18" s="420"/>
      <c r="CA18" s="420"/>
      <c r="CB18" s="420"/>
      <c r="CC18" s="420"/>
      <c r="CD18" s="420"/>
      <c r="CE18" s="420"/>
      <c r="CF18" s="420"/>
      <c r="CG18" s="420"/>
      <c r="CH18" s="420"/>
      <c r="CI18" s="420"/>
      <c r="CJ18" s="420"/>
      <c r="CK18" s="420"/>
      <c r="CL18" s="420"/>
      <c r="CM18" s="420"/>
      <c r="CN18" s="420"/>
      <c r="CO18" s="420"/>
      <c r="CP18" s="420"/>
      <c r="CQ18" s="420"/>
      <c r="CR18" s="420"/>
      <c r="CS18" s="420"/>
      <c r="CT18" s="420"/>
      <c r="CU18" s="420"/>
      <c r="CV18" s="420"/>
      <c r="CW18" s="420"/>
      <c r="CX18" s="420"/>
      <c r="CY18" s="420"/>
      <c r="CZ18" s="420"/>
      <c r="DA18" s="420"/>
      <c r="DB18" s="420"/>
      <c r="DC18" s="420"/>
      <c r="DD18" s="420"/>
      <c r="DE18" s="420"/>
      <c r="DF18" s="420"/>
      <c r="DG18" s="420"/>
      <c r="DH18" s="420"/>
      <c r="DI18" s="420"/>
      <c r="DJ18" s="420"/>
      <c r="DK18" s="420"/>
      <c r="DL18" s="420"/>
      <c r="DM18" s="420"/>
      <c r="DN18" s="420"/>
      <c r="DO18" s="420"/>
      <c r="DP18" s="420"/>
      <c r="DQ18" s="420"/>
      <c r="DR18" s="420"/>
      <c r="DS18" s="420"/>
      <c r="DT18" s="420"/>
      <c r="DU18" s="420"/>
      <c r="DV18" s="420"/>
      <c r="DW18" s="420"/>
      <c r="DX18" s="420"/>
      <c r="DY18" s="420"/>
      <c r="DZ18" s="420"/>
      <c r="EA18" s="420"/>
      <c r="EB18" s="420"/>
      <c r="EC18" s="420"/>
      <c r="ED18" s="420"/>
      <c r="EE18" s="420"/>
      <c r="EF18" s="420"/>
      <c r="EG18" s="420"/>
      <c r="EH18" s="420"/>
      <c r="EI18" s="420"/>
      <c r="EJ18" s="420"/>
      <c r="EK18" s="420"/>
      <c r="EL18" s="420"/>
      <c r="EM18" s="420"/>
      <c r="EN18" s="420"/>
      <c r="EO18" s="420"/>
      <c r="EP18" s="420"/>
      <c r="EQ18" s="420"/>
      <c r="ER18" s="420"/>
      <c r="ES18" s="420"/>
      <c r="ET18" s="420"/>
      <c r="EU18" s="420"/>
      <c r="EV18" s="420"/>
      <c r="EW18" s="420"/>
      <c r="EX18" s="420"/>
      <c r="EY18" s="420"/>
      <c r="EZ18" s="420"/>
      <c r="FA18" s="420"/>
      <c r="FB18" s="420"/>
      <c r="FC18" s="420"/>
      <c r="FD18" s="420"/>
      <c r="FE18" s="420"/>
      <c r="FF18" s="420"/>
      <c r="FG18" s="420"/>
      <c r="FH18" s="420"/>
      <c r="FI18" s="420"/>
      <c r="FJ18" s="420"/>
      <c r="FK18" s="420"/>
      <c r="FL18" s="420"/>
      <c r="FM18" s="420"/>
      <c r="FN18" s="420"/>
      <c r="FO18" s="420"/>
      <c r="FP18" s="420"/>
      <c r="FQ18" s="420"/>
      <c r="FR18" s="420"/>
      <c r="FS18" s="420"/>
      <c r="FT18" s="420"/>
      <c r="FU18" s="420"/>
      <c r="FV18" s="420"/>
      <c r="FW18" s="420"/>
      <c r="FX18" s="420"/>
      <c r="FY18" s="420"/>
      <c r="FZ18" s="420"/>
      <c r="GA18" s="420"/>
      <c r="GB18" s="420"/>
      <c r="GC18" s="420"/>
      <c r="GD18" s="420"/>
      <c r="GE18" s="420"/>
      <c r="GF18" s="420"/>
      <c r="GG18" s="420"/>
      <c r="GH18" s="420"/>
      <c r="GI18" s="420"/>
      <c r="GJ18" s="420"/>
      <c r="GK18" s="420"/>
      <c r="GL18" s="420"/>
      <c r="GM18" s="420"/>
      <c r="GN18" s="420"/>
      <c r="GO18" s="420"/>
      <c r="GP18" s="420"/>
      <c r="GQ18" s="420"/>
      <c r="GR18" s="420"/>
      <c r="GS18" s="420"/>
      <c r="GT18" s="420"/>
      <c r="GU18" s="420"/>
      <c r="GV18" s="420"/>
      <c r="GW18" s="420"/>
      <c r="GX18" s="420"/>
      <c r="GY18" s="420"/>
      <c r="GZ18" s="420"/>
      <c r="HA18" s="420"/>
      <c r="HB18" s="420"/>
      <c r="HC18" s="420"/>
      <c r="HD18" s="420"/>
      <c r="HE18" s="420"/>
      <c r="HF18" s="420"/>
      <c r="HG18" s="420"/>
      <c r="HH18" s="420"/>
      <c r="HI18" s="420"/>
      <c r="HJ18" s="420"/>
      <c r="HK18" s="420"/>
      <c r="HL18" s="420"/>
      <c r="HM18" s="420"/>
      <c r="HN18" s="420"/>
      <c r="HO18" s="420"/>
      <c r="HP18" s="420"/>
      <c r="HQ18" s="420"/>
      <c r="HR18" s="420"/>
      <c r="HS18" s="420"/>
      <c r="HT18" s="420"/>
      <c r="HU18" s="420"/>
      <c r="HV18" s="420"/>
      <c r="HW18" s="420"/>
      <c r="HX18" s="420"/>
      <c r="HY18" s="420"/>
      <c r="HZ18" s="420"/>
      <c r="IA18" s="420"/>
      <c r="IB18" s="420"/>
      <c r="IC18" s="420"/>
      <c r="ID18" s="420"/>
      <c r="IE18" s="420"/>
      <c r="IF18" s="420"/>
      <c r="IG18" s="420"/>
      <c r="IH18" s="420"/>
      <c r="II18" s="420"/>
      <c r="IJ18" s="420"/>
      <c r="IK18" s="420"/>
      <c r="IL18" s="420"/>
      <c r="IM18" s="420"/>
      <c r="IN18" s="420"/>
      <c r="IO18" s="420"/>
      <c r="IP18" s="420"/>
    </row>
    <row r="19" spans="1:250" s="417" customFormat="1" x14ac:dyDescent="0.25">
      <c r="A19" s="953" t="s">
        <v>44</v>
      </c>
      <c r="B19" s="953"/>
      <c r="C19" s="953"/>
      <c r="D19" s="953"/>
      <c r="E19" s="953"/>
      <c r="F19" s="424"/>
      <c r="G19" s="958"/>
      <c r="H19" s="959"/>
      <c r="I19" s="419"/>
      <c r="J19" s="419"/>
      <c r="K19" s="419"/>
      <c r="L19" s="419"/>
      <c r="M19" s="418"/>
      <c r="N19" s="418"/>
      <c r="O19" s="418"/>
      <c r="P19" s="418"/>
      <c r="Q19" s="418"/>
      <c r="R19" s="418"/>
      <c r="S19" s="418"/>
      <c r="T19" s="418"/>
      <c r="U19" s="418"/>
      <c r="V19" s="418"/>
      <c r="W19" s="418"/>
      <c r="X19" s="418"/>
      <c r="Y19" s="420"/>
      <c r="Z19" s="420"/>
      <c r="AA19" s="420"/>
      <c r="AB19" s="420"/>
      <c r="AC19" s="420"/>
      <c r="AD19" s="420"/>
      <c r="AE19" s="420"/>
      <c r="AF19" s="420"/>
      <c r="AG19" s="420"/>
      <c r="AH19" s="420"/>
      <c r="AI19" s="420"/>
      <c r="AJ19" s="420"/>
      <c r="AK19" s="420"/>
      <c r="AL19" s="420"/>
      <c r="AM19" s="420"/>
      <c r="AN19" s="420"/>
      <c r="AO19" s="420"/>
      <c r="AP19" s="420"/>
      <c r="AQ19" s="420"/>
      <c r="AR19" s="420"/>
      <c r="AS19" s="420"/>
      <c r="AT19" s="420"/>
      <c r="AU19" s="420"/>
      <c r="AV19" s="420"/>
      <c r="AW19" s="420"/>
      <c r="AX19" s="420"/>
      <c r="AY19" s="420"/>
      <c r="AZ19" s="420"/>
      <c r="BA19" s="420"/>
      <c r="BB19" s="420"/>
      <c r="BC19" s="420"/>
      <c r="BD19" s="420"/>
      <c r="BE19" s="420"/>
      <c r="BF19" s="420"/>
      <c r="BG19" s="420"/>
      <c r="BH19" s="420"/>
      <c r="BI19" s="420"/>
      <c r="BJ19" s="420"/>
      <c r="BK19" s="420"/>
      <c r="BL19" s="420"/>
      <c r="BM19" s="420"/>
      <c r="BN19" s="420"/>
      <c r="BO19" s="420"/>
      <c r="BP19" s="420"/>
      <c r="BQ19" s="420"/>
      <c r="BR19" s="420"/>
      <c r="BS19" s="420"/>
      <c r="BT19" s="420"/>
      <c r="BU19" s="420"/>
      <c r="BV19" s="420"/>
      <c r="BW19" s="420"/>
      <c r="BX19" s="420"/>
      <c r="BY19" s="420"/>
      <c r="BZ19" s="420"/>
      <c r="CA19" s="420"/>
      <c r="CB19" s="420"/>
      <c r="CC19" s="420"/>
      <c r="CD19" s="420"/>
      <c r="CE19" s="420"/>
      <c r="CF19" s="420"/>
      <c r="CG19" s="420"/>
      <c r="CH19" s="420"/>
      <c r="CI19" s="420"/>
      <c r="CJ19" s="420"/>
      <c r="CK19" s="420"/>
      <c r="CL19" s="420"/>
      <c r="CM19" s="420"/>
      <c r="CN19" s="420"/>
      <c r="CO19" s="420"/>
      <c r="CP19" s="420"/>
      <c r="CQ19" s="420"/>
      <c r="CR19" s="420"/>
      <c r="CS19" s="420"/>
      <c r="CT19" s="420"/>
      <c r="CU19" s="420"/>
      <c r="CV19" s="420"/>
      <c r="CW19" s="420"/>
      <c r="CX19" s="420"/>
      <c r="CY19" s="420"/>
      <c r="CZ19" s="420"/>
      <c r="DA19" s="420"/>
      <c r="DB19" s="420"/>
      <c r="DC19" s="420"/>
      <c r="DD19" s="420"/>
      <c r="DE19" s="420"/>
      <c r="DF19" s="420"/>
      <c r="DG19" s="420"/>
      <c r="DH19" s="420"/>
      <c r="DI19" s="420"/>
      <c r="DJ19" s="420"/>
      <c r="DK19" s="420"/>
      <c r="DL19" s="420"/>
      <c r="DM19" s="420"/>
      <c r="DN19" s="420"/>
      <c r="DO19" s="420"/>
      <c r="DP19" s="420"/>
      <c r="DQ19" s="420"/>
      <c r="DR19" s="420"/>
      <c r="DS19" s="420"/>
      <c r="DT19" s="420"/>
      <c r="DU19" s="420"/>
      <c r="DV19" s="420"/>
      <c r="DW19" s="420"/>
      <c r="DX19" s="420"/>
      <c r="DY19" s="420"/>
      <c r="DZ19" s="420"/>
      <c r="EA19" s="420"/>
      <c r="EB19" s="420"/>
      <c r="EC19" s="420"/>
      <c r="ED19" s="420"/>
      <c r="EE19" s="420"/>
      <c r="EF19" s="420"/>
      <c r="EG19" s="420"/>
      <c r="EH19" s="420"/>
      <c r="EI19" s="420"/>
      <c r="EJ19" s="420"/>
      <c r="EK19" s="420"/>
      <c r="EL19" s="420"/>
      <c r="EM19" s="420"/>
      <c r="EN19" s="420"/>
      <c r="EO19" s="420"/>
      <c r="EP19" s="420"/>
      <c r="EQ19" s="420"/>
      <c r="ER19" s="420"/>
      <c r="ES19" s="420"/>
      <c r="ET19" s="420"/>
      <c r="EU19" s="420"/>
      <c r="EV19" s="420"/>
      <c r="EW19" s="420"/>
      <c r="EX19" s="420"/>
      <c r="EY19" s="420"/>
      <c r="EZ19" s="420"/>
      <c r="FA19" s="420"/>
      <c r="FB19" s="420"/>
      <c r="FC19" s="420"/>
      <c r="FD19" s="420"/>
      <c r="FE19" s="420"/>
      <c r="FF19" s="420"/>
      <c r="FG19" s="420"/>
      <c r="FH19" s="420"/>
      <c r="FI19" s="420"/>
      <c r="FJ19" s="420"/>
      <c r="FK19" s="420"/>
      <c r="FL19" s="420"/>
      <c r="FM19" s="420"/>
      <c r="FN19" s="420"/>
      <c r="FO19" s="420"/>
      <c r="FP19" s="420"/>
      <c r="FQ19" s="420"/>
      <c r="FR19" s="420"/>
      <c r="FS19" s="420"/>
      <c r="FT19" s="420"/>
      <c r="FU19" s="420"/>
      <c r="FV19" s="420"/>
      <c r="FW19" s="420"/>
      <c r="FX19" s="420"/>
      <c r="FY19" s="420"/>
      <c r="FZ19" s="420"/>
      <c r="GA19" s="420"/>
      <c r="GB19" s="420"/>
      <c r="GC19" s="420"/>
      <c r="GD19" s="420"/>
      <c r="GE19" s="420"/>
      <c r="GF19" s="420"/>
      <c r="GG19" s="420"/>
      <c r="GH19" s="420"/>
      <c r="GI19" s="420"/>
      <c r="GJ19" s="420"/>
      <c r="GK19" s="420"/>
      <c r="GL19" s="420"/>
      <c r="GM19" s="420"/>
      <c r="GN19" s="420"/>
      <c r="GO19" s="420"/>
      <c r="GP19" s="420"/>
      <c r="GQ19" s="420"/>
      <c r="GR19" s="420"/>
      <c r="GS19" s="420"/>
      <c r="GT19" s="420"/>
      <c r="GU19" s="420"/>
      <c r="GV19" s="420"/>
      <c r="GW19" s="420"/>
      <c r="GX19" s="420"/>
      <c r="GY19" s="420"/>
      <c r="GZ19" s="420"/>
      <c r="HA19" s="420"/>
      <c r="HB19" s="420"/>
      <c r="HC19" s="420"/>
      <c r="HD19" s="420"/>
      <c r="HE19" s="420"/>
      <c r="HF19" s="420"/>
      <c r="HG19" s="420"/>
      <c r="HH19" s="420"/>
      <c r="HI19" s="420"/>
      <c r="HJ19" s="420"/>
      <c r="HK19" s="420"/>
      <c r="HL19" s="420"/>
      <c r="HM19" s="420"/>
      <c r="HN19" s="420"/>
      <c r="HO19" s="420"/>
      <c r="HP19" s="420"/>
      <c r="HQ19" s="420"/>
      <c r="HR19" s="420"/>
      <c r="HS19" s="420"/>
      <c r="HT19" s="420"/>
      <c r="HU19" s="420"/>
      <c r="HV19" s="420"/>
      <c r="HW19" s="420"/>
      <c r="HX19" s="420"/>
      <c r="HY19" s="420"/>
      <c r="HZ19" s="420"/>
      <c r="IA19" s="420"/>
      <c r="IB19" s="420"/>
      <c r="IC19" s="420"/>
      <c r="ID19" s="420"/>
      <c r="IE19" s="420"/>
      <c r="IF19" s="420"/>
      <c r="IG19" s="420"/>
      <c r="IH19" s="420"/>
      <c r="II19" s="420"/>
      <c r="IJ19" s="420"/>
      <c r="IK19" s="420"/>
      <c r="IL19" s="420"/>
      <c r="IM19" s="420"/>
      <c r="IN19" s="420"/>
      <c r="IO19" s="420"/>
      <c r="IP19" s="420"/>
    </row>
    <row r="20" spans="1:250" s="417" customFormat="1" ht="30" x14ac:dyDescent="0.25">
      <c r="A20" s="952" t="s">
        <v>637</v>
      </c>
      <c r="B20" s="952"/>
      <c r="C20" s="952"/>
      <c r="D20" s="952"/>
      <c r="E20" s="952"/>
      <c r="F20" s="425"/>
      <c r="G20" s="960"/>
      <c r="H20" s="961"/>
      <c r="I20" s="419"/>
      <c r="J20" s="419"/>
      <c r="K20" s="419"/>
      <c r="L20" s="419"/>
      <c r="M20" s="418"/>
      <c r="N20" s="418"/>
      <c r="O20" s="418"/>
      <c r="P20" s="418"/>
      <c r="Q20" s="418"/>
      <c r="R20" s="418"/>
      <c r="S20" s="418"/>
      <c r="T20" s="418"/>
      <c r="U20" s="418"/>
      <c r="V20" s="418"/>
      <c r="W20" s="418"/>
      <c r="X20" s="423" t="s">
        <v>638</v>
      </c>
      <c r="Y20" s="420"/>
      <c r="Z20" s="420"/>
      <c r="AA20" s="420"/>
      <c r="AB20" s="420"/>
      <c r="AC20" s="420"/>
      <c r="AD20" s="420"/>
      <c r="AE20" s="420"/>
      <c r="AF20" s="420"/>
      <c r="AG20" s="420"/>
      <c r="AH20" s="420"/>
      <c r="AI20" s="420"/>
      <c r="AJ20" s="420"/>
      <c r="AK20" s="420"/>
      <c r="AL20" s="420"/>
      <c r="AM20" s="420"/>
      <c r="AN20" s="420"/>
      <c r="AO20" s="420"/>
      <c r="AP20" s="420"/>
      <c r="AQ20" s="420"/>
      <c r="AR20" s="420"/>
      <c r="AS20" s="420"/>
      <c r="AT20" s="420"/>
      <c r="AU20" s="420"/>
      <c r="AV20" s="420"/>
      <c r="AW20" s="420"/>
      <c r="AX20" s="420"/>
      <c r="AY20" s="420"/>
      <c r="AZ20" s="420"/>
      <c r="BA20" s="420"/>
      <c r="BB20" s="420"/>
      <c r="BC20" s="420"/>
      <c r="BD20" s="420"/>
      <c r="BE20" s="420"/>
      <c r="BF20" s="420"/>
      <c r="BG20" s="420"/>
      <c r="BH20" s="420"/>
      <c r="BI20" s="420"/>
      <c r="BJ20" s="420"/>
      <c r="BK20" s="420"/>
      <c r="BL20" s="420"/>
      <c r="BM20" s="420"/>
      <c r="BN20" s="420"/>
      <c r="BO20" s="420"/>
      <c r="BP20" s="420"/>
      <c r="BQ20" s="420"/>
      <c r="BR20" s="420"/>
      <c r="BS20" s="420"/>
      <c r="BT20" s="420"/>
      <c r="BU20" s="420"/>
      <c r="BV20" s="420"/>
      <c r="BW20" s="420"/>
      <c r="BX20" s="420"/>
      <c r="BY20" s="420"/>
      <c r="BZ20" s="420"/>
      <c r="CA20" s="420"/>
      <c r="CB20" s="420"/>
      <c r="CC20" s="420"/>
      <c r="CD20" s="420"/>
      <c r="CE20" s="420"/>
      <c r="CF20" s="420"/>
      <c r="CG20" s="420"/>
      <c r="CH20" s="420"/>
      <c r="CI20" s="420"/>
      <c r="CJ20" s="420"/>
      <c r="CK20" s="420"/>
      <c r="CL20" s="420"/>
      <c r="CM20" s="420"/>
      <c r="CN20" s="420"/>
      <c r="CO20" s="420"/>
      <c r="CP20" s="420"/>
      <c r="CQ20" s="420"/>
      <c r="CR20" s="420"/>
      <c r="CS20" s="420"/>
      <c r="CT20" s="420"/>
      <c r="CU20" s="420"/>
      <c r="CV20" s="420"/>
      <c r="CW20" s="420"/>
      <c r="CX20" s="420"/>
      <c r="CY20" s="420"/>
      <c r="CZ20" s="420"/>
      <c r="DA20" s="420"/>
      <c r="DB20" s="420"/>
      <c r="DC20" s="420"/>
      <c r="DD20" s="420"/>
      <c r="DE20" s="420"/>
      <c r="DF20" s="420"/>
      <c r="DG20" s="420"/>
      <c r="DH20" s="420"/>
      <c r="DI20" s="420"/>
      <c r="DJ20" s="420"/>
      <c r="DK20" s="420"/>
      <c r="DL20" s="420"/>
      <c r="DM20" s="420"/>
      <c r="DN20" s="420"/>
      <c r="DO20" s="420"/>
      <c r="DP20" s="420"/>
      <c r="DQ20" s="420"/>
      <c r="DR20" s="420"/>
      <c r="DS20" s="420"/>
      <c r="DT20" s="420"/>
      <c r="DU20" s="420"/>
      <c r="DV20" s="420"/>
      <c r="DW20" s="420"/>
      <c r="DX20" s="420"/>
      <c r="DY20" s="420"/>
      <c r="DZ20" s="420"/>
      <c r="EA20" s="420"/>
      <c r="EB20" s="420"/>
      <c r="EC20" s="420"/>
      <c r="ED20" s="420"/>
      <c r="EE20" s="420"/>
      <c r="EF20" s="420"/>
      <c r="EG20" s="420"/>
      <c r="EH20" s="420"/>
      <c r="EI20" s="420"/>
      <c r="EJ20" s="420"/>
      <c r="EK20" s="420"/>
      <c r="EL20" s="420"/>
      <c r="EM20" s="420"/>
      <c r="EN20" s="420"/>
      <c r="EO20" s="420"/>
      <c r="EP20" s="420"/>
      <c r="EQ20" s="420"/>
      <c r="ER20" s="420"/>
      <c r="ES20" s="420"/>
      <c r="ET20" s="420"/>
      <c r="EU20" s="420"/>
      <c r="EV20" s="420"/>
      <c r="EW20" s="420"/>
      <c r="EX20" s="420"/>
      <c r="EY20" s="420"/>
      <c r="EZ20" s="420"/>
      <c r="FA20" s="420"/>
      <c r="FB20" s="420"/>
      <c r="FC20" s="420"/>
      <c r="FD20" s="420"/>
      <c r="FE20" s="420"/>
      <c r="FF20" s="420"/>
      <c r="FG20" s="420"/>
      <c r="FH20" s="420"/>
      <c r="FI20" s="420"/>
      <c r="FJ20" s="420"/>
      <c r="FK20" s="420"/>
      <c r="FL20" s="420"/>
      <c r="FM20" s="420"/>
      <c r="FN20" s="420"/>
      <c r="FO20" s="420"/>
      <c r="FP20" s="420"/>
      <c r="FQ20" s="420"/>
      <c r="FR20" s="420"/>
      <c r="FS20" s="420"/>
      <c r="FT20" s="420"/>
      <c r="FU20" s="420"/>
      <c r="FV20" s="420"/>
      <c r="FW20" s="420"/>
      <c r="FX20" s="420"/>
      <c r="FY20" s="420"/>
      <c r="FZ20" s="420"/>
      <c r="GA20" s="420"/>
      <c r="GB20" s="420"/>
      <c r="GC20" s="420"/>
      <c r="GD20" s="420"/>
      <c r="GE20" s="420"/>
      <c r="GF20" s="420"/>
      <c r="GG20" s="420"/>
      <c r="GH20" s="420"/>
      <c r="GI20" s="420"/>
      <c r="GJ20" s="420"/>
      <c r="GK20" s="420"/>
      <c r="GL20" s="420"/>
      <c r="GM20" s="420"/>
      <c r="GN20" s="420"/>
      <c r="GO20" s="420"/>
      <c r="GP20" s="420"/>
      <c r="GQ20" s="420"/>
      <c r="GR20" s="420"/>
      <c r="GS20" s="420"/>
      <c r="GT20" s="420"/>
      <c r="GU20" s="420"/>
      <c r="GV20" s="420"/>
      <c r="GW20" s="420"/>
      <c r="GX20" s="420"/>
      <c r="GY20" s="420"/>
      <c r="GZ20" s="420"/>
      <c r="HA20" s="420"/>
      <c r="HB20" s="420"/>
      <c r="HC20" s="420"/>
      <c r="HD20" s="420"/>
      <c r="HE20" s="420"/>
      <c r="HF20" s="420"/>
      <c r="HG20" s="420"/>
      <c r="HH20" s="420"/>
      <c r="HI20" s="420"/>
      <c r="HJ20" s="420"/>
      <c r="HK20" s="420"/>
      <c r="HL20" s="420"/>
      <c r="HM20" s="420"/>
      <c r="HN20" s="420"/>
      <c r="HO20" s="420"/>
      <c r="HP20" s="420"/>
      <c r="HQ20" s="420"/>
      <c r="HR20" s="420"/>
      <c r="HS20" s="420"/>
      <c r="HT20" s="420"/>
      <c r="HU20" s="420"/>
      <c r="HV20" s="420"/>
      <c r="HW20" s="420"/>
      <c r="HX20" s="420"/>
      <c r="HY20" s="420"/>
      <c r="HZ20" s="420"/>
      <c r="IA20" s="420"/>
      <c r="IB20" s="420"/>
      <c r="IC20" s="420"/>
      <c r="ID20" s="420"/>
      <c r="IE20" s="420"/>
      <c r="IF20" s="420"/>
      <c r="IG20" s="420"/>
      <c r="IH20" s="420"/>
      <c r="II20" s="420"/>
      <c r="IJ20" s="420"/>
      <c r="IK20" s="420"/>
      <c r="IL20" s="420"/>
      <c r="IM20" s="420"/>
      <c r="IN20" s="420"/>
      <c r="IO20" s="420"/>
      <c r="IP20" s="420"/>
    </row>
    <row r="21" spans="1:250" s="417" customFormat="1" x14ac:dyDescent="0.25">
      <c r="A21" s="953" t="s">
        <v>47</v>
      </c>
      <c r="B21" s="953"/>
      <c r="C21" s="953"/>
      <c r="D21" s="953"/>
      <c r="E21" s="953"/>
      <c r="F21" s="424"/>
      <c r="G21" s="958"/>
      <c r="H21" s="959"/>
      <c r="I21" s="419"/>
      <c r="J21" s="419"/>
      <c r="K21" s="419"/>
      <c r="L21" s="419"/>
      <c r="M21" s="418"/>
      <c r="N21" s="418"/>
      <c r="O21" s="418"/>
      <c r="P21" s="418"/>
      <c r="Q21" s="418"/>
      <c r="R21" s="418"/>
      <c r="S21" s="418"/>
      <c r="T21" s="418"/>
      <c r="U21" s="418"/>
      <c r="V21" s="418"/>
      <c r="W21" s="418"/>
      <c r="X21" s="418"/>
      <c r="Y21" s="420"/>
      <c r="Z21" s="420"/>
      <c r="AA21" s="420"/>
      <c r="AB21" s="420"/>
      <c r="AC21" s="420"/>
      <c r="AD21" s="420"/>
      <c r="AE21" s="420"/>
      <c r="AF21" s="420"/>
      <c r="AG21" s="420"/>
      <c r="AH21" s="420"/>
      <c r="AI21" s="420"/>
      <c r="AJ21" s="420"/>
      <c r="AK21" s="420"/>
      <c r="AL21" s="420"/>
      <c r="AM21" s="420"/>
      <c r="AN21" s="420"/>
      <c r="AO21" s="420"/>
      <c r="AP21" s="420"/>
      <c r="AQ21" s="420"/>
      <c r="AR21" s="420"/>
      <c r="AS21" s="420"/>
      <c r="AT21" s="420"/>
      <c r="AU21" s="420"/>
      <c r="AV21" s="420"/>
      <c r="AW21" s="420"/>
      <c r="AX21" s="420"/>
      <c r="AY21" s="420"/>
      <c r="AZ21" s="420"/>
      <c r="BA21" s="420"/>
      <c r="BB21" s="420"/>
      <c r="BC21" s="420"/>
      <c r="BD21" s="420"/>
      <c r="BE21" s="420"/>
      <c r="BF21" s="420"/>
      <c r="BG21" s="420"/>
      <c r="BH21" s="420"/>
      <c r="BI21" s="420"/>
      <c r="BJ21" s="420"/>
      <c r="BK21" s="420"/>
      <c r="BL21" s="420"/>
      <c r="BM21" s="420"/>
      <c r="BN21" s="420"/>
      <c r="BO21" s="420"/>
      <c r="BP21" s="420"/>
      <c r="BQ21" s="420"/>
      <c r="BR21" s="420"/>
      <c r="BS21" s="420"/>
      <c r="BT21" s="420"/>
      <c r="BU21" s="420"/>
      <c r="BV21" s="420"/>
      <c r="BW21" s="420"/>
      <c r="BX21" s="420"/>
      <c r="BY21" s="420"/>
      <c r="BZ21" s="420"/>
      <c r="CA21" s="420"/>
      <c r="CB21" s="420"/>
      <c r="CC21" s="420"/>
      <c r="CD21" s="420"/>
      <c r="CE21" s="420"/>
      <c r="CF21" s="420"/>
      <c r="CG21" s="420"/>
      <c r="CH21" s="420"/>
      <c r="CI21" s="420"/>
      <c r="CJ21" s="420"/>
      <c r="CK21" s="420"/>
      <c r="CL21" s="420"/>
      <c r="CM21" s="420"/>
      <c r="CN21" s="420"/>
      <c r="CO21" s="420"/>
      <c r="CP21" s="420"/>
      <c r="CQ21" s="420"/>
      <c r="CR21" s="420"/>
      <c r="CS21" s="420"/>
      <c r="CT21" s="420"/>
      <c r="CU21" s="420"/>
      <c r="CV21" s="420"/>
      <c r="CW21" s="420"/>
      <c r="CX21" s="420"/>
      <c r="CY21" s="420"/>
      <c r="CZ21" s="420"/>
      <c r="DA21" s="420"/>
      <c r="DB21" s="420"/>
      <c r="DC21" s="420"/>
      <c r="DD21" s="420"/>
      <c r="DE21" s="420"/>
      <c r="DF21" s="420"/>
      <c r="DG21" s="420"/>
      <c r="DH21" s="420"/>
      <c r="DI21" s="420"/>
      <c r="DJ21" s="420"/>
      <c r="DK21" s="420"/>
      <c r="DL21" s="420"/>
      <c r="DM21" s="420"/>
      <c r="DN21" s="420"/>
      <c r="DO21" s="420"/>
      <c r="DP21" s="420"/>
      <c r="DQ21" s="420"/>
      <c r="DR21" s="420"/>
      <c r="DS21" s="420"/>
      <c r="DT21" s="420"/>
      <c r="DU21" s="420"/>
      <c r="DV21" s="420"/>
      <c r="DW21" s="420"/>
      <c r="DX21" s="420"/>
      <c r="DY21" s="420"/>
      <c r="DZ21" s="420"/>
      <c r="EA21" s="420"/>
      <c r="EB21" s="420"/>
      <c r="EC21" s="420"/>
      <c r="ED21" s="420"/>
      <c r="EE21" s="420"/>
      <c r="EF21" s="420"/>
      <c r="EG21" s="420"/>
      <c r="EH21" s="420"/>
      <c r="EI21" s="420"/>
      <c r="EJ21" s="420"/>
      <c r="EK21" s="420"/>
      <c r="EL21" s="420"/>
      <c r="EM21" s="420"/>
      <c r="EN21" s="420"/>
      <c r="EO21" s="420"/>
      <c r="EP21" s="420"/>
      <c r="EQ21" s="420"/>
      <c r="ER21" s="420"/>
      <c r="ES21" s="420"/>
      <c r="ET21" s="420"/>
      <c r="EU21" s="420"/>
      <c r="EV21" s="420"/>
      <c r="EW21" s="420"/>
      <c r="EX21" s="420"/>
      <c r="EY21" s="420"/>
      <c r="EZ21" s="420"/>
      <c r="FA21" s="420"/>
      <c r="FB21" s="420"/>
      <c r="FC21" s="420"/>
      <c r="FD21" s="420"/>
      <c r="FE21" s="420"/>
      <c r="FF21" s="420"/>
      <c r="FG21" s="420"/>
      <c r="FH21" s="420"/>
      <c r="FI21" s="420"/>
      <c r="FJ21" s="420"/>
      <c r="FK21" s="420"/>
      <c r="FL21" s="420"/>
      <c r="FM21" s="420"/>
      <c r="FN21" s="420"/>
      <c r="FO21" s="420"/>
      <c r="FP21" s="420"/>
      <c r="FQ21" s="420"/>
      <c r="FR21" s="420"/>
      <c r="FS21" s="420"/>
      <c r="FT21" s="420"/>
      <c r="FU21" s="420"/>
      <c r="FV21" s="420"/>
      <c r="FW21" s="420"/>
      <c r="FX21" s="420"/>
      <c r="FY21" s="420"/>
      <c r="FZ21" s="420"/>
      <c r="GA21" s="420"/>
      <c r="GB21" s="420"/>
      <c r="GC21" s="420"/>
      <c r="GD21" s="420"/>
      <c r="GE21" s="420"/>
      <c r="GF21" s="420"/>
      <c r="GG21" s="420"/>
      <c r="GH21" s="420"/>
      <c r="GI21" s="420"/>
      <c r="GJ21" s="420"/>
      <c r="GK21" s="420"/>
      <c r="GL21" s="420"/>
      <c r="GM21" s="420"/>
      <c r="GN21" s="420"/>
      <c r="GO21" s="420"/>
      <c r="GP21" s="420"/>
      <c r="GQ21" s="420"/>
      <c r="GR21" s="420"/>
      <c r="GS21" s="420"/>
      <c r="GT21" s="420"/>
      <c r="GU21" s="420"/>
      <c r="GV21" s="420"/>
      <c r="GW21" s="420"/>
      <c r="GX21" s="420"/>
      <c r="GY21" s="420"/>
      <c r="GZ21" s="420"/>
      <c r="HA21" s="420"/>
      <c r="HB21" s="420"/>
      <c r="HC21" s="420"/>
      <c r="HD21" s="420"/>
      <c r="HE21" s="420"/>
      <c r="HF21" s="420"/>
      <c r="HG21" s="420"/>
      <c r="HH21" s="420"/>
      <c r="HI21" s="420"/>
      <c r="HJ21" s="420"/>
      <c r="HK21" s="420"/>
      <c r="HL21" s="420"/>
      <c r="HM21" s="420"/>
      <c r="HN21" s="420"/>
      <c r="HO21" s="420"/>
      <c r="HP21" s="420"/>
      <c r="HQ21" s="420"/>
      <c r="HR21" s="420"/>
      <c r="HS21" s="420"/>
      <c r="HT21" s="420"/>
      <c r="HU21" s="420"/>
      <c r="HV21" s="420"/>
      <c r="HW21" s="420"/>
      <c r="HX21" s="420"/>
      <c r="HY21" s="420"/>
      <c r="HZ21" s="420"/>
      <c r="IA21" s="420"/>
      <c r="IB21" s="420"/>
      <c r="IC21" s="420"/>
      <c r="ID21" s="420"/>
      <c r="IE21" s="420"/>
      <c r="IF21" s="420"/>
      <c r="IG21" s="420"/>
      <c r="IH21" s="420"/>
      <c r="II21" s="420"/>
      <c r="IJ21" s="420"/>
      <c r="IK21" s="420"/>
      <c r="IL21" s="420"/>
      <c r="IM21" s="420"/>
      <c r="IN21" s="420"/>
      <c r="IO21" s="420"/>
      <c r="IP21" s="420"/>
    </row>
    <row r="22" spans="1:250" s="417" customFormat="1" ht="30" customHeight="1" x14ac:dyDescent="0.25">
      <c r="A22" s="952" t="s">
        <v>639</v>
      </c>
      <c r="B22" s="952"/>
      <c r="C22" s="952"/>
      <c r="D22" s="952"/>
      <c r="E22" s="952"/>
      <c r="F22" s="425"/>
      <c r="G22" s="960"/>
      <c r="H22" s="961"/>
      <c r="I22" s="419"/>
      <c r="J22" s="419"/>
      <c r="K22" s="419"/>
      <c r="L22" s="419"/>
      <c r="M22" s="418"/>
      <c r="N22" s="418"/>
      <c r="O22" s="418"/>
      <c r="P22" s="418"/>
      <c r="Q22" s="418"/>
      <c r="R22" s="418"/>
      <c r="S22" s="418"/>
      <c r="T22" s="418"/>
      <c r="U22" s="418"/>
      <c r="V22" s="418"/>
      <c r="W22" s="418"/>
      <c r="X22" s="426" t="e">
        <v>#REF!</v>
      </c>
      <c r="Y22" s="420"/>
      <c r="Z22" s="420"/>
      <c r="AA22" s="420"/>
      <c r="AB22" s="420"/>
      <c r="AC22" s="420"/>
      <c r="AD22" s="420"/>
      <c r="AE22" s="420"/>
      <c r="AF22" s="420"/>
      <c r="AG22" s="420"/>
      <c r="AH22" s="420"/>
      <c r="AI22" s="420"/>
      <c r="AJ22" s="420"/>
      <c r="AK22" s="420"/>
      <c r="AL22" s="420"/>
      <c r="AM22" s="420"/>
      <c r="AN22" s="420"/>
      <c r="AO22" s="420"/>
      <c r="AP22" s="420"/>
      <c r="AQ22" s="420"/>
      <c r="AR22" s="420"/>
      <c r="AS22" s="420"/>
      <c r="AT22" s="420"/>
      <c r="AU22" s="420"/>
      <c r="AV22" s="420"/>
      <c r="AW22" s="420"/>
      <c r="AX22" s="420"/>
      <c r="AY22" s="420"/>
      <c r="AZ22" s="420"/>
      <c r="BA22" s="420"/>
      <c r="BB22" s="420"/>
      <c r="BC22" s="420"/>
      <c r="BD22" s="420"/>
      <c r="BE22" s="420"/>
      <c r="BF22" s="420"/>
      <c r="BG22" s="420"/>
      <c r="BH22" s="420"/>
      <c r="BI22" s="420"/>
      <c r="BJ22" s="420"/>
      <c r="BK22" s="420"/>
      <c r="BL22" s="420"/>
      <c r="BM22" s="420"/>
      <c r="BN22" s="420"/>
      <c r="BO22" s="420"/>
      <c r="BP22" s="420"/>
      <c r="BQ22" s="420"/>
      <c r="BR22" s="420"/>
      <c r="BS22" s="420"/>
      <c r="BT22" s="420"/>
      <c r="BU22" s="420"/>
      <c r="BV22" s="420"/>
      <c r="BW22" s="420"/>
      <c r="BX22" s="420"/>
      <c r="BY22" s="420"/>
      <c r="BZ22" s="420"/>
      <c r="CA22" s="420"/>
      <c r="CB22" s="420"/>
      <c r="CC22" s="420"/>
      <c r="CD22" s="420"/>
      <c r="CE22" s="420"/>
      <c r="CF22" s="420"/>
      <c r="CG22" s="420"/>
      <c r="CH22" s="420"/>
      <c r="CI22" s="420"/>
      <c r="CJ22" s="420"/>
      <c r="CK22" s="420"/>
      <c r="CL22" s="420"/>
      <c r="CM22" s="420"/>
      <c r="CN22" s="420"/>
      <c r="CO22" s="420"/>
      <c r="CP22" s="420"/>
      <c r="CQ22" s="420"/>
      <c r="CR22" s="420"/>
      <c r="CS22" s="420"/>
      <c r="CT22" s="420"/>
      <c r="CU22" s="420"/>
      <c r="CV22" s="420"/>
      <c r="CW22" s="420"/>
      <c r="CX22" s="420"/>
      <c r="CY22" s="420"/>
      <c r="CZ22" s="420"/>
      <c r="DA22" s="420"/>
      <c r="DB22" s="420"/>
      <c r="DC22" s="420"/>
      <c r="DD22" s="420"/>
      <c r="DE22" s="420"/>
      <c r="DF22" s="420"/>
      <c r="DG22" s="420"/>
      <c r="DH22" s="420"/>
      <c r="DI22" s="420"/>
      <c r="DJ22" s="420"/>
      <c r="DK22" s="420"/>
      <c r="DL22" s="420"/>
      <c r="DM22" s="420"/>
      <c r="DN22" s="420"/>
      <c r="DO22" s="420"/>
      <c r="DP22" s="420"/>
      <c r="DQ22" s="420"/>
      <c r="DR22" s="420"/>
      <c r="DS22" s="420"/>
      <c r="DT22" s="420"/>
      <c r="DU22" s="420"/>
      <c r="DV22" s="420"/>
      <c r="DW22" s="420"/>
      <c r="DX22" s="420"/>
      <c r="DY22" s="420"/>
      <c r="DZ22" s="420"/>
      <c r="EA22" s="420"/>
      <c r="EB22" s="420"/>
      <c r="EC22" s="420"/>
      <c r="ED22" s="420"/>
      <c r="EE22" s="420"/>
      <c r="EF22" s="420"/>
      <c r="EG22" s="420"/>
      <c r="EH22" s="420"/>
      <c r="EI22" s="420"/>
      <c r="EJ22" s="420"/>
      <c r="EK22" s="420"/>
      <c r="EL22" s="420"/>
      <c r="EM22" s="420"/>
      <c r="EN22" s="420"/>
      <c r="EO22" s="420"/>
      <c r="EP22" s="420"/>
      <c r="EQ22" s="420"/>
      <c r="ER22" s="420"/>
      <c r="ES22" s="420"/>
      <c r="ET22" s="420"/>
      <c r="EU22" s="420"/>
      <c r="EV22" s="420"/>
      <c r="EW22" s="420"/>
      <c r="EX22" s="420"/>
      <c r="EY22" s="420"/>
      <c r="EZ22" s="420"/>
      <c r="FA22" s="420"/>
      <c r="FB22" s="420"/>
      <c r="FC22" s="420"/>
      <c r="FD22" s="420"/>
      <c r="FE22" s="420"/>
      <c r="FF22" s="420"/>
      <c r="FG22" s="420"/>
      <c r="FH22" s="420"/>
      <c r="FI22" s="420"/>
      <c r="FJ22" s="420"/>
      <c r="FK22" s="420"/>
      <c r="FL22" s="420"/>
      <c r="FM22" s="420"/>
      <c r="FN22" s="420"/>
      <c r="FO22" s="420"/>
      <c r="FP22" s="420"/>
      <c r="FQ22" s="420"/>
      <c r="FR22" s="420"/>
      <c r="FS22" s="420"/>
      <c r="FT22" s="420"/>
      <c r="FU22" s="420"/>
      <c r="FV22" s="420"/>
      <c r="FW22" s="420"/>
      <c r="FX22" s="420"/>
      <c r="FY22" s="420"/>
      <c r="FZ22" s="420"/>
      <c r="GA22" s="420"/>
      <c r="GB22" s="420"/>
      <c r="GC22" s="420"/>
      <c r="GD22" s="420"/>
      <c r="GE22" s="420"/>
      <c r="GF22" s="420"/>
      <c r="GG22" s="420"/>
      <c r="GH22" s="420"/>
      <c r="GI22" s="420"/>
      <c r="GJ22" s="420"/>
      <c r="GK22" s="420"/>
      <c r="GL22" s="420"/>
      <c r="GM22" s="420"/>
      <c r="GN22" s="420"/>
      <c r="GO22" s="420"/>
      <c r="GP22" s="420"/>
      <c r="GQ22" s="420"/>
      <c r="GR22" s="420"/>
      <c r="GS22" s="420"/>
      <c r="GT22" s="420"/>
      <c r="GU22" s="420"/>
      <c r="GV22" s="420"/>
      <c r="GW22" s="420"/>
      <c r="GX22" s="420"/>
      <c r="GY22" s="420"/>
      <c r="GZ22" s="420"/>
      <c r="HA22" s="420"/>
      <c r="HB22" s="420"/>
      <c r="HC22" s="420"/>
      <c r="HD22" s="420"/>
      <c r="HE22" s="420"/>
      <c r="HF22" s="420"/>
      <c r="HG22" s="420"/>
      <c r="HH22" s="420"/>
      <c r="HI22" s="420"/>
      <c r="HJ22" s="420"/>
      <c r="HK22" s="420"/>
      <c r="HL22" s="420"/>
      <c r="HM22" s="420"/>
      <c r="HN22" s="420"/>
      <c r="HO22" s="420"/>
      <c r="HP22" s="420"/>
      <c r="HQ22" s="420"/>
      <c r="HR22" s="420"/>
      <c r="HS22" s="420"/>
      <c r="HT22" s="420"/>
      <c r="HU22" s="420"/>
      <c r="HV22" s="420"/>
      <c r="HW22" s="420"/>
      <c r="HX22" s="420"/>
      <c r="HY22" s="420"/>
      <c r="HZ22" s="420"/>
      <c r="IA22" s="420"/>
      <c r="IB22" s="420"/>
      <c r="IC22" s="420"/>
      <c r="ID22" s="420"/>
      <c r="IE22" s="420"/>
      <c r="IF22" s="420"/>
      <c r="IG22" s="420"/>
      <c r="IH22" s="420"/>
      <c r="II22" s="420"/>
      <c r="IJ22" s="420"/>
      <c r="IK22" s="420"/>
      <c r="IL22" s="420"/>
      <c r="IM22" s="420"/>
      <c r="IN22" s="420"/>
      <c r="IO22" s="420"/>
      <c r="IP22" s="420"/>
    </row>
    <row r="23" spans="1:250" s="417" customFormat="1" ht="15.75" customHeight="1" x14ac:dyDescent="0.25">
      <c r="A23" s="962" t="s">
        <v>49</v>
      </c>
      <c r="B23" s="962"/>
      <c r="C23" s="962"/>
      <c r="D23" s="962"/>
      <c r="E23" s="962"/>
      <c r="F23" s="416"/>
      <c r="G23" s="416"/>
      <c r="H23" s="416"/>
      <c r="I23" s="427"/>
      <c r="J23" s="427"/>
      <c r="K23" s="427"/>
      <c r="L23" s="427"/>
      <c r="M23" s="420"/>
      <c r="N23" s="420"/>
      <c r="O23" s="420"/>
      <c r="P23" s="420"/>
      <c r="Q23" s="420"/>
      <c r="R23" s="420"/>
      <c r="S23" s="420"/>
      <c r="T23" s="420"/>
      <c r="U23" s="420"/>
      <c r="V23" s="420"/>
      <c r="W23" s="420"/>
      <c r="X23" s="420"/>
      <c r="Y23" s="420"/>
      <c r="Z23" s="420"/>
      <c r="AA23" s="420"/>
      <c r="AB23" s="420"/>
      <c r="AC23" s="428"/>
      <c r="AD23" s="428"/>
      <c r="AE23" s="428"/>
      <c r="AF23" s="428"/>
      <c r="AG23" s="428"/>
      <c r="AH23" s="428"/>
      <c r="AI23" s="428"/>
      <c r="AJ23" s="428"/>
      <c r="AK23" s="428"/>
      <c r="AL23" s="428"/>
      <c r="AM23" s="428"/>
      <c r="AN23" s="428"/>
      <c r="AO23" s="428"/>
      <c r="AP23" s="428"/>
      <c r="AQ23" s="428"/>
      <c r="AR23" s="428"/>
      <c r="AS23" s="428"/>
      <c r="AT23" s="428"/>
      <c r="AU23" s="428"/>
      <c r="AV23" s="428"/>
      <c r="AW23" s="428"/>
      <c r="AX23" s="428"/>
      <c r="AY23" s="428"/>
      <c r="AZ23" s="428"/>
      <c r="BA23" s="428"/>
      <c r="BB23" s="428"/>
      <c r="BC23" s="428"/>
      <c r="BD23" s="428"/>
      <c r="BE23" s="428"/>
      <c r="BF23" s="428"/>
      <c r="BG23" s="428"/>
      <c r="BH23" s="428"/>
      <c r="BI23" s="428"/>
      <c r="BJ23" s="428"/>
      <c r="BK23" s="428"/>
      <c r="BL23" s="428"/>
      <c r="BM23" s="428"/>
      <c r="BN23" s="428"/>
      <c r="BO23" s="428"/>
      <c r="BP23" s="428"/>
      <c r="BQ23" s="428"/>
      <c r="BR23" s="428"/>
      <c r="BS23" s="428"/>
      <c r="BT23" s="428"/>
      <c r="BU23" s="428"/>
      <c r="BV23" s="428"/>
      <c r="BW23" s="428"/>
      <c r="BX23" s="428"/>
      <c r="BY23" s="428"/>
      <c r="BZ23" s="428"/>
      <c r="CA23" s="428"/>
      <c r="CB23" s="428"/>
      <c r="CC23" s="428"/>
      <c r="CD23" s="428"/>
      <c r="CE23" s="428"/>
      <c r="CF23" s="428"/>
      <c r="CG23" s="428"/>
      <c r="CH23" s="428"/>
      <c r="CI23" s="428"/>
      <c r="CJ23" s="428"/>
      <c r="CK23" s="428"/>
      <c r="CL23" s="428"/>
      <c r="CM23" s="428"/>
      <c r="CN23" s="428"/>
      <c r="CO23" s="428"/>
      <c r="CP23" s="428"/>
      <c r="CQ23" s="428"/>
      <c r="CR23" s="428"/>
      <c r="CS23" s="428"/>
      <c r="CT23" s="428"/>
      <c r="CU23" s="428"/>
      <c r="CV23" s="428"/>
      <c r="CW23" s="428"/>
      <c r="CX23" s="428"/>
      <c r="CY23" s="428"/>
      <c r="CZ23" s="428"/>
      <c r="DA23" s="428"/>
      <c r="DB23" s="428"/>
      <c r="DC23" s="428"/>
      <c r="DD23" s="428"/>
      <c r="DE23" s="428"/>
      <c r="DF23" s="428"/>
      <c r="DG23" s="428"/>
      <c r="DH23" s="428"/>
      <c r="DI23" s="428"/>
      <c r="DJ23" s="428"/>
      <c r="DK23" s="428"/>
      <c r="DL23" s="428"/>
      <c r="DM23" s="428"/>
      <c r="DN23" s="428"/>
      <c r="DO23" s="428"/>
      <c r="DP23" s="428"/>
      <c r="DQ23" s="428"/>
      <c r="DR23" s="428"/>
      <c r="DS23" s="428"/>
      <c r="DT23" s="428"/>
      <c r="DU23" s="428"/>
      <c r="DV23" s="428"/>
      <c r="DW23" s="428"/>
      <c r="DX23" s="428"/>
      <c r="DY23" s="428"/>
      <c r="DZ23" s="428"/>
      <c r="EA23" s="428"/>
      <c r="EB23" s="428"/>
      <c r="EC23" s="428"/>
      <c r="ED23" s="428"/>
      <c r="EE23" s="428"/>
      <c r="EF23" s="428"/>
      <c r="EG23" s="428"/>
      <c r="EH23" s="428"/>
      <c r="EI23" s="428"/>
      <c r="EJ23" s="428"/>
      <c r="EK23" s="428"/>
      <c r="EL23" s="428"/>
      <c r="EM23" s="428"/>
      <c r="EN23" s="428"/>
      <c r="EO23" s="428"/>
      <c r="EP23" s="428"/>
      <c r="EQ23" s="428"/>
      <c r="ER23" s="428"/>
      <c r="ES23" s="428"/>
      <c r="ET23" s="428"/>
      <c r="EU23" s="428"/>
      <c r="EV23" s="428"/>
      <c r="EW23" s="428"/>
      <c r="EX23" s="428"/>
      <c r="EY23" s="428"/>
      <c r="EZ23" s="428"/>
      <c r="FA23" s="428"/>
      <c r="FB23" s="428"/>
      <c r="FC23" s="428"/>
      <c r="FD23" s="428"/>
      <c r="FE23" s="428"/>
      <c r="FF23" s="428"/>
      <c r="FG23" s="428"/>
      <c r="FH23" s="428"/>
      <c r="FI23" s="428"/>
      <c r="FJ23" s="428"/>
      <c r="FK23" s="428"/>
      <c r="FL23" s="428"/>
      <c r="FM23" s="428"/>
      <c r="FN23" s="428"/>
      <c r="FO23" s="428"/>
      <c r="FP23" s="428"/>
      <c r="FQ23" s="428"/>
      <c r="FR23" s="428"/>
      <c r="FS23" s="428"/>
      <c r="FT23" s="428"/>
      <c r="FU23" s="428"/>
      <c r="FV23" s="428"/>
      <c r="FW23" s="428"/>
      <c r="FX23" s="428"/>
      <c r="FY23" s="428"/>
      <c r="FZ23" s="428"/>
      <c r="GA23" s="428"/>
      <c r="GB23" s="428"/>
      <c r="GC23" s="428"/>
      <c r="GD23" s="428"/>
      <c r="GE23" s="428"/>
      <c r="GF23" s="428"/>
      <c r="GG23" s="428"/>
      <c r="GH23" s="428"/>
      <c r="GI23" s="428"/>
      <c r="GJ23" s="428"/>
      <c r="GK23" s="428"/>
      <c r="GL23" s="428"/>
      <c r="GM23" s="428"/>
      <c r="GN23" s="428"/>
      <c r="GO23" s="428"/>
      <c r="GP23" s="428"/>
      <c r="GQ23" s="428"/>
      <c r="GR23" s="428"/>
      <c r="GS23" s="428"/>
      <c r="GT23" s="428"/>
      <c r="GU23" s="428"/>
      <c r="GV23" s="428"/>
      <c r="GW23" s="428"/>
      <c r="GX23" s="428"/>
      <c r="GY23" s="428"/>
      <c r="GZ23" s="428"/>
      <c r="HA23" s="428"/>
      <c r="HB23" s="428"/>
      <c r="HC23" s="428"/>
      <c r="HD23" s="428"/>
      <c r="HE23" s="428"/>
      <c r="HF23" s="428"/>
      <c r="HG23" s="428"/>
      <c r="HH23" s="428"/>
      <c r="HI23" s="428"/>
      <c r="HJ23" s="428"/>
      <c r="HK23" s="428"/>
      <c r="HL23" s="428"/>
      <c r="HM23" s="428"/>
      <c r="HN23" s="428"/>
      <c r="HO23" s="428"/>
      <c r="HP23" s="428"/>
      <c r="HQ23" s="428"/>
      <c r="HR23" s="428"/>
      <c r="HS23" s="428"/>
      <c r="HT23" s="428"/>
      <c r="HU23" s="428"/>
      <c r="HV23" s="428"/>
      <c r="HW23" s="428"/>
      <c r="HX23" s="428"/>
      <c r="HY23" s="428"/>
      <c r="HZ23" s="428"/>
      <c r="IA23" s="428"/>
      <c r="IB23" s="428"/>
      <c r="IC23" s="428"/>
      <c r="ID23" s="428"/>
      <c r="IE23" s="428"/>
      <c r="IF23" s="428"/>
      <c r="IG23" s="428"/>
      <c r="IH23" s="428"/>
      <c r="II23" s="428"/>
      <c r="IJ23" s="428"/>
      <c r="IK23" s="428"/>
      <c r="IL23" s="428"/>
      <c r="IM23" s="428"/>
      <c r="IN23" s="428"/>
      <c r="IO23" s="428"/>
      <c r="IP23" s="428"/>
    </row>
    <row r="24" spans="1:250" s="417" customFormat="1" x14ac:dyDescent="0.25">
      <c r="A24" s="414"/>
      <c r="B24" s="414"/>
      <c r="C24" s="414"/>
      <c r="E24" s="421"/>
      <c r="F24" s="421" t="s">
        <v>50</v>
      </c>
      <c r="G24" s="963"/>
      <c r="H24" s="963"/>
      <c r="I24" s="427"/>
      <c r="J24" s="427"/>
      <c r="K24" s="427"/>
      <c r="L24" s="427"/>
      <c r="M24" s="420"/>
      <c r="N24" s="420"/>
      <c r="O24" s="420"/>
      <c r="P24" s="420"/>
      <c r="Q24" s="420"/>
      <c r="R24" s="420"/>
      <c r="S24" s="420"/>
      <c r="T24" s="420"/>
      <c r="U24" s="420"/>
      <c r="V24" s="420"/>
      <c r="W24" s="420"/>
      <c r="X24" s="420"/>
      <c r="Y24" s="420"/>
      <c r="Z24" s="420"/>
      <c r="AA24" s="420"/>
      <c r="AB24" s="420"/>
      <c r="AC24" s="428"/>
      <c r="AD24" s="428"/>
      <c r="AE24" s="428"/>
      <c r="AF24" s="428"/>
      <c r="AG24" s="428"/>
      <c r="AH24" s="428"/>
      <c r="AI24" s="428"/>
      <c r="AJ24" s="428"/>
      <c r="AK24" s="428"/>
      <c r="AL24" s="428"/>
      <c r="AM24" s="428"/>
      <c r="AN24" s="428"/>
      <c r="AO24" s="428"/>
      <c r="AP24" s="428"/>
      <c r="AQ24" s="428"/>
      <c r="AR24" s="428"/>
      <c r="AS24" s="428"/>
      <c r="AT24" s="428"/>
      <c r="AU24" s="428"/>
      <c r="AV24" s="428"/>
      <c r="AW24" s="428"/>
      <c r="AX24" s="428"/>
      <c r="AY24" s="428"/>
      <c r="AZ24" s="428"/>
      <c r="BA24" s="428"/>
      <c r="BB24" s="428"/>
      <c r="BC24" s="428"/>
      <c r="BD24" s="428"/>
      <c r="BE24" s="428"/>
      <c r="BF24" s="428"/>
      <c r="BG24" s="428"/>
      <c r="BH24" s="428"/>
      <c r="BI24" s="428"/>
      <c r="BJ24" s="428"/>
      <c r="BK24" s="428"/>
      <c r="BL24" s="428"/>
      <c r="BM24" s="428"/>
      <c r="BN24" s="428"/>
      <c r="BO24" s="428"/>
      <c r="BP24" s="428"/>
      <c r="BQ24" s="428"/>
      <c r="BR24" s="428"/>
      <c r="BS24" s="428"/>
      <c r="BT24" s="428"/>
      <c r="BU24" s="428"/>
      <c r="BV24" s="428"/>
      <c r="BW24" s="428"/>
      <c r="BX24" s="428"/>
      <c r="BY24" s="428"/>
      <c r="BZ24" s="428"/>
      <c r="CA24" s="428"/>
      <c r="CB24" s="428"/>
      <c r="CC24" s="428"/>
      <c r="CD24" s="428"/>
      <c r="CE24" s="428"/>
      <c r="CF24" s="428"/>
      <c r="CG24" s="428"/>
      <c r="CH24" s="428"/>
      <c r="CI24" s="428"/>
      <c r="CJ24" s="428"/>
      <c r="CK24" s="428"/>
      <c r="CL24" s="428"/>
      <c r="CM24" s="428"/>
      <c r="CN24" s="428"/>
      <c r="CO24" s="428"/>
      <c r="CP24" s="428"/>
      <c r="CQ24" s="428"/>
      <c r="CR24" s="428"/>
      <c r="CS24" s="428"/>
      <c r="CT24" s="428"/>
      <c r="CU24" s="428"/>
      <c r="CV24" s="428"/>
      <c r="CW24" s="428"/>
      <c r="CX24" s="428"/>
      <c r="CY24" s="428"/>
      <c r="CZ24" s="428"/>
      <c r="DA24" s="428"/>
      <c r="DB24" s="428"/>
      <c r="DC24" s="428"/>
      <c r="DD24" s="428"/>
      <c r="DE24" s="428"/>
      <c r="DF24" s="428"/>
      <c r="DG24" s="428"/>
      <c r="DH24" s="428"/>
      <c r="DI24" s="428"/>
      <c r="DJ24" s="428"/>
      <c r="DK24" s="428"/>
      <c r="DL24" s="428"/>
      <c r="DM24" s="428"/>
      <c r="DN24" s="428"/>
      <c r="DO24" s="428"/>
      <c r="DP24" s="428"/>
      <c r="DQ24" s="428"/>
      <c r="DR24" s="428"/>
      <c r="DS24" s="428"/>
      <c r="DT24" s="428"/>
      <c r="DU24" s="428"/>
      <c r="DV24" s="428"/>
      <c r="DW24" s="428"/>
      <c r="DX24" s="428"/>
      <c r="DY24" s="428"/>
      <c r="DZ24" s="428"/>
      <c r="EA24" s="428"/>
      <c r="EB24" s="428"/>
      <c r="EC24" s="428"/>
      <c r="ED24" s="428"/>
      <c r="EE24" s="428"/>
      <c r="EF24" s="428"/>
      <c r="EG24" s="428"/>
      <c r="EH24" s="428"/>
      <c r="EI24" s="428"/>
      <c r="EJ24" s="428"/>
      <c r="EK24" s="428"/>
      <c r="EL24" s="428"/>
      <c r="EM24" s="428"/>
      <c r="EN24" s="428"/>
      <c r="EO24" s="428"/>
      <c r="EP24" s="428"/>
      <c r="EQ24" s="428"/>
      <c r="ER24" s="428"/>
      <c r="ES24" s="428"/>
      <c r="ET24" s="428"/>
      <c r="EU24" s="428"/>
      <c r="EV24" s="428"/>
      <c r="EW24" s="428"/>
      <c r="EX24" s="428"/>
      <c r="EY24" s="428"/>
      <c r="EZ24" s="428"/>
      <c r="FA24" s="428"/>
      <c r="FB24" s="428"/>
      <c r="FC24" s="428"/>
      <c r="FD24" s="428"/>
      <c r="FE24" s="428"/>
      <c r="FF24" s="428"/>
      <c r="FG24" s="428"/>
      <c r="FH24" s="428"/>
      <c r="FI24" s="428"/>
      <c r="FJ24" s="428"/>
      <c r="FK24" s="428"/>
      <c r="FL24" s="428"/>
      <c r="FM24" s="428"/>
      <c r="FN24" s="428"/>
      <c r="FO24" s="428"/>
      <c r="FP24" s="428"/>
      <c r="FQ24" s="428"/>
      <c r="FR24" s="428"/>
      <c r="FS24" s="428"/>
      <c r="FT24" s="428"/>
      <c r="FU24" s="428"/>
      <c r="FV24" s="428"/>
      <c r="FW24" s="428"/>
      <c r="FX24" s="428"/>
      <c r="FY24" s="428"/>
      <c r="FZ24" s="428"/>
      <c r="GA24" s="428"/>
      <c r="GB24" s="428"/>
      <c r="GC24" s="428"/>
      <c r="GD24" s="428"/>
      <c r="GE24" s="428"/>
      <c r="GF24" s="428"/>
      <c r="GG24" s="428"/>
      <c r="GH24" s="428"/>
      <c r="GI24" s="428"/>
      <c r="GJ24" s="428"/>
      <c r="GK24" s="428"/>
      <c r="GL24" s="428"/>
      <c r="GM24" s="428"/>
      <c r="GN24" s="428"/>
      <c r="GO24" s="428"/>
      <c r="GP24" s="428"/>
      <c r="GQ24" s="428"/>
      <c r="GR24" s="428"/>
      <c r="GS24" s="428"/>
      <c r="GT24" s="428"/>
      <c r="GU24" s="428"/>
      <c r="GV24" s="428"/>
      <c r="GW24" s="428"/>
      <c r="GX24" s="428"/>
      <c r="GY24" s="428"/>
      <c r="GZ24" s="428"/>
      <c r="HA24" s="428"/>
      <c r="HB24" s="428"/>
      <c r="HC24" s="428"/>
      <c r="HD24" s="428"/>
      <c r="HE24" s="428"/>
      <c r="HF24" s="428"/>
      <c r="HG24" s="428"/>
      <c r="HH24" s="428"/>
      <c r="HI24" s="428"/>
      <c r="HJ24" s="428"/>
      <c r="HK24" s="428"/>
      <c r="HL24" s="428"/>
      <c r="HM24" s="428"/>
      <c r="HN24" s="428"/>
      <c r="HO24" s="428"/>
      <c r="HP24" s="428"/>
      <c r="HQ24" s="428"/>
      <c r="HR24" s="428"/>
      <c r="HS24" s="428"/>
      <c r="HT24" s="428"/>
      <c r="HU24" s="428"/>
      <c r="HV24" s="428"/>
      <c r="HW24" s="428"/>
      <c r="HX24" s="428"/>
      <c r="HY24" s="428"/>
      <c r="HZ24" s="428"/>
      <c r="IA24" s="428"/>
      <c r="IB24" s="428"/>
      <c r="IC24" s="428"/>
      <c r="ID24" s="428"/>
      <c r="IE24" s="428"/>
      <c r="IF24" s="428"/>
      <c r="IG24" s="428"/>
      <c r="IH24" s="428"/>
      <c r="II24" s="428"/>
      <c r="IJ24" s="428"/>
      <c r="IK24" s="428"/>
      <c r="IL24" s="428"/>
      <c r="IM24" s="428"/>
      <c r="IN24" s="428"/>
      <c r="IO24" s="428"/>
      <c r="IP24" s="428"/>
    </row>
    <row r="25" spans="1:250" s="417" customFormat="1" x14ac:dyDescent="0.25">
      <c r="A25" s="414"/>
      <c r="B25" s="414"/>
      <c r="C25" s="414"/>
      <c r="E25" s="421" t="s">
        <v>51</v>
      </c>
      <c r="F25" s="429" t="s">
        <v>52</v>
      </c>
      <c r="G25" s="963" t="s">
        <v>595</v>
      </c>
      <c r="H25" s="963"/>
      <c r="I25" s="430"/>
      <c r="J25" s="430"/>
      <c r="K25" s="430"/>
      <c r="L25" s="430"/>
      <c r="M25" s="428"/>
      <c r="N25" s="428"/>
      <c r="O25" s="428"/>
      <c r="P25" s="428"/>
      <c r="Q25" s="428"/>
      <c r="R25" s="428"/>
      <c r="S25" s="428"/>
      <c r="T25" s="428"/>
      <c r="U25" s="428"/>
      <c r="V25" s="428"/>
      <c r="W25" s="428"/>
      <c r="X25" s="428"/>
      <c r="Y25" s="428"/>
      <c r="Z25" s="428"/>
      <c r="AA25" s="428"/>
      <c r="AB25" s="428"/>
      <c r="AC25" s="420"/>
      <c r="AD25" s="420"/>
      <c r="AE25" s="420"/>
      <c r="AF25" s="420"/>
      <c r="AG25" s="420"/>
      <c r="AH25" s="420"/>
      <c r="AI25" s="420"/>
      <c r="AJ25" s="420"/>
      <c r="AK25" s="420"/>
      <c r="AL25" s="420"/>
      <c r="AM25" s="420"/>
      <c r="AN25" s="420"/>
      <c r="AO25" s="420"/>
      <c r="AP25" s="420"/>
      <c r="AQ25" s="420"/>
      <c r="AR25" s="420"/>
      <c r="AS25" s="420"/>
      <c r="AT25" s="420"/>
      <c r="AU25" s="420"/>
      <c r="AV25" s="420"/>
      <c r="AW25" s="420"/>
      <c r="AX25" s="420"/>
      <c r="AY25" s="420"/>
      <c r="AZ25" s="420"/>
      <c r="BA25" s="420"/>
      <c r="BB25" s="420"/>
      <c r="BC25" s="420"/>
      <c r="BD25" s="420"/>
      <c r="BE25" s="420"/>
      <c r="BF25" s="420"/>
      <c r="BG25" s="420"/>
      <c r="BH25" s="420"/>
      <c r="BI25" s="420"/>
      <c r="BJ25" s="420"/>
      <c r="BK25" s="420"/>
      <c r="BL25" s="420"/>
      <c r="BM25" s="420"/>
      <c r="BN25" s="420"/>
      <c r="BO25" s="420"/>
      <c r="BP25" s="420"/>
      <c r="BQ25" s="420"/>
      <c r="BR25" s="420"/>
      <c r="BS25" s="420"/>
      <c r="BT25" s="420"/>
      <c r="BU25" s="420"/>
      <c r="BV25" s="420"/>
      <c r="BW25" s="420"/>
      <c r="BX25" s="420"/>
      <c r="BY25" s="420"/>
      <c r="BZ25" s="420"/>
      <c r="CA25" s="420"/>
      <c r="CB25" s="420"/>
      <c r="CC25" s="420"/>
      <c r="CD25" s="420"/>
      <c r="CE25" s="420"/>
      <c r="CF25" s="420"/>
      <c r="CG25" s="420"/>
      <c r="CH25" s="420"/>
      <c r="CI25" s="420"/>
      <c r="CJ25" s="420"/>
      <c r="CK25" s="420"/>
      <c r="CL25" s="420"/>
      <c r="CM25" s="420"/>
      <c r="CN25" s="420"/>
      <c r="CO25" s="420"/>
      <c r="CP25" s="420"/>
      <c r="CQ25" s="420"/>
      <c r="CR25" s="420"/>
      <c r="CS25" s="420"/>
      <c r="CT25" s="420"/>
      <c r="CU25" s="420"/>
      <c r="CV25" s="420"/>
      <c r="CW25" s="420"/>
      <c r="CX25" s="420"/>
      <c r="CY25" s="420"/>
      <c r="CZ25" s="420"/>
      <c r="DA25" s="420"/>
      <c r="DB25" s="420"/>
      <c r="DC25" s="420"/>
      <c r="DD25" s="420"/>
      <c r="DE25" s="420"/>
      <c r="DF25" s="420"/>
      <c r="DG25" s="420"/>
      <c r="DH25" s="420"/>
      <c r="DI25" s="420"/>
      <c r="DJ25" s="420"/>
      <c r="DK25" s="420"/>
      <c r="DL25" s="420"/>
      <c r="DM25" s="420"/>
      <c r="DN25" s="420"/>
      <c r="DO25" s="420"/>
      <c r="DP25" s="420"/>
      <c r="DQ25" s="420"/>
      <c r="DR25" s="420"/>
      <c r="DS25" s="420"/>
      <c r="DT25" s="420"/>
      <c r="DU25" s="420"/>
      <c r="DV25" s="420"/>
      <c r="DW25" s="420"/>
      <c r="DX25" s="420"/>
      <c r="DY25" s="420"/>
      <c r="DZ25" s="420"/>
      <c r="EA25" s="420"/>
      <c r="EB25" s="420"/>
      <c r="EC25" s="420"/>
      <c r="ED25" s="420"/>
      <c r="EE25" s="420"/>
      <c r="EF25" s="420"/>
      <c r="EG25" s="420"/>
      <c r="EH25" s="420"/>
      <c r="EI25" s="420"/>
      <c r="EJ25" s="420"/>
      <c r="EK25" s="420"/>
      <c r="EL25" s="420"/>
      <c r="EM25" s="420"/>
      <c r="EN25" s="420"/>
      <c r="EO25" s="420"/>
      <c r="EP25" s="420"/>
      <c r="EQ25" s="420"/>
      <c r="ER25" s="420"/>
      <c r="ES25" s="420"/>
      <c r="ET25" s="420"/>
      <c r="EU25" s="420"/>
      <c r="EV25" s="420"/>
      <c r="EW25" s="420"/>
      <c r="EX25" s="420"/>
      <c r="EY25" s="420"/>
      <c r="EZ25" s="420"/>
      <c r="FA25" s="420"/>
      <c r="FB25" s="420"/>
      <c r="FC25" s="420"/>
      <c r="FD25" s="420"/>
      <c r="FE25" s="420"/>
      <c r="FF25" s="420"/>
      <c r="FG25" s="420"/>
      <c r="FH25" s="420"/>
      <c r="FI25" s="420"/>
      <c r="FJ25" s="420"/>
      <c r="FK25" s="420"/>
      <c r="FL25" s="420"/>
      <c r="FM25" s="420"/>
      <c r="FN25" s="420"/>
      <c r="FO25" s="420"/>
      <c r="FP25" s="420"/>
      <c r="FQ25" s="420"/>
      <c r="FR25" s="420"/>
      <c r="FS25" s="420"/>
      <c r="FT25" s="420"/>
      <c r="FU25" s="420"/>
      <c r="FV25" s="420"/>
      <c r="FW25" s="420"/>
      <c r="FX25" s="420"/>
      <c r="FY25" s="420"/>
      <c r="FZ25" s="420"/>
      <c r="GA25" s="420"/>
      <c r="GB25" s="420"/>
      <c r="GC25" s="420"/>
      <c r="GD25" s="420"/>
      <c r="GE25" s="420"/>
      <c r="GF25" s="420"/>
      <c r="GG25" s="420"/>
      <c r="GH25" s="420"/>
      <c r="GI25" s="420"/>
      <c r="GJ25" s="420"/>
      <c r="GK25" s="420"/>
      <c r="GL25" s="420"/>
      <c r="GM25" s="420"/>
      <c r="GN25" s="420"/>
      <c r="GO25" s="420"/>
      <c r="GP25" s="420"/>
      <c r="GQ25" s="420"/>
      <c r="GR25" s="420"/>
      <c r="GS25" s="420"/>
      <c r="GT25" s="420"/>
      <c r="GU25" s="420"/>
      <c r="GV25" s="420"/>
      <c r="GW25" s="420"/>
      <c r="GX25" s="420"/>
      <c r="GY25" s="420"/>
      <c r="GZ25" s="420"/>
      <c r="HA25" s="420"/>
      <c r="HB25" s="420"/>
      <c r="HC25" s="420"/>
      <c r="HD25" s="420"/>
      <c r="HE25" s="420"/>
      <c r="HF25" s="420"/>
      <c r="HG25" s="420"/>
      <c r="HH25" s="420"/>
      <c r="HI25" s="420"/>
      <c r="HJ25" s="420"/>
      <c r="HK25" s="420"/>
      <c r="HL25" s="420"/>
      <c r="HM25" s="420"/>
      <c r="HN25" s="420"/>
      <c r="HO25" s="420"/>
      <c r="HP25" s="420"/>
      <c r="HQ25" s="420"/>
      <c r="HR25" s="420"/>
      <c r="HS25" s="420"/>
      <c r="HT25" s="420"/>
      <c r="HU25" s="420"/>
      <c r="HV25" s="420"/>
      <c r="HW25" s="420"/>
      <c r="HX25" s="420"/>
      <c r="HY25" s="420"/>
      <c r="HZ25" s="420"/>
      <c r="IA25" s="420"/>
      <c r="IB25" s="420"/>
      <c r="IC25" s="420"/>
      <c r="ID25" s="420"/>
      <c r="IE25" s="420"/>
      <c r="IF25" s="420"/>
      <c r="IG25" s="420"/>
      <c r="IH25" s="420"/>
      <c r="II25" s="420"/>
      <c r="IJ25" s="420"/>
      <c r="IK25" s="420"/>
      <c r="IL25" s="420"/>
      <c r="IM25" s="420"/>
      <c r="IN25" s="420"/>
      <c r="IO25" s="420"/>
      <c r="IP25" s="420"/>
    </row>
    <row r="26" spans="1:250" s="417" customFormat="1" x14ac:dyDescent="0.25">
      <c r="A26" s="414"/>
      <c r="B26" s="414"/>
      <c r="C26" s="414"/>
      <c r="D26" s="414"/>
      <c r="E26" s="414"/>
      <c r="F26" s="431" t="s">
        <v>53</v>
      </c>
      <c r="G26" s="964">
        <v>43811</v>
      </c>
      <c r="H26" s="964"/>
      <c r="I26" s="430"/>
      <c r="J26" s="430"/>
      <c r="K26" s="430"/>
      <c r="L26" s="430"/>
      <c r="M26" s="428"/>
      <c r="N26" s="428"/>
      <c r="O26" s="428"/>
      <c r="P26" s="428"/>
      <c r="Q26" s="428"/>
      <c r="R26" s="428"/>
      <c r="S26" s="428"/>
      <c r="T26" s="428"/>
      <c r="U26" s="428"/>
      <c r="V26" s="428"/>
      <c r="W26" s="428"/>
      <c r="X26" s="428"/>
      <c r="Y26" s="428"/>
      <c r="Z26" s="428"/>
      <c r="AA26" s="428"/>
      <c r="AB26" s="428"/>
      <c r="AC26" s="420"/>
      <c r="AD26" s="420"/>
      <c r="AE26" s="420"/>
      <c r="AF26" s="420"/>
      <c r="AG26" s="420"/>
      <c r="AH26" s="420"/>
      <c r="AI26" s="420"/>
      <c r="AJ26" s="420"/>
      <c r="AK26" s="420"/>
      <c r="AL26" s="420"/>
      <c r="AM26" s="420"/>
      <c r="AN26" s="420"/>
      <c r="AO26" s="420"/>
      <c r="AP26" s="420"/>
      <c r="AQ26" s="420"/>
      <c r="AR26" s="420"/>
      <c r="AS26" s="420"/>
      <c r="AT26" s="420"/>
      <c r="AU26" s="420"/>
      <c r="AV26" s="420"/>
      <c r="AW26" s="420"/>
      <c r="AX26" s="420"/>
      <c r="AY26" s="420"/>
      <c r="AZ26" s="420"/>
      <c r="BA26" s="420"/>
      <c r="BB26" s="420"/>
      <c r="BC26" s="420"/>
      <c r="BD26" s="420"/>
      <c r="BE26" s="420"/>
      <c r="BF26" s="420"/>
      <c r="BG26" s="420"/>
      <c r="BH26" s="420"/>
      <c r="BI26" s="420"/>
      <c r="BJ26" s="420"/>
      <c r="BK26" s="420"/>
      <c r="BL26" s="420"/>
      <c r="BM26" s="420"/>
      <c r="BN26" s="420"/>
      <c r="BO26" s="420"/>
      <c r="BP26" s="420"/>
      <c r="BQ26" s="420"/>
      <c r="BR26" s="420"/>
      <c r="BS26" s="420"/>
      <c r="BT26" s="420"/>
      <c r="BU26" s="420"/>
      <c r="BV26" s="420"/>
      <c r="BW26" s="420"/>
      <c r="BX26" s="420"/>
      <c r="BY26" s="420"/>
      <c r="BZ26" s="420"/>
      <c r="CA26" s="420"/>
      <c r="CB26" s="420"/>
      <c r="CC26" s="420"/>
      <c r="CD26" s="420"/>
      <c r="CE26" s="420"/>
      <c r="CF26" s="420"/>
      <c r="CG26" s="420"/>
      <c r="CH26" s="420"/>
      <c r="CI26" s="420"/>
      <c r="CJ26" s="420"/>
      <c r="CK26" s="420"/>
      <c r="CL26" s="420"/>
      <c r="CM26" s="420"/>
      <c r="CN26" s="420"/>
      <c r="CO26" s="420"/>
      <c r="CP26" s="420"/>
      <c r="CQ26" s="420"/>
      <c r="CR26" s="420"/>
      <c r="CS26" s="420"/>
      <c r="CT26" s="420"/>
      <c r="CU26" s="420"/>
      <c r="CV26" s="420"/>
      <c r="CW26" s="420"/>
      <c r="CX26" s="420"/>
      <c r="CY26" s="420"/>
      <c r="CZ26" s="420"/>
      <c r="DA26" s="420"/>
      <c r="DB26" s="420"/>
      <c r="DC26" s="420"/>
      <c r="DD26" s="420"/>
      <c r="DE26" s="420"/>
      <c r="DF26" s="420"/>
      <c r="DG26" s="420"/>
      <c r="DH26" s="420"/>
      <c r="DI26" s="420"/>
      <c r="DJ26" s="420"/>
      <c r="DK26" s="420"/>
      <c r="DL26" s="420"/>
      <c r="DM26" s="420"/>
      <c r="DN26" s="420"/>
      <c r="DO26" s="420"/>
      <c r="DP26" s="420"/>
      <c r="DQ26" s="420"/>
      <c r="DR26" s="420"/>
      <c r="DS26" s="420"/>
      <c r="DT26" s="420"/>
      <c r="DU26" s="420"/>
      <c r="DV26" s="420"/>
      <c r="DW26" s="420"/>
      <c r="DX26" s="420"/>
      <c r="DY26" s="420"/>
      <c r="DZ26" s="420"/>
      <c r="EA26" s="420"/>
      <c r="EB26" s="420"/>
      <c r="EC26" s="420"/>
      <c r="ED26" s="420"/>
      <c r="EE26" s="420"/>
      <c r="EF26" s="420"/>
      <c r="EG26" s="420"/>
      <c r="EH26" s="420"/>
      <c r="EI26" s="420"/>
      <c r="EJ26" s="420"/>
      <c r="EK26" s="420"/>
      <c r="EL26" s="420"/>
      <c r="EM26" s="420"/>
      <c r="EN26" s="420"/>
      <c r="EO26" s="420"/>
      <c r="EP26" s="420"/>
      <c r="EQ26" s="420"/>
      <c r="ER26" s="420"/>
      <c r="ES26" s="420"/>
      <c r="ET26" s="420"/>
      <c r="EU26" s="420"/>
      <c r="EV26" s="420"/>
      <c r="EW26" s="420"/>
      <c r="EX26" s="420"/>
      <c r="EY26" s="420"/>
      <c r="EZ26" s="420"/>
      <c r="FA26" s="420"/>
      <c r="FB26" s="420"/>
      <c r="FC26" s="420"/>
      <c r="FD26" s="420"/>
      <c r="FE26" s="420"/>
      <c r="FF26" s="420"/>
      <c r="FG26" s="420"/>
      <c r="FH26" s="420"/>
      <c r="FI26" s="420"/>
      <c r="FJ26" s="420"/>
      <c r="FK26" s="420"/>
      <c r="FL26" s="420"/>
      <c r="FM26" s="420"/>
      <c r="FN26" s="420"/>
      <c r="FO26" s="420"/>
      <c r="FP26" s="420"/>
      <c r="FQ26" s="420"/>
      <c r="FR26" s="420"/>
      <c r="FS26" s="420"/>
      <c r="FT26" s="420"/>
      <c r="FU26" s="420"/>
      <c r="FV26" s="420"/>
      <c r="FW26" s="420"/>
      <c r="FX26" s="420"/>
      <c r="FY26" s="420"/>
      <c r="FZ26" s="420"/>
      <c r="GA26" s="420"/>
      <c r="GB26" s="420"/>
      <c r="GC26" s="420"/>
      <c r="GD26" s="420"/>
      <c r="GE26" s="420"/>
      <c r="GF26" s="420"/>
      <c r="GG26" s="420"/>
      <c r="GH26" s="420"/>
      <c r="GI26" s="420"/>
      <c r="GJ26" s="420"/>
      <c r="GK26" s="420"/>
      <c r="GL26" s="420"/>
      <c r="GM26" s="420"/>
      <c r="GN26" s="420"/>
      <c r="GO26" s="420"/>
      <c r="GP26" s="420"/>
      <c r="GQ26" s="420"/>
      <c r="GR26" s="420"/>
      <c r="GS26" s="420"/>
      <c r="GT26" s="420"/>
      <c r="GU26" s="420"/>
      <c r="GV26" s="420"/>
      <c r="GW26" s="420"/>
      <c r="GX26" s="420"/>
      <c r="GY26" s="420"/>
      <c r="GZ26" s="420"/>
      <c r="HA26" s="420"/>
      <c r="HB26" s="420"/>
      <c r="HC26" s="420"/>
      <c r="HD26" s="420"/>
      <c r="HE26" s="420"/>
      <c r="HF26" s="420"/>
      <c r="HG26" s="420"/>
      <c r="HH26" s="420"/>
      <c r="HI26" s="420"/>
      <c r="HJ26" s="420"/>
      <c r="HK26" s="420"/>
      <c r="HL26" s="420"/>
      <c r="HM26" s="420"/>
      <c r="HN26" s="420"/>
      <c r="HO26" s="420"/>
      <c r="HP26" s="420"/>
      <c r="HQ26" s="420"/>
      <c r="HR26" s="420"/>
      <c r="HS26" s="420"/>
      <c r="HT26" s="420"/>
      <c r="HU26" s="420"/>
      <c r="HV26" s="420"/>
      <c r="HW26" s="420"/>
      <c r="HX26" s="420"/>
      <c r="HY26" s="420"/>
      <c r="HZ26" s="420"/>
      <c r="IA26" s="420"/>
      <c r="IB26" s="420"/>
      <c r="IC26" s="420"/>
      <c r="ID26" s="420"/>
      <c r="IE26" s="420"/>
      <c r="IF26" s="420"/>
      <c r="IG26" s="420"/>
      <c r="IH26" s="420"/>
      <c r="II26" s="420"/>
      <c r="IJ26" s="420"/>
      <c r="IK26" s="420"/>
      <c r="IL26" s="420"/>
      <c r="IM26" s="420"/>
      <c r="IN26" s="420"/>
      <c r="IO26" s="420"/>
      <c r="IP26" s="420"/>
    </row>
    <row r="27" spans="1:250" s="417" customFormat="1" ht="15" customHeight="1" x14ac:dyDescent="0.25">
      <c r="A27" s="414"/>
      <c r="B27" s="414"/>
      <c r="C27" s="414"/>
      <c r="D27" s="414"/>
      <c r="E27" s="414"/>
      <c r="F27" s="421" t="s">
        <v>54</v>
      </c>
      <c r="G27" s="963"/>
      <c r="H27" s="963"/>
      <c r="I27" s="427"/>
      <c r="J27" s="427"/>
      <c r="K27" s="427"/>
      <c r="L27" s="427"/>
      <c r="M27" s="420"/>
      <c r="N27" s="420"/>
      <c r="O27" s="420"/>
      <c r="P27" s="420"/>
      <c r="Q27" s="420"/>
      <c r="R27" s="420"/>
      <c r="S27" s="420"/>
      <c r="T27" s="420"/>
      <c r="U27" s="420"/>
      <c r="V27" s="420"/>
      <c r="W27" s="420"/>
      <c r="X27" s="420"/>
      <c r="Y27" s="420"/>
      <c r="Z27" s="420"/>
      <c r="AA27" s="420"/>
      <c r="AB27" s="420"/>
      <c r="AC27" s="420"/>
      <c r="AD27" s="420"/>
      <c r="AE27" s="420"/>
      <c r="AF27" s="420"/>
      <c r="AG27" s="420"/>
      <c r="AH27" s="420"/>
      <c r="AI27" s="420"/>
      <c r="AJ27" s="420"/>
      <c r="AK27" s="420"/>
      <c r="AL27" s="420"/>
      <c r="AM27" s="420"/>
      <c r="AN27" s="420"/>
      <c r="AO27" s="420"/>
      <c r="AP27" s="420"/>
      <c r="AQ27" s="420"/>
      <c r="AR27" s="420"/>
      <c r="AS27" s="420"/>
      <c r="AT27" s="420"/>
      <c r="AU27" s="420"/>
      <c r="AV27" s="420"/>
      <c r="AW27" s="420"/>
      <c r="AX27" s="420"/>
      <c r="AY27" s="420"/>
      <c r="AZ27" s="420"/>
      <c r="BA27" s="420"/>
      <c r="BB27" s="420"/>
      <c r="BC27" s="420"/>
      <c r="BD27" s="420"/>
      <c r="BE27" s="420"/>
      <c r="BF27" s="420"/>
      <c r="BG27" s="420"/>
      <c r="BH27" s="420"/>
      <c r="BI27" s="420"/>
      <c r="BJ27" s="420"/>
      <c r="BK27" s="420"/>
      <c r="BL27" s="420"/>
      <c r="BM27" s="420"/>
      <c r="BN27" s="420"/>
      <c r="BO27" s="420"/>
      <c r="BP27" s="420"/>
      <c r="BQ27" s="420"/>
      <c r="BR27" s="420"/>
      <c r="BS27" s="420"/>
      <c r="BT27" s="420"/>
      <c r="BU27" s="420"/>
      <c r="BV27" s="420"/>
      <c r="BW27" s="420"/>
      <c r="BX27" s="420"/>
      <c r="BY27" s="420"/>
      <c r="BZ27" s="420"/>
      <c r="CA27" s="420"/>
      <c r="CB27" s="420"/>
      <c r="CC27" s="420"/>
      <c r="CD27" s="420"/>
      <c r="CE27" s="420"/>
      <c r="CF27" s="420"/>
      <c r="CG27" s="420"/>
      <c r="CH27" s="420"/>
      <c r="CI27" s="420"/>
      <c r="CJ27" s="420"/>
      <c r="CK27" s="420"/>
      <c r="CL27" s="420"/>
      <c r="CM27" s="420"/>
      <c r="CN27" s="420"/>
      <c r="CO27" s="420"/>
      <c r="CP27" s="420"/>
      <c r="CQ27" s="420"/>
      <c r="CR27" s="420"/>
      <c r="CS27" s="420"/>
      <c r="CT27" s="420"/>
      <c r="CU27" s="420"/>
      <c r="CV27" s="420"/>
      <c r="CW27" s="420"/>
      <c r="CX27" s="420"/>
      <c r="CY27" s="420"/>
      <c r="CZ27" s="420"/>
      <c r="DA27" s="420"/>
      <c r="DB27" s="420"/>
      <c r="DC27" s="420"/>
      <c r="DD27" s="420"/>
      <c r="DE27" s="420"/>
      <c r="DF27" s="420"/>
      <c r="DG27" s="420"/>
      <c r="DH27" s="420"/>
      <c r="DI27" s="420"/>
      <c r="DJ27" s="420"/>
      <c r="DK27" s="420"/>
      <c r="DL27" s="420"/>
      <c r="DM27" s="420"/>
      <c r="DN27" s="420"/>
      <c r="DO27" s="420"/>
      <c r="DP27" s="420"/>
      <c r="DQ27" s="420"/>
      <c r="DR27" s="420"/>
      <c r="DS27" s="420"/>
      <c r="DT27" s="420"/>
      <c r="DU27" s="420"/>
      <c r="DV27" s="420"/>
      <c r="DW27" s="420"/>
      <c r="DX27" s="420"/>
      <c r="DY27" s="420"/>
      <c r="DZ27" s="420"/>
      <c r="EA27" s="420"/>
      <c r="EB27" s="420"/>
      <c r="EC27" s="420"/>
      <c r="ED27" s="420"/>
      <c r="EE27" s="420"/>
      <c r="EF27" s="420"/>
      <c r="EG27" s="420"/>
      <c r="EH27" s="420"/>
      <c r="EI27" s="420"/>
      <c r="EJ27" s="420"/>
      <c r="EK27" s="420"/>
      <c r="EL27" s="420"/>
      <c r="EM27" s="420"/>
      <c r="EN27" s="420"/>
      <c r="EO27" s="420"/>
      <c r="EP27" s="420"/>
      <c r="EQ27" s="420"/>
      <c r="ER27" s="420"/>
      <c r="ES27" s="420"/>
      <c r="ET27" s="420"/>
      <c r="EU27" s="420"/>
      <c r="EV27" s="420"/>
      <c r="EW27" s="420"/>
      <c r="EX27" s="420"/>
      <c r="EY27" s="420"/>
      <c r="EZ27" s="420"/>
      <c r="FA27" s="420"/>
      <c r="FB27" s="420"/>
      <c r="FC27" s="420"/>
      <c r="FD27" s="420"/>
      <c r="FE27" s="420"/>
      <c r="FF27" s="420"/>
      <c r="FG27" s="420"/>
      <c r="FH27" s="420"/>
      <c r="FI27" s="420"/>
      <c r="FJ27" s="420"/>
      <c r="FK27" s="420"/>
      <c r="FL27" s="420"/>
      <c r="FM27" s="420"/>
      <c r="FN27" s="420"/>
      <c r="FO27" s="420"/>
      <c r="FP27" s="420"/>
      <c r="FQ27" s="420"/>
      <c r="FR27" s="420"/>
      <c r="FS27" s="420"/>
      <c r="FT27" s="420"/>
      <c r="FU27" s="420"/>
      <c r="FV27" s="420"/>
      <c r="FW27" s="420"/>
      <c r="FX27" s="420"/>
      <c r="FY27" s="420"/>
      <c r="FZ27" s="420"/>
      <c r="GA27" s="420"/>
      <c r="GB27" s="420"/>
      <c r="GC27" s="420"/>
      <c r="GD27" s="420"/>
      <c r="GE27" s="420"/>
      <c r="GF27" s="420"/>
      <c r="GG27" s="420"/>
      <c r="GH27" s="420"/>
      <c r="GI27" s="420"/>
      <c r="GJ27" s="420"/>
      <c r="GK27" s="420"/>
      <c r="GL27" s="420"/>
      <c r="GM27" s="420"/>
      <c r="GN27" s="420"/>
      <c r="GO27" s="420"/>
      <c r="GP27" s="420"/>
      <c r="GQ27" s="420"/>
      <c r="GR27" s="420"/>
      <c r="GS27" s="420"/>
      <c r="GT27" s="420"/>
      <c r="GU27" s="420"/>
      <c r="GV27" s="420"/>
      <c r="GW27" s="420"/>
      <c r="GX27" s="420"/>
      <c r="GY27" s="420"/>
      <c r="GZ27" s="420"/>
      <c r="HA27" s="420"/>
      <c r="HB27" s="420"/>
      <c r="HC27" s="420"/>
      <c r="HD27" s="420"/>
      <c r="HE27" s="420"/>
      <c r="HF27" s="420"/>
      <c r="HG27" s="420"/>
      <c r="HH27" s="420"/>
      <c r="HI27" s="420"/>
      <c r="HJ27" s="420"/>
      <c r="HK27" s="420"/>
      <c r="HL27" s="420"/>
      <c r="HM27" s="420"/>
      <c r="HN27" s="420"/>
      <c r="HO27" s="420"/>
      <c r="HP27" s="420"/>
      <c r="HQ27" s="420"/>
      <c r="HR27" s="420"/>
      <c r="HS27" s="420"/>
      <c r="HT27" s="420"/>
      <c r="HU27" s="420"/>
      <c r="HV27" s="420"/>
      <c r="HW27" s="420"/>
      <c r="HX27" s="420"/>
      <c r="HY27" s="420"/>
      <c r="HZ27" s="420"/>
      <c r="IA27" s="420"/>
      <c r="IB27" s="420"/>
      <c r="IC27" s="420"/>
      <c r="ID27" s="420"/>
      <c r="IE27" s="420"/>
      <c r="IF27" s="420"/>
      <c r="IG27" s="420"/>
      <c r="IH27" s="420"/>
      <c r="II27" s="420"/>
      <c r="IJ27" s="420"/>
      <c r="IK27" s="420"/>
      <c r="IL27" s="420"/>
      <c r="IM27" s="420"/>
      <c r="IN27" s="420"/>
      <c r="IO27" s="420"/>
      <c r="IP27" s="420"/>
    </row>
    <row r="28" spans="1:250" x14ac:dyDescent="0.25">
      <c r="A28" s="413"/>
      <c r="B28" s="413"/>
      <c r="C28" s="413"/>
      <c r="D28" s="413"/>
      <c r="E28" s="413"/>
      <c r="F28" s="413"/>
      <c r="G28" s="413"/>
      <c r="H28" s="413"/>
    </row>
    <row r="29" spans="1:250" ht="12.75" customHeight="1" x14ac:dyDescent="0.25">
      <c r="A29" s="413"/>
      <c r="B29" s="413"/>
      <c r="C29" s="413"/>
      <c r="D29" s="413"/>
      <c r="E29" s="432" t="s">
        <v>55</v>
      </c>
      <c r="F29" s="954" t="s">
        <v>56</v>
      </c>
      <c r="G29" s="956" t="s">
        <v>57</v>
      </c>
      <c r="H29" s="957"/>
    </row>
    <row r="30" spans="1:250" x14ac:dyDescent="0.25">
      <c r="A30" s="413"/>
      <c r="B30" s="413"/>
      <c r="C30" s="413"/>
      <c r="D30" s="413"/>
      <c r="E30" s="433"/>
      <c r="F30" s="955"/>
      <c r="G30" s="434" t="s">
        <v>58</v>
      </c>
      <c r="H30" s="435" t="s">
        <v>59</v>
      </c>
    </row>
    <row r="31" spans="1:250" x14ac:dyDescent="0.25">
      <c r="A31" s="413"/>
      <c r="B31" s="413"/>
      <c r="C31" s="413"/>
      <c r="D31" s="413"/>
      <c r="E31" s="436" t="s">
        <v>21</v>
      </c>
      <c r="F31" s="437">
        <v>44188</v>
      </c>
      <c r="G31" s="437">
        <v>44166</v>
      </c>
      <c r="H31" s="438">
        <f>F31</f>
        <v>44188</v>
      </c>
    </row>
    <row r="32" spans="1:250" x14ac:dyDescent="0.25">
      <c r="A32" s="413"/>
      <c r="B32" s="413"/>
      <c r="C32" s="413"/>
      <c r="D32" s="413"/>
      <c r="E32" s="413"/>
      <c r="F32" s="413"/>
      <c r="G32" s="413"/>
      <c r="H32" s="413"/>
    </row>
    <row r="33" spans="1:15" s="443" customFormat="1" x14ac:dyDescent="0.25">
      <c r="A33" s="439"/>
      <c r="B33" s="439"/>
      <c r="C33" s="440"/>
      <c r="D33" s="441"/>
      <c r="E33" s="442"/>
      <c r="F33" s="441"/>
      <c r="G33" s="442"/>
      <c r="H33" s="441"/>
      <c r="I33" s="444"/>
      <c r="J33" s="444"/>
      <c r="K33" s="444"/>
      <c r="L33" s="444"/>
    </row>
    <row r="34" spans="1:15" s="443" customFormat="1" ht="16.5" x14ac:dyDescent="0.25">
      <c r="A34" s="968" t="s">
        <v>370</v>
      </c>
      <c r="B34" s="969"/>
      <c r="C34" s="969"/>
      <c r="D34" s="969"/>
      <c r="E34" s="969"/>
      <c r="F34" s="969"/>
      <c r="G34" s="969"/>
      <c r="H34" s="969"/>
      <c r="I34" s="444"/>
      <c r="J34" s="444"/>
      <c r="K34" s="444"/>
      <c r="L34" s="444"/>
    </row>
    <row r="35" spans="1:15" s="443" customFormat="1" ht="16.5" x14ac:dyDescent="0.25">
      <c r="A35" s="968" t="s">
        <v>657</v>
      </c>
      <c r="B35" s="969"/>
      <c r="C35" s="969"/>
      <c r="D35" s="969"/>
      <c r="E35" s="969"/>
      <c r="F35" s="969"/>
      <c r="G35" s="969"/>
      <c r="H35" s="969"/>
      <c r="I35" s="444"/>
      <c r="J35" s="444"/>
      <c r="K35" s="444"/>
      <c r="L35" s="444"/>
    </row>
    <row r="36" spans="1:15" s="443" customFormat="1" ht="17.25" thickBot="1" x14ac:dyDescent="0.3">
      <c r="A36" s="445"/>
      <c r="B36" s="446"/>
      <c r="C36" s="446"/>
      <c r="D36" s="446"/>
      <c r="E36" s="446"/>
      <c r="F36" s="446"/>
      <c r="G36" s="446"/>
      <c r="H36" s="446"/>
      <c r="I36" s="444"/>
      <c r="J36" s="444"/>
      <c r="K36" s="444"/>
      <c r="L36" s="444"/>
    </row>
    <row r="37" spans="1:15" s="443" customFormat="1" ht="22.5" customHeight="1" thickBot="1" x14ac:dyDescent="0.3">
      <c r="A37" s="970" t="s">
        <v>372</v>
      </c>
      <c r="B37" s="973" t="s">
        <v>373</v>
      </c>
      <c r="C37" s="976" t="s">
        <v>374</v>
      </c>
      <c r="D37" s="977"/>
      <c r="E37" s="977"/>
      <c r="F37" s="977"/>
      <c r="G37" s="977"/>
      <c r="H37" s="978"/>
      <c r="I37" s="444"/>
      <c r="J37" s="444"/>
      <c r="K37" s="444"/>
      <c r="L37" s="444"/>
    </row>
    <row r="38" spans="1:15" s="443" customFormat="1" ht="15" customHeight="1" x14ac:dyDescent="0.25">
      <c r="A38" s="971"/>
      <c r="B38" s="974"/>
      <c r="C38" s="979" t="s">
        <v>375</v>
      </c>
      <c r="D38" s="980"/>
      <c r="E38" s="979" t="s">
        <v>376</v>
      </c>
      <c r="F38" s="980"/>
      <c r="G38" s="979" t="s">
        <v>377</v>
      </c>
      <c r="H38" s="980"/>
      <c r="I38" s="444"/>
      <c r="J38" s="444"/>
      <c r="K38" s="444"/>
      <c r="L38" s="444"/>
    </row>
    <row r="39" spans="1:15" s="443" customFormat="1" ht="16.5" customHeight="1" x14ac:dyDescent="0.25">
      <c r="A39" s="971"/>
      <c r="B39" s="974"/>
      <c r="C39" s="981"/>
      <c r="D39" s="982"/>
      <c r="E39" s="981"/>
      <c r="F39" s="982"/>
      <c r="G39" s="981"/>
      <c r="H39" s="982"/>
      <c r="I39" s="444"/>
      <c r="J39" s="444"/>
      <c r="K39" s="444"/>
      <c r="L39" s="444"/>
    </row>
    <row r="40" spans="1:15" s="443" customFormat="1" x14ac:dyDescent="0.25">
      <c r="A40" s="971"/>
      <c r="B40" s="974"/>
      <c r="C40" s="981" t="s">
        <v>378</v>
      </c>
      <c r="D40" s="984" t="s">
        <v>379</v>
      </c>
      <c r="E40" s="981" t="s">
        <v>378</v>
      </c>
      <c r="F40" s="984" t="s">
        <v>380</v>
      </c>
      <c r="G40" s="981" t="s">
        <v>378</v>
      </c>
      <c r="H40" s="984" t="s">
        <v>380</v>
      </c>
      <c r="I40" s="444"/>
      <c r="J40" s="444"/>
      <c r="K40" s="444"/>
      <c r="L40" s="444"/>
    </row>
    <row r="41" spans="1:15" s="443" customFormat="1" x14ac:dyDescent="0.25">
      <c r="A41" s="971"/>
      <c r="B41" s="974"/>
      <c r="C41" s="981"/>
      <c r="D41" s="984"/>
      <c r="E41" s="981"/>
      <c r="F41" s="984"/>
      <c r="G41" s="981"/>
      <c r="H41" s="984"/>
      <c r="I41" s="444"/>
      <c r="J41" s="444"/>
      <c r="K41" s="444"/>
      <c r="L41" s="444"/>
    </row>
    <row r="42" spans="1:15" s="443" customFormat="1" ht="16.5" thickBot="1" x14ac:dyDescent="0.3">
      <c r="A42" s="972"/>
      <c r="B42" s="975"/>
      <c r="C42" s="983"/>
      <c r="D42" s="985"/>
      <c r="E42" s="983"/>
      <c r="F42" s="985"/>
      <c r="G42" s="983"/>
      <c r="H42" s="986"/>
      <c r="I42" s="447" t="s">
        <v>658</v>
      </c>
      <c r="J42" s="444"/>
      <c r="K42" s="444"/>
      <c r="L42" s="444"/>
    </row>
    <row r="43" spans="1:15" s="443" customFormat="1" ht="16.5" thickBot="1" x14ac:dyDescent="0.3">
      <c r="A43" s="448">
        <v>1</v>
      </c>
      <c r="B43" s="448">
        <v>2</v>
      </c>
      <c r="C43" s="449">
        <v>3</v>
      </c>
      <c r="D43" s="450">
        <v>4</v>
      </c>
      <c r="E43" s="449">
        <v>5</v>
      </c>
      <c r="F43" s="450">
        <v>6</v>
      </c>
      <c r="G43" s="449">
        <v>7</v>
      </c>
      <c r="H43" s="450">
        <v>8</v>
      </c>
      <c r="I43" s="451"/>
      <c r="J43" s="444"/>
      <c r="K43" s="444"/>
      <c r="L43" s="444"/>
    </row>
    <row r="44" spans="1:15" s="443" customFormat="1" ht="25.5" x14ac:dyDescent="0.2">
      <c r="A44" s="452" t="s">
        <v>17</v>
      </c>
      <c r="B44" s="453" t="s">
        <v>381</v>
      </c>
      <c r="C44" s="783">
        <f t="shared" ref="C44:H44" si="0">C46+C49+C50+C53</f>
        <v>8486700</v>
      </c>
      <c r="D44" s="783">
        <f t="shared" si="0"/>
        <v>41200674.060000002</v>
      </c>
      <c r="E44" s="783">
        <f t="shared" si="0"/>
        <v>8486700</v>
      </c>
      <c r="F44" s="783">
        <f t="shared" si="0"/>
        <v>41200674.060000002</v>
      </c>
      <c r="G44" s="454">
        <f t="shared" si="0"/>
        <v>544263</v>
      </c>
      <c r="H44" s="454">
        <f t="shared" si="0"/>
        <v>4216115.5999999996</v>
      </c>
      <c r="I44" s="455">
        <v>7942437</v>
      </c>
      <c r="J44" s="456">
        <v>36984558.460000001</v>
      </c>
      <c r="K44" s="455">
        <v>7942437</v>
      </c>
      <c r="L44" s="456">
        <v>36984558.460000001</v>
      </c>
      <c r="M44" s="457"/>
      <c r="N44" s="458"/>
      <c r="O44" s="458"/>
    </row>
    <row r="45" spans="1:15" s="443" customFormat="1" ht="16.5" thickBot="1" x14ac:dyDescent="0.25">
      <c r="A45" s="459"/>
      <c r="B45" s="460" t="s">
        <v>382</v>
      </c>
      <c r="C45" s="461"/>
      <c r="D45" s="462"/>
      <c r="E45" s="461"/>
      <c r="F45" s="462"/>
      <c r="G45" s="461"/>
      <c r="H45" s="462"/>
      <c r="I45" s="463">
        <v>0</v>
      </c>
      <c r="J45" s="464">
        <v>0</v>
      </c>
      <c r="K45" s="463">
        <v>0</v>
      </c>
      <c r="L45" s="464">
        <v>0</v>
      </c>
      <c r="M45" s="457"/>
      <c r="N45" s="458"/>
      <c r="O45" s="458"/>
    </row>
    <row r="46" spans="1:15" s="443" customFormat="1" x14ac:dyDescent="0.2">
      <c r="A46" s="465" t="s">
        <v>18</v>
      </c>
      <c r="B46" s="466" t="s">
        <v>3</v>
      </c>
      <c r="C46" s="784">
        <f t="shared" ref="C46:C60" si="1">I46+G46</f>
        <v>8450873</v>
      </c>
      <c r="D46" s="468">
        <f t="shared" ref="D46:D60" si="2">J46+H46</f>
        <v>40397743.68</v>
      </c>
      <c r="E46" s="784">
        <f>G46+K46</f>
        <v>8450873</v>
      </c>
      <c r="F46" s="468">
        <f>H46+L46</f>
        <v>40397743.68</v>
      </c>
      <c r="G46" s="469">
        <f>Реестр!F29</f>
        <v>538279</v>
      </c>
      <c r="H46" s="470">
        <f>Реестр!H29</f>
        <v>4081993.72</v>
      </c>
      <c r="I46" s="471">
        <v>7912594</v>
      </c>
      <c r="J46" s="473">
        <v>36315749.960000001</v>
      </c>
      <c r="K46" s="471">
        <v>7912594</v>
      </c>
      <c r="L46" s="473">
        <v>36315749.960000001</v>
      </c>
      <c r="M46" s="457"/>
      <c r="N46" s="458"/>
      <c r="O46" s="458"/>
    </row>
    <row r="47" spans="1:15" s="443" customFormat="1" x14ac:dyDescent="0.2">
      <c r="A47" s="474" t="s">
        <v>25</v>
      </c>
      <c r="B47" s="475" t="s">
        <v>385</v>
      </c>
      <c r="C47" s="467">
        <f t="shared" si="1"/>
        <v>0</v>
      </c>
      <c r="D47" s="476">
        <f t="shared" si="2"/>
        <v>8079548.7400000002</v>
      </c>
      <c r="E47" s="467">
        <f t="shared" ref="E47:E58" si="3">K47+G47</f>
        <v>0</v>
      </c>
      <c r="F47" s="476">
        <f>H47+L47</f>
        <v>8079548.7400000002</v>
      </c>
      <c r="G47" s="467"/>
      <c r="H47" s="476">
        <f>ROUND(H46*0.2,2)</f>
        <v>816398.74</v>
      </c>
      <c r="I47" s="477">
        <v>0</v>
      </c>
      <c r="J47" s="472">
        <v>7263150</v>
      </c>
      <c r="K47" s="477">
        <v>0</v>
      </c>
      <c r="L47" s="472">
        <v>7263150</v>
      </c>
      <c r="M47" s="457">
        <f>J47+H47</f>
        <v>8079548.7400000002</v>
      </c>
      <c r="N47" s="458"/>
      <c r="O47" s="458"/>
    </row>
    <row r="48" spans="1:15" s="443" customFormat="1" ht="16.5" thickBot="1" x14ac:dyDescent="0.25">
      <c r="A48" s="459" t="s">
        <v>19</v>
      </c>
      <c r="B48" s="460" t="s">
        <v>386</v>
      </c>
      <c r="C48" s="461">
        <f t="shared" si="1"/>
        <v>0</v>
      </c>
      <c r="D48" s="462">
        <f t="shared" si="2"/>
        <v>48477292.420000002</v>
      </c>
      <c r="E48" s="461">
        <f t="shared" si="3"/>
        <v>0</v>
      </c>
      <c r="F48" s="462">
        <f>H48+L48</f>
        <v>48477292.420000002</v>
      </c>
      <c r="G48" s="461"/>
      <c r="H48" s="462">
        <f>H46+H47</f>
        <v>4898392.46</v>
      </c>
      <c r="I48" s="463">
        <v>0</v>
      </c>
      <c r="J48" s="464">
        <v>43578899.960000001</v>
      </c>
      <c r="K48" s="463">
        <v>0</v>
      </c>
      <c r="L48" s="464">
        <v>43578899.960000001</v>
      </c>
      <c r="M48" s="457"/>
      <c r="N48" s="458"/>
      <c r="O48" s="458"/>
    </row>
    <row r="49" spans="1:15" s="443" customFormat="1" x14ac:dyDescent="0.2">
      <c r="A49" s="478" t="s">
        <v>20</v>
      </c>
      <c r="B49" s="466" t="s">
        <v>22</v>
      </c>
      <c r="C49" s="479">
        <f t="shared" si="1"/>
        <v>0</v>
      </c>
      <c r="D49" s="470">
        <f t="shared" si="2"/>
        <v>0</v>
      </c>
      <c r="E49" s="479">
        <f t="shared" si="3"/>
        <v>0</v>
      </c>
      <c r="F49" s="470">
        <f>H49+K49</f>
        <v>0</v>
      </c>
      <c r="G49" s="480">
        <v>0</v>
      </c>
      <c r="H49" s="470">
        <v>0</v>
      </c>
      <c r="I49" s="481">
        <v>0</v>
      </c>
      <c r="J49" s="482">
        <v>0</v>
      </c>
      <c r="K49" s="481">
        <v>0</v>
      </c>
      <c r="L49" s="482">
        <v>0</v>
      </c>
      <c r="M49" s="457"/>
      <c r="N49" s="458"/>
      <c r="O49" s="458"/>
    </row>
    <row r="50" spans="1:15" s="443" customFormat="1" x14ac:dyDescent="0.2">
      <c r="A50" s="483" t="s">
        <v>21</v>
      </c>
      <c r="B50" s="475" t="s">
        <v>271</v>
      </c>
      <c r="C50" s="784">
        <f t="shared" si="1"/>
        <v>35827</v>
      </c>
      <c r="D50" s="468">
        <f t="shared" si="2"/>
        <v>802930.38</v>
      </c>
      <c r="E50" s="784">
        <f t="shared" si="3"/>
        <v>35827</v>
      </c>
      <c r="F50" s="468">
        <f>H50+L50</f>
        <v>802930.38</v>
      </c>
      <c r="G50" s="467">
        <f>Реестр!Q29</f>
        <v>5984</v>
      </c>
      <c r="H50" s="476">
        <f>Реестр!S29</f>
        <v>134121.88</v>
      </c>
      <c r="I50" s="471">
        <v>29843</v>
      </c>
      <c r="J50" s="473">
        <v>668808.5</v>
      </c>
      <c r="K50" s="471">
        <v>29843</v>
      </c>
      <c r="L50" s="473">
        <v>668808.5</v>
      </c>
      <c r="M50" s="457"/>
      <c r="N50" s="458"/>
      <c r="O50" s="458"/>
    </row>
    <row r="51" spans="1:15" s="443" customFormat="1" x14ac:dyDescent="0.2">
      <c r="A51" s="483" t="s">
        <v>28</v>
      </c>
      <c r="B51" s="475" t="s">
        <v>385</v>
      </c>
      <c r="C51" s="467">
        <f t="shared" si="1"/>
        <v>0</v>
      </c>
      <c r="D51" s="468">
        <f t="shared" si="2"/>
        <v>160586.07</v>
      </c>
      <c r="E51" s="467">
        <f t="shared" si="3"/>
        <v>0</v>
      </c>
      <c r="F51" s="468">
        <f>H51+L51</f>
        <v>160586.07</v>
      </c>
      <c r="G51" s="467"/>
      <c r="H51" s="476">
        <f>ROUND((H49+H50)*0.2,2)</f>
        <v>26824.38</v>
      </c>
      <c r="I51" s="471">
        <v>0</v>
      </c>
      <c r="J51" s="473">
        <v>133761.69</v>
      </c>
      <c r="K51" s="471">
        <v>0</v>
      </c>
      <c r="L51" s="473">
        <v>133761.69</v>
      </c>
      <c r="M51" s="457"/>
      <c r="N51" s="458"/>
      <c r="O51" s="458"/>
    </row>
    <row r="52" spans="1:15" s="443" customFormat="1" ht="16.5" thickBot="1" x14ac:dyDescent="0.25">
      <c r="A52" s="459" t="s">
        <v>340</v>
      </c>
      <c r="B52" s="460" t="s">
        <v>388</v>
      </c>
      <c r="C52" s="461">
        <f t="shared" si="1"/>
        <v>0</v>
      </c>
      <c r="D52" s="484">
        <f t="shared" si="2"/>
        <v>963516.45</v>
      </c>
      <c r="E52" s="461">
        <f t="shared" si="3"/>
        <v>0</v>
      </c>
      <c r="F52" s="484">
        <f>H52+L52</f>
        <v>963516.45</v>
      </c>
      <c r="G52" s="461"/>
      <c r="H52" s="462">
        <f>H49+H50+H51</f>
        <v>160946.26</v>
      </c>
      <c r="I52" s="463">
        <v>0</v>
      </c>
      <c r="J52" s="485">
        <v>802570.19</v>
      </c>
      <c r="K52" s="463">
        <v>0</v>
      </c>
      <c r="L52" s="485">
        <v>802570.19</v>
      </c>
      <c r="M52" s="457"/>
      <c r="N52" s="458"/>
      <c r="O52" s="458"/>
    </row>
    <row r="53" spans="1:15" s="443" customFormat="1" x14ac:dyDescent="0.2">
      <c r="A53" s="478" t="s">
        <v>341</v>
      </c>
      <c r="B53" s="466" t="s">
        <v>323</v>
      </c>
      <c r="C53" s="479">
        <f t="shared" si="1"/>
        <v>0</v>
      </c>
      <c r="D53" s="468">
        <f t="shared" si="2"/>
        <v>0</v>
      </c>
      <c r="E53" s="479">
        <f t="shared" si="3"/>
        <v>0</v>
      </c>
      <c r="F53" s="468">
        <f>H53</f>
        <v>0</v>
      </c>
      <c r="G53" s="486">
        <v>0</v>
      </c>
      <c r="H53" s="470">
        <v>0</v>
      </c>
      <c r="I53" s="471">
        <v>0</v>
      </c>
      <c r="J53" s="473">
        <v>0</v>
      </c>
      <c r="K53" s="471">
        <v>0</v>
      </c>
      <c r="L53" s="473">
        <v>0</v>
      </c>
      <c r="M53" s="457"/>
      <c r="N53" s="458"/>
      <c r="O53" s="458"/>
    </row>
    <row r="54" spans="1:15" s="443" customFormat="1" x14ac:dyDescent="0.2">
      <c r="A54" s="483" t="s">
        <v>342</v>
      </c>
      <c r="B54" s="475" t="s">
        <v>385</v>
      </c>
      <c r="C54" s="467">
        <f t="shared" si="1"/>
        <v>0</v>
      </c>
      <c r="D54" s="468">
        <f t="shared" si="2"/>
        <v>0</v>
      </c>
      <c r="E54" s="467">
        <f t="shared" si="3"/>
        <v>0</v>
      </c>
      <c r="F54" s="468">
        <f>H54+L54</f>
        <v>0</v>
      </c>
      <c r="G54" s="467"/>
      <c r="H54" s="476">
        <f>ROUND(H53*0.2,2)</f>
        <v>0</v>
      </c>
      <c r="I54" s="471">
        <v>0</v>
      </c>
      <c r="J54" s="473">
        <v>0</v>
      </c>
      <c r="K54" s="471">
        <v>0</v>
      </c>
      <c r="L54" s="473">
        <v>0</v>
      </c>
      <c r="M54" s="457"/>
      <c r="N54" s="458"/>
      <c r="O54" s="458"/>
    </row>
    <row r="55" spans="1:15" s="443" customFormat="1" ht="16.5" thickBot="1" x14ac:dyDescent="0.25">
      <c r="A55" s="459" t="s">
        <v>343</v>
      </c>
      <c r="B55" s="460" t="s">
        <v>396</v>
      </c>
      <c r="C55" s="461">
        <f t="shared" si="1"/>
        <v>0</v>
      </c>
      <c r="D55" s="484">
        <f t="shared" si="2"/>
        <v>0</v>
      </c>
      <c r="E55" s="461">
        <f t="shared" si="3"/>
        <v>0</v>
      </c>
      <c r="F55" s="484">
        <f>H55+L55</f>
        <v>0</v>
      </c>
      <c r="G55" s="461"/>
      <c r="H55" s="487">
        <f>ROUND((H53+H54),20)</f>
        <v>0</v>
      </c>
      <c r="I55" s="477">
        <v>0</v>
      </c>
      <c r="J55" s="488">
        <v>0</v>
      </c>
      <c r="K55" s="477">
        <v>0</v>
      </c>
      <c r="L55" s="488">
        <v>0</v>
      </c>
      <c r="M55" s="457"/>
      <c r="N55" s="458"/>
      <c r="O55" s="458"/>
    </row>
    <row r="56" spans="1:15" s="443" customFormat="1" ht="27" x14ac:dyDescent="0.2">
      <c r="A56" s="489" t="s">
        <v>345</v>
      </c>
      <c r="B56" s="490" t="s">
        <v>724</v>
      </c>
      <c r="C56" s="479">
        <f t="shared" si="1"/>
        <v>0</v>
      </c>
      <c r="D56" s="491">
        <f t="shared" si="2"/>
        <v>41200674.060000002</v>
      </c>
      <c r="E56" s="479">
        <f t="shared" si="3"/>
        <v>0</v>
      </c>
      <c r="F56" s="491">
        <f>F46+F49+F50+F53</f>
        <v>41200674.060000002</v>
      </c>
      <c r="G56" s="492"/>
      <c r="H56" s="491">
        <f>H46+H49+H50+H53</f>
        <v>4216115.5999999996</v>
      </c>
      <c r="I56" s="493">
        <v>0</v>
      </c>
      <c r="J56" s="494">
        <v>36984558.460000001</v>
      </c>
      <c r="K56" s="493">
        <v>0</v>
      </c>
      <c r="L56" s="494">
        <v>36984558.460000001</v>
      </c>
      <c r="M56" s="457"/>
      <c r="N56" s="458"/>
      <c r="O56" s="458"/>
    </row>
    <row r="57" spans="1:15" s="443" customFormat="1" x14ac:dyDescent="0.2">
      <c r="A57" s="495" t="s">
        <v>346</v>
      </c>
      <c r="B57" s="496" t="s">
        <v>725</v>
      </c>
      <c r="C57" s="467">
        <f t="shared" si="1"/>
        <v>0</v>
      </c>
      <c r="D57" s="497">
        <f t="shared" si="2"/>
        <v>8240134.8099999996</v>
      </c>
      <c r="E57" s="467">
        <f t="shared" si="3"/>
        <v>0</v>
      </c>
      <c r="F57" s="497">
        <f>ROUND(F47+F51+F54,2)</f>
        <v>8240134.8099999996</v>
      </c>
      <c r="G57" s="498"/>
      <c r="H57" s="497">
        <f>ROUND(H47+H51+H54,2)</f>
        <v>843223.12</v>
      </c>
      <c r="I57" s="493">
        <v>0</v>
      </c>
      <c r="J57" s="494">
        <v>7396911.6900000004</v>
      </c>
      <c r="K57" s="493">
        <v>0</v>
      </c>
      <c r="L57" s="494">
        <v>7396911.6900000004</v>
      </c>
      <c r="M57" s="457"/>
      <c r="N57" s="458"/>
      <c r="O57" s="458"/>
    </row>
    <row r="58" spans="1:15" s="443" customFormat="1" ht="16.5" thickBot="1" x14ac:dyDescent="0.25">
      <c r="A58" s="499" t="s">
        <v>347</v>
      </c>
      <c r="B58" s="500" t="s">
        <v>726</v>
      </c>
      <c r="C58" s="467">
        <f t="shared" si="1"/>
        <v>0</v>
      </c>
      <c r="D58" s="501">
        <f t="shared" si="2"/>
        <v>49440808.869999997</v>
      </c>
      <c r="E58" s="467">
        <f t="shared" si="3"/>
        <v>0</v>
      </c>
      <c r="F58" s="501">
        <f>ROUND(F48+F52+F55,2)</f>
        <v>49440808.869999997</v>
      </c>
      <c r="G58" s="502"/>
      <c r="H58" s="501">
        <f>ROUND(H48+H52+H55,2)</f>
        <v>5059338.72</v>
      </c>
      <c r="I58" s="493">
        <v>0</v>
      </c>
      <c r="J58" s="494">
        <v>44381470.149999999</v>
      </c>
      <c r="K58" s="493">
        <v>0</v>
      </c>
      <c r="L58" s="494">
        <v>44381470.149999999</v>
      </c>
      <c r="M58" s="457"/>
      <c r="N58" s="458"/>
      <c r="O58" s="458"/>
    </row>
    <row r="59" spans="1:15" s="443" customFormat="1" x14ac:dyDescent="0.2">
      <c r="A59" s="478" t="s">
        <v>348</v>
      </c>
      <c r="B59" s="466" t="s">
        <v>640</v>
      </c>
      <c r="C59" s="480">
        <f t="shared" si="1"/>
        <v>0</v>
      </c>
      <c r="D59" s="470">
        <f t="shared" si="2"/>
        <v>0</v>
      </c>
      <c r="E59" s="480"/>
      <c r="F59" s="470"/>
      <c r="G59" s="480"/>
      <c r="H59" s="470"/>
      <c r="I59" s="503">
        <v>0</v>
      </c>
      <c r="J59" s="503">
        <v>0</v>
      </c>
      <c r="K59" s="503">
        <v>0</v>
      </c>
      <c r="L59" s="503">
        <v>0</v>
      </c>
      <c r="M59" s="457"/>
      <c r="N59" s="458"/>
      <c r="O59" s="458"/>
    </row>
    <row r="60" spans="1:15" s="443" customFormat="1" ht="16.5" thickBot="1" x14ac:dyDescent="0.25">
      <c r="A60" s="504" t="s">
        <v>389</v>
      </c>
      <c r="B60" s="505" t="s">
        <v>641</v>
      </c>
      <c r="C60" s="506">
        <f t="shared" si="1"/>
        <v>1907496</v>
      </c>
      <c r="D60" s="507">
        <f t="shared" si="2"/>
        <v>8944694.6999999993</v>
      </c>
      <c r="E60" s="506">
        <f>G60+K60</f>
        <v>1907496</v>
      </c>
      <c r="F60" s="507">
        <f>L60+H60</f>
        <v>8944694.6999999993</v>
      </c>
      <c r="G60" s="506">
        <v>0</v>
      </c>
      <c r="H60" s="508">
        <v>0</v>
      </c>
      <c r="I60" s="503">
        <v>1907496</v>
      </c>
      <c r="J60" s="503">
        <v>8944694.6999999993</v>
      </c>
      <c r="K60" s="503">
        <v>1907496</v>
      </c>
      <c r="L60" s="503">
        <v>8944694.6999999993</v>
      </c>
      <c r="M60" s="457"/>
      <c r="N60" s="458"/>
      <c r="O60" s="458"/>
    </row>
    <row r="61" spans="1:15" s="443" customFormat="1" ht="16.5" thickBot="1" x14ac:dyDescent="0.3">
      <c r="A61" s="509">
        <v>17</v>
      </c>
      <c r="B61" s="965" t="s">
        <v>642</v>
      </c>
      <c r="C61" s="966"/>
      <c r="D61" s="966"/>
      <c r="E61" s="966"/>
      <c r="F61" s="966"/>
      <c r="G61" s="966"/>
      <c r="H61" s="967"/>
      <c r="I61" s="510"/>
      <c r="J61" s="510"/>
      <c r="K61" s="510"/>
      <c r="L61" s="510"/>
      <c r="M61" s="457"/>
      <c r="N61" s="458"/>
      <c r="O61" s="458"/>
    </row>
    <row r="62" spans="1:15" s="443" customFormat="1" x14ac:dyDescent="0.25">
      <c r="A62" s="511">
        <v>18</v>
      </c>
      <c r="B62" s="512" t="s">
        <v>643</v>
      </c>
      <c r="C62" s="513">
        <v>0</v>
      </c>
      <c r="D62" s="507">
        <f>ROUND(D56*0.02,2)</f>
        <v>824013.48</v>
      </c>
      <c r="E62" s="514">
        <v>0</v>
      </c>
      <c r="F62" s="507">
        <f>ROUND(F56*0.02,2)</f>
        <v>824013.48</v>
      </c>
      <c r="G62" s="514">
        <v>0</v>
      </c>
      <c r="H62" s="515">
        <f>ROUND(H56*0.02,2)</f>
        <v>84322.31</v>
      </c>
      <c r="I62" s="503">
        <v>0</v>
      </c>
      <c r="J62" s="510">
        <v>739691.17</v>
      </c>
      <c r="K62" s="510">
        <v>0</v>
      </c>
      <c r="L62" s="510">
        <v>739691.17</v>
      </c>
      <c r="M62" s="785"/>
      <c r="N62" s="458"/>
      <c r="O62" s="458"/>
    </row>
    <row r="63" spans="1:15" s="443" customFormat="1" x14ac:dyDescent="0.25">
      <c r="A63" s="516">
        <v>19</v>
      </c>
      <c r="B63" s="475" t="s">
        <v>385</v>
      </c>
      <c r="C63" s="517">
        <f>ROUND(C62*0.18,2)</f>
        <v>0</v>
      </c>
      <c r="D63" s="476">
        <f>ROUND(D62*0.2,2)</f>
        <v>164802.70000000001</v>
      </c>
      <c r="E63" s="518">
        <f>ROUND(E62*0.18,2)</f>
        <v>0</v>
      </c>
      <c r="F63" s="476">
        <f>ROUND(F62*0.2,2)</f>
        <v>164802.70000000001</v>
      </c>
      <c r="G63" s="518">
        <f>ROUND(G62*0.18,2)</f>
        <v>0</v>
      </c>
      <c r="H63" s="476">
        <f>ROUND(H62*0.2,2)</f>
        <v>16864.46</v>
      </c>
      <c r="I63" s="503">
        <v>0</v>
      </c>
      <c r="J63" s="510">
        <v>147938.23000000001</v>
      </c>
      <c r="K63" s="510">
        <v>0</v>
      </c>
      <c r="L63" s="510">
        <v>147938.23000000001</v>
      </c>
      <c r="M63" s="785"/>
      <c r="N63" s="458"/>
      <c r="O63" s="458"/>
    </row>
    <row r="64" spans="1:15" s="443" customFormat="1" ht="26.25" thickBot="1" x14ac:dyDescent="0.3">
      <c r="A64" s="519">
        <v>20</v>
      </c>
      <c r="B64" s="520" t="s">
        <v>644</v>
      </c>
      <c r="C64" s="521">
        <f t="shared" ref="C64:H64" si="4">C62+C63</f>
        <v>0</v>
      </c>
      <c r="D64" s="462">
        <f t="shared" si="4"/>
        <v>988816.18</v>
      </c>
      <c r="E64" s="522">
        <f t="shared" si="4"/>
        <v>0</v>
      </c>
      <c r="F64" s="462">
        <f t="shared" si="4"/>
        <v>988816.18</v>
      </c>
      <c r="G64" s="522">
        <f t="shared" si="4"/>
        <v>0</v>
      </c>
      <c r="H64" s="462">
        <f t="shared" si="4"/>
        <v>101186.77</v>
      </c>
      <c r="I64" s="503">
        <v>0</v>
      </c>
      <c r="J64" s="510">
        <v>887629.4</v>
      </c>
      <c r="K64" s="510">
        <v>0</v>
      </c>
      <c r="L64" s="510">
        <v>887629.4</v>
      </c>
      <c r="M64" s="785"/>
      <c r="N64" s="458"/>
      <c r="O64" s="458"/>
    </row>
    <row r="65" spans="1:15" s="443" customFormat="1" x14ac:dyDescent="0.25">
      <c r="A65" s="523">
        <v>21</v>
      </c>
      <c r="B65" s="524" t="s">
        <v>645</v>
      </c>
      <c r="C65" s="525" t="s">
        <v>646</v>
      </c>
      <c r="D65" s="515">
        <f t="shared" ref="D65:H67" si="5">D62</f>
        <v>824013.48</v>
      </c>
      <c r="E65" s="526">
        <f t="shared" si="5"/>
        <v>0</v>
      </c>
      <c r="F65" s="515">
        <f t="shared" si="5"/>
        <v>824013.48</v>
      </c>
      <c r="G65" s="526">
        <f t="shared" si="5"/>
        <v>0</v>
      </c>
      <c r="H65" s="515">
        <f t="shared" si="5"/>
        <v>84322.31</v>
      </c>
      <c r="I65" s="503" t="s">
        <v>646</v>
      </c>
      <c r="J65" s="510">
        <v>739691.17</v>
      </c>
      <c r="K65" s="510">
        <v>0</v>
      </c>
      <c r="L65" s="510">
        <v>739691.17</v>
      </c>
      <c r="M65" s="785"/>
      <c r="N65" s="458"/>
      <c r="O65" s="458"/>
    </row>
    <row r="66" spans="1:15" s="443" customFormat="1" x14ac:dyDescent="0.25">
      <c r="A66" s="516">
        <v>22</v>
      </c>
      <c r="B66" s="527" t="s">
        <v>647</v>
      </c>
      <c r="C66" s="528" t="s">
        <v>646</v>
      </c>
      <c r="D66" s="476">
        <f t="shared" si="5"/>
        <v>164802.70000000001</v>
      </c>
      <c r="E66" s="518">
        <f t="shared" si="5"/>
        <v>0</v>
      </c>
      <c r="F66" s="476">
        <f t="shared" si="5"/>
        <v>164802.70000000001</v>
      </c>
      <c r="G66" s="518">
        <f t="shared" si="5"/>
        <v>0</v>
      </c>
      <c r="H66" s="476">
        <f t="shared" si="5"/>
        <v>16864.46</v>
      </c>
      <c r="I66" s="503" t="s">
        <v>646</v>
      </c>
      <c r="J66" s="510">
        <v>147938.23000000001</v>
      </c>
      <c r="K66" s="510">
        <v>0</v>
      </c>
      <c r="L66" s="510">
        <v>147938.23000000001</v>
      </c>
      <c r="M66" s="785"/>
      <c r="N66" s="458"/>
      <c r="O66" s="458"/>
    </row>
    <row r="67" spans="1:15" s="443" customFormat="1" ht="27" customHeight="1" thickBot="1" x14ac:dyDescent="0.3">
      <c r="A67" s="529">
        <v>23</v>
      </c>
      <c r="B67" s="530" t="s">
        <v>648</v>
      </c>
      <c r="C67" s="531" t="s">
        <v>646</v>
      </c>
      <c r="D67" s="532">
        <f t="shared" si="5"/>
        <v>988816.18</v>
      </c>
      <c r="E67" s="533">
        <f t="shared" si="5"/>
        <v>0</v>
      </c>
      <c r="F67" s="532">
        <f t="shared" si="5"/>
        <v>988816.18</v>
      </c>
      <c r="G67" s="533">
        <f t="shared" si="5"/>
        <v>0</v>
      </c>
      <c r="H67" s="532">
        <f t="shared" si="5"/>
        <v>101186.77</v>
      </c>
      <c r="I67" s="503" t="s">
        <v>646</v>
      </c>
      <c r="J67" s="510">
        <v>887629.4</v>
      </c>
      <c r="K67" s="510">
        <v>0</v>
      </c>
      <c r="L67" s="510">
        <v>887629.4</v>
      </c>
      <c r="M67" s="785"/>
      <c r="N67" s="458"/>
      <c r="O67" s="458"/>
    </row>
    <row r="68" spans="1:15" s="443" customFormat="1" x14ac:dyDescent="0.25">
      <c r="A68" s="534">
        <v>24</v>
      </c>
      <c r="B68" s="524" t="s">
        <v>649</v>
      </c>
      <c r="C68" s="525" t="s">
        <v>646</v>
      </c>
      <c r="D68" s="515">
        <f t="shared" ref="D68:H69" si="6">D56-D65</f>
        <v>40376660.579999998</v>
      </c>
      <c r="E68" s="526">
        <f t="shared" si="6"/>
        <v>0</v>
      </c>
      <c r="F68" s="515">
        <f t="shared" si="6"/>
        <v>40376660.579999998</v>
      </c>
      <c r="G68" s="526">
        <f t="shared" si="6"/>
        <v>0</v>
      </c>
      <c r="H68" s="515">
        <f t="shared" si="6"/>
        <v>4131793.29</v>
      </c>
      <c r="I68" s="503" t="s">
        <v>646</v>
      </c>
      <c r="J68" s="510">
        <v>36244867.289999999</v>
      </c>
      <c r="K68" s="510">
        <v>0</v>
      </c>
      <c r="L68" s="510">
        <v>36244867.289999999</v>
      </c>
      <c r="M68" s="785"/>
      <c r="N68" s="458"/>
      <c r="O68" s="458"/>
    </row>
    <row r="69" spans="1:15" s="443" customFormat="1" x14ac:dyDescent="0.25">
      <c r="A69" s="535">
        <v>25</v>
      </c>
      <c r="B69" s="527" t="s">
        <v>650</v>
      </c>
      <c r="C69" s="528" t="s">
        <v>646</v>
      </c>
      <c r="D69" s="476">
        <f t="shared" si="6"/>
        <v>8075332.1100000003</v>
      </c>
      <c r="E69" s="518">
        <f t="shared" si="6"/>
        <v>0</v>
      </c>
      <c r="F69" s="476">
        <f t="shared" si="6"/>
        <v>8075332.1100000003</v>
      </c>
      <c r="G69" s="518">
        <f t="shared" si="6"/>
        <v>0</v>
      </c>
      <c r="H69" s="476">
        <f t="shared" si="6"/>
        <v>826358.66</v>
      </c>
      <c r="I69" s="503" t="s">
        <v>646</v>
      </c>
      <c r="J69" s="510">
        <v>7248973.46</v>
      </c>
      <c r="K69" s="510">
        <v>0</v>
      </c>
      <c r="L69" s="510">
        <v>7248973.46</v>
      </c>
      <c r="M69" s="785"/>
      <c r="N69" s="458"/>
      <c r="O69" s="458"/>
    </row>
    <row r="70" spans="1:15" s="443" customFormat="1" ht="15" customHeight="1" thickBot="1" x14ac:dyDescent="0.3">
      <c r="A70" s="536">
        <v>26</v>
      </c>
      <c r="B70" s="537" t="s">
        <v>651</v>
      </c>
      <c r="C70" s="538" t="s">
        <v>646</v>
      </c>
      <c r="D70" s="532">
        <f>D58-D67</f>
        <v>48451992.689999998</v>
      </c>
      <c r="E70" s="533">
        <f>E68+E69</f>
        <v>0</v>
      </c>
      <c r="F70" s="532">
        <f>F58-F67</f>
        <v>48451992.689999998</v>
      </c>
      <c r="G70" s="533">
        <f>G68+G69</f>
        <v>0</v>
      </c>
      <c r="H70" s="532">
        <f>H58-H67</f>
        <v>4958151.95</v>
      </c>
      <c r="I70" s="503" t="s">
        <v>646</v>
      </c>
      <c r="J70" s="510">
        <v>43493840.75</v>
      </c>
      <c r="K70" s="510">
        <v>0</v>
      </c>
      <c r="L70" s="510">
        <v>43493840.75</v>
      </c>
      <c r="M70" s="785"/>
      <c r="N70" s="458"/>
      <c r="O70" s="458"/>
    </row>
    <row r="71" spans="1:15" s="443" customFormat="1" ht="23.25" customHeight="1" x14ac:dyDescent="0.25">
      <c r="A71" s="439"/>
      <c r="B71" s="439"/>
      <c r="C71" s="439"/>
      <c r="D71" s="539"/>
      <c r="E71" s="439"/>
      <c r="F71" s="539"/>
      <c r="G71" s="439"/>
      <c r="H71" s="539"/>
      <c r="I71" s="540"/>
      <c r="J71" s="444"/>
      <c r="K71" s="444"/>
      <c r="L71" s="444"/>
    </row>
    <row r="72" spans="1:15" s="443" customFormat="1" ht="20.25" customHeight="1" x14ac:dyDescent="0.25">
      <c r="A72" s="439"/>
      <c r="B72" s="439"/>
      <c r="C72" s="439"/>
      <c r="D72" s="539"/>
      <c r="E72" s="439"/>
      <c r="F72" s="539"/>
      <c r="G72" s="439"/>
      <c r="H72" s="539"/>
      <c r="I72" s="540"/>
      <c r="J72" s="444"/>
      <c r="K72" s="444"/>
      <c r="L72" s="444"/>
    </row>
    <row r="73" spans="1:15" s="443" customFormat="1" ht="17.25" customHeight="1" x14ac:dyDescent="0.25">
      <c r="A73" s="439"/>
      <c r="B73" s="541" t="s">
        <v>45</v>
      </c>
      <c r="C73" s="541"/>
      <c r="D73" s="541"/>
      <c r="E73" s="541"/>
      <c r="F73" s="541"/>
      <c r="G73" s="541"/>
      <c r="H73" s="541"/>
      <c r="I73" s="542"/>
      <c r="J73" s="444"/>
      <c r="K73" s="444"/>
      <c r="L73" s="444"/>
    </row>
    <row r="74" spans="1:15" s="443" customFormat="1" ht="36" customHeight="1" x14ac:dyDescent="0.25">
      <c r="A74" s="439"/>
      <c r="B74" s="543" t="s">
        <v>652</v>
      </c>
      <c r="C74" s="544" t="s">
        <v>653</v>
      </c>
      <c r="D74" s="544"/>
      <c r="E74" s="544"/>
      <c r="F74" s="544"/>
      <c r="G74" s="544"/>
      <c r="H74" s="545" t="s">
        <v>610</v>
      </c>
      <c r="I74" s="540"/>
      <c r="J74" s="444"/>
      <c r="K74" s="444"/>
      <c r="L74" s="444"/>
    </row>
    <row r="75" spans="1:15" s="443" customFormat="1" x14ac:dyDescent="0.25">
      <c r="A75" s="439"/>
      <c r="B75" s="411" t="s">
        <v>654</v>
      </c>
      <c r="C75" s="546"/>
      <c r="D75" s="546"/>
      <c r="E75" s="546"/>
      <c r="F75" s="546"/>
      <c r="G75" s="546"/>
      <c r="H75" s="541"/>
      <c r="I75" s="540"/>
      <c r="J75" s="444"/>
      <c r="K75" s="444"/>
      <c r="L75" s="444"/>
    </row>
    <row r="76" spans="1:15" s="443" customFormat="1" x14ac:dyDescent="0.25">
      <c r="A76" s="439"/>
      <c r="B76" s="541"/>
      <c r="C76" s="546"/>
      <c r="D76" s="546"/>
      <c r="E76" s="546"/>
      <c r="F76" s="546"/>
      <c r="G76" s="546"/>
      <c r="H76" s="547"/>
      <c r="I76" s="542"/>
      <c r="J76" s="444"/>
      <c r="K76" s="444"/>
      <c r="L76" s="444"/>
    </row>
    <row r="77" spans="1:15" s="443" customFormat="1" x14ac:dyDescent="0.25">
      <c r="A77" s="439"/>
      <c r="B77" s="541" t="s">
        <v>310</v>
      </c>
      <c r="C77" s="541"/>
      <c r="D77" s="541"/>
      <c r="E77" s="541"/>
      <c r="F77" s="541"/>
      <c r="G77" s="541"/>
      <c r="H77" s="541"/>
      <c r="I77" s="451"/>
      <c r="J77" s="444"/>
      <c r="K77" s="444"/>
      <c r="L77" s="444"/>
    </row>
    <row r="78" spans="1:15" s="443" customFormat="1" ht="37.5" customHeight="1" x14ac:dyDescent="0.25">
      <c r="A78" s="439"/>
      <c r="B78" s="543" t="s">
        <v>655</v>
      </c>
      <c r="C78" s="544" t="s">
        <v>653</v>
      </c>
      <c r="D78" s="544"/>
      <c r="E78" s="544"/>
      <c r="F78" s="544"/>
      <c r="G78" s="544"/>
      <c r="H78" s="548" t="s">
        <v>656</v>
      </c>
      <c r="I78" s="444"/>
      <c r="J78" s="444"/>
      <c r="K78" s="444"/>
      <c r="L78" s="444"/>
    </row>
    <row r="79" spans="1:15" s="443" customFormat="1" x14ac:dyDescent="0.25">
      <c r="A79" s="439"/>
      <c r="B79" s="411" t="s">
        <v>654</v>
      </c>
      <c r="C79" s="541"/>
      <c r="D79" s="541"/>
      <c r="E79" s="546"/>
      <c r="F79" s="546"/>
      <c r="G79" s="546"/>
      <c r="H79" s="546"/>
      <c r="I79" s="444"/>
      <c r="J79" s="444"/>
      <c r="K79" s="444"/>
      <c r="L79" s="444"/>
    </row>
  </sheetData>
  <mergeCells count="44">
    <mergeCell ref="B61:H61"/>
    <mergeCell ref="A34:H34"/>
    <mergeCell ref="A35:H35"/>
    <mergeCell ref="A37:A42"/>
    <mergeCell ref="B37:B42"/>
    <mergeCell ref="C37:H37"/>
    <mergeCell ref="C38:D39"/>
    <mergeCell ref="E38:F39"/>
    <mergeCell ref="G38:H39"/>
    <mergeCell ref="C40:C42"/>
    <mergeCell ref="D40:D42"/>
    <mergeCell ref="E40:E42"/>
    <mergeCell ref="F40:F42"/>
    <mergeCell ref="G40:G42"/>
    <mergeCell ref="H40:H42"/>
    <mergeCell ref="F29:F30"/>
    <mergeCell ref="G29:H29"/>
    <mergeCell ref="A19:E19"/>
    <mergeCell ref="G19:H20"/>
    <mergeCell ref="A20:E20"/>
    <mergeCell ref="A21:E21"/>
    <mergeCell ref="G21:H22"/>
    <mergeCell ref="A22:E22"/>
    <mergeCell ref="A23:E23"/>
    <mergeCell ref="G24:H24"/>
    <mergeCell ref="G25:H25"/>
    <mergeCell ref="G26:H26"/>
    <mergeCell ref="G27:H27"/>
    <mergeCell ref="A15:E15"/>
    <mergeCell ref="G15:H16"/>
    <mergeCell ref="A16:E16"/>
    <mergeCell ref="A17:E17"/>
    <mergeCell ref="G17:H18"/>
    <mergeCell ref="A18:E18"/>
    <mergeCell ref="G11:H12"/>
    <mergeCell ref="A12:E12"/>
    <mergeCell ref="A13:E13"/>
    <mergeCell ref="G13:H14"/>
    <mergeCell ref="A14:E14"/>
    <mergeCell ref="G9:H9"/>
    <mergeCell ref="G5:H5"/>
    <mergeCell ref="G6:H6"/>
    <mergeCell ref="G7:H7"/>
    <mergeCell ref="G10:H10"/>
  </mergeCells>
  <pageMargins left="0.78740157480314965" right="0" top="0.39370078740157483" bottom="0.39370078740157483" header="0.31496062992125984" footer="0.31496062992125984"/>
  <pageSetup paperSize="9" scale="61" fitToHeight="0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48"/>
  <sheetViews>
    <sheetView view="pageBreakPreview" topLeftCell="A23" zoomScale="55" zoomScaleNormal="55" zoomScaleSheetLayoutView="55" workbookViewId="0">
      <selection activeCell="C18" sqref="C18:E26"/>
    </sheetView>
  </sheetViews>
  <sheetFormatPr defaultRowHeight="25.5" outlineLevelRow="1" x14ac:dyDescent="0.2"/>
  <cols>
    <col min="1" max="1" width="6.1640625" style="206" customWidth="1"/>
    <col min="2" max="2" width="12.83203125" style="207" customWidth="1"/>
    <col min="3" max="3" width="23" style="208" customWidth="1"/>
    <col min="4" max="4" width="24" style="208" customWidth="1"/>
    <col min="5" max="5" width="62.33203125" style="209" customWidth="1"/>
    <col min="6" max="7" width="26.1640625" style="209" customWidth="1"/>
    <col min="8" max="8" width="24.6640625" style="209" customWidth="1"/>
    <col min="9" max="9" width="19.1640625" style="209" hidden="1" customWidth="1"/>
    <col min="10" max="10" width="22" style="209" hidden="1" customWidth="1"/>
    <col min="11" max="11" width="22.1640625" style="209" hidden="1" customWidth="1"/>
    <col min="12" max="12" width="25.33203125" style="209" customWidth="1"/>
    <col min="13" max="14" width="21.6640625" style="209" customWidth="1"/>
    <col min="15" max="15" width="20.6640625" style="209" customWidth="1"/>
    <col min="16" max="16" width="22.6640625" style="209" customWidth="1"/>
    <col min="17" max="19" width="22.83203125" style="209" hidden="1" customWidth="1"/>
    <col min="20" max="21" width="18" style="209" hidden="1" customWidth="1"/>
    <col min="22" max="22" width="23.5" style="209" hidden="1" customWidth="1"/>
    <col min="23" max="23" width="23.83203125" style="209" hidden="1" customWidth="1"/>
    <col min="24" max="24" width="22.1640625" style="209" hidden="1" customWidth="1"/>
    <col min="25" max="25" width="22.83203125" style="209" hidden="1" customWidth="1"/>
    <col min="26" max="26" width="19.5" style="209" customWidth="1"/>
    <col min="27" max="27" width="22" style="209" customWidth="1"/>
    <col min="28" max="28" width="22.6640625" style="209" customWidth="1"/>
    <col min="29" max="29" width="28" style="210" customWidth="1"/>
    <col min="30" max="30" width="28.5" style="210" customWidth="1"/>
    <col min="31" max="31" width="27.1640625" style="210" customWidth="1"/>
    <col min="32" max="32" width="31" style="210" customWidth="1"/>
    <col min="33" max="33" width="35.33203125" style="211" customWidth="1"/>
    <col min="34" max="34" width="29.83203125" style="384" bestFit="1" customWidth="1"/>
    <col min="35" max="35" width="29.83203125" style="212" bestFit="1" customWidth="1"/>
    <col min="36" max="36" width="9.33203125" style="212"/>
    <col min="37" max="37" width="31.5" style="212" customWidth="1"/>
    <col min="38" max="261" width="9.33203125" style="212"/>
    <col min="262" max="262" width="6.1640625" style="212" customWidth="1"/>
    <col min="263" max="263" width="9.1640625" style="212" customWidth="1"/>
    <col min="264" max="264" width="29.33203125" style="212" customWidth="1"/>
    <col min="265" max="265" width="43.6640625" style="212" customWidth="1"/>
    <col min="266" max="266" width="20" style="212" bestFit="1" customWidth="1"/>
    <col min="267" max="267" width="18" style="212" bestFit="1" customWidth="1"/>
    <col min="268" max="268" width="19.33203125" style="212" customWidth="1"/>
    <col min="269" max="269" width="19" style="212" bestFit="1" customWidth="1"/>
    <col min="270" max="270" width="16.6640625" style="212" bestFit="1" customWidth="1"/>
    <col min="271" max="271" width="19.33203125" style="212" bestFit="1" customWidth="1"/>
    <col min="272" max="272" width="15.33203125" style="212" bestFit="1" customWidth="1"/>
    <col min="273" max="275" width="16.6640625" style="212" bestFit="1" customWidth="1"/>
    <col min="276" max="276" width="18" style="212" bestFit="1" customWidth="1"/>
    <col min="277" max="279" width="0" style="212" hidden="1" customWidth="1"/>
    <col min="280" max="280" width="16.5" style="212" bestFit="1" customWidth="1"/>
    <col min="281" max="281" width="17.33203125" style="212" customWidth="1"/>
    <col min="282" max="282" width="16.6640625" style="212" customWidth="1"/>
    <col min="283" max="283" width="14.1640625" style="212" bestFit="1" customWidth="1"/>
    <col min="284" max="284" width="16.6640625" style="212" bestFit="1" customWidth="1"/>
    <col min="285" max="285" width="16.5" style="212" bestFit="1" customWidth="1"/>
    <col min="286" max="286" width="18" style="212" bestFit="1" customWidth="1"/>
    <col min="287" max="287" width="19.33203125" style="212" bestFit="1" customWidth="1"/>
    <col min="288" max="288" width="20.33203125" style="212" bestFit="1" customWidth="1"/>
    <col min="289" max="289" width="29" style="212" customWidth="1"/>
    <col min="290" max="291" width="29.83203125" style="212" bestFit="1" customWidth="1"/>
    <col min="292" max="292" width="9.33203125" style="212"/>
    <col min="293" max="293" width="31.5" style="212" customWidth="1"/>
    <col min="294" max="517" width="9.33203125" style="212"/>
    <col min="518" max="518" width="6.1640625" style="212" customWidth="1"/>
    <col min="519" max="519" width="9.1640625" style="212" customWidth="1"/>
    <col min="520" max="520" width="29.33203125" style="212" customWidth="1"/>
    <col min="521" max="521" width="43.6640625" style="212" customWidth="1"/>
    <col min="522" max="522" width="20" style="212" bestFit="1" customWidth="1"/>
    <col min="523" max="523" width="18" style="212" bestFit="1" customWidth="1"/>
    <col min="524" max="524" width="19.33203125" style="212" customWidth="1"/>
    <col min="525" max="525" width="19" style="212" bestFit="1" customWidth="1"/>
    <col min="526" max="526" width="16.6640625" style="212" bestFit="1" customWidth="1"/>
    <col min="527" max="527" width="19.33203125" style="212" bestFit="1" customWidth="1"/>
    <col min="528" max="528" width="15.33203125" style="212" bestFit="1" customWidth="1"/>
    <col min="529" max="531" width="16.6640625" style="212" bestFit="1" customWidth="1"/>
    <col min="532" max="532" width="18" style="212" bestFit="1" customWidth="1"/>
    <col min="533" max="535" width="0" style="212" hidden="1" customWidth="1"/>
    <col min="536" max="536" width="16.5" style="212" bestFit="1" customWidth="1"/>
    <col min="537" max="537" width="17.33203125" style="212" customWidth="1"/>
    <col min="538" max="538" width="16.6640625" style="212" customWidth="1"/>
    <col min="539" max="539" width="14.1640625" style="212" bestFit="1" customWidth="1"/>
    <col min="540" max="540" width="16.6640625" style="212" bestFit="1" customWidth="1"/>
    <col min="541" max="541" width="16.5" style="212" bestFit="1" customWidth="1"/>
    <col min="542" max="542" width="18" style="212" bestFit="1" customWidth="1"/>
    <col min="543" max="543" width="19.33203125" style="212" bestFit="1" customWidth="1"/>
    <col min="544" max="544" width="20.33203125" style="212" bestFit="1" customWidth="1"/>
    <col min="545" max="545" width="29" style="212" customWidth="1"/>
    <col min="546" max="547" width="29.83203125" style="212" bestFit="1" customWidth="1"/>
    <col min="548" max="548" width="9.33203125" style="212"/>
    <col min="549" max="549" width="31.5" style="212" customWidth="1"/>
    <col min="550" max="773" width="9.33203125" style="212"/>
    <col min="774" max="774" width="6.1640625" style="212" customWidth="1"/>
    <col min="775" max="775" width="9.1640625" style="212" customWidth="1"/>
    <col min="776" max="776" width="29.33203125" style="212" customWidth="1"/>
    <col min="777" max="777" width="43.6640625" style="212" customWidth="1"/>
    <col min="778" max="778" width="20" style="212" bestFit="1" customWidth="1"/>
    <col min="779" max="779" width="18" style="212" bestFit="1" customWidth="1"/>
    <col min="780" max="780" width="19.33203125" style="212" customWidth="1"/>
    <col min="781" max="781" width="19" style="212" bestFit="1" customWidth="1"/>
    <col min="782" max="782" width="16.6640625" style="212" bestFit="1" customWidth="1"/>
    <col min="783" max="783" width="19.33203125" style="212" bestFit="1" customWidth="1"/>
    <col min="784" max="784" width="15.33203125" style="212" bestFit="1" customWidth="1"/>
    <col min="785" max="787" width="16.6640625" style="212" bestFit="1" customWidth="1"/>
    <col min="788" max="788" width="18" style="212" bestFit="1" customWidth="1"/>
    <col min="789" max="791" width="0" style="212" hidden="1" customWidth="1"/>
    <col min="792" max="792" width="16.5" style="212" bestFit="1" customWidth="1"/>
    <col min="793" max="793" width="17.33203125" style="212" customWidth="1"/>
    <col min="794" max="794" width="16.6640625" style="212" customWidth="1"/>
    <col min="795" max="795" width="14.1640625" style="212" bestFit="1" customWidth="1"/>
    <col min="796" max="796" width="16.6640625" style="212" bestFit="1" customWidth="1"/>
    <col min="797" max="797" width="16.5" style="212" bestFit="1" customWidth="1"/>
    <col min="798" max="798" width="18" style="212" bestFit="1" customWidth="1"/>
    <col min="799" max="799" width="19.33203125" style="212" bestFit="1" customWidth="1"/>
    <col min="800" max="800" width="20.33203125" style="212" bestFit="1" customWidth="1"/>
    <col min="801" max="801" width="29" style="212" customWidth="1"/>
    <col min="802" max="803" width="29.83203125" style="212" bestFit="1" customWidth="1"/>
    <col min="804" max="804" width="9.33203125" style="212"/>
    <col min="805" max="805" width="31.5" style="212" customWidth="1"/>
    <col min="806" max="1029" width="9.33203125" style="212"/>
    <col min="1030" max="1030" width="6.1640625" style="212" customWidth="1"/>
    <col min="1031" max="1031" width="9.1640625" style="212" customWidth="1"/>
    <col min="1032" max="1032" width="29.33203125" style="212" customWidth="1"/>
    <col min="1033" max="1033" width="43.6640625" style="212" customWidth="1"/>
    <col min="1034" max="1034" width="20" style="212" bestFit="1" customWidth="1"/>
    <col min="1035" max="1035" width="18" style="212" bestFit="1" customWidth="1"/>
    <col min="1036" max="1036" width="19.33203125" style="212" customWidth="1"/>
    <col min="1037" max="1037" width="19" style="212" bestFit="1" customWidth="1"/>
    <col min="1038" max="1038" width="16.6640625" style="212" bestFit="1" customWidth="1"/>
    <col min="1039" max="1039" width="19.33203125" style="212" bestFit="1" customWidth="1"/>
    <col min="1040" max="1040" width="15.33203125" style="212" bestFit="1" customWidth="1"/>
    <col min="1041" max="1043" width="16.6640625" style="212" bestFit="1" customWidth="1"/>
    <col min="1044" max="1044" width="18" style="212" bestFit="1" customWidth="1"/>
    <col min="1045" max="1047" width="0" style="212" hidden="1" customWidth="1"/>
    <col min="1048" max="1048" width="16.5" style="212" bestFit="1" customWidth="1"/>
    <col min="1049" max="1049" width="17.33203125" style="212" customWidth="1"/>
    <col min="1050" max="1050" width="16.6640625" style="212" customWidth="1"/>
    <col min="1051" max="1051" width="14.1640625" style="212" bestFit="1" customWidth="1"/>
    <col min="1052" max="1052" width="16.6640625" style="212" bestFit="1" customWidth="1"/>
    <col min="1053" max="1053" width="16.5" style="212" bestFit="1" customWidth="1"/>
    <col min="1054" max="1054" width="18" style="212" bestFit="1" customWidth="1"/>
    <col min="1055" max="1055" width="19.33203125" style="212" bestFit="1" customWidth="1"/>
    <col min="1056" max="1056" width="20.33203125" style="212" bestFit="1" customWidth="1"/>
    <col min="1057" max="1057" width="29" style="212" customWidth="1"/>
    <col min="1058" max="1059" width="29.83203125" style="212" bestFit="1" customWidth="1"/>
    <col min="1060" max="1060" width="9.33203125" style="212"/>
    <col min="1061" max="1061" width="31.5" style="212" customWidth="1"/>
    <col min="1062" max="1285" width="9.33203125" style="212"/>
    <col min="1286" max="1286" width="6.1640625" style="212" customWidth="1"/>
    <col min="1287" max="1287" width="9.1640625" style="212" customWidth="1"/>
    <col min="1288" max="1288" width="29.33203125" style="212" customWidth="1"/>
    <col min="1289" max="1289" width="43.6640625" style="212" customWidth="1"/>
    <col min="1290" max="1290" width="20" style="212" bestFit="1" customWidth="1"/>
    <col min="1291" max="1291" width="18" style="212" bestFit="1" customWidth="1"/>
    <col min="1292" max="1292" width="19.33203125" style="212" customWidth="1"/>
    <col min="1293" max="1293" width="19" style="212" bestFit="1" customWidth="1"/>
    <col min="1294" max="1294" width="16.6640625" style="212" bestFit="1" customWidth="1"/>
    <col min="1295" max="1295" width="19.33203125" style="212" bestFit="1" customWidth="1"/>
    <col min="1296" max="1296" width="15.33203125" style="212" bestFit="1" customWidth="1"/>
    <col min="1297" max="1299" width="16.6640625" style="212" bestFit="1" customWidth="1"/>
    <col min="1300" max="1300" width="18" style="212" bestFit="1" customWidth="1"/>
    <col min="1301" max="1303" width="0" style="212" hidden="1" customWidth="1"/>
    <col min="1304" max="1304" width="16.5" style="212" bestFit="1" customWidth="1"/>
    <col min="1305" max="1305" width="17.33203125" style="212" customWidth="1"/>
    <col min="1306" max="1306" width="16.6640625" style="212" customWidth="1"/>
    <col min="1307" max="1307" width="14.1640625" style="212" bestFit="1" customWidth="1"/>
    <col min="1308" max="1308" width="16.6640625" style="212" bestFit="1" customWidth="1"/>
    <col min="1309" max="1309" width="16.5" style="212" bestFit="1" customWidth="1"/>
    <col min="1310" max="1310" width="18" style="212" bestFit="1" customWidth="1"/>
    <col min="1311" max="1311" width="19.33203125" style="212" bestFit="1" customWidth="1"/>
    <col min="1312" max="1312" width="20.33203125" style="212" bestFit="1" customWidth="1"/>
    <col min="1313" max="1313" width="29" style="212" customWidth="1"/>
    <col min="1314" max="1315" width="29.83203125" style="212" bestFit="1" customWidth="1"/>
    <col min="1316" max="1316" width="9.33203125" style="212"/>
    <col min="1317" max="1317" width="31.5" style="212" customWidth="1"/>
    <col min="1318" max="1541" width="9.33203125" style="212"/>
    <col min="1542" max="1542" width="6.1640625" style="212" customWidth="1"/>
    <col min="1543" max="1543" width="9.1640625" style="212" customWidth="1"/>
    <col min="1544" max="1544" width="29.33203125" style="212" customWidth="1"/>
    <col min="1545" max="1545" width="43.6640625" style="212" customWidth="1"/>
    <col min="1546" max="1546" width="20" style="212" bestFit="1" customWidth="1"/>
    <col min="1547" max="1547" width="18" style="212" bestFit="1" customWidth="1"/>
    <col min="1548" max="1548" width="19.33203125" style="212" customWidth="1"/>
    <col min="1549" max="1549" width="19" style="212" bestFit="1" customWidth="1"/>
    <col min="1550" max="1550" width="16.6640625" style="212" bestFit="1" customWidth="1"/>
    <col min="1551" max="1551" width="19.33203125" style="212" bestFit="1" customWidth="1"/>
    <col min="1552" max="1552" width="15.33203125" style="212" bestFit="1" customWidth="1"/>
    <col min="1553" max="1555" width="16.6640625" style="212" bestFit="1" customWidth="1"/>
    <col min="1556" max="1556" width="18" style="212" bestFit="1" customWidth="1"/>
    <col min="1557" max="1559" width="0" style="212" hidden="1" customWidth="1"/>
    <col min="1560" max="1560" width="16.5" style="212" bestFit="1" customWidth="1"/>
    <col min="1561" max="1561" width="17.33203125" style="212" customWidth="1"/>
    <col min="1562" max="1562" width="16.6640625" style="212" customWidth="1"/>
    <col min="1563" max="1563" width="14.1640625" style="212" bestFit="1" customWidth="1"/>
    <col min="1564" max="1564" width="16.6640625" style="212" bestFit="1" customWidth="1"/>
    <col min="1565" max="1565" width="16.5" style="212" bestFit="1" customWidth="1"/>
    <col min="1566" max="1566" width="18" style="212" bestFit="1" customWidth="1"/>
    <col min="1567" max="1567" width="19.33203125" style="212" bestFit="1" customWidth="1"/>
    <col min="1568" max="1568" width="20.33203125" style="212" bestFit="1" customWidth="1"/>
    <col min="1569" max="1569" width="29" style="212" customWidth="1"/>
    <col min="1570" max="1571" width="29.83203125" style="212" bestFit="1" customWidth="1"/>
    <col min="1572" max="1572" width="9.33203125" style="212"/>
    <col min="1573" max="1573" width="31.5" style="212" customWidth="1"/>
    <col min="1574" max="1797" width="9.33203125" style="212"/>
    <col min="1798" max="1798" width="6.1640625" style="212" customWidth="1"/>
    <col min="1799" max="1799" width="9.1640625" style="212" customWidth="1"/>
    <col min="1800" max="1800" width="29.33203125" style="212" customWidth="1"/>
    <col min="1801" max="1801" width="43.6640625" style="212" customWidth="1"/>
    <col min="1802" max="1802" width="20" style="212" bestFit="1" customWidth="1"/>
    <col min="1803" max="1803" width="18" style="212" bestFit="1" customWidth="1"/>
    <col min="1804" max="1804" width="19.33203125" style="212" customWidth="1"/>
    <col min="1805" max="1805" width="19" style="212" bestFit="1" customWidth="1"/>
    <col min="1806" max="1806" width="16.6640625" style="212" bestFit="1" customWidth="1"/>
    <col min="1807" max="1807" width="19.33203125" style="212" bestFit="1" customWidth="1"/>
    <col min="1808" max="1808" width="15.33203125" style="212" bestFit="1" customWidth="1"/>
    <col min="1809" max="1811" width="16.6640625" style="212" bestFit="1" customWidth="1"/>
    <col min="1812" max="1812" width="18" style="212" bestFit="1" customWidth="1"/>
    <col min="1813" max="1815" width="0" style="212" hidden="1" customWidth="1"/>
    <col min="1816" max="1816" width="16.5" style="212" bestFit="1" customWidth="1"/>
    <col min="1817" max="1817" width="17.33203125" style="212" customWidth="1"/>
    <col min="1818" max="1818" width="16.6640625" style="212" customWidth="1"/>
    <col min="1819" max="1819" width="14.1640625" style="212" bestFit="1" customWidth="1"/>
    <col min="1820" max="1820" width="16.6640625" style="212" bestFit="1" customWidth="1"/>
    <col min="1821" max="1821" width="16.5" style="212" bestFit="1" customWidth="1"/>
    <col min="1822" max="1822" width="18" style="212" bestFit="1" customWidth="1"/>
    <col min="1823" max="1823" width="19.33203125" style="212" bestFit="1" customWidth="1"/>
    <col min="1824" max="1824" width="20.33203125" style="212" bestFit="1" customWidth="1"/>
    <col min="1825" max="1825" width="29" style="212" customWidth="1"/>
    <col min="1826" max="1827" width="29.83203125" style="212" bestFit="1" customWidth="1"/>
    <col min="1828" max="1828" width="9.33203125" style="212"/>
    <col min="1829" max="1829" width="31.5" style="212" customWidth="1"/>
    <col min="1830" max="2053" width="9.33203125" style="212"/>
    <col min="2054" max="2054" width="6.1640625" style="212" customWidth="1"/>
    <col min="2055" max="2055" width="9.1640625" style="212" customWidth="1"/>
    <col min="2056" max="2056" width="29.33203125" style="212" customWidth="1"/>
    <col min="2057" max="2057" width="43.6640625" style="212" customWidth="1"/>
    <col min="2058" max="2058" width="20" style="212" bestFit="1" customWidth="1"/>
    <col min="2059" max="2059" width="18" style="212" bestFit="1" customWidth="1"/>
    <col min="2060" max="2060" width="19.33203125" style="212" customWidth="1"/>
    <col min="2061" max="2061" width="19" style="212" bestFit="1" customWidth="1"/>
    <col min="2062" max="2062" width="16.6640625" style="212" bestFit="1" customWidth="1"/>
    <col min="2063" max="2063" width="19.33203125" style="212" bestFit="1" customWidth="1"/>
    <col min="2064" max="2064" width="15.33203125" style="212" bestFit="1" customWidth="1"/>
    <col min="2065" max="2067" width="16.6640625" style="212" bestFit="1" customWidth="1"/>
    <col min="2068" max="2068" width="18" style="212" bestFit="1" customWidth="1"/>
    <col min="2069" max="2071" width="0" style="212" hidden="1" customWidth="1"/>
    <col min="2072" max="2072" width="16.5" style="212" bestFit="1" customWidth="1"/>
    <col min="2073" max="2073" width="17.33203125" style="212" customWidth="1"/>
    <col min="2074" max="2074" width="16.6640625" style="212" customWidth="1"/>
    <col min="2075" max="2075" width="14.1640625" style="212" bestFit="1" customWidth="1"/>
    <col min="2076" max="2076" width="16.6640625" style="212" bestFit="1" customWidth="1"/>
    <col min="2077" max="2077" width="16.5" style="212" bestFit="1" customWidth="1"/>
    <col min="2078" max="2078" width="18" style="212" bestFit="1" customWidth="1"/>
    <col min="2079" max="2079" width="19.33203125" style="212" bestFit="1" customWidth="1"/>
    <col min="2080" max="2080" width="20.33203125" style="212" bestFit="1" customWidth="1"/>
    <col min="2081" max="2081" width="29" style="212" customWidth="1"/>
    <col min="2082" max="2083" width="29.83203125" style="212" bestFit="1" customWidth="1"/>
    <col min="2084" max="2084" width="9.33203125" style="212"/>
    <col min="2085" max="2085" width="31.5" style="212" customWidth="1"/>
    <col min="2086" max="2309" width="9.33203125" style="212"/>
    <col min="2310" max="2310" width="6.1640625" style="212" customWidth="1"/>
    <col min="2311" max="2311" width="9.1640625" style="212" customWidth="1"/>
    <col min="2312" max="2312" width="29.33203125" style="212" customWidth="1"/>
    <col min="2313" max="2313" width="43.6640625" style="212" customWidth="1"/>
    <col min="2314" max="2314" width="20" style="212" bestFit="1" customWidth="1"/>
    <col min="2315" max="2315" width="18" style="212" bestFit="1" customWidth="1"/>
    <col min="2316" max="2316" width="19.33203125" style="212" customWidth="1"/>
    <col min="2317" max="2317" width="19" style="212" bestFit="1" customWidth="1"/>
    <col min="2318" max="2318" width="16.6640625" style="212" bestFit="1" customWidth="1"/>
    <col min="2319" max="2319" width="19.33203125" style="212" bestFit="1" customWidth="1"/>
    <col min="2320" max="2320" width="15.33203125" style="212" bestFit="1" customWidth="1"/>
    <col min="2321" max="2323" width="16.6640625" style="212" bestFit="1" customWidth="1"/>
    <col min="2324" max="2324" width="18" style="212" bestFit="1" customWidth="1"/>
    <col min="2325" max="2327" width="0" style="212" hidden="1" customWidth="1"/>
    <col min="2328" max="2328" width="16.5" style="212" bestFit="1" customWidth="1"/>
    <col min="2329" max="2329" width="17.33203125" style="212" customWidth="1"/>
    <col min="2330" max="2330" width="16.6640625" style="212" customWidth="1"/>
    <col min="2331" max="2331" width="14.1640625" style="212" bestFit="1" customWidth="1"/>
    <col min="2332" max="2332" width="16.6640625" style="212" bestFit="1" customWidth="1"/>
    <col min="2333" max="2333" width="16.5" style="212" bestFit="1" customWidth="1"/>
    <col min="2334" max="2334" width="18" style="212" bestFit="1" customWidth="1"/>
    <col min="2335" max="2335" width="19.33203125" style="212" bestFit="1" customWidth="1"/>
    <col min="2336" max="2336" width="20.33203125" style="212" bestFit="1" customWidth="1"/>
    <col min="2337" max="2337" width="29" style="212" customWidth="1"/>
    <col min="2338" max="2339" width="29.83203125" style="212" bestFit="1" customWidth="1"/>
    <col min="2340" max="2340" width="9.33203125" style="212"/>
    <col min="2341" max="2341" width="31.5" style="212" customWidth="1"/>
    <col min="2342" max="2565" width="9.33203125" style="212"/>
    <col min="2566" max="2566" width="6.1640625" style="212" customWidth="1"/>
    <col min="2567" max="2567" width="9.1640625" style="212" customWidth="1"/>
    <col min="2568" max="2568" width="29.33203125" style="212" customWidth="1"/>
    <col min="2569" max="2569" width="43.6640625" style="212" customWidth="1"/>
    <col min="2570" max="2570" width="20" style="212" bestFit="1" customWidth="1"/>
    <col min="2571" max="2571" width="18" style="212" bestFit="1" customWidth="1"/>
    <col min="2572" max="2572" width="19.33203125" style="212" customWidth="1"/>
    <col min="2573" max="2573" width="19" style="212" bestFit="1" customWidth="1"/>
    <col min="2574" max="2574" width="16.6640625" style="212" bestFit="1" customWidth="1"/>
    <col min="2575" max="2575" width="19.33203125" style="212" bestFit="1" customWidth="1"/>
    <col min="2576" max="2576" width="15.33203125" style="212" bestFit="1" customWidth="1"/>
    <col min="2577" max="2579" width="16.6640625" style="212" bestFit="1" customWidth="1"/>
    <col min="2580" max="2580" width="18" style="212" bestFit="1" customWidth="1"/>
    <col min="2581" max="2583" width="0" style="212" hidden="1" customWidth="1"/>
    <col min="2584" max="2584" width="16.5" style="212" bestFit="1" customWidth="1"/>
    <col min="2585" max="2585" width="17.33203125" style="212" customWidth="1"/>
    <col min="2586" max="2586" width="16.6640625" style="212" customWidth="1"/>
    <col min="2587" max="2587" width="14.1640625" style="212" bestFit="1" customWidth="1"/>
    <col min="2588" max="2588" width="16.6640625" style="212" bestFit="1" customWidth="1"/>
    <col min="2589" max="2589" width="16.5" style="212" bestFit="1" customWidth="1"/>
    <col min="2590" max="2590" width="18" style="212" bestFit="1" customWidth="1"/>
    <col min="2591" max="2591" width="19.33203125" style="212" bestFit="1" customWidth="1"/>
    <col min="2592" max="2592" width="20.33203125" style="212" bestFit="1" customWidth="1"/>
    <col min="2593" max="2593" width="29" style="212" customWidth="1"/>
    <col min="2594" max="2595" width="29.83203125" style="212" bestFit="1" customWidth="1"/>
    <col min="2596" max="2596" width="9.33203125" style="212"/>
    <col min="2597" max="2597" width="31.5" style="212" customWidth="1"/>
    <col min="2598" max="2821" width="9.33203125" style="212"/>
    <col min="2822" max="2822" width="6.1640625" style="212" customWidth="1"/>
    <col min="2823" max="2823" width="9.1640625" style="212" customWidth="1"/>
    <col min="2824" max="2824" width="29.33203125" style="212" customWidth="1"/>
    <col min="2825" max="2825" width="43.6640625" style="212" customWidth="1"/>
    <col min="2826" max="2826" width="20" style="212" bestFit="1" customWidth="1"/>
    <col min="2827" max="2827" width="18" style="212" bestFit="1" customWidth="1"/>
    <col min="2828" max="2828" width="19.33203125" style="212" customWidth="1"/>
    <col min="2829" max="2829" width="19" style="212" bestFit="1" customWidth="1"/>
    <col min="2830" max="2830" width="16.6640625" style="212" bestFit="1" customWidth="1"/>
    <col min="2831" max="2831" width="19.33203125" style="212" bestFit="1" customWidth="1"/>
    <col min="2832" max="2832" width="15.33203125" style="212" bestFit="1" customWidth="1"/>
    <col min="2833" max="2835" width="16.6640625" style="212" bestFit="1" customWidth="1"/>
    <col min="2836" max="2836" width="18" style="212" bestFit="1" customWidth="1"/>
    <col min="2837" max="2839" width="0" style="212" hidden="1" customWidth="1"/>
    <col min="2840" max="2840" width="16.5" style="212" bestFit="1" customWidth="1"/>
    <col min="2841" max="2841" width="17.33203125" style="212" customWidth="1"/>
    <col min="2842" max="2842" width="16.6640625" style="212" customWidth="1"/>
    <col min="2843" max="2843" width="14.1640625" style="212" bestFit="1" customWidth="1"/>
    <col min="2844" max="2844" width="16.6640625" style="212" bestFit="1" customWidth="1"/>
    <col min="2845" max="2845" width="16.5" style="212" bestFit="1" customWidth="1"/>
    <col min="2846" max="2846" width="18" style="212" bestFit="1" customWidth="1"/>
    <col min="2847" max="2847" width="19.33203125" style="212" bestFit="1" customWidth="1"/>
    <col min="2848" max="2848" width="20.33203125" style="212" bestFit="1" customWidth="1"/>
    <col min="2849" max="2849" width="29" style="212" customWidth="1"/>
    <col min="2850" max="2851" width="29.83203125" style="212" bestFit="1" customWidth="1"/>
    <col min="2852" max="2852" width="9.33203125" style="212"/>
    <col min="2853" max="2853" width="31.5" style="212" customWidth="1"/>
    <col min="2854" max="3077" width="9.33203125" style="212"/>
    <col min="3078" max="3078" width="6.1640625" style="212" customWidth="1"/>
    <col min="3079" max="3079" width="9.1640625" style="212" customWidth="1"/>
    <col min="3080" max="3080" width="29.33203125" style="212" customWidth="1"/>
    <col min="3081" max="3081" width="43.6640625" style="212" customWidth="1"/>
    <col min="3082" max="3082" width="20" style="212" bestFit="1" customWidth="1"/>
    <col min="3083" max="3083" width="18" style="212" bestFit="1" customWidth="1"/>
    <col min="3084" max="3084" width="19.33203125" style="212" customWidth="1"/>
    <col min="3085" max="3085" width="19" style="212" bestFit="1" customWidth="1"/>
    <col min="3086" max="3086" width="16.6640625" style="212" bestFit="1" customWidth="1"/>
    <col min="3087" max="3087" width="19.33203125" style="212" bestFit="1" customWidth="1"/>
    <col min="3088" max="3088" width="15.33203125" style="212" bestFit="1" customWidth="1"/>
    <col min="3089" max="3091" width="16.6640625" style="212" bestFit="1" customWidth="1"/>
    <col min="3092" max="3092" width="18" style="212" bestFit="1" customWidth="1"/>
    <col min="3093" max="3095" width="0" style="212" hidden="1" customWidth="1"/>
    <col min="3096" max="3096" width="16.5" style="212" bestFit="1" customWidth="1"/>
    <col min="3097" max="3097" width="17.33203125" style="212" customWidth="1"/>
    <col min="3098" max="3098" width="16.6640625" style="212" customWidth="1"/>
    <col min="3099" max="3099" width="14.1640625" style="212" bestFit="1" customWidth="1"/>
    <col min="3100" max="3100" width="16.6640625" style="212" bestFit="1" customWidth="1"/>
    <col min="3101" max="3101" width="16.5" style="212" bestFit="1" customWidth="1"/>
    <col min="3102" max="3102" width="18" style="212" bestFit="1" customWidth="1"/>
    <col min="3103" max="3103" width="19.33203125" style="212" bestFit="1" customWidth="1"/>
    <col min="3104" max="3104" width="20.33203125" style="212" bestFit="1" customWidth="1"/>
    <col min="3105" max="3105" width="29" style="212" customWidth="1"/>
    <col min="3106" max="3107" width="29.83203125" style="212" bestFit="1" customWidth="1"/>
    <col min="3108" max="3108" width="9.33203125" style="212"/>
    <col min="3109" max="3109" width="31.5" style="212" customWidth="1"/>
    <col min="3110" max="3333" width="9.33203125" style="212"/>
    <col min="3334" max="3334" width="6.1640625" style="212" customWidth="1"/>
    <col min="3335" max="3335" width="9.1640625" style="212" customWidth="1"/>
    <col min="3336" max="3336" width="29.33203125" style="212" customWidth="1"/>
    <col min="3337" max="3337" width="43.6640625" style="212" customWidth="1"/>
    <col min="3338" max="3338" width="20" style="212" bestFit="1" customWidth="1"/>
    <col min="3339" max="3339" width="18" style="212" bestFit="1" customWidth="1"/>
    <col min="3340" max="3340" width="19.33203125" style="212" customWidth="1"/>
    <col min="3341" max="3341" width="19" style="212" bestFit="1" customWidth="1"/>
    <col min="3342" max="3342" width="16.6640625" style="212" bestFit="1" customWidth="1"/>
    <col min="3343" max="3343" width="19.33203125" style="212" bestFit="1" customWidth="1"/>
    <col min="3344" max="3344" width="15.33203125" style="212" bestFit="1" customWidth="1"/>
    <col min="3345" max="3347" width="16.6640625" style="212" bestFit="1" customWidth="1"/>
    <col min="3348" max="3348" width="18" style="212" bestFit="1" customWidth="1"/>
    <col min="3349" max="3351" width="0" style="212" hidden="1" customWidth="1"/>
    <col min="3352" max="3352" width="16.5" style="212" bestFit="1" customWidth="1"/>
    <col min="3353" max="3353" width="17.33203125" style="212" customWidth="1"/>
    <col min="3354" max="3354" width="16.6640625" style="212" customWidth="1"/>
    <col min="3355" max="3355" width="14.1640625" style="212" bestFit="1" customWidth="1"/>
    <col min="3356" max="3356" width="16.6640625" style="212" bestFit="1" customWidth="1"/>
    <col min="3357" max="3357" width="16.5" style="212" bestFit="1" customWidth="1"/>
    <col min="3358" max="3358" width="18" style="212" bestFit="1" customWidth="1"/>
    <col min="3359" max="3359" width="19.33203125" style="212" bestFit="1" customWidth="1"/>
    <col min="3360" max="3360" width="20.33203125" style="212" bestFit="1" customWidth="1"/>
    <col min="3361" max="3361" width="29" style="212" customWidth="1"/>
    <col min="3362" max="3363" width="29.83203125" style="212" bestFit="1" customWidth="1"/>
    <col min="3364" max="3364" width="9.33203125" style="212"/>
    <col min="3365" max="3365" width="31.5" style="212" customWidth="1"/>
    <col min="3366" max="3589" width="9.33203125" style="212"/>
    <col min="3590" max="3590" width="6.1640625" style="212" customWidth="1"/>
    <col min="3591" max="3591" width="9.1640625" style="212" customWidth="1"/>
    <col min="3592" max="3592" width="29.33203125" style="212" customWidth="1"/>
    <col min="3593" max="3593" width="43.6640625" style="212" customWidth="1"/>
    <col min="3594" max="3594" width="20" style="212" bestFit="1" customWidth="1"/>
    <col min="3595" max="3595" width="18" style="212" bestFit="1" customWidth="1"/>
    <col min="3596" max="3596" width="19.33203125" style="212" customWidth="1"/>
    <col min="3597" max="3597" width="19" style="212" bestFit="1" customWidth="1"/>
    <col min="3598" max="3598" width="16.6640625" style="212" bestFit="1" customWidth="1"/>
    <col min="3599" max="3599" width="19.33203125" style="212" bestFit="1" customWidth="1"/>
    <col min="3600" max="3600" width="15.33203125" style="212" bestFit="1" customWidth="1"/>
    <col min="3601" max="3603" width="16.6640625" style="212" bestFit="1" customWidth="1"/>
    <col min="3604" max="3604" width="18" style="212" bestFit="1" customWidth="1"/>
    <col min="3605" max="3607" width="0" style="212" hidden="1" customWidth="1"/>
    <col min="3608" max="3608" width="16.5" style="212" bestFit="1" customWidth="1"/>
    <col min="3609" max="3609" width="17.33203125" style="212" customWidth="1"/>
    <col min="3610" max="3610" width="16.6640625" style="212" customWidth="1"/>
    <col min="3611" max="3611" width="14.1640625" style="212" bestFit="1" customWidth="1"/>
    <col min="3612" max="3612" width="16.6640625" style="212" bestFit="1" customWidth="1"/>
    <col min="3613" max="3613" width="16.5" style="212" bestFit="1" customWidth="1"/>
    <col min="3614" max="3614" width="18" style="212" bestFit="1" customWidth="1"/>
    <col min="3615" max="3615" width="19.33203125" style="212" bestFit="1" customWidth="1"/>
    <col min="3616" max="3616" width="20.33203125" style="212" bestFit="1" customWidth="1"/>
    <col min="3617" max="3617" width="29" style="212" customWidth="1"/>
    <col min="3618" max="3619" width="29.83203125" style="212" bestFit="1" customWidth="1"/>
    <col min="3620" max="3620" width="9.33203125" style="212"/>
    <col min="3621" max="3621" width="31.5" style="212" customWidth="1"/>
    <col min="3622" max="3845" width="9.33203125" style="212"/>
    <col min="3846" max="3846" width="6.1640625" style="212" customWidth="1"/>
    <col min="3847" max="3847" width="9.1640625" style="212" customWidth="1"/>
    <col min="3848" max="3848" width="29.33203125" style="212" customWidth="1"/>
    <col min="3849" max="3849" width="43.6640625" style="212" customWidth="1"/>
    <col min="3850" max="3850" width="20" style="212" bestFit="1" customWidth="1"/>
    <col min="3851" max="3851" width="18" style="212" bestFit="1" customWidth="1"/>
    <col min="3852" max="3852" width="19.33203125" style="212" customWidth="1"/>
    <col min="3853" max="3853" width="19" style="212" bestFit="1" customWidth="1"/>
    <col min="3854" max="3854" width="16.6640625" style="212" bestFit="1" customWidth="1"/>
    <col min="3855" max="3855" width="19.33203125" style="212" bestFit="1" customWidth="1"/>
    <col min="3856" max="3856" width="15.33203125" style="212" bestFit="1" customWidth="1"/>
    <col min="3857" max="3859" width="16.6640625" style="212" bestFit="1" customWidth="1"/>
    <col min="3860" max="3860" width="18" style="212" bestFit="1" customWidth="1"/>
    <col min="3861" max="3863" width="0" style="212" hidden="1" customWidth="1"/>
    <col min="3864" max="3864" width="16.5" style="212" bestFit="1" customWidth="1"/>
    <col min="3865" max="3865" width="17.33203125" style="212" customWidth="1"/>
    <col min="3866" max="3866" width="16.6640625" style="212" customWidth="1"/>
    <col min="3867" max="3867" width="14.1640625" style="212" bestFit="1" customWidth="1"/>
    <col min="3868" max="3868" width="16.6640625" style="212" bestFit="1" customWidth="1"/>
    <col min="3869" max="3869" width="16.5" style="212" bestFit="1" customWidth="1"/>
    <col min="3870" max="3870" width="18" style="212" bestFit="1" customWidth="1"/>
    <col min="3871" max="3871" width="19.33203125" style="212" bestFit="1" customWidth="1"/>
    <col min="3872" max="3872" width="20.33203125" style="212" bestFit="1" customWidth="1"/>
    <col min="3873" max="3873" width="29" style="212" customWidth="1"/>
    <col min="3874" max="3875" width="29.83203125" style="212" bestFit="1" customWidth="1"/>
    <col min="3876" max="3876" width="9.33203125" style="212"/>
    <col min="3877" max="3877" width="31.5" style="212" customWidth="1"/>
    <col min="3878" max="4101" width="9.33203125" style="212"/>
    <col min="4102" max="4102" width="6.1640625" style="212" customWidth="1"/>
    <col min="4103" max="4103" width="9.1640625" style="212" customWidth="1"/>
    <col min="4104" max="4104" width="29.33203125" style="212" customWidth="1"/>
    <col min="4105" max="4105" width="43.6640625" style="212" customWidth="1"/>
    <col min="4106" max="4106" width="20" style="212" bestFit="1" customWidth="1"/>
    <col min="4107" max="4107" width="18" style="212" bestFit="1" customWidth="1"/>
    <col min="4108" max="4108" width="19.33203125" style="212" customWidth="1"/>
    <col min="4109" max="4109" width="19" style="212" bestFit="1" customWidth="1"/>
    <col min="4110" max="4110" width="16.6640625" style="212" bestFit="1" customWidth="1"/>
    <col min="4111" max="4111" width="19.33203125" style="212" bestFit="1" customWidth="1"/>
    <col min="4112" max="4112" width="15.33203125" style="212" bestFit="1" customWidth="1"/>
    <col min="4113" max="4115" width="16.6640625" style="212" bestFit="1" customWidth="1"/>
    <col min="4116" max="4116" width="18" style="212" bestFit="1" customWidth="1"/>
    <col min="4117" max="4119" width="0" style="212" hidden="1" customWidth="1"/>
    <col min="4120" max="4120" width="16.5" style="212" bestFit="1" customWidth="1"/>
    <col min="4121" max="4121" width="17.33203125" style="212" customWidth="1"/>
    <col min="4122" max="4122" width="16.6640625" style="212" customWidth="1"/>
    <col min="4123" max="4123" width="14.1640625" style="212" bestFit="1" customWidth="1"/>
    <col min="4124" max="4124" width="16.6640625" style="212" bestFit="1" customWidth="1"/>
    <col min="4125" max="4125" width="16.5" style="212" bestFit="1" customWidth="1"/>
    <col min="4126" max="4126" width="18" style="212" bestFit="1" customWidth="1"/>
    <col min="4127" max="4127" width="19.33203125" style="212" bestFit="1" customWidth="1"/>
    <col min="4128" max="4128" width="20.33203125" style="212" bestFit="1" customWidth="1"/>
    <col min="4129" max="4129" width="29" style="212" customWidth="1"/>
    <col min="4130" max="4131" width="29.83203125" style="212" bestFit="1" customWidth="1"/>
    <col min="4132" max="4132" width="9.33203125" style="212"/>
    <col min="4133" max="4133" width="31.5" style="212" customWidth="1"/>
    <col min="4134" max="4357" width="9.33203125" style="212"/>
    <col min="4358" max="4358" width="6.1640625" style="212" customWidth="1"/>
    <col min="4359" max="4359" width="9.1640625" style="212" customWidth="1"/>
    <col min="4360" max="4360" width="29.33203125" style="212" customWidth="1"/>
    <col min="4361" max="4361" width="43.6640625" style="212" customWidth="1"/>
    <col min="4362" max="4362" width="20" style="212" bestFit="1" customWidth="1"/>
    <col min="4363" max="4363" width="18" style="212" bestFit="1" customWidth="1"/>
    <col min="4364" max="4364" width="19.33203125" style="212" customWidth="1"/>
    <col min="4365" max="4365" width="19" style="212" bestFit="1" customWidth="1"/>
    <col min="4366" max="4366" width="16.6640625" style="212" bestFit="1" customWidth="1"/>
    <col min="4367" max="4367" width="19.33203125" style="212" bestFit="1" customWidth="1"/>
    <col min="4368" max="4368" width="15.33203125" style="212" bestFit="1" customWidth="1"/>
    <col min="4369" max="4371" width="16.6640625" style="212" bestFit="1" customWidth="1"/>
    <col min="4372" max="4372" width="18" style="212" bestFit="1" customWidth="1"/>
    <col min="4373" max="4375" width="0" style="212" hidden="1" customWidth="1"/>
    <col min="4376" max="4376" width="16.5" style="212" bestFit="1" customWidth="1"/>
    <col min="4377" max="4377" width="17.33203125" style="212" customWidth="1"/>
    <col min="4378" max="4378" width="16.6640625" style="212" customWidth="1"/>
    <col min="4379" max="4379" width="14.1640625" style="212" bestFit="1" customWidth="1"/>
    <col min="4380" max="4380" width="16.6640625" style="212" bestFit="1" customWidth="1"/>
    <col min="4381" max="4381" width="16.5" style="212" bestFit="1" customWidth="1"/>
    <col min="4382" max="4382" width="18" style="212" bestFit="1" customWidth="1"/>
    <col min="4383" max="4383" width="19.33203125" style="212" bestFit="1" customWidth="1"/>
    <col min="4384" max="4384" width="20.33203125" style="212" bestFit="1" customWidth="1"/>
    <col min="4385" max="4385" width="29" style="212" customWidth="1"/>
    <col min="4386" max="4387" width="29.83203125" style="212" bestFit="1" customWidth="1"/>
    <col min="4388" max="4388" width="9.33203125" style="212"/>
    <col min="4389" max="4389" width="31.5" style="212" customWidth="1"/>
    <col min="4390" max="4613" width="9.33203125" style="212"/>
    <col min="4614" max="4614" width="6.1640625" style="212" customWidth="1"/>
    <col min="4615" max="4615" width="9.1640625" style="212" customWidth="1"/>
    <col min="4616" max="4616" width="29.33203125" style="212" customWidth="1"/>
    <col min="4617" max="4617" width="43.6640625" style="212" customWidth="1"/>
    <col min="4618" max="4618" width="20" style="212" bestFit="1" customWidth="1"/>
    <col min="4619" max="4619" width="18" style="212" bestFit="1" customWidth="1"/>
    <col min="4620" max="4620" width="19.33203125" style="212" customWidth="1"/>
    <col min="4621" max="4621" width="19" style="212" bestFit="1" customWidth="1"/>
    <col min="4622" max="4622" width="16.6640625" style="212" bestFit="1" customWidth="1"/>
    <col min="4623" max="4623" width="19.33203125" style="212" bestFit="1" customWidth="1"/>
    <col min="4624" max="4624" width="15.33203125" style="212" bestFit="1" customWidth="1"/>
    <col min="4625" max="4627" width="16.6640625" style="212" bestFit="1" customWidth="1"/>
    <col min="4628" max="4628" width="18" style="212" bestFit="1" customWidth="1"/>
    <col min="4629" max="4631" width="0" style="212" hidden="1" customWidth="1"/>
    <col min="4632" max="4632" width="16.5" style="212" bestFit="1" customWidth="1"/>
    <col min="4633" max="4633" width="17.33203125" style="212" customWidth="1"/>
    <col min="4634" max="4634" width="16.6640625" style="212" customWidth="1"/>
    <col min="4635" max="4635" width="14.1640625" style="212" bestFit="1" customWidth="1"/>
    <col min="4636" max="4636" width="16.6640625" style="212" bestFit="1" customWidth="1"/>
    <col min="4637" max="4637" width="16.5" style="212" bestFit="1" customWidth="1"/>
    <col min="4638" max="4638" width="18" style="212" bestFit="1" customWidth="1"/>
    <col min="4639" max="4639" width="19.33203125" style="212" bestFit="1" customWidth="1"/>
    <col min="4640" max="4640" width="20.33203125" style="212" bestFit="1" customWidth="1"/>
    <col min="4641" max="4641" width="29" style="212" customWidth="1"/>
    <col min="4642" max="4643" width="29.83203125" style="212" bestFit="1" customWidth="1"/>
    <col min="4644" max="4644" width="9.33203125" style="212"/>
    <col min="4645" max="4645" width="31.5" style="212" customWidth="1"/>
    <col min="4646" max="4869" width="9.33203125" style="212"/>
    <col min="4870" max="4870" width="6.1640625" style="212" customWidth="1"/>
    <col min="4871" max="4871" width="9.1640625" style="212" customWidth="1"/>
    <col min="4872" max="4872" width="29.33203125" style="212" customWidth="1"/>
    <col min="4873" max="4873" width="43.6640625" style="212" customWidth="1"/>
    <col min="4874" max="4874" width="20" style="212" bestFit="1" customWidth="1"/>
    <col min="4875" max="4875" width="18" style="212" bestFit="1" customWidth="1"/>
    <col min="4876" max="4876" width="19.33203125" style="212" customWidth="1"/>
    <col min="4877" max="4877" width="19" style="212" bestFit="1" customWidth="1"/>
    <col min="4878" max="4878" width="16.6640625" style="212" bestFit="1" customWidth="1"/>
    <col min="4879" max="4879" width="19.33203125" style="212" bestFit="1" customWidth="1"/>
    <col min="4880" max="4880" width="15.33203125" style="212" bestFit="1" customWidth="1"/>
    <col min="4881" max="4883" width="16.6640625" style="212" bestFit="1" customWidth="1"/>
    <col min="4884" max="4884" width="18" style="212" bestFit="1" customWidth="1"/>
    <col min="4885" max="4887" width="0" style="212" hidden="1" customWidth="1"/>
    <col min="4888" max="4888" width="16.5" style="212" bestFit="1" customWidth="1"/>
    <col min="4889" max="4889" width="17.33203125" style="212" customWidth="1"/>
    <col min="4890" max="4890" width="16.6640625" style="212" customWidth="1"/>
    <col min="4891" max="4891" width="14.1640625" style="212" bestFit="1" customWidth="1"/>
    <col min="4892" max="4892" width="16.6640625" style="212" bestFit="1" customWidth="1"/>
    <col min="4893" max="4893" width="16.5" style="212" bestFit="1" customWidth="1"/>
    <col min="4894" max="4894" width="18" style="212" bestFit="1" customWidth="1"/>
    <col min="4895" max="4895" width="19.33203125" style="212" bestFit="1" customWidth="1"/>
    <col min="4896" max="4896" width="20.33203125" style="212" bestFit="1" customWidth="1"/>
    <col min="4897" max="4897" width="29" style="212" customWidth="1"/>
    <col min="4898" max="4899" width="29.83203125" style="212" bestFit="1" customWidth="1"/>
    <col min="4900" max="4900" width="9.33203125" style="212"/>
    <col min="4901" max="4901" width="31.5" style="212" customWidth="1"/>
    <col min="4902" max="5125" width="9.33203125" style="212"/>
    <col min="5126" max="5126" width="6.1640625" style="212" customWidth="1"/>
    <col min="5127" max="5127" width="9.1640625" style="212" customWidth="1"/>
    <col min="5128" max="5128" width="29.33203125" style="212" customWidth="1"/>
    <col min="5129" max="5129" width="43.6640625" style="212" customWidth="1"/>
    <col min="5130" max="5130" width="20" style="212" bestFit="1" customWidth="1"/>
    <col min="5131" max="5131" width="18" style="212" bestFit="1" customWidth="1"/>
    <col min="5132" max="5132" width="19.33203125" style="212" customWidth="1"/>
    <col min="5133" max="5133" width="19" style="212" bestFit="1" customWidth="1"/>
    <col min="5134" max="5134" width="16.6640625" style="212" bestFit="1" customWidth="1"/>
    <col min="5135" max="5135" width="19.33203125" style="212" bestFit="1" customWidth="1"/>
    <col min="5136" max="5136" width="15.33203125" style="212" bestFit="1" customWidth="1"/>
    <col min="5137" max="5139" width="16.6640625" style="212" bestFit="1" customWidth="1"/>
    <col min="5140" max="5140" width="18" style="212" bestFit="1" customWidth="1"/>
    <col min="5141" max="5143" width="0" style="212" hidden="1" customWidth="1"/>
    <col min="5144" max="5144" width="16.5" style="212" bestFit="1" customWidth="1"/>
    <col min="5145" max="5145" width="17.33203125" style="212" customWidth="1"/>
    <col min="5146" max="5146" width="16.6640625" style="212" customWidth="1"/>
    <col min="5147" max="5147" width="14.1640625" style="212" bestFit="1" customWidth="1"/>
    <col min="5148" max="5148" width="16.6640625" style="212" bestFit="1" customWidth="1"/>
    <col min="5149" max="5149" width="16.5" style="212" bestFit="1" customWidth="1"/>
    <col min="5150" max="5150" width="18" style="212" bestFit="1" customWidth="1"/>
    <col min="5151" max="5151" width="19.33203125" style="212" bestFit="1" customWidth="1"/>
    <col min="5152" max="5152" width="20.33203125" style="212" bestFit="1" customWidth="1"/>
    <col min="5153" max="5153" width="29" style="212" customWidth="1"/>
    <col min="5154" max="5155" width="29.83203125" style="212" bestFit="1" customWidth="1"/>
    <col min="5156" max="5156" width="9.33203125" style="212"/>
    <col min="5157" max="5157" width="31.5" style="212" customWidth="1"/>
    <col min="5158" max="5381" width="9.33203125" style="212"/>
    <col min="5382" max="5382" width="6.1640625" style="212" customWidth="1"/>
    <col min="5383" max="5383" width="9.1640625" style="212" customWidth="1"/>
    <col min="5384" max="5384" width="29.33203125" style="212" customWidth="1"/>
    <col min="5385" max="5385" width="43.6640625" style="212" customWidth="1"/>
    <col min="5386" max="5386" width="20" style="212" bestFit="1" customWidth="1"/>
    <col min="5387" max="5387" width="18" style="212" bestFit="1" customWidth="1"/>
    <col min="5388" max="5388" width="19.33203125" style="212" customWidth="1"/>
    <col min="5389" max="5389" width="19" style="212" bestFit="1" customWidth="1"/>
    <col min="5390" max="5390" width="16.6640625" style="212" bestFit="1" customWidth="1"/>
    <col min="5391" max="5391" width="19.33203125" style="212" bestFit="1" customWidth="1"/>
    <col min="5392" max="5392" width="15.33203125" style="212" bestFit="1" customWidth="1"/>
    <col min="5393" max="5395" width="16.6640625" style="212" bestFit="1" customWidth="1"/>
    <col min="5396" max="5396" width="18" style="212" bestFit="1" customWidth="1"/>
    <col min="5397" max="5399" width="0" style="212" hidden="1" customWidth="1"/>
    <col min="5400" max="5400" width="16.5" style="212" bestFit="1" customWidth="1"/>
    <col min="5401" max="5401" width="17.33203125" style="212" customWidth="1"/>
    <col min="5402" max="5402" width="16.6640625" style="212" customWidth="1"/>
    <col min="5403" max="5403" width="14.1640625" style="212" bestFit="1" customWidth="1"/>
    <col min="5404" max="5404" width="16.6640625" style="212" bestFit="1" customWidth="1"/>
    <col min="5405" max="5405" width="16.5" style="212" bestFit="1" customWidth="1"/>
    <col min="5406" max="5406" width="18" style="212" bestFit="1" customWidth="1"/>
    <col min="5407" max="5407" width="19.33203125" style="212" bestFit="1" customWidth="1"/>
    <col min="5408" max="5408" width="20.33203125" style="212" bestFit="1" customWidth="1"/>
    <col min="5409" max="5409" width="29" style="212" customWidth="1"/>
    <col min="5410" max="5411" width="29.83203125" style="212" bestFit="1" customWidth="1"/>
    <col min="5412" max="5412" width="9.33203125" style="212"/>
    <col min="5413" max="5413" width="31.5" style="212" customWidth="1"/>
    <col min="5414" max="5637" width="9.33203125" style="212"/>
    <col min="5638" max="5638" width="6.1640625" style="212" customWidth="1"/>
    <col min="5639" max="5639" width="9.1640625" style="212" customWidth="1"/>
    <col min="5640" max="5640" width="29.33203125" style="212" customWidth="1"/>
    <col min="5641" max="5641" width="43.6640625" style="212" customWidth="1"/>
    <col min="5642" max="5642" width="20" style="212" bestFit="1" customWidth="1"/>
    <col min="5643" max="5643" width="18" style="212" bestFit="1" customWidth="1"/>
    <col min="5644" max="5644" width="19.33203125" style="212" customWidth="1"/>
    <col min="5645" max="5645" width="19" style="212" bestFit="1" customWidth="1"/>
    <col min="5646" max="5646" width="16.6640625" style="212" bestFit="1" customWidth="1"/>
    <col min="5647" max="5647" width="19.33203125" style="212" bestFit="1" customWidth="1"/>
    <col min="5648" max="5648" width="15.33203125" style="212" bestFit="1" customWidth="1"/>
    <col min="5649" max="5651" width="16.6640625" style="212" bestFit="1" customWidth="1"/>
    <col min="5652" max="5652" width="18" style="212" bestFit="1" customWidth="1"/>
    <col min="5653" max="5655" width="0" style="212" hidden="1" customWidth="1"/>
    <col min="5656" max="5656" width="16.5" style="212" bestFit="1" customWidth="1"/>
    <col min="5657" max="5657" width="17.33203125" style="212" customWidth="1"/>
    <col min="5658" max="5658" width="16.6640625" style="212" customWidth="1"/>
    <col min="5659" max="5659" width="14.1640625" style="212" bestFit="1" customWidth="1"/>
    <col min="5660" max="5660" width="16.6640625" style="212" bestFit="1" customWidth="1"/>
    <col min="5661" max="5661" width="16.5" style="212" bestFit="1" customWidth="1"/>
    <col min="5662" max="5662" width="18" style="212" bestFit="1" customWidth="1"/>
    <col min="5663" max="5663" width="19.33203125" style="212" bestFit="1" customWidth="1"/>
    <col min="5664" max="5664" width="20.33203125" style="212" bestFit="1" customWidth="1"/>
    <col min="5665" max="5665" width="29" style="212" customWidth="1"/>
    <col min="5666" max="5667" width="29.83203125" style="212" bestFit="1" customWidth="1"/>
    <col min="5668" max="5668" width="9.33203125" style="212"/>
    <col min="5669" max="5669" width="31.5" style="212" customWidth="1"/>
    <col min="5670" max="5893" width="9.33203125" style="212"/>
    <col min="5894" max="5894" width="6.1640625" style="212" customWidth="1"/>
    <col min="5895" max="5895" width="9.1640625" style="212" customWidth="1"/>
    <col min="5896" max="5896" width="29.33203125" style="212" customWidth="1"/>
    <col min="5897" max="5897" width="43.6640625" style="212" customWidth="1"/>
    <col min="5898" max="5898" width="20" style="212" bestFit="1" customWidth="1"/>
    <col min="5899" max="5899" width="18" style="212" bestFit="1" customWidth="1"/>
    <col min="5900" max="5900" width="19.33203125" style="212" customWidth="1"/>
    <col min="5901" max="5901" width="19" style="212" bestFit="1" customWidth="1"/>
    <col min="5902" max="5902" width="16.6640625" style="212" bestFit="1" customWidth="1"/>
    <col min="5903" max="5903" width="19.33203125" style="212" bestFit="1" customWidth="1"/>
    <col min="5904" max="5904" width="15.33203125" style="212" bestFit="1" customWidth="1"/>
    <col min="5905" max="5907" width="16.6640625" style="212" bestFit="1" customWidth="1"/>
    <col min="5908" max="5908" width="18" style="212" bestFit="1" customWidth="1"/>
    <col min="5909" max="5911" width="0" style="212" hidden="1" customWidth="1"/>
    <col min="5912" max="5912" width="16.5" style="212" bestFit="1" customWidth="1"/>
    <col min="5913" max="5913" width="17.33203125" style="212" customWidth="1"/>
    <col min="5914" max="5914" width="16.6640625" style="212" customWidth="1"/>
    <col min="5915" max="5915" width="14.1640625" style="212" bestFit="1" customWidth="1"/>
    <col min="5916" max="5916" width="16.6640625" style="212" bestFit="1" customWidth="1"/>
    <col min="5917" max="5917" width="16.5" style="212" bestFit="1" customWidth="1"/>
    <col min="5918" max="5918" width="18" style="212" bestFit="1" customWidth="1"/>
    <col min="5919" max="5919" width="19.33203125" style="212" bestFit="1" customWidth="1"/>
    <col min="5920" max="5920" width="20.33203125" style="212" bestFit="1" customWidth="1"/>
    <col min="5921" max="5921" width="29" style="212" customWidth="1"/>
    <col min="5922" max="5923" width="29.83203125" style="212" bestFit="1" customWidth="1"/>
    <col min="5924" max="5924" width="9.33203125" style="212"/>
    <col min="5925" max="5925" width="31.5" style="212" customWidth="1"/>
    <col min="5926" max="6149" width="9.33203125" style="212"/>
    <col min="6150" max="6150" width="6.1640625" style="212" customWidth="1"/>
    <col min="6151" max="6151" width="9.1640625" style="212" customWidth="1"/>
    <col min="6152" max="6152" width="29.33203125" style="212" customWidth="1"/>
    <col min="6153" max="6153" width="43.6640625" style="212" customWidth="1"/>
    <col min="6154" max="6154" width="20" style="212" bestFit="1" customWidth="1"/>
    <col min="6155" max="6155" width="18" style="212" bestFit="1" customWidth="1"/>
    <col min="6156" max="6156" width="19.33203125" style="212" customWidth="1"/>
    <col min="6157" max="6157" width="19" style="212" bestFit="1" customWidth="1"/>
    <col min="6158" max="6158" width="16.6640625" style="212" bestFit="1" customWidth="1"/>
    <col min="6159" max="6159" width="19.33203125" style="212" bestFit="1" customWidth="1"/>
    <col min="6160" max="6160" width="15.33203125" style="212" bestFit="1" customWidth="1"/>
    <col min="6161" max="6163" width="16.6640625" style="212" bestFit="1" customWidth="1"/>
    <col min="6164" max="6164" width="18" style="212" bestFit="1" customWidth="1"/>
    <col min="6165" max="6167" width="0" style="212" hidden="1" customWidth="1"/>
    <col min="6168" max="6168" width="16.5" style="212" bestFit="1" customWidth="1"/>
    <col min="6169" max="6169" width="17.33203125" style="212" customWidth="1"/>
    <col min="6170" max="6170" width="16.6640625" style="212" customWidth="1"/>
    <col min="6171" max="6171" width="14.1640625" style="212" bestFit="1" customWidth="1"/>
    <col min="6172" max="6172" width="16.6640625" style="212" bestFit="1" customWidth="1"/>
    <col min="6173" max="6173" width="16.5" style="212" bestFit="1" customWidth="1"/>
    <col min="6174" max="6174" width="18" style="212" bestFit="1" customWidth="1"/>
    <col min="6175" max="6175" width="19.33203125" style="212" bestFit="1" customWidth="1"/>
    <col min="6176" max="6176" width="20.33203125" style="212" bestFit="1" customWidth="1"/>
    <col min="6177" max="6177" width="29" style="212" customWidth="1"/>
    <col min="6178" max="6179" width="29.83203125" style="212" bestFit="1" customWidth="1"/>
    <col min="6180" max="6180" width="9.33203125" style="212"/>
    <col min="6181" max="6181" width="31.5" style="212" customWidth="1"/>
    <col min="6182" max="6405" width="9.33203125" style="212"/>
    <col min="6406" max="6406" width="6.1640625" style="212" customWidth="1"/>
    <col min="6407" max="6407" width="9.1640625" style="212" customWidth="1"/>
    <col min="6408" max="6408" width="29.33203125" style="212" customWidth="1"/>
    <col min="6409" max="6409" width="43.6640625" style="212" customWidth="1"/>
    <col min="6410" max="6410" width="20" style="212" bestFit="1" customWidth="1"/>
    <col min="6411" max="6411" width="18" style="212" bestFit="1" customWidth="1"/>
    <col min="6412" max="6412" width="19.33203125" style="212" customWidth="1"/>
    <col min="6413" max="6413" width="19" style="212" bestFit="1" customWidth="1"/>
    <col min="6414" max="6414" width="16.6640625" style="212" bestFit="1" customWidth="1"/>
    <col min="6415" max="6415" width="19.33203125" style="212" bestFit="1" customWidth="1"/>
    <col min="6416" max="6416" width="15.33203125" style="212" bestFit="1" customWidth="1"/>
    <col min="6417" max="6419" width="16.6640625" style="212" bestFit="1" customWidth="1"/>
    <col min="6420" max="6420" width="18" style="212" bestFit="1" customWidth="1"/>
    <col min="6421" max="6423" width="0" style="212" hidden="1" customWidth="1"/>
    <col min="6424" max="6424" width="16.5" style="212" bestFit="1" customWidth="1"/>
    <col min="6425" max="6425" width="17.33203125" style="212" customWidth="1"/>
    <col min="6426" max="6426" width="16.6640625" style="212" customWidth="1"/>
    <col min="6427" max="6427" width="14.1640625" style="212" bestFit="1" customWidth="1"/>
    <col min="6428" max="6428" width="16.6640625" style="212" bestFit="1" customWidth="1"/>
    <col min="6429" max="6429" width="16.5" style="212" bestFit="1" customWidth="1"/>
    <col min="6430" max="6430" width="18" style="212" bestFit="1" customWidth="1"/>
    <col min="6431" max="6431" width="19.33203125" style="212" bestFit="1" customWidth="1"/>
    <col min="6432" max="6432" width="20.33203125" style="212" bestFit="1" customWidth="1"/>
    <col min="6433" max="6433" width="29" style="212" customWidth="1"/>
    <col min="6434" max="6435" width="29.83203125" style="212" bestFit="1" customWidth="1"/>
    <col min="6436" max="6436" width="9.33203125" style="212"/>
    <col min="6437" max="6437" width="31.5" style="212" customWidth="1"/>
    <col min="6438" max="6661" width="9.33203125" style="212"/>
    <col min="6662" max="6662" width="6.1640625" style="212" customWidth="1"/>
    <col min="6663" max="6663" width="9.1640625" style="212" customWidth="1"/>
    <col min="6664" max="6664" width="29.33203125" style="212" customWidth="1"/>
    <col min="6665" max="6665" width="43.6640625" style="212" customWidth="1"/>
    <col min="6666" max="6666" width="20" style="212" bestFit="1" customWidth="1"/>
    <col min="6667" max="6667" width="18" style="212" bestFit="1" customWidth="1"/>
    <col min="6668" max="6668" width="19.33203125" style="212" customWidth="1"/>
    <col min="6669" max="6669" width="19" style="212" bestFit="1" customWidth="1"/>
    <col min="6670" max="6670" width="16.6640625" style="212" bestFit="1" customWidth="1"/>
    <col min="6671" max="6671" width="19.33203125" style="212" bestFit="1" customWidth="1"/>
    <col min="6672" max="6672" width="15.33203125" style="212" bestFit="1" customWidth="1"/>
    <col min="6673" max="6675" width="16.6640625" style="212" bestFit="1" customWidth="1"/>
    <col min="6676" max="6676" width="18" style="212" bestFit="1" customWidth="1"/>
    <col min="6677" max="6679" width="0" style="212" hidden="1" customWidth="1"/>
    <col min="6680" max="6680" width="16.5" style="212" bestFit="1" customWidth="1"/>
    <col min="6681" max="6681" width="17.33203125" style="212" customWidth="1"/>
    <col min="6682" max="6682" width="16.6640625" style="212" customWidth="1"/>
    <col min="6683" max="6683" width="14.1640625" style="212" bestFit="1" customWidth="1"/>
    <col min="6684" max="6684" width="16.6640625" style="212" bestFit="1" customWidth="1"/>
    <col min="6685" max="6685" width="16.5" style="212" bestFit="1" customWidth="1"/>
    <col min="6686" max="6686" width="18" style="212" bestFit="1" customWidth="1"/>
    <col min="6687" max="6687" width="19.33203125" style="212" bestFit="1" customWidth="1"/>
    <col min="6688" max="6688" width="20.33203125" style="212" bestFit="1" customWidth="1"/>
    <col min="6689" max="6689" width="29" style="212" customWidth="1"/>
    <col min="6690" max="6691" width="29.83203125" style="212" bestFit="1" customWidth="1"/>
    <col min="6692" max="6692" width="9.33203125" style="212"/>
    <col min="6693" max="6693" width="31.5" style="212" customWidth="1"/>
    <col min="6694" max="6917" width="9.33203125" style="212"/>
    <col min="6918" max="6918" width="6.1640625" style="212" customWidth="1"/>
    <col min="6919" max="6919" width="9.1640625" style="212" customWidth="1"/>
    <col min="6920" max="6920" width="29.33203125" style="212" customWidth="1"/>
    <col min="6921" max="6921" width="43.6640625" style="212" customWidth="1"/>
    <col min="6922" max="6922" width="20" style="212" bestFit="1" customWidth="1"/>
    <col min="6923" max="6923" width="18" style="212" bestFit="1" customWidth="1"/>
    <col min="6924" max="6924" width="19.33203125" style="212" customWidth="1"/>
    <col min="6925" max="6925" width="19" style="212" bestFit="1" customWidth="1"/>
    <col min="6926" max="6926" width="16.6640625" style="212" bestFit="1" customWidth="1"/>
    <col min="6927" max="6927" width="19.33203125" style="212" bestFit="1" customWidth="1"/>
    <col min="6928" max="6928" width="15.33203125" style="212" bestFit="1" customWidth="1"/>
    <col min="6929" max="6931" width="16.6640625" style="212" bestFit="1" customWidth="1"/>
    <col min="6932" max="6932" width="18" style="212" bestFit="1" customWidth="1"/>
    <col min="6933" max="6935" width="0" style="212" hidden="1" customWidth="1"/>
    <col min="6936" max="6936" width="16.5" style="212" bestFit="1" customWidth="1"/>
    <col min="6937" max="6937" width="17.33203125" style="212" customWidth="1"/>
    <col min="6938" max="6938" width="16.6640625" style="212" customWidth="1"/>
    <col min="6939" max="6939" width="14.1640625" style="212" bestFit="1" customWidth="1"/>
    <col min="6940" max="6940" width="16.6640625" style="212" bestFit="1" customWidth="1"/>
    <col min="6941" max="6941" width="16.5" style="212" bestFit="1" customWidth="1"/>
    <col min="6942" max="6942" width="18" style="212" bestFit="1" customWidth="1"/>
    <col min="6943" max="6943" width="19.33203125" style="212" bestFit="1" customWidth="1"/>
    <col min="6944" max="6944" width="20.33203125" style="212" bestFit="1" customWidth="1"/>
    <col min="6945" max="6945" width="29" style="212" customWidth="1"/>
    <col min="6946" max="6947" width="29.83203125" style="212" bestFit="1" customWidth="1"/>
    <col min="6948" max="6948" width="9.33203125" style="212"/>
    <col min="6949" max="6949" width="31.5" style="212" customWidth="1"/>
    <col min="6950" max="7173" width="9.33203125" style="212"/>
    <col min="7174" max="7174" width="6.1640625" style="212" customWidth="1"/>
    <col min="7175" max="7175" width="9.1640625" style="212" customWidth="1"/>
    <col min="7176" max="7176" width="29.33203125" style="212" customWidth="1"/>
    <col min="7177" max="7177" width="43.6640625" style="212" customWidth="1"/>
    <col min="7178" max="7178" width="20" style="212" bestFit="1" customWidth="1"/>
    <col min="7179" max="7179" width="18" style="212" bestFit="1" customWidth="1"/>
    <col min="7180" max="7180" width="19.33203125" style="212" customWidth="1"/>
    <col min="7181" max="7181" width="19" style="212" bestFit="1" customWidth="1"/>
    <col min="7182" max="7182" width="16.6640625" style="212" bestFit="1" customWidth="1"/>
    <col min="7183" max="7183" width="19.33203125" style="212" bestFit="1" customWidth="1"/>
    <col min="7184" max="7184" width="15.33203125" style="212" bestFit="1" customWidth="1"/>
    <col min="7185" max="7187" width="16.6640625" style="212" bestFit="1" customWidth="1"/>
    <col min="7188" max="7188" width="18" style="212" bestFit="1" customWidth="1"/>
    <col min="7189" max="7191" width="0" style="212" hidden="1" customWidth="1"/>
    <col min="7192" max="7192" width="16.5" style="212" bestFit="1" customWidth="1"/>
    <col min="7193" max="7193" width="17.33203125" style="212" customWidth="1"/>
    <col min="7194" max="7194" width="16.6640625" style="212" customWidth="1"/>
    <col min="7195" max="7195" width="14.1640625" style="212" bestFit="1" customWidth="1"/>
    <col min="7196" max="7196" width="16.6640625" style="212" bestFit="1" customWidth="1"/>
    <col min="7197" max="7197" width="16.5" style="212" bestFit="1" customWidth="1"/>
    <col min="7198" max="7198" width="18" style="212" bestFit="1" customWidth="1"/>
    <col min="7199" max="7199" width="19.33203125" style="212" bestFit="1" customWidth="1"/>
    <col min="7200" max="7200" width="20.33203125" style="212" bestFit="1" customWidth="1"/>
    <col min="7201" max="7201" width="29" style="212" customWidth="1"/>
    <col min="7202" max="7203" width="29.83203125" style="212" bestFit="1" customWidth="1"/>
    <col min="7204" max="7204" width="9.33203125" style="212"/>
    <col min="7205" max="7205" width="31.5" style="212" customWidth="1"/>
    <col min="7206" max="7429" width="9.33203125" style="212"/>
    <col min="7430" max="7430" width="6.1640625" style="212" customWidth="1"/>
    <col min="7431" max="7431" width="9.1640625" style="212" customWidth="1"/>
    <col min="7432" max="7432" width="29.33203125" style="212" customWidth="1"/>
    <col min="7433" max="7433" width="43.6640625" style="212" customWidth="1"/>
    <col min="7434" max="7434" width="20" style="212" bestFit="1" customWidth="1"/>
    <col min="7435" max="7435" width="18" style="212" bestFit="1" customWidth="1"/>
    <col min="7436" max="7436" width="19.33203125" style="212" customWidth="1"/>
    <col min="7437" max="7437" width="19" style="212" bestFit="1" customWidth="1"/>
    <col min="7438" max="7438" width="16.6640625" style="212" bestFit="1" customWidth="1"/>
    <col min="7439" max="7439" width="19.33203125" style="212" bestFit="1" customWidth="1"/>
    <col min="7440" max="7440" width="15.33203125" style="212" bestFit="1" customWidth="1"/>
    <col min="7441" max="7443" width="16.6640625" style="212" bestFit="1" customWidth="1"/>
    <col min="7444" max="7444" width="18" style="212" bestFit="1" customWidth="1"/>
    <col min="7445" max="7447" width="0" style="212" hidden="1" customWidth="1"/>
    <col min="7448" max="7448" width="16.5" style="212" bestFit="1" customWidth="1"/>
    <col min="7449" max="7449" width="17.33203125" style="212" customWidth="1"/>
    <col min="7450" max="7450" width="16.6640625" style="212" customWidth="1"/>
    <col min="7451" max="7451" width="14.1640625" style="212" bestFit="1" customWidth="1"/>
    <col min="7452" max="7452" width="16.6640625" style="212" bestFit="1" customWidth="1"/>
    <col min="7453" max="7453" width="16.5" style="212" bestFit="1" customWidth="1"/>
    <col min="7454" max="7454" width="18" style="212" bestFit="1" customWidth="1"/>
    <col min="7455" max="7455" width="19.33203125" style="212" bestFit="1" customWidth="1"/>
    <col min="7456" max="7456" width="20.33203125" style="212" bestFit="1" customWidth="1"/>
    <col min="7457" max="7457" width="29" style="212" customWidth="1"/>
    <col min="7458" max="7459" width="29.83203125" style="212" bestFit="1" customWidth="1"/>
    <col min="7460" max="7460" width="9.33203125" style="212"/>
    <col min="7461" max="7461" width="31.5" style="212" customWidth="1"/>
    <col min="7462" max="7685" width="9.33203125" style="212"/>
    <col min="7686" max="7686" width="6.1640625" style="212" customWidth="1"/>
    <col min="7687" max="7687" width="9.1640625" style="212" customWidth="1"/>
    <col min="7688" max="7688" width="29.33203125" style="212" customWidth="1"/>
    <col min="7689" max="7689" width="43.6640625" style="212" customWidth="1"/>
    <col min="7690" max="7690" width="20" style="212" bestFit="1" customWidth="1"/>
    <col min="7691" max="7691" width="18" style="212" bestFit="1" customWidth="1"/>
    <col min="7692" max="7692" width="19.33203125" style="212" customWidth="1"/>
    <col min="7693" max="7693" width="19" style="212" bestFit="1" customWidth="1"/>
    <col min="7694" max="7694" width="16.6640625" style="212" bestFit="1" customWidth="1"/>
    <col min="7695" max="7695" width="19.33203125" style="212" bestFit="1" customWidth="1"/>
    <col min="7696" max="7696" width="15.33203125" style="212" bestFit="1" customWidth="1"/>
    <col min="7697" max="7699" width="16.6640625" style="212" bestFit="1" customWidth="1"/>
    <col min="7700" max="7700" width="18" style="212" bestFit="1" customWidth="1"/>
    <col min="7701" max="7703" width="0" style="212" hidden="1" customWidth="1"/>
    <col min="7704" max="7704" width="16.5" style="212" bestFit="1" customWidth="1"/>
    <col min="7705" max="7705" width="17.33203125" style="212" customWidth="1"/>
    <col min="7706" max="7706" width="16.6640625" style="212" customWidth="1"/>
    <col min="7707" max="7707" width="14.1640625" style="212" bestFit="1" customWidth="1"/>
    <col min="7708" max="7708" width="16.6640625" style="212" bestFit="1" customWidth="1"/>
    <col min="7709" max="7709" width="16.5" style="212" bestFit="1" customWidth="1"/>
    <col min="7710" max="7710" width="18" style="212" bestFit="1" customWidth="1"/>
    <col min="7711" max="7711" width="19.33203125" style="212" bestFit="1" customWidth="1"/>
    <col min="7712" max="7712" width="20.33203125" style="212" bestFit="1" customWidth="1"/>
    <col min="7713" max="7713" width="29" style="212" customWidth="1"/>
    <col min="7714" max="7715" width="29.83203125" style="212" bestFit="1" customWidth="1"/>
    <col min="7716" max="7716" width="9.33203125" style="212"/>
    <col min="7717" max="7717" width="31.5" style="212" customWidth="1"/>
    <col min="7718" max="7941" width="9.33203125" style="212"/>
    <col min="7942" max="7942" width="6.1640625" style="212" customWidth="1"/>
    <col min="7943" max="7943" width="9.1640625" style="212" customWidth="1"/>
    <col min="7944" max="7944" width="29.33203125" style="212" customWidth="1"/>
    <col min="7945" max="7945" width="43.6640625" style="212" customWidth="1"/>
    <col min="7946" max="7946" width="20" style="212" bestFit="1" customWidth="1"/>
    <col min="7947" max="7947" width="18" style="212" bestFit="1" customWidth="1"/>
    <col min="7948" max="7948" width="19.33203125" style="212" customWidth="1"/>
    <col min="7949" max="7949" width="19" style="212" bestFit="1" customWidth="1"/>
    <col min="7950" max="7950" width="16.6640625" style="212" bestFit="1" customWidth="1"/>
    <col min="7951" max="7951" width="19.33203125" style="212" bestFit="1" customWidth="1"/>
    <col min="7952" max="7952" width="15.33203125" style="212" bestFit="1" customWidth="1"/>
    <col min="7953" max="7955" width="16.6640625" style="212" bestFit="1" customWidth="1"/>
    <col min="7956" max="7956" width="18" style="212" bestFit="1" customWidth="1"/>
    <col min="7957" max="7959" width="0" style="212" hidden="1" customWidth="1"/>
    <col min="7960" max="7960" width="16.5" style="212" bestFit="1" customWidth="1"/>
    <col min="7961" max="7961" width="17.33203125" style="212" customWidth="1"/>
    <col min="7962" max="7962" width="16.6640625" style="212" customWidth="1"/>
    <col min="7963" max="7963" width="14.1640625" style="212" bestFit="1" customWidth="1"/>
    <col min="7964" max="7964" width="16.6640625" style="212" bestFit="1" customWidth="1"/>
    <col min="7965" max="7965" width="16.5" style="212" bestFit="1" customWidth="1"/>
    <col min="7966" max="7966" width="18" style="212" bestFit="1" customWidth="1"/>
    <col min="7967" max="7967" width="19.33203125" style="212" bestFit="1" customWidth="1"/>
    <col min="7968" max="7968" width="20.33203125" style="212" bestFit="1" customWidth="1"/>
    <col min="7969" max="7969" width="29" style="212" customWidth="1"/>
    <col min="7970" max="7971" width="29.83203125" style="212" bestFit="1" customWidth="1"/>
    <col min="7972" max="7972" width="9.33203125" style="212"/>
    <col min="7973" max="7973" width="31.5" style="212" customWidth="1"/>
    <col min="7974" max="8197" width="9.33203125" style="212"/>
    <col min="8198" max="8198" width="6.1640625" style="212" customWidth="1"/>
    <col min="8199" max="8199" width="9.1640625" style="212" customWidth="1"/>
    <col min="8200" max="8200" width="29.33203125" style="212" customWidth="1"/>
    <col min="8201" max="8201" width="43.6640625" style="212" customWidth="1"/>
    <col min="8202" max="8202" width="20" style="212" bestFit="1" customWidth="1"/>
    <col min="8203" max="8203" width="18" style="212" bestFit="1" customWidth="1"/>
    <col min="8204" max="8204" width="19.33203125" style="212" customWidth="1"/>
    <col min="8205" max="8205" width="19" style="212" bestFit="1" customWidth="1"/>
    <col min="8206" max="8206" width="16.6640625" style="212" bestFit="1" customWidth="1"/>
    <col min="8207" max="8207" width="19.33203125" style="212" bestFit="1" customWidth="1"/>
    <col min="8208" max="8208" width="15.33203125" style="212" bestFit="1" customWidth="1"/>
    <col min="8209" max="8211" width="16.6640625" style="212" bestFit="1" customWidth="1"/>
    <col min="8212" max="8212" width="18" style="212" bestFit="1" customWidth="1"/>
    <col min="8213" max="8215" width="0" style="212" hidden="1" customWidth="1"/>
    <col min="8216" max="8216" width="16.5" style="212" bestFit="1" customWidth="1"/>
    <col min="8217" max="8217" width="17.33203125" style="212" customWidth="1"/>
    <col min="8218" max="8218" width="16.6640625" style="212" customWidth="1"/>
    <col min="8219" max="8219" width="14.1640625" style="212" bestFit="1" customWidth="1"/>
    <col min="8220" max="8220" width="16.6640625" style="212" bestFit="1" customWidth="1"/>
    <col min="8221" max="8221" width="16.5" style="212" bestFit="1" customWidth="1"/>
    <col min="8222" max="8222" width="18" style="212" bestFit="1" customWidth="1"/>
    <col min="8223" max="8223" width="19.33203125" style="212" bestFit="1" customWidth="1"/>
    <col min="8224" max="8224" width="20.33203125" style="212" bestFit="1" customWidth="1"/>
    <col min="8225" max="8225" width="29" style="212" customWidth="1"/>
    <col min="8226" max="8227" width="29.83203125" style="212" bestFit="1" customWidth="1"/>
    <col min="8228" max="8228" width="9.33203125" style="212"/>
    <col min="8229" max="8229" width="31.5" style="212" customWidth="1"/>
    <col min="8230" max="8453" width="9.33203125" style="212"/>
    <col min="8454" max="8454" width="6.1640625" style="212" customWidth="1"/>
    <col min="8455" max="8455" width="9.1640625" style="212" customWidth="1"/>
    <col min="8456" max="8456" width="29.33203125" style="212" customWidth="1"/>
    <col min="8457" max="8457" width="43.6640625" style="212" customWidth="1"/>
    <col min="8458" max="8458" width="20" style="212" bestFit="1" customWidth="1"/>
    <col min="8459" max="8459" width="18" style="212" bestFit="1" customWidth="1"/>
    <col min="8460" max="8460" width="19.33203125" style="212" customWidth="1"/>
    <col min="8461" max="8461" width="19" style="212" bestFit="1" customWidth="1"/>
    <col min="8462" max="8462" width="16.6640625" style="212" bestFit="1" customWidth="1"/>
    <col min="8463" max="8463" width="19.33203125" style="212" bestFit="1" customWidth="1"/>
    <col min="8464" max="8464" width="15.33203125" style="212" bestFit="1" customWidth="1"/>
    <col min="8465" max="8467" width="16.6640625" style="212" bestFit="1" customWidth="1"/>
    <col min="8468" max="8468" width="18" style="212" bestFit="1" customWidth="1"/>
    <col min="8469" max="8471" width="0" style="212" hidden="1" customWidth="1"/>
    <col min="8472" max="8472" width="16.5" style="212" bestFit="1" customWidth="1"/>
    <col min="8473" max="8473" width="17.33203125" style="212" customWidth="1"/>
    <col min="8474" max="8474" width="16.6640625" style="212" customWidth="1"/>
    <col min="8475" max="8475" width="14.1640625" style="212" bestFit="1" customWidth="1"/>
    <col min="8476" max="8476" width="16.6640625" style="212" bestFit="1" customWidth="1"/>
    <col min="8477" max="8477" width="16.5" style="212" bestFit="1" customWidth="1"/>
    <col min="8478" max="8478" width="18" style="212" bestFit="1" customWidth="1"/>
    <col min="8479" max="8479" width="19.33203125" style="212" bestFit="1" customWidth="1"/>
    <col min="8480" max="8480" width="20.33203125" style="212" bestFit="1" customWidth="1"/>
    <col min="8481" max="8481" width="29" style="212" customWidth="1"/>
    <col min="8482" max="8483" width="29.83203125" style="212" bestFit="1" customWidth="1"/>
    <col min="8484" max="8484" width="9.33203125" style="212"/>
    <col min="8485" max="8485" width="31.5" style="212" customWidth="1"/>
    <col min="8486" max="8709" width="9.33203125" style="212"/>
    <col min="8710" max="8710" width="6.1640625" style="212" customWidth="1"/>
    <col min="8711" max="8711" width="9.1640625" style="212" customWidth="1"/>
    <col min="8712" max="8712" width="29.33203125" style="212" customWidth="1"/>
    <col min="8713" max="8713" width="43.6640625" style="212" customWidth="1"/>
    <col min="8714" max="8714" width="20" style="212" bestFit="1" customWidth="1"/>
    <col min="8715" max="8715" width="18" style="212" bestFit="1" customWidth="1"/>
    <col min="8716" max="8716" width="19.33203125" style="212" customWidth="1"/>
    <col min="8717" max="8717" width="19" style="212" bestFit="1" customWidth="1"/>
    <col min="8718" max="8718" width="16.6640625" style="212" bestFit="1" customWidth="1"/>
    <col min="8719" max="8719" width="19.33203125" style="212" bestFit="1" customWidth="1"/>
    <col min="8720" max="8720" width="15.33203125" style="212" bestFit="1" customWidth="1"/>
    <col min="8721" max="8723" width="16.6640625" style="212" bestFit="1" customWidth="1"/>
    <col min="8724" max="8724" width="18" style="212" bestFit="1" customWidth="1"/>
    <col min="8725" max="8727" width="0" style="212" hidden="1" customWidth="1"/>
    <col min="8728" max="8728" width="16.5" style="212" bestFit="1" customWidth="1"/>
    <col min="8729" max="8729" width="17.33203125" style="212" customWidth="1"/>
    <col min="8730" max="8730" width="16.6640625" style="212" customWidth="1"/>
    <col min="8731" max="8731" width="14.1640625" style="212" bestFit="1" customWidth="1"/>
    <col min="8732" max="8732" width="16.6640625" style="212" bestFit="1" customWidth="1"/>
    <col min="8733" max="8733" width="16.5" style="212" bestFit="1" customWidth="1"/>
    <col min="8734" max="8734" width="18" style="212" bestFit="1" customWidth="1"/>
    <col min="8735" max="8735" width="19.33203125" style="212" bestFit="1" customWidth="1"/>
    <col min="8736" max="8736" width="20.33203125" style="212" bestFit="1" customWidth="1"/>
    <col min="8737" max="8737" width="29" style="212" customWidth="1"/>
    <col min="8738" max="8739" width="29.83203125" style="212" bestFit="1" customWidth="1"/>
    <col min="8740" max="8740" width="9.33203125" style="212"/>
    <col min="8741" max="8741" width="31.5" style="212" customWidth="1"/>
    <col min="8742" max="8965" width="9.33203125" style="212"/>
    <col min="8966" max="8966" width="6.1640625" style="212" customWidth="1"/>
    <col min="8967" max="8967" width="9.1640625" style="212" customWidth="1"/>
    <col min="8968" max="8968" width="29.33203125" style="212" customWidth="1"/>
    <col min="8969" max="8969" width="43.6640625" style="212" customWidth="1"/>
    <col min="8970" max="8970" width="20" style="212" bestFit="1" customWidth="1"/>
    <col min="8971" max="8971" width="18" style="212" bestFit="1" customWidth="1"/>
    <col min="8972" max="8972" width="19.33203125" style="212" customWidth="1"/>
    <col min="8973" max="8973" width="19" style="212" bestFit="1" customWidth="1"/>
    <col min="8974" max="8974" width="16.6640625" style="212" bestFit="1" customWidth="1"/>
    <col min="8975" max="8975" width="19.33203125" style="212" bestFit="1" customWidth="1"/>
    <col min="8976" max="8976" width="15.33203125" style="212" bestFit="1" customWidth="1"/>
    <col min="8977" max="8979" width="16.6640625" style="212" bestFit="1" customWidth="1"/>
    <col min="8980" max="8980" width="18" style="212" bestFit="1" customWidth="1"/>
    <col min="8981" max="8983" width="0" style="212" hidden="1" customWidth="1"/>
    <col min="8984" max="8984" width="16.5" style="212" bestFit="1" customWidth="1"/>
    <col min="8985" max="8985" width="17.33203125" style="212" customWidth="1"/>
    <col min="8986" max="8986" width="16.6640625" style="212" customWidth="1"/>
    <col min="8987" max="8987" width="14.1640625" style="212" bestFit="1" customWidth="1"/>
    <col min="8988" max="8988" width="16.6640625" style="212" bestFit="1" customWidth="1"/>
    <col min="8989" max="8989" width="16.5" style="212" bestFit="1" customWidth="1"/>
    <col min="8990" max="8990" width="18" style="212" bestFit="1" customWidth="1"/>
    <col min="8991" max="8991" width="19.33203125" style="212" bestFit="1" customWidth="1"/>
    <col min="8992" max="8992" width="20.33203125" style="212" bestFit="1" customWidth="1"/>
    <col min="8993" max="8993" width="29" style="212" customWidth="1"/>
    <col min="8994" max="8995" width="29.83203125" style="212" bestFit="1" customWidth="1"/>
    <col min="8996" max="8996" width="9.33203125" style="212"/>
    <col min="8997" max="8997" width="31.5" style="212" customWidth="1"/>
    <col min="8998" max="9221" width="9.33203125" style="212"/>
    <col min="9222" max="9222" width="6.1640625" style="212" customWidth="1"/>
    <col min="9223" max="9223" width="9.1640625" style="212" customWidth="1"/>
    <col min="9224" max="9224" width="29.33203125" style="212" customWidth="1"/>
    <col min="9225" max="9225" width="43.6640625" style="212" customWidth="1"/>
    <col min="9226" max="9226" width="20" style="212" bestFit="1" customWidth="1"/>
    <col min="9227" max="9227" width="18" style="212" bestFit="1" customWidth="1"/>
    <col min="9228" max="9228" width="19.33203125" style="212" customWidth="1"/>
    <col min="9229" max="9229" width="19" style="212" bestFit="1" customWidth="1"/>
    <col min="9230" max="9230" width="16.6640625" style="212" bestFit="1" customWidth="1"/>
    <col min="9231" max="9231" width="19.33203125" style="212" bestFit="1" customWidth="1"/>
    <col min="9232" max="9232" width="15.33203125" style="212" bestFit="1" customWidth="1"/>
    <col min="9233" max="9235" width="16.6640625" style="212" bestFit="1" customWidth="1"/>
    <col min="9236" max="9236" width="18" style="212" bestFit="1" customWidth="1"/>
    <col min="9237" max="9239" width="0" style="212" hidden="1" customWidth="1"/>
    <col min="9240" max="9240" width="16.5" style="212" bestFit="1" customWidth="1"/>
    <col min="9241" max="9241" width="17.33203125" style="212" customWidth="1"/>
    <col min="9242" max="9242" width="16.6640625" style="212" customWidth="1"/>
    <col min="9243" max="9243" width="14.1640625" style="212" bestFit="1" customWidth="1"/>
    <col min="9244" max="9244" width="16.6640625" style="212" bestFit="1" customWidth="1"/>
    <col min="9245" max="9245" width="16.5" style="212" bestFit="1" customWidth="1"/>
    <col min="9246" max="9246" width="18" style="212" bestFit="1" customWidth="1"/>
    <col min="9247" max="9247" width="19.33203125" style="212" bestFit="1" customWidth="1"/>
    <col min="9248" max="9248" width="20.33203125" style="212" bestFit="1" customWidth="1"/>
    <col min="9249" max="9249" width="29" style="212" customWidth="1"/>
    <col min="9250" max="9251" width="29.83203125" style="212" bestFit="1" customWidth="1"/>
    <col min="9252" max="9252" width="9.33203125" style="212"/>
    <col min="9253" max="9253" width="31.5" style="212" customWidth="1"/>
    <col min="9254" max="9477" width="9.33203125" style="212"/>
    <col min="9478" max="9478" width="6.1640625" style="212" customWidth="1"/>
    <col min="9479" max="9479" width="9.1640625" style="212" customWidth="1"/>
    <col min="9480" max="9480" width="29.33203125" style="212" customWidth="1"/>
    <col min="9481" max="9481" width="43.6640625" style="212" customWidth="1"/>
    <col min="9482" max="9482" width="20" style="212" bestFit="1" customWidth="1"/>
    <col min="9483" max="9483" width="18" style="212" bestFit="1" customWidth="1"/>
    <col min="9484" max="9484" width="19.33203125" style="212" customWidth="1"/>
    <col min="9485" max="9485" width="19" style="212" bestFit="1" customWidth="1"/>
    <col min="9486" max="9486" width="16.6640625" style="212" bestFit="1" customWidth="1"/>
    <col min="9487" max="9487" width="19.33203125" style="212" bestFit="1" customWidth="1"/>
    <col min="9488" max="9488" width="15.33203125" style="212" bestFit="1" customWidth="1"/>
    <col min="9489" max="9491" width="16.6640625" style="212" bestFit="1" customWidth="1"/>
    <col min="9492" max="9492" width="18" style="212" bestFit="1" customWidth="1"/>
    <col min="9493" max="9495" width="0" style="212" hidden="1" customWidth="1"/>
    <col min="9496" max="9496" width="16.5" style="212" bestFit="1" customWidth="1"/>
    <col min="9497" max="9497" width="17.33203125" style="212" customWidth="1"/>
    <col min="9498" max="9498" width="16.6640625" style="212" customWidth="1"/>
    <col min="9499" max="9499" width="14.1640625" style="212" bestFit="1" customWidth="1"/>
    <col min="9500" max="9500" width="16.6640625" style="212" bestFit="1" customWidth="1"/>
    <col min="9501" max="9501" width="16.5" style="212" bestFit="1" customWidth="1"/>
    <col min="9502" max="9502" width="18" style="212" bestFit="1" customWidth="1"/>
    <col min="9503" max="9503" width="19.33203125" style="212" bestFit="1" customWidth="1"/>
    <col min="9504" max="9504" width="20.33203125" style="212" bestFit="1" customWidth="1"/>
    <col min="9505" max="9505" width="29" style="212" customWidth="1"/>
    <col min="9506" max="9507" width="29.83203125" style="212" bestFit="1" customWidth="1"/>
    <col min="9508" max="9508" width="9.33203125" style="212"/>
    <col min="9509" max="9509" width="31.5" style="212" customWidth="1"/>
    <col min="9510" max="9733" width="9.33203125" style="212"/>
    <col min="9734" max="9734" width="6.1640625" style="212" customWidth="1"/>
    <col min="9735" max="9735" width="9.1640625" style="212" customWidth="1"/>
    <col min="9736" max="9736" width="29.33203125" style="212" customWidth="1"/>
    <col min="9737" max="9737" width="43.6640625" style="212" customWidth="1"/>
    <col min="9738" max="9738" width="20" style="212" bestFit="1" customWidth="1"/>
    <col min="9739" max="9739" width="18" style="212" bestFit="1" customWidth="1"/>
    <col min="9740" max="9740" width="19.33203125" style="212" customWidth="1"/>
    <col min="9741" max="9741" width="19" style="212" bestFit="1" customWidth="1"/>
    <col min="9742" max="9742" width="16.6640625" style="212" bestFit="1" customWidth="1"/>
    <col min="9743" max="9743" width="19.33203125" style="212" bestFit="1" customWidth="1"/>
    <col min="9744" max="9744" width="15.33203125" style="212" bestFit="1" customWidth="1"/>
    <col min="9745" max="9747" width="16.6640625" style="212" bestFit="1" customWidth="1"/>
    <col min="9748" max="9748" width="18" style="212" bestFit="1" customWidth="1"/>
    <col min="9749" max="9751" width="0" style="212" hidden="1" customWidth="1"/>
    <col min="9752" max="9752" width="16.5" style="212" bestFit="1" customWidth="1"/>
    <col min="9753" max="9753" width="17.33203125" style="212" customWidth="1"/>
    <col min="9754" max="9754" width="16.6640625" style="212" customWidth="1"/>
    <col min="9755" max="9755" width="14.1640625" style="212" bestFit="1" customWidth="1"/>
    <col min="9756" max="9756" width="16.6640625" style="212" bestFit="1" customWidth="1"/>
    <col min="9757" max="9757" width="16.5" style="212" bestFit="1" customWidth="1"/>
    <col min="9758" max="9758" width="18" style="212" bestFit="1" customWidth="1"/>
    <col min="9759" max="9759" width="19.33203125" style="212" bestFit="1" customWidth="1"/>
    <col min="9760" max="9760" width="20.33203125" style="212" bestFit="1" customWidth="1"/>
    <col min="9761" max="9761" width="29" style="212" customWidth="1"/>
    <col min="9762" max="9763" width="29.83203125" style="212" bestFit="1" customWidth="1"/>
    <col min="9764" max="9764" width="9.33203125" style="212"/>
    <col min="9765" max="9765" width="31.5" style="212" customWidth="1"/>
    <col min="9766" max="9989" width="9.33203125" style="212"/>
    <col min="9990" max="9990" width="6.1640625" style="212" customWidth="1"/>
    <col min="9991" max="9991" width="9.1640625" style="212" customWidth="1"/>
    <col min="9992" max="9992" width="29.33203125" style="212" customWidth="1"/>
    <col min="9993" max="9993" width="43.6640625" style="212" customWidth="1"/>
    <col min="9994" max="9994" width="20" style="212" bestFit="1" customWidth="1"/>
    <col min="9995" max="9995" width="18" style="212" bestFit="1" customWidth="1"/>
    <col min="9996" max="9996" width="19.33203125" style="212" customWidth="1"/>
    <col min="9997" max="9997" width="19" style="212" bestFit="1" customWidth="1"/>
    <col min="9998" max="9998" width="16.6640625" style="212" bestFit="1" customWidth="1"/>
    <col min="9999" max="9999" width="19.33203125" style="212" bestFit="1" customWidth="1"/>
    <col min="10000" max="10000" width="15.33203125" style="212" bestFit="1" customWidth="1"/>
    <col min="10001" max="10003" width="16.6640625" style="212" bestFit="1" customWidth="1"/>
    <col min="10004" max="10004" width="18" style="212" bestFit="1" customWidth="1"/>
    <col min="10005" max="10007" width="0" style="212" hidden="1" customWidth="1"/>
    <col min="10008" max="10008" width="16.5" style="212" bestFit="1" customWidth="1"/>
    <col min="10009" max="10009" width="17.33203125" style="212" customWidth="1"/>
    <col min="10010" max="10010" width="16.6640625" style="212" customWidth="1"/>
    <col min="10011" max="10011" width="14.1640625" style="212" bestFit="1" customWidth="1"/>
    <col min="10012" max="10012" width="16.6640625" style="212" bestFit="1" customWidth="1"/>
    <col min="10013" max="10013" width="16.5" style="212" bestFit="1" customWidth="1"/>
    <col min="10014" max="10014" width="18" style="212" bestFit="1" customWidth="1"/>
    <col min="10015" max="10015" width="19.33203125" style="212" bestFit="1" customWidth="1"/>
    <col min="10016" max="10016" width="20.33203125" style="212" bestFit="1" customWidth="1"/>
    <col min="10017" max="10017" width="29" style="212" customWidth="1"/>
    <col min="10018" max="10019" width="29.83203125" style="212" bestFit="1" customWidth="1"/>
    <col min="10020" max="10020" width="9.33203125" style="212"/>
    <col min="10021" max="10021" width="31.5" style="212" customWidth="1"/>
    <col min="10022" max="10245" width="9.33203125" style="212"/>
    <col min="10246" max="10246" width="6.1640625" style="212" customWidth="1"/>
    <col min="10247" max="10247" width="9.1640625" style="212" customWidth="1"/>
    <col min="10248" max="10248" width="29.33203125" style="212" customWidth="1"/>
    <col min="10249" max="10249" width="43.6640625" style="212" customWidth="1"/>
    <col min="10250" max="10250" width="20" style="212" bestFit="1" customWidth="1"/>
    <col min="10251" max="10251" width="18" style="212" bestFit="1" customWidth="1"/>
    <col min="10252" max="10252" width="19.33203125" style="212" customWidth="1"/>
    <col min="10253" max="10253" width="19" style="212" bestFit="1" customWidth="1"/>
    <col min="10254" max="10254" width="16.6640625" style="212" bestFit="1" customWidth="1"/>
    <col min="10255" max="10255" width="19.33203125" style="212" bestFit="1" customWidth="1"/>
    <col min="10256" max="10256" width="15.33203125" style="212" bestFit="1" customWidth="1"/>
    <col min="10257" max="10259" width="16.6640625" style="212" bestFit="1" customWidth="1"/>
    <col min="10260" max="10260" width="18" style="212" bestFit="1" customWidth="1"/>
    <col min="10261" max="10263" width="0" style="212" hidden="1" customWidth="1"/>
    <col min="10264" max="10264" width="16.5" style="212" bestFit="1" customWidth="1"/>
    <col min="10265" max="10265" width="17.33203125" style="212" customWidth="1"/>
    <col min="10266" max="10266" width="16.6640625" style="212" customWidth="1"/>
    <col min="10267" max="10267" width="14.1640625" style="212" bestFit="1" customWidth="1"/>
    <col min="10268" max="10268" width="16.6640625" style="212" bestFit="1" customWidth="1"/>
    <col min="10269" max="10269" width="16.5" style="212" bestFit="1" customWidth="1"/>
    <col min="10270" max="10270" width="18" style="212" bestFit="1" customWidth="1"/>
    <col min="10271" max="10271" width="19.33203125" style="212" bestFit="1" customWidth="1"/>
    <col min="10272" max="10272" width="20.33203125" style="212" bestFit="1" customWidth="1"/>
    <col min="10273" max="10273" width="29" style="212" customWidth="1"/>
    <col min="10274" max="10275" width="29.83203125" style="212" bestFit="1" customWidth="1"/>
    <col min="10276" max="10276" width="9.33203125" style="212"/>
    <col min="10277" max="10277" width="31.5" style="212" customWidth="1"/>
    <col min="10278" max="10501" width="9.33203125" style="212"/>
    <col min="10502" max="10502" width="6.1640625" style="212" customWidth="1"/>
    <col min="10503" max="10503" width="9.1640625" style="212" customWidth="1"/>
    <col min="10504" max="10504" width="29.33203125" style="212" customWidth="1"/>
    <col min="10505" max="10505" width="43.6640625" style="212" customWidth="1"/>
    <col min="10506" max="10506" width="20" style="212" bestFit="1" customWidth="1"/>
    <col min="10507" max="10507" width="18" style="212" bestFit="1" customWidth="1"/>
    <col min="10508" max="10508" width="19.33203125" style="212" customWidth="1"/>
    <col min="10509" max="10509" width="19" style="212" bestFit="1" customWidth="1"/>
    <col min="10510" max="10510" width="16.6640625" style="212" bestFit="1" customWidth="1"/>
    <col min="10511" max="10511" width="19.33203125" style="212" bestFit="1" customWidth="1"/>
    <col min="10512" max="10512" width="15.33203125" style="212" bestFit="1" customWidth="1"/>
    <col min="10513" max="10515" width="16.6640625" style="212" bestFit="1" customWidth="1"/>
    <col min="10516" max="10516" width="18" style="212" bestFit="1" customWidth="1"/>
    <col min="10517" max="10519" width="0" style="212" hidden="1" customWidth="1"/>
    <col min="10520" max="10520" width="16.5" style="212" bestFit="1" customWidth="1"/>
    <col min="10521" max="10521" width="17.33203125" style="212" customWidth="1"/>
    <col min="10522" max="10522" width="16.6640625" style="212" customWidth="1"/>
    <col min="10523" max="10523" width="14.1640625" style="212" bestFit="1" customWidth="1"/>
    <col min="10524" max="10524" width="16.6640625" style="212" bestFit="1" customWidth="1"/>
    <col min="10525" max="10525" width="16.5" style="212" bestFit="1" customWidth="1"/>
    <col min="10526" max="10526" width="18" style="212" bestFit="1" customWidth="1"/>
    <col min="10527" max="10527" width="19.33203125" style="212" bestFit="1" customWidth="1"/>
    <col min="10528" max="10528" width="20.33203125" style="212" bestFit="1" customWidth="1"/>
    <col min="10529" max="10529" width="29" style="212" customWidth="1"/>
    <col min="10530" max="10531" width="29.83203125" style="212" bestFit="1" customWidth="1"/>
    <col min="10532" max="10532" width="9.33203125" style="212"/>
    <col min="10533" max="10533" width="31.5" style="212" customWidth="1"/>
    <col min="10534" max="10757" width="9.33203125" style="212"/>
    <col min="10758" max="10758" width="6.1640625" style="212" customWidth="1"/>
    <col min="10759" max="10759" width="9.1640625" style="212" customWidth="1"/>
    <col min="10760" max="10760" width="29.33203125" style="212" customWidth="1"/>
    <col min="10761" max="10761" width="43.6640625" style="212" customWidth="1"/>
    <col min="10762" max="10762" width="20" style="212" bestFit="1" customWidth="1"/>
    <col min="10763" max="10763" width="18" style="212" bestFit="1" customWidth="1"/>
    <col min="10764" max="10764" width="19.33203125" style="212" customWidth="1"/>
    <col min="10765" max="10765" width="19" style="212" bestFit="1" customWidth="1"/>
    <col min="10766" max="10766" width="16.6640625" style="212" bestFit="1" customWidth="1"/>
    <col min="10767" max="10767" width="19.33203125" style="212" bestFit="1" customWidth="1"/>
    <col min="10768" max="10768" width="15.33203125" style="212" bestFit="1" customWidth="1"/>
    <col min="10769" max="10771" width="16.6640625" style="212" bestFit="1" customWidth="1"/>
    <col min="10772" max="10772" width="18" style="212" bestFit="1" customWidth="1"/>
    <col min="10773" max="10775" width="0" style="212" hidden="1" customWidth="1"/>
    <col min="10776" max="10776" width="16.5" style="212" bestFit="1" customWidth="1"/>
    <col min="10777" max="10777" width="17.33203125" style="212" customWidth="1"/>
    <col min="10778" max="10778" width="16.6640625" style="212" customWidth="1"/>
    <col min="10779" max="10779" width="14.1640625" style="212" bestFit="1" customWidth="1"/>
    <col min="10780" max="10780" width="16.6640625" style="212" bestFit="1" customWidth="1"/>
    <col min="10781" max="10781" width="16.5" style="212" bestFit="1" customWidth="1"/>
    <col min="10782" max="10782" width="18" style="212" bestFit="1" customWidth="1"/>
    <col min="10783" max="10783" width="19.33203125" style="212" bestFit="1" customWidth="1"/>
    <col min="10784" max="10784" width="20.33203125" style="212" bestFit="1" customWidth="1"/>
    <col min="10785" max="10785" width="29" style="212" customWidth="1"/>
    <col min="10786" max="10787" width="29.83203125" style="212" bestFit="1" customWidth="1"/>
    <col min="10788" max="10788" width="9.33203125" style="212"/>
    <col min="10789" max="10789" width="31.5" style="212" customWidth="1"/>
    <col min="10790" max="11013" width="9.33203125" style="212"/>
    <col min="11014" max="11014" width="6.1640625" style="212" customWidth="1"/>
    <col min="11015" max="11015" width="9.1640625" style="212" customWidth="1"/>
    <col min="11016" max="11016" width="29.33203125" style="212" customWidth="1"/>
    <col min="11017" max="11017" width="43.6640625" style="212" customWidth="1"/>
    <col min="11018" max="11018" width="20" style="212" bestFit="1" customWidth="1"/>
    <col min="11019" max="11019" width="18" style="212" bestFit="1" customWidth="1"/>
    <col min="11020" max="11020" width="19.33203125" style="212" customWidth="1"/>
    <col min="11021" max="11021" width="19" style="212" bestFit="1" customWidth="1"/>
    <col min="11022" max="11022" width="16.6640625" style="212" bestFit="1" customWidth="1"/>
    <col min="11023" max="11023" width="19.33203125" style="212" bestFit="1" customWidth="1"/>
    <col min="11024" max="11024" width="15.33203125" style="212" bestFit="1" customWidth="1"/>
    <col min="11025" max="11027" width="16.6640625" style="212" bestFit="1" customWidth="1"/>
    <col min="11028" max="11028" width="18" style="212" bestFit="1" customWidth="1"/>
    <col min="11029" max="11031" width="0" style="212" hidden="1" customWidth="1"/>
    <col min="11032" max="11032" width="16.5" style="212" bestFit="1" customWidth="1"/>
    <col min="11033" max="11033" width="17.33203125" style="212" customWidth="1"/>
    <col min="11034" max="11034" width="16.6640625" style="212" customWidth="1"/>
    <col min="11035" max="11035" width="14.1640625" style="212" bestFit="1" customWidth="1"/>
    <col min="11036" max="11036" width="16.6640625" style="212" bestFit="1" customWidth="1"/>
    <col min="11037" max="11037" width="16.5" style="212" bestFit="1" customWidth="1"/>
    <col min="11038" max="11038" width="18" style="212" bestFit="1" customWidth="1"/>
    <col min="11039" max="11039" width="19.33203125" style="212" bestFit="1" customWidth="1"/>
    <col min="11040" max="11040" width="20.33203125" style="212" bestFit="1" customWidth="1"/>
    <col min="11041" max="11041" width="29" style="212" customWidth="1"/>
    <col min="11042" max="11043" width="29.83203125" style="212" bestFit="1" customWidth="1"/>
    <col min="11044" max="11044" width="9.33203125" style="212"/>
    <col min="11045" max="11045" width="31.5" style="212" customWidth="1"/>
    <col min="11046" max="11269" width="9.33203125" style="212"/>
    <col min="11270" max="11270" width="6.1640625" style="212" customWidth="1"/>
    <col min="11271" max="11271" width="9.1640625" style="212" customWidth="1"/>
    <col min="11272" max="11272" width="29.33203125" style="212" customWidth="1"/>
    <col min="11273" max="11273" width="43.6640625" style="212" customWidth="1"/>
    <col min="11274" max="11274" width="20" style="212" bestFit="1" customWidth="1"/>
    <col min="11275" max="11275" width="18" style="212" bestFit="1" customWidth="1"/>
    <col min="11276" max="11276" width="19.33203125" style="212" customWidth="1"/>
    <col min="11277" max="11277" width="19" style="212" bestFit="1" customWidth="1"/>
    <col min="11278" max="11278" width="16.6640625" style="212" bestFit="1" customWidth="1"/>
    <col min="11279" max="11279" width="19.33203125" style="212" bestFit="1" customWidth="1"/>
    <col min="11280" max="11280" width="15.33203125" style="212" bestFit="1" customWidth="1"/>
    <col min="11281" max="11283" width="16.6640625" style="212" bestFit="1" customWidth="1"/>
    <col min="11284" max="11284" width="18" style="212" bestFit="1" customWidth="1"/>
    <col min="11285" max="11287" width="0" style="212" hidden="1" customWidth="1"/>
    <col min="11288" max="11288" width="16.5" style="212" bestFit="1" customWidth="1"/>
    <col min="11289" max="11289" width="17.33203125" style="212" customWidth="1"/>
    <col min="11290" max="11290" width="16.6640625" style="212" customWidth="1"/>
    <col min="11291" max="11291" width="14.1640625" style="212" bestFit="1" customWidth="1"/>
    <col min="11292" max="11292" width="16.6640625" style="212" bestFit="1" customWidth="1"/>
    <col min="11293" max="11293" width="16.5" style="212" bestFit="1" customWidth="1"/>
    <col min="11294" max="11294" width="18" style="212" bestFit="1" customWidth="1"/>
    <col min="11295" max="11295" width="19.33203125" style="212" bestFit="1" customWidth="1"/>
    <col min="11296" max="11296" width="20.33203125" style="212" bestFit="1" customWidth="1"/>
    <col min="11297" max="11297" width="29" style="212" customWidth="1"/>
    <col min="11298" max="11299" width="29.83203125" style="212" bestFit="1" customWidth="1"/>
    <col min="11300" max="11300" width="9.33203125" style="212"/>
    <col min="11301" max="11301" width="31.5" style="212" customWidth="1"/>
    <col min="11302" max="11525" width="9.33203125" style="212"/>
    <col min="11526" max="11526" width="6.1640625" style="212" customWidth="1"/>
    <col min="11527" max="11527" width="9.1640625" style="212" customWidth="1"/>
    <col min="11528" max="11528" width="29.33203125" style="212" customWidth="1"/>
    <col min="11529" max="11529" width="43.6640625" style="212" customWidth="1"/>
    <col min="11530" max="11530" width="20" style="212" bestFit="1" customWidth="1"/>
    <col min="11531" max="11531" width="18" style="212" bestFit="1" customWidth="1"/>
    <col min="11532" max="11532" width="19.33203125" style="212" customWidth="1"/>
    <col min="11533" max="11533" width="19" style="212" bestFit="1" customWidth="1"/>
    <col min="11534" max="11534" width="16.6640625" style="212" bestFit="1" customWidth="1"/>
    <col min="11535" max="11535" width="19.33203125" style="212" bestFit="1" customWidth="1"/>
    <col min="11536" max="11536" width="15.33203125" style="212" bestFit="1" customWidth="1"/>
    <col min="11537" max="11539" width="16.6640625" style="212" bestFit="1" customWidth="1"/>
    <col min="11540" max="11540" width="18" style="212" bestFit="1" customWidth="1"/>
    <col min="11541" max="11543" width="0" style="212" hidden="1" customWidth="1"/>
    <col min="11544" max="11544" width="16.5" style="212" bestFit="1" customWidth="1"/>
    <col min="11545" max="11545" width="17.33203125" style="212" customWidth="1"/>
    <col min="11546" max="11546" width="16.6640625" style="212" customWidth="1"/>
    <col min="11547" max="11547" width="14.1640625" style="212" bestFit="1" customWidth="1"/>
    <col min="11548" max="11548" width="16.6640625" style="212" bestFit="1" customWidth="1"/>
    <col min="11549" max="11549" width="16.5" style="212" bestFit="1" customWidth="1"/>
    <col min="11550" max="11550" width="18" style="212" bestFit="1" customWidth="1"/>
    <col min="11551" max="11551" width="19.33203125" style="212" bestFit="1" customWidth="1"/>
    <col min="11552" max="11552" width="20.33203125" style="212" bestFit="1" customWidth="1"/>
    <col min="11553" max="11553" width="29" style="212" customWidth="1"/>
    <col min="11554" max="11555" width="29.83203125" style="212" bestFit="1" customWidth="1"/>
    <col min="11556" max="11556" width="9.33203125" style="212"/>
    <col min="11557" max="11557" width="31.5" style="212" customWidth="1"/>
    <col min="11558" max="11781" width="9.33203125" style="212"/>
    <col min="11782" max="11782" width="6.1640625" style="212" customWidth="1"/>
    <col min="11783" max="11783" width="9.1640625" style="212" customWidth="1"/>
    <col min="11784" max="11784" width="29.33203125" style="212" customWidth="1"/>
    <col min="11785" max="11785" width="43.6640625" style="212" customWidth="1"/>
    <col min="11786" max="11786" width="20" style="212" bestFit="1" customWidth="1"/>
    <col min="11787" max="11787" width="18" style="212" bestFit="1" customWidth="1"/>
    <col min="11788" max="11788" width="19.33203125" style="212" customWidth="1"/>
    <col min="11789" max="11789" width="19" style="212" bestFit="1" customWidth="1"/>
    <col min="11790" max="11790" width="16.6640625" style="212" bestFit="1" customWidth="1"/>
    <col min="11791" max="11791" width="19.33203125" style="212" bestFit="1" customWidth="1"/>
    <col min="11792" max="11792" width="15.33203125" style="212" bestFit="1" customWidth="1"/>
    <col min="11793" max="11795" width="16.6640625" style="212" bestFit="1" customWidth="1"/>
    <col min="11796" max="11796" width="18" style="212" bestFit="1" customWidth="1"/>
    <col min="11797" max="11799" width="0" style="212" hidden="1" customWidth="1"/>
    <col min="11800" max="11800" width="16.5" style="212" bestFit="1" customWidth="1"/>
    <col min="11801" max="11801" width="17.33203125" style="212" customWidth="1"/>
    <col min="11802" max="11802" width="16.6640625" style="212" customWidth="1"/>
    <col min="11803" max="11803" width="14.1640625" style="212" bestFit="1" customWidth="1"/>
    <col min="11804" max="11804" width="16.6640625" style="212" bestFit="1" customWidth="1"/>
    <col min="11805" max="11805" width="16.5" style="212" bestFit="1" customWidth="1"/>
    <col min="11806" max="11806" width="18" style="212" bestFit="1" customWidth="1"/>
    <col min="11807" max="11807" width="19.33203125" style="212" bestFit="1" customWidth="1"/>
    <col min="11808" max="11808" width="20.33203125" style="212" bestFit="1" customWidth="1"/>
    <col min="11809" max="11809" width="29" style="212" customWidth="1"/>
    <col min="11810" max="11811" width="29.83203125" style="212" bestFit="1" customWidth="1"/>
    <col min="11812" max="11812" width="9.33203125" style="212"/>
    <col min="11813" max="11813" width="31.5" style="212" customWidth="1"/>
    <col min="11814" max="12037" width="9.33203125" style="212"/>
    <col min="12038" max="12038" width="6.1640625" style="212" customWidth="1"/>
    <col min="12039" max="12039" width="9.1640625" style="212" customWidth="1"/>
    <col min="12040" max="12040" width="29.33203125" style="212" customWidth="1"/>
    <col min="12041" max="12041" width="43.6640625" style="212" customWidth="1"/>
    <col min="12042" max="12042" width="20" style="212" bestFit="1" customWidth="1"/>
    <col min="12043" max="12043" width="18" style="212" bestFit="1" customWidth="1"/>
    <col min="12044" max="12044" width="19.33203125" style="212" customWidth="1"/>
    <col min="12045" max="12045" width="19" style="212" bestFit="1" customWidth="1"/>
    <col min="12046" max="12046" width="16.6640625" style="212" bestFit="1" customWidth="1"/>
    <col min="12047" max="12047" width="19.33203125" style="212" bestFit="1" customWidth="1"/>
    <col min="12048" max="12048" width="15.33203125" style="212" bestFit="1" customWidth="1"/>
    <col min="12049" max="12051" width="16.6640625" style="212" bestFit="1" customWidth="1"/>
    <col min="12052" max="12052" width="18" style="212" bestFit="1" customWidth="1"/>
    <col min="12053" max="12055" width="0" style="212" hidden="1" customWidth="1"/>
    <col min="12056" max="12056" width="16.5" style="212" bestFit="1" customWidth="1"/>
    <col min="12057" max="12057" width="17.33203125" style="212" customWidth="1"/>
    <col min="12058" max="12058" width="16.6640625" style="212" customWidth="1"/>
    <col min="12059" max="12059" width="14.1640625" style="212" bestFit="1" customWidth="1"/>
    <col min="12060" max="12060" width="16.6640625" style="212" bestFit="1" customWidth="1"/>
    <col min="12061" max="12061" width="16.5" style="212" bestFit="1" customWidth="1"/>
    <col min="12062" max="12062" width="18" style="212" bestFit="1" customWidth="1"/>
    <col min="12063" max="12063" width="19.33203125" style="212" bestFit="1" customWidth="1"/>
    <col min="12064" max="12064" width="20.33203125" style="212" bestFit="1" customWidth="1"/>
    <col min="12065" max="12065" width="29" style="212" customWidth="1"/>
    <col min="12066" max="12067" width="29.83203125" style="212" bestFit="1" customWidth="1"/>
    <col min="12068" max="12068" width="9.33203125" style="212"/>
    <col min="12069" max="12069" width="31.5" style="212" customWidth="1"/>
    <col min="12070" max="12293" width="9.33203125" style="212"/>
    <col min="12294" max="12294" width="6.1640625" style="212" customWidth="1"/>
    <col min="12295" max="12295" width="9.1640625" style="212" customWidth="1"/>
    <col min="12296" max="12296" width="29.33203125" style="212" customWidth="1"/>
    <col min="12297" max="12297" width="43.6640625" style="212" customWidth="1"/>
    <col min="12298" max="12298" width="20" style="212" bestFit="1" customWidth="1"/>
    <col min="12299" max="12299" width="18" style="212" bestFit="1" customWidth="1"/>
    <col min="12300" max="12300" width="19.33203125" style="212" customWidth="1"/>
    <col min="12301" max="12301" width="19" style="212" bestFit="1" customWidth="1"/>
    <col min="12302" max="12302" width="16.6640625" style="212" bestFit="1" customWidth="1"/>
    <col min="12303" max="12303" width="19.33203125" style="212" bestFit="1" customWidth="1"/>
    <col min="12304" max="12304" width="15.33203125" style="212" bestFit="1" customWidth="1"/>
    <col min="12305" max="12307" width="16.6640625" style="212" bestFit="1" customWidth="1"/>
    <col min="12308" max="12308" width="18" style="212" bestFit="1" customWidth="1"/>
    <col min="12309" max="12311" width="0" style="212" hidden="1" customWidth="1"/>
    <col min="12312" max="12312" width="16.5" style="212" bestFit="1" customWidth="1"/>
    <col min="12313" max="12313" width="17.33203125" style="212" customWidth="1"/>
    <col min="12314" max="12314" width="16.6640625" style="212" customWidth="1"/>
    <col min="12315" max="12315" width="14.1640625" style="212" bestFit="1" customWidth="1"/>
    <col min="12316" max="12316" width="16.6640625" style="212" bestFit="1" customWidth="1"/>
    <col min="12317" max="12317" width="16.5" style="212" bestFit="1" customWidth="1"/>
    <col min="12318" max="12318" width="18" style="212" bestFit="1" customWidth="1"/>
    <col min="12319" max="12319" width="19.33203125" style="212" bestFit="1" customWidth="1"/>
    <col min="12320" max="12320" width="20.33203125" style="212" bestFit="1" customWidth="1"/>
    <col min="12321" max="12321" width="29" style="212" customWidth="1"/>
    <col min="12322" max="12323" width="29.83203125" style="212" bestFit="1" customWidth="1"/>
    <col min="12324" max="12324" width="9.33203125" style="212"/>
    <col min="12325" max="12325" width="31.5" style="212" customWidth="1"/>
    <col min="12326" max="12549" width="9.33203125" style="212"/>
    <col min="12550" max="12550" width="6.1640625" style="212" customWidth="1"/>
    <col min="12551" max="12551" width="9.1640625" style="212" customWidth="1"/>
    <col min="12552" max="12552" width="29.33203125" style="212" customWidth="1"/>
    <col min="12553" max="12553" width="43.6640625" style="212" customWidth="1"/>
    <col min="12554" max="12554" width="20" style="212" bestFit="1" customWidth="1"/>
    <col min="12555" max="12555" width="18" style="212" bestFit="1" customWidth="1"/>
    <col min="12556" max="12556" width="19.33203125" style="212" customWidth="1"/>
    <col min="12557" max="12557" width="19" style="212" bestFit="1" customWidth="1"/>
    <col min="12558" max="12558" width="16.6640625" style="212" bestFit="1" customWidth="1"/>
    <col min="12559" max="12559" width="19.33203125" style="212" bestFit="1" customWidth="1"/>
    <col min="12560" max="12560" width="15.33203125" style="212" bestFit="1" customWidth="1"/>
    <col min="12561" max="12563" width="16.6640625" style="212" bestFit="1" customWidth="1"/>
    <col min="12564" max="12564" width="18" style="212" bestFit="1" customWidth="1"/>
    <col min="12565" max="12567" width="0" style="212" hidden="1" customWidth="1"/>
    <col min="12568" max="12568" width="16.5" style="212" bestFit="1" customWidth="1"/>
    <col min="12569" max="12569" width="17.33203125" style="212" customWidth="1"/>
    <col min="12570" max="12570" width="16.6640625" style="212" customWidth="1"/>
    <col min="12571" max="12571" width="14.1640625" style="212" bestFit="1" customWidth="1"/>
    <col min="12572" max="12572" width="16.6640625" style="212" bestFit="1" customWidth="1"/>
    <col min="12573" max="12573" width="16.5" style="212" bestFit="1" customWidth="1"/>
    <col min="12574" max="12574" width="18" style="212" bestFit="1" customWidth="1"/>
    <col min="12575" max="12575" width="19.33203125" style="212" bestFit="1" customWidth="1"/>
    <col min="12576" max="12576" width="20.33203125" style="212" bestFit="1" customWidth="1"/>
    <col min="12577" max="12577" width="29" style="212" customWidth="1"/>
    <col min="12578" max="12579" width="29.83203125" style="212" bestFit="1" customWidth="1"/>
    <col min="12580" max="12580" width="9.33203125" style="212"/>
    <col min="12581" max="12581" width="31.5" style="212" customWidth="1"/>
    <col min="12582" max="12805" width="9.33203125" style="212"/>
    <col min="12806" max="12806" width="6.1640625" style="212" customWidth="1"/>
    <col min="12807" max="12807" width="9.1640625" style="212" customWidth="1"/>
    <col min="12808" max="12808" width="29.33203125" style="212" customWidth="1"/>
    <col min="12809" max="12809" width="43.6640625" style="212" customWidth="1"/>
    <col min="12810" max="12810" width="20" style="212" bestFit="1" customWidth="1"/>
    <col min="12811" max="12811" width="18" style="212" bestFit="1" customWidth="1"/>
    <col min="12812" max="12812" width="19.33203125" style="212" customWidth="1"/>
    <col min="12813" max="12813" width="19" style="212" bestFit="1" customWidth="1"/>
    <col min="12814" max="12814" width="16.6640625" style="212" bestFit="1" customWidth="1"/>
    <col min="12815" max="12815" width="19.33203125" style="212" bestFit="1" customWidth="1"/>
    <col min="12816" max="12816" width="15.33203125" style="212" bestFit="1" customWidth="1"/>
    <col min="12817" max="12819" width="16.6640625" style="212" bestFit="1" customWidth="1"/>
    <col min="12820" max="12820" width="18" style="212" bestFit="1" customWidth="1"/>
    <col min="12821" max="12823" width="0" style="212" hidden="1" customWidth="1"/>
    <col min="12824" max="12824" width="16.5" style="212" bestFit="1" customWidth="1"/>
    <col min="12825" max="12825" width="17.33203125" style="212" customWidth="1"/>
    <col min="12826" max="12826" width="16.6640625" style="212" customWidth="1"/>
    <col min="12827" max="12827" width="14.1640625" style="212" bestFit="1" customWidth="1"/>
    <col min="12828" max="12828" width="16.6640625" style="212" bestFit="1" customWidth="1"/>
    <col min="12829" max="12829" width="16.5" style="212" bestFit="1" customWidth="1"/>
    <col min="12830" max="12830" width="18" style="212" bestFit="1" customWidth="1"/>
    <col min="12831" max="12831" width="19.33203125" style="212" bestFit="1" customWidth="1"/>
    <col min="12832" max="12832" width="20.33203125" style="212" bestFit="1" customWidth="1"/>
    <col min="12833" max="12833" width="29" style="212" customWidth="1"/>
    <col min="12834" max="12835" width="29.83203125" style="212" bestFit="1" customWidth="1"/>
    <col min="12836" max="12836" width="9.33203125" style="212"/>
    <col min="12837" max="12837" width="31.5" style="212" customWidth="1"/>
    <col min="12838" max="13061" width="9.33203125" style="212"/>
    <col min="13062" max="13062" width="6.1640625" style="212" customWidth="1"/>
    <col min="13063" max="13063" width="9.1640625" style="212" customWidth="1"/>
    <col min="13064" max="13064" width="29.33203125" style="212" customWidth="1"/>
    <col min="13065" max="13065" width="43.6640625" style="212" customWidth="1"/>
    <col min="13066" max="13066" width="20" style="212" bestFit="1" customWidth="1"/>
    <col min="13067" max="13067" width="18" style="212" bestFit="1" customWidth="1"/>
    <col min="13068" max="13068" width="19.33203125" style="212" customWidth="1"/>
    <col min="13069" max="13069" width="19" style="212" bestFit="1" customWidth="1"/>
    <col min="13070" max="13070" width="16.6640625" style="212" bestFit="1" customWidth="1"/>
    <col min="13071" max="13071" width="19.33203125" style="212" bestFit="1" customWidth="1"/>
    <col min="13072" max="13072" width="15.33203125" style="212" bestFit="1" customWidth="1"/>
    <col min="13073" max="13075" width="16.6640625" style="212" bestFit="1" customWidth="1"/>
    <col min="13076" max="13076" width="18" style="212" bestFit="1" customWidth="1"/>
    <col min="13077" max="13079" width="0" style="212" hidden="1" customWidth="1"/>
    <col min="13080" max="13080" width="16.5" style="212" bestFit="1" customWidth="1"/>
    <col min="13081" max="13081" width="17.33203125" style="212" customWidth="1"/>
    <col min="13082" max="13082" width="16.6640625" style="212" customWidth="1"/>
    <col min="13083" max="13083" width="14.1640625" style="212" bestFit="1" customWidth="1"/>
    <col min="13084" max="13084" width="16.6640625" style="212" bestFit="1" customWidth="1"/>
    <col min="13085" max="13085" width="16.5" style="212" bestFit="1" customWidth="1"/>
    <col min="13086" max="13086" width="18" style="212" bestFit="1" customWidth="1"/>
    <col min="13087" max="13087" width="19.33203125" style="212" bestFit="1" customWidth="1"/>
    <col min="13088" max="13088" width="20.33203125" style="212" bestFit="1" customWidth="1"/>
    <col min="13089" max="13089" width="29" style="212" customWidth="1"/>
    <col min="13090" max="13091" width="29.83203125" style="212" bestFit="1" customWidth="1"/>
    <col min="13092" max="13092" width="9.33203125" style="212"/>
    <col min="13093" max="13093" width="31.5" style="212" customWidth="1"/>
    <col min="13094" max="13317" width="9.33203125" style="212"/>
    <col min="13318" max="13318" width="6.1640625" style="212" customWidth="1"/>
    <col min="13319" max="13319" width="9.1640625" style="212" customWidth="1"/>
    <col min="13320" max="13320" width="29.33203125" style="212" customWidth="1"/>
    <col min="13321" max="13321" width="43.6640625" style="212" customWidth="1"/>
    <col min="13322" max="13322" width="20" style="212" bestFit="1" customWidth="1"/>
    <col min="13323" max="13323" width="18" style="212" bestFit="1" customWidth="1"/>
    <col min="13324" max="13324" width="19.33203125" style="212" customWidth="1"/>
    <col min="13325" max="13325" width="19" style="212" bestFit="1" customWidth="1"/>
    <col min="13326" max="13326" width="16.6640625" style="212" bestFit="1" customWidth="1"/>
    <col min="13327" max="13327" width="19.33203125" style="212" bestFit="1" customWidth="1"/>
    <col min="13328" max="13328" width="15.33203125" style="212" bestFit="1" customWidth="1"/>
    <col min="13329" max="13331" width="16.6640625" style="212" bestFit="1" customWidth="1"/>
    <col min="13332" max="13332" width="18" style="212" bestFit="1" customWidth="1"/>
    <col min="13333" max="13335" width="0" style="212" hidden="1" customWidth="1"/>
    <col min="13336" max="13336" width="16.5" style="212" bestFit="1" customWidth="1"/>
    <col min="13337" max="13337" width="17.33203125" style="212" customWidth="1"/>
    <col min="13338" max="13338" width="16.6640625" style="212" customWidth="1"/>
    <col min="13339" max="13339" width="14.1640625" style="212" bestFit="1" customWidth="1"/>
    <col min="13340" max="13340" width="16.6640625" style="212" bestFit="1" customWidth="1"/>
    <col min="13341" max="13341" width="16.5" style="212" bestFit="1" customWidth="1"/>
    <col min="13342" max="13342" width="18" style="212" bestFit="1" customWidth="1"/>
    <col min="13343" max="13343" width="19.33203125" style="212" bestFit="1" customWidth="1"/>
    <col min="13344" max="13344" width="20.33203125" style="212" bestFit="1" customWidth="1"/>
    <col min="13345" max="13345" width="29" style="212" customWidth="1"/>
    <col min="13346" max="13347" width="29.83203125" style="212" bestFit="1" customWidth="1"/>
    <col min="13348" max="13348" width="9.33203125" style="212"/>
    <col min="13349" max="13349" width="31.5" style="212" customWidth="1"/>
    <col min="13350" max="13573" width="9.33203125" style="212"/>
    <col min="13574" max="13574" width="6.1640625" style="212" customWidth="1"/>
    <col min="13575" max="13575" width="9.1640625" style="212" customWidth="1"/>
    <col min="13576" max="13576" width="29.33203125" style="212" customWidth="1"/>
    <col min="13577" max="13577" width="43.6640625" style="212" customWidth="1"/>
    <col min="13578" max="13578" width="20" style="212" bestFit="1" customWidth="1"/>
    <col min="13579" max="13579" width="18" style="212" bestFit="1" customWidth="1"/>
    <col min="13580" max="13580" width="19.33203125" style="212" customWidth="1"/>
    <col min="13581" max="13581" width="19" style="212" bestFit="1" customWidth="1"/>
    <col min="13582" max="13582" width="16.6640625" style="212" bestFit="1" customWidth="1"/>
    <col min="13583" max="13583" width="19.33203125" style="212" bestFit="1" customWidth="1"/>
    <col min="13584" max="13584" width="15.33203125" style="212" bestFit="1" customWidth="1"/>
    <col min="13585" max="13587" width="16.6640625" style="212" bestFit="1" customWidth="1"/>
    <col min="13588" max="13588" width="18" style="212" bestFit="1" customWidth="1"/>
    <col min="13589" max="13591" width="0" style="212" hidden="1" customWidth="1"/>
    <col min="13592" max="13592" width="16.5" style="212" bestFit="1" customWidth="1"/>
    <col min="13593" max="13593" width="17.33203125" style="212" customWidth="1"/>
    <col min="13594" max="13594" width="16.6640625" style="212" customWidth="1"/>
    <col min="13595" max="13595" width="14.1640625" style="212" bestFit="1" customWidth="1"/>
    <col min="13596" max="13596" width="16.6640625" style="212" bestFit="1" customWidth="1"/>
    <col min="13597" max="13597" width="16.5" style="212" bestFit="1" customWidth="1"/>
    <col min="13598" max="13598" width="18" style="212" bestFit="1" customWidth="1"/>
    <col min="13599" max="13599" width="19.33203125" style="212" bestFit="1" customWidth="1"/>
    <col min="13600" max="13600" width="20.33203125" style="212" bestFit="1" customWidth="1"/>
    <col min="13601" max="13601" width="29" style="212" customWidth="1"/>
    <col min="13602" max="13603" width="29.83203125" style="212" bestFit="1" customWidth="1"/>
    <col min="13604" max="13604" width="9.33203125" style="212"/>
    <col min="13605" max="13605" width="31.5" style="212" customWidth="1"/>
    <col min="13606" max="13829" width="9.33203125" style="212"/>
    <col min="13830" max="13830" width="6.1640625" style="212" customWidth="1"/>
    <col min="13831" max="13831" width="9.1640625" style="212" customWidth="1"/>
    <col min="13832" max="13832" width="29.33203125" style="212" customWidth="1"/>
    <col min="13833" max="13833" width="43.6640625" style="212" customWidth="1"/>
    <col min="13834" max="13834" width="20" style="212" bestFit="1" customWidth="1"/>
    <col min="13835" max="13835" width="18" style="212" bestFit="1" customWidth="1"/>
    <col min="13836" max="13836" width="19.33203125" style="212" customWidth="1"/>
    <col min="13837" max="13837" width="19" style="212" bestFit="1" customWidth="1"/>
    <col min="13838" max="13838" width="16.6640625" style="212" bestFit="1" customWidth="1"/>
    <col min="13839" max="13839" width="19.33203125" style="212" bestFit="1" customWidth="1"/>
    <col min="13840" max="13840" width="15.33203125" style="212" bestFit="1" customWidth="1"/>
    <col min="13841" max="13843" width="16.6640625" style="212" bestFit="1" customWidth="1"/>
    <col min="13844" max="13844" width="18" style="212" bestFit="1" customWidth="1"/>
    <col min="13845" max="13847" width="0" style="212" hidden="1" customWidth="1"/>
    <col min="13848" max="13848" width="16.5" style="212" bestFit="1" customWidth="1"/>
    <col min="13849" max="13849" width="17.33203125" style="212" customWidth="1"/>
    <col min="13850" max="13850" width="16.6640625" style="212" customWidth="1"/>
    <col min="13851" max="13851" width="14.1640625" style="212" bestFit="1" customWidth="1"/>
    <col min="13852" max="13852" width="16.6640625" style="212" bestFit="1" customWidth="1"/>
    <col min="13853" max="13853" width="16.5" style="212" bestFit="1" customWidth="1"/>
    <col min="13854" max="13854" width="18" style="212" bestFit="1" customWidth="1"/>
    <col min="13855" max="13855" width="19.33203125" style="212" bestFit="1" customWidth="1"/>
    <col min="13856" max="13856" width="20.33203125" style="212" bestFit="1" customWidth="1"/>
    <col min="13857" max="13857" width="29" style="212" customWidth="1"/>
    <col min="13858" max="13859" width="29.83203125" style="212" bestFit="1" customWidth="1"/>
    <col min="13860" max="13860" width="9.33203125" style="212"/>
    <col min="13861" max="13861" width="31.5" style="212" customWidth="1"/>
    <col min="13862" max="14085" width="9.33203125" style="212"/>
    <col min="14086" max="14086" width="6.1640625" style="212" customWidth="1"/>
    <col min="14087" max="14087" width="9.1640625" style="212" customWidth="1"/>
    <col min="14088" max="14088" width="29.33203125" style="212" customWidth="1"/>
    <col min="14089" max="14089" width="43.6640625" style="212" customWidth="1"/>
    <col min="14090" max="14090" width="20" style="212" bestFit="1" customWidth="1"/>
    <col min="14091" max="14091" width="18" style="212" bestFit="1" customWidth="1"/>
    <col min="14092" max="14092" width="19.33203125" style="212" customWidth="1"/>
    <col min="14093" max="14093" width="19" style="212" bestFit="1" customWidth="1"/>
    <col min="14094" max="14094" width="16.6640625" style="212" bestFit="1" customWidth="1"/>
    <col min="14095" max="14095" width="19.33203125" style="212" bestFit="1" customWidth="1"/>
    <col min="14096" max="14096" width="15.33203125" style="212" bestFit="1" customWidth="1"/>
    <col min="14097" max="14099" width="16.6640625" style="212" bestFit="1" customWidth="1"/>
    <col min="14100" max="14100" width="18" style="212" bestFit="1" customWidth="1"/>
    <col min="14101" max="14103" width="0" style="212" hidden="1" customWidth="1"/>
    <col min="14104" max="14104" width="16.5" style="212" bestFit="1" customWidth="1"/>
    <col min="14105" max="14105" width="17.33203125" style="212" customWidth="1"/>
    <col min="14106" max="14106" width="16.6640625" style="212" customWidth="1"/>
    <col min="14107" max="14107" width="14.1640625" style="212" bestFit="1" customWidth="1"/>
    <col min="14108" max="14108" width="16.6640625" style="212" bestFit="1" customWidth="1"/>
    <col min="14109" max="14109" width="16.5" style="212" bestFit="1" customWidth="1"/>
    <col min="14110" max="14110" width="18" style="212" bestFit="1" customWidth="1"/>
    <col min="14111" max="14111" width="19.33203125" style="212" bestFit="1" customWidth="1"/>
    <col min="14112" max="14112" width="20.33203125" style="212" bestFit="1" customWidth="1"/>
    <col min="14113" max="14113" width="29" style="212" customWidth="1"/>
    <col min="14114" max="14115" width="29.83203125" style="212" bestFit="1" customWidth="1"/>
    <col min="14116" max="14116" width="9.33203125" style="212"/>
    <col min="14117" max="14117" width="31.5" style="212" customWidth="1"/>
    <col min="14118" max="14341" width="9.33203125" style="212"/>
    <col min="14342" max="14342" width="6.1640625" style="212" customWidth="1"/>
    <col min="14343" max="14343" width="9.1640625" style="212" customWidth="1"/>
    <col min="14344" max="14344" width="29.33203125" style="212" customWidth="1"/>
    <col min="14345" max="14345" width="43.6640625" style="212" customWidth="1"/>
    <col min="14346" max="14346" width="20" style="212" bestFit="1" customWidth="1"/>
    <col min="14347" max="14347" width="18" style="212" bestFit="1" customWidth="1"/>
    <col min="14348" max="14348" width="19.33203125" style="212" customWidth="1"/>
    <col min="14349" max="14349" width="19" style="212" bestFit="1" customWidth="1"/>
    <col min="14350" max="14350" width="16.6640625" style="212" bestFit="1" customWidth="1"/>
    <col min="14351" max="14351" width="19.33203125" style="212" bestFit="1" customWidth="1"/>
    <col min="14352" max="14352" width="15.33203125" style="212" bestFit="1" customWidth="1"/>
    <col min="14353" max="14355" width="16.6640625" style="212" bestFit="1" customWidth="1"/>
    <col min="14356" max="14356" width="18" style="212" bestFit="1" customWidth="1"/>
    <col min="14357" max="14359" width="0" style="212" hidden="1" customWidth="1"/>
    <col min="14360" max="14360" width="16.5" style="212" bestFit="1" customWidth="1"/>
    <col min="14361" max="14361" width="17.33203125" style="212" customWidth="1"/>
    <col min="14362" max="14362" width="16.6640625" style="212" customWidth="1"/>
    <col min="14363" max="14363" width="14.1640625" style="212" bestFit="1" customWidth="1"/>
    <col min="14364" max="14364" width="16.6640625" style="212" bestFit="1" customWidth="1"/>
    <col min="14365" max="14365" width="16.5" style="212" bestFit="1" customWidth="1"/>
    <col min="14366" max="14366" width="18" style="212" bestFit="1" customWidth="1"/>
    <col min="14367" max="14367" width="19.33203125" style="212" bestFit="1" customWidth="1"/>
    <col min="14368" max="14368" width="20.33203125" style="212" bestFit="1" customWidth="1"/>
    <col min="14369" max="14369" width="29" style="212" customWidth="1"/>
    <col min="14370" max="14371" width="29.83203125" style="212" bestFit="1" customWidth="1"/>
    <col min="14372" max="14372" width="9.33203125" style="212"/>
    <col min="14373" max="14373" width="31.5" style="212" customWidth="1"/>
    <col min="14374" max="14597" width="9.33203125" style="212"/>
    <col min="14598" max="14598" width="6.1640625" style="212" customWidth="1"/>
    <col min="14599" max="14599" width="9.1640625" style="212" customWidth="1"/>
    <col min="14600" max="14600" width="29.33203125" style="212" customWidth="1"/>
    <col min="14601" max="14601" width="43.6640625" style="212" customWidth="1"/>
    <col min="14602" max="14602" width="20" style="212" bestFit="1" customWidth="1"/>
    <col min="14603" max="14603" width="18" style="212" bestFit="1" customWidth="1"/>
    <col min="14604" max="14604" width="19.33203125" style="212" customWidth="1"/>
    <col min="14605" max="14605" width="19" style="212" bestFit="1" customWidth="1"/>
    <col min="14606" max="14606" width="16.6640625" style="212" bestFit="1" customWidth="1"/>
    <col min="14607" max="14607" width="19.33203125" style="212" bestFit="1" customWidth="1"/>
    <col min="14608" max="14608" width="15.33203125" style="212" bestFit="1" customWidth="1"/>
    <col min="14609" max="14611" width="16.6640625" style="212" bestFit="1" customWidth="1"/>
    <col min="14612" max="14612" width="18" style="212" bestFit="1" customWidth="1"/>
    <col min="14613" max="14615" width="0" style="212" hidden="1" customWidth="1"/>
    <col min="14616" max="14616" width="16.5" style="212" bestFit="1" customWidth="1"/>
    <col min="14617" max="14617" width="17.33203125" style="212" customWidth="1"/>
    <col min="14618" max="14618" width="16.6640625" style="212" customWidth="1"/>
    <col min="14619" max="14619" width="14.1640625" style="212" bestFit="1" customWidth="1"/>
    <col min="14620" max="14620" width="16.6640625" style="212" bestFit="1" customWidth="1"/>
    <col min="14621" max="14621" width="16.5" style="212" bestFit="1" customWidth="1"/>
    <col min="14622" max="14622" width="18" style="212" bestFit="1" customWidth="1"/>
    <col min="14623" max="14623" width="19.33203125" style="212" bestFit="1" customWidth="1"/>
    <col min="14624" max="14624" width="20.33203125" style="212" bestFit="1" customWidth="1"/>
    <col min="14625" max="14625" width="29" style="212" customWidth="1"/>
    <col min="14626" max="14627" width="29.83203125" style="212" bestFit="1" customWidth="1"/>
    <col min="14628" max="14628" width="9.33203125" style="212"/>
    <col min="14629" max="14629" width="31.5" style="212" customWidth="1"/>
    <col min="14630" max="14853" width="9.33203125" style="212"/>
    <col min="14854" max="14854" width="6.1640625" style="212" customWidth="1"/>
    <col min="14855" max="14855" width="9.1640625" style="212" customWidth="1"/>
    <col min="14856" max="14856" width="29.33203125" style="212" customWidth="1"/>
    <col min="14857" max="14857" width="43.6640625" style="212" customWidth="1"/>
    <col min="14858" max="14858" width="20" style="212" bestFit="1" customWidth="1"/>
    <col min="14859" max="14859" width="18" style="212" bestFit="1" customWidth="1"/>
    <col min="14860" max="14860" width="19.33203125" style="212" customWidth="1"/>
    <col min="14861" max="14861" width="19" style="212" bestFit="1" customWidth="1"/>
    <col min="14862" max="14862" width="16.6640625" style="212" bestFit="1" customWidth="1"/>
    <col min="14863" max="14863" width="19.33203125" style="212" bestFit="1" customWidth="1"/>
    <col min="14864" max="14864" width="15.33203125" style="212" bestFit="1" customWidth="1"/>
    <col min="14865" max="14867" width="16.6640625" style="212" bestFit="1" customWidth="1"/>
    <col min="14868" max="14868" width="18" style="212" bestFit="1" customWidth="1"/>
    <col min="14869" max="14871" width="0" style="212" hidden="1" customWidth="1"/>
    <col min="14872" max="14872" width="16.5" style="212" bestFit="1" customWidth="1"/>
    <col min="14873" max="14873" width="17.33203125" style="212" customWidth="1"/>
    <col min="14874" max="14874" width="16.6640625" style="212" customWidth="1"/>
    <col min="14875" max="14875" width="14.1640625" style="212" bestFit="1" customWidth="1"/>
    <col min="14876" max="14876" width="16.6640625" style="212" bestFit="1" customWidth="1"/>
    <col min="14877" max="14877" width="16.5" style="212" bestFit="1" customWidth="1"/>
    <col min="14878" max="14878" width="18" style="212" bestFit="1" customWidth="1"/>
    <col min="14879" max="14879" width="19.33203125" style="212" bestFit="1" customWidth="1"/>
    <col min="14880" max="14880" width="20.33203125" style="212" bestFit="1" customWidth="1"/>
    <col min="14881" max="14881" width="29" style="212" customWidth="1"/>
    <col min="14882" max="14883" width="29.83203125" style="212" bestFit="1" customWidth="1"/>
    <col min="14884" max="14884" width="9.33203125" style="212"/>
    <col min="14885" max="14885" width="31.5" style="212" customWidth="1"/>
    <col min="14886" max="15109" width="9.33203125" style="212"/>
    <col min="15110" max="15110" width="6.1640625" style="212" customWidth="1"/>
    <col min="15111" max="15111" width="9.1640625" style="212" customWidth="1"/>
    <col min="15112" max="15112" width="29.33203125" style="212" customWidth="1"/>
    <col min="15113" max="15113" width="43.6640625" style="212" customWidth="1"/>
    <col min="15114" max="15114" width="20" style="212" bestFit="1" customWidth="1"/>
    <col min="15115" max="15115" width="18" style="212" bestFit="1" customWidth="1"/>
    <col min="15116" max="15116" width="19.33203125" style="212" customWidth="1"/>
    <col min="15117" max="15117" width="19" style="212" bestFit="1" customWidth="1"/>
    <col min="15118" max="15118" width="16.6640625" style="212" bestFit="1" customWidth="1"/>
    <col min="15119" max="15119" width="19.33203125" style="212" bestFit="1" customWidth="1"/>
    <col min="15120" max="15120" width="15.33203125" style="212" bestFit="1" customWidth="1"/>
    <col min="15121" max="15123" width="16.6640625" style="212" bestFit="1" customWidth="1"/>
    <col min="15124" max="15124" width="18" style="212" bestFit="1" customWidth="1"/>
    <col min="15125" max="15127" width="0" style="212" hidden="1" customWidth="1"/>
    <col min="15128" max="15128" width="16.5" style="212" bestFit="1" customWidth="1"/>
    <col min="15129" max="15129" width="17.33203125" style="212" customWidth="1"/>
    <col min="15130" max="15130" width="16.6640625" style="212" customWidth="1"/>
    <col min="15131" max="15131" width="14.1640625" style="212" bestFit="1" customWidth="1"/>
    <col min="15132" max="15132" width="16.6640625" style="212" bestFit="1" customWidth="1"/>
    <col min="15133" max="15133" width="16.5" style="212" bestFit="1" customWidth="1"/>
    <col min="15134" max="15134" width="18" style="212" bestFit="1" customWidth="1"/>
    <col min="15135" max="15135" width="19.33203125" style="212" bestFit="1" customWidth="1"/>
    <col min="15136" max="15136" width="20.33203125" style="212" bestFit="1" customWidth="1"/>
    <col min="15137" max="15137" width="29" style="212" customWidth="1"/>
    <col min="15138" max="15139" width="29.83203125" style="212" bestFit="1" customWidth="1"/>
    <col min="15140" max="15140" width="9.33203125" style="212"/>
    <col min="15141" max="15141" width="31.5" style="212" customWidth="1"/>
    <col min="15142" max="15365" width="9.33203125" style="212"/>
    <col min="15366" max="15366" width="6.1640625" style="212" customWidth="1"/>
    <col min="15367" max="15367" width="9.1640625" style="212" customWidth="1"/>
    <col min="15368" max="15368" width="29.33203125" style="212" customWidth="1"/>
    <col min="15369" max="15369" width="43.6640625" style="212" customWidth="1"/>
    <col min="15370" max="15370" width="20" style="212" bestFit="1" customWidth="1"/>
    <col min="15371" max="15371" width="18" style="212" bestFit="1" customWidth="1"/>
    <col min="15372" max="15372" width="19.33203125" style="212" customWidth="1"/>
    <col min="15373" max="15373" width="19" style="212" bestFit="1" customWidth="1"/>
    <col min="15374" max="15374" width="16.6640625" style="212" bestFit="1" customWidth="1"/>
    <col min="15375" max="15375" width="19.33203125" style="212" bestFit="1" customWidth="1"/>
    <col min="15376" max="15376" width="15.33203125" style="212" bestFit="1" customWidth="1"/>
    <col min="15377" max="15379" width="16.6640625" style="212" bestFit="1" customWidth="1"/>
    <col min="15380" max="15380" width="18" style="212" bestFit="1" customWidth="1"/>
    <col min="15381" max="15383" width="0" style="212" hidden="1" customWidth="1"/>
    <col min="15384" max="15384" width="16.5" style="212" bestFit="1" customWidth="1"/>
    <col min="15385" max="15385" width="17.33203125" style="212" customWidth="1"/>
    <col min="15386" max="15386" width="16.6640625" style="212" customWidth="1"/>
    <col min="15387" max="15387" width="14.1640625" style="212" bestFit="1" customWidth="1"/>
    <col min="15388" max="15388" width="16.6640625" style="212" bestFit="1" customWidth="1"/>
    <col min="15389" max="15389" width="16.5" style="212" bestFit="1" customWidth="1"/>
    <col min="15390" max="15390" width="18" style="212" bestFit="1" customWidth="1"/>
    <col min="15391" max="15391" width="19.33203125" style="212" bestFit="1" customWidth="1"/>
    <col min="15392" max="15392" width="20.33203125" style="212" bestFit="1" customWidth="1"/>
    <col min="15393" max="15393" width="29" style="212" customWidth="1"/>
    <col min="15394" max="15395" width="29.83203125" style="212" bestFit="1" customWidth="1"/>
    <col min="15396" max="15396" width="9.33203125" style="212"/>
    <col min="15397" max="15397" width="31.5" style="212" customWidth="1"/>
    <col min="15398" max="15621" width="9.33203125" style="212"/>
    <col min="15622" max="15622" width="6.1640625" style="212" customWidth="1"/>
    <col min="15623" max="15623" width="9.1640625" style="212" customWidth="1"/>
    <col min="15624" max="15624" width="29.33203125" style="212" customWidth="1"/>
    <col min="15625" max="15625" width="43.6640625" style="212" customWidth="1"/>
    <col min="15626" max="15626" width="20" style="212" bestFit="1" customWidth="1"/>
    <col min="15627" max="15627" width="18" style="212" bestFit="1" customWidth="1"/>
    <col min="15628" max="15628" width="19.33203125" style="212" customWidth="1"/>
    <col min="15629" max="15629" width="19" style="212" bestFit="1" customWidth="1"/>
    <col min="15630" max="15630" width="16.6640625" style="212" bestFit="1" customWidth="1"/>
    <col min="15631" max="15631" width="19.33203125" style="212" bestFit="1" customWidth="1"/>
    <col min="15632" max="15632" width="15.33203125" style="212" bestFit="1" customWidth="1"/>
    <col min="15633" max="15635" width="16.6640625" style="212" bestFit="1" customWidth="1"/>
    <col min="15636" max="15636" width="18" style="212" bestFit="1" customWidth="1"/>
    <col min="15637" max="15639" width="0" style="212" hidden="1" customWidth="1"/>
    <col min="15640" max="15640" width="16.5" style="212" bestFit="1" customWidth="1"/>
    <col min="15641" max="15641" width="17.33203125" style="212" customWidth="1"/>
    <col min="15642" max="15642" width="16.6640625" style="212" customWidth="1"/>
    <col min="15643" max="15643" width="14.1640625" style="212" bestFit="1" customWidth="1"/>
    <col min="15644" max="15644" width="16.6640625" style="212" bestFit="1" customWidth="1"/>
    <col min="15645" max="15645" width="16.5" style="212" bestFit="1" customWidth="1"/>
    <col min="15646" max="15646" width="18" style="212" bestFit="1" customWidth="1"/>
    <col min="15647" max="15647" width="19.33203125" style="212" bestFit="1" customWidth="1"/>
    <col min="15648" max="15648" width="20.33203125" style="212" bestFit="1" customWidth="1"/>
    <col min="15649" max="15649" width="29" style="212" customWidth="1"/>
    <col min="15650" max="15651" width="29.83203125" style="212" bestFit="1" customWidth="1"/>
    <col min="15652" max="15652" width="9.33203125" style="212"/>
    <col min="15653" max="15653" width="31.5" style="212" customWidth="1"/>
    <col min="15654" max="15877" width="9.33203125" style="212"/>
    <col min="15878" max="15878" width="6.1640625" style="212" customWidth="1"/>
    <col min="15879" max="15879" width="9.1640625" style="212" customWidth="1"/>
    <col min="15880" max="15880" width="29.33203125" style="212" customWidth="1"/>
    <col min="15881" max="15881" width="43.6640625" style="212" customWidth="1"/>
    <col min="15882" max="15882" width="20" style="212" bestFit="1" customWidth="1"/>
    <col min="15883" max="15883" width="18" style="212" bestFit="1" customWidth="1"/>
    <col min="15884" max="15884" width="19.33203125" style="212" customWidth="1"/>
    <col min="15885" max="15885" width="19" style="212" bestFit="1" customWidth="1"/>
    <col min="15886" max="15886" width="16.6640625" style="212" bestFit="1" customWidth="1"/>
    <col min="15887" max="15887" width="19.33203125" style="212" bestFit="1" customWidth="1"/>
    <col min="15888" max="15888" width="15.33203125" style="212" bestFit="1" customWidth="1"/>
    <col min="15889" max="15891" width="16.6640625" style="212" bestFit="1" customWidth="1"/>
    <col min="15892" max="15892" width="18" style="212" bestFit="1" customWidth="1"/>
    <col min="15893" max="15895" width="0" style="212" hidden="1" customWidth="1"/>
    <col min="15896" max="15896" width="16.5" style="212" bestFit="1" customWidth="1"/>
    <col min="15897" max="15897" width="17.33203125" style="212" customWidth="1"/>
    <col min="15898" max="15898" width="16.6640625" style="212" customWidth="1"/>
    <col min="15899" max="15899" width="14.1640625" style="212" bestFit="1" customWidth="1"/>
    <col min="15900" max="15900" width="16.6640625" style="212" bestFit="1" customWidth="1"/>
    <col min="15901" max="15901" width="16.5" style="212" bestFit="1" customWidth="1"/>
    <col min="15902" max="15902" width="18" style="212" bestFit="1" customWidth="1"/>
    <col min="15903" max="15903" width="19.33203125" style="212" bestFit="1" customWidth="1"/>
    <col min="15904" max="15904" width="20.33203125" style="212" bestFit="1" customWidth="1"/>
    <col min="15905" max="15905" width="29" style="212" customWidth="1"/>
    <col min="15906" max="15907" width="29.83203125" style="212" bestFit="1" customWidth="1"/>
    <col min="15908" max="15908" width="9.33203125" style="212"/>
    <col min="15909" max="15909" width="31.5" style="212" customWidth="1"/>
    <col min="15910" max="16133" width="9.33203125" style="212"/>
    <col min="16134" max="16134" width="6.1640625" style="212" customWidth="1"/>
    <col min="16135" max="16135" width="9.1640625" style="212" customWidth="1"/>
    <col min="16136" max="16136" width="29.33203125" style="212" customWidth="1"/>
    <col min="16137" max="16137" width="43.6640625" style="212" customWidth="1"/>
    <col min="16138" max="16138" width="20" style="212" bestFit="1" customWidth="1"/>
    <col min="16139" max="16139" width="18" style="212" bestFit="1" customWidth="1"/>
    <col min="16140" max="16140" width="19.33203125" style="212" customWidth="1"/>
    <col min="16141" max="16141" width="19" style="212" bestFit="1" customWidth="1"/>
    <col min="16142" max="16142" width="16.6640625" style="212" bestFit="1" customWidth="1"/>
    <col min="16143" max="16143" width="19.33203125" style="212" bestFit="1" customWidth="1"/>
    <col min="16144" max="16144" width="15.33203125" style="212" bestFit="1" customWidth="1"/>
    <col min="16145" max="16147" width="16.6640625" style="212" bestFit="1" customWidth="1"/>
    <col min="16148" max="16148" width="18" style="212" bestFit="1" customWidth="1"/>
    <col min="16149" max="16151" width="0" style="212" hidden="1" customWidth="1"/>
    <col min="16152" max="16152" width="16.5" style="212" bestFit="1" customWidth="1"/>
    <col min="16153" max="16153" width="17.33203125" style="212" customWidth="1"/>
    <col min="16154" max="16154" width="16.6640625" style="212" customWidth="1"/>
    <col min="16155" max="16155" width="14.1640625" style="212" bestFit="1" customWidth="1"/>
    <col min="16156" max="16156" width="16.6640625" style="212" bestFit="1" customWidth="1"/>
    <col min="16157" max="16157" width="16.5" style="212" bestFit="1" customWidth="1"/>
    <col min="16158" max="16158" width="18" style="212" bestFit="1" customWidth="1"/>
    <col min="16159" max="16159" width="19.33203125" style="212" bestFit="1" customWidth="1"/>
    <col min="16160" max="16160" width="20.33203125" style="212" bestFit="1" customWidth="1"/>
    <col min="16161" max="16161" width="29" style="212" customWidth="1"/>
    <col min="16162" max="16163" width="29.83203125" style="212" bestFit="1" customWidth="1"/>
    <col min="16164" max="16164" width="9.33203125" style="212"/>
    <col min="16165" max="16165" width="31.5" style="212" customWidth="1"/>
    <col min="16166" max="16384" width="9.33203125" style="212"/>
  </cols>
  <sheetData>
    <row r="1" spans="1:36" s="144" customFormat="1" x14ac:dyDescent="0.2">
      <c r="A1" s="125" t="s">
        <v>318</v>
      </c>
      <c r="B1" s="126"/>
      <c r="C1" s="127"/>
      <c r="D1" s="127"/>
      <c r="E1" s="128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  <c r="T1" s="129"/>
      <c r="U1" s="129"/>
      <c r="V1" s="129"/>
      <c r="W1" s="129"/>
      <c r="X1" s="129"/>
      <c r="Y1" s="129"/>
      <c r="Z1" s="129"/>
      <c r="AA1" s="129"/>
      <c r="AB1" s="129"/>
      <c r="AC1" s="129"/>
      <c r="AD1" s="130"/>
      <c r="AE1" s="130"/>
      <c r="AF1" s="130"/>
      <c r="AG1" s="130"/>
      <c r="AH1" s="373"/>
    </row>
    <row r="2" spans="1:36" s="145" customFormat="1" x14ac:dyDescent="0.2">
      <c r="A2" s="131" t="s">
        <v>319</v>
      </c>
      <c r="B2" s="132"/>
      <c r="C2" s="131"/>
      <c r="D2" s="131"/>
      <c r="E2" s="128"/>
      <c r="F2" s="129"/>
      <c r="G2" s="129"/>
      <c r="H2" s="129"/>
      <c r="I2" s="129"/>
      <c r="J2" s="129"/>
      <c r="K2" s="129"/>
      <c r="L2" s="129"/>
      <c r="M2" s="129"/>
      <c r="N2" s="129"/>
      <c r="O2" s="129"/>
      <c r="P2" s="129"/>
      <c r="Q2" s="129"/>
      <c r="R2" s="129"/>
      <c r="S2" s="129"/>
      <c r="T2" s="129"/>
      <c r="U2" s="129"/>
      <c r="V2" s="129"/>
      <c r="W2" s="129"/>
      <c r="X2" s="129"/>
      <c r="Y2" s="129"/>
      <c r="Z2" s="129"/>
      <c r="AA2" s="129"/>
      <c r="AB2" s="129"/>
      <c r="AC2" s="129"/>
      <c r="AD2" s="129"/>
      <c r="AE2" s="129"/>
      <c r="AF2" s="129"/>
      <c r="AG2" s="129"/>
      <c r="AH2" s="373"/>
    </row>
    <row r="3" spans="1:36" s="145" customFormat="1" x14ac:dyDescent="0.2">
      <c r="A3" s="127" t="s">
        <v>320</v>
      </c>
      <c r="B3" s="126"/>
      <c r="C3" s="127"/>
      <c r="D3" s="127"/>
      <c r="E3" s="128"/>
      <c r="F3" s="129"/>
      <c r="G3" s="129"/>
      <c r="H3" s="129"/>
      <c r="I3" s="129"/>
      <c r="J3" s="129"/>
      <c r="K3" s="129"/>
      <c r="L3" s="129"/>
      <c r="M3" s="129"/>
      <c r="N3" s="129"/>
      <c r="O3" s="129"/>
      <c r="P3" s="129"/>
      <c r="Q3" s="129"/>
      <c r="R3" s="129"/>
      <c r="S3" s="129"/>
      <c r="T3" s="129"/>
      <c r="U3" s="129"/>
      <c r="V3" s="129"/>
      <c r="W3" s="129"/>
      <c r="X3" s="129"/>
      <c r="Y3" s="129"/>
      <c r="Z3" s="129"/>
      <c r="AA3" s="129"/>
      <c r="AB3" s="129"/>
      <c r="AC3" s="129"/>
      <c r="AD3" s="129"/>
      <c r="AE3" s="129"/>
      <c r="AF3" s="129"/>
      <c r="AG3" s="129"/>
      <c r="AH3" s="373"/>
    </row>
    <row r="4" spans="1:36" s="145" customFormat="1" x14ac:dyDescent="0.2">
      <c r="A4" s="127" t="s">
        <v>321</v>
      </c>
      <c r="B4" s="126"/>
      <c r="C4" s="127"/>
      <c r="D4" s="127"/>
      <c r="E4" s="128"/>
      <c r="F4" s="129"/>
      <c r="G4" s="129"/>
      <c r="H4" s="129"/>
      <c r="I4" s="129"/>
      <c r="J4" s="129"/>
      <c r="K4" s="129"/>
      <c r="L4" s="129"/>
      <c r="M4" s="129"/>
      <c r="N4" s="129"/>
      <c r="O4" s="129"/>
      <c r="P4" s="129"/>
      <c r="Q4" s="129"/>
      <c r="R4" s="129"/>
      <c r="S4" s="129"/>
      <c r="T4" s="129"/>
      <c r="U4" s="129"/>
      <c r="V4" s="129"/>
      <c r="W4" s="129"/>
      <c r="X4" s="129"/>
      <c r="Y4" s="129"/>
      <c r="Z4" s="129"/>
      <c r="AA4" s="129"/>
      <c r="AB4" s="129"/>
      <c r="AC4" s="129"/>
      <c r="AD4" s="129"/>
      <c r="AE4" s="129"/>
      <c r="AF4" s="129"/>
      <c r="AG4" s="129"/>
      <c r="AH4" s="373"/>
    </row>
    <row r="5" spans="1:36" s="147" customFormat="1" ht="24.75" customHeight="1" x14ac:dyDescent="0.4">
      <c r="A5" s="1002" t="s">
        <v>322</v>
      </c>
      <c r="B5" s="1002"/>
      <c r="C5" s="1002"/>
      <c r="D5" s="1002"/>
      <c r="E5" s="1002"/>
      <c r="F5" s="1002"/>
      <c r="G5" s="1002"/>
      <c r="H5" s="1002"/>
      <c r="I5" s="1002"/>
      <c r="J5" s="1002"/>
      <c r="K5" s="1002"/>
      <c r="L5" s="1002"/>
      <c r="M5" s="1002"/>
      <c r="N5" s="1002"/>
      <c r="O5" s="1002"/>
      <c r="P5" s="1002"/>
      <c r="Q5" s="1002"/>
      <c r="R5" s="1002"/>
      <c r="S5" s="1002"/>
      <c r="T5" s="1002"/>
      <c r="U5" s="1002"/>
      <c r="V5" s="1002"/>
      <c r="W5" s="1002"/>
      <c r="X5" s="1002"/>
      <c r="Y5" s="1002"/>
      <c r="Z5" s="1002"/>
      <c r="AA5" s="1002"/>
      <c r="AB5" s="1002"/>
      <c r="AC5" s="1002"/>
      <c r="AD5" s="1002"/>
      <c r="AE5" s="1002"/>
      <c r="AF5" s="133"/>
      <c r="AG5" s="146"/>
      <c r="AH5" s="375"/>
      <c r="AI5" s="146"/>
      <c r="AJ5" s="146"/>
    </row>
    <row r="6" spans="1:36" s="147" customFormat="1" ht="15" customHeight="1" x14ac:dyDescent="0.4">
      <c r="A6" s="133"/>
      <c r="B6" s="133"/>
      <c r="C6" s="133"/>
      <c r="D6" s="133"/>
      <c r="E6" s="133"/>
      <c r="F6" s="133"/>
      <c r="G6" s="133"/>
      <c r="H6" s="133"/>
      <c r="I6" s="133"/>
      <c r="J6" s="133"/>
      <c r="K6" s="133"/>
      <c r="L6" s="133"/>
      <c r="M6" s="133"/>
      <c r="N6" s="133"/>
      <c r="O6" s="133"/>
      <c r="P6" s="133"/>
      <c r="Q6" s="133"/>
      <c r="R6" s="133"/>
      <c r="S6" s="133"/>
      <c r="T6" s="133"/>
      <c r="U6" s="133"/>
      <c r="V6" s="133"/>
      <c r="W6" s="133"/>
      <c r="X6" s="133"/>
      <c r="Y6" s="133"/>
      <c r="Z6" s="133"/>
      <c r="AA6" s="133"/>
      <c r="AB6" s="133"/>
      <c r="AC6" s="245"/>
      <c r="AD6" s="245"/>
      <c r="AE6" s="245"/>
      <c r="AF6" s="133"/>
      <c r="AG6" s="146"/>
      <c r="AH6" s="375"/>
      <c r="AI6" s="146"/>
      <c r="AJ6" s="146"/>
    </row>
    <row r="7" spans="1:36" s="147" customFormat="1" ht="24.75" customHeight="1" x14ac:dyDescent="0.4">
      <c r="A7" s="1002" t="s">
        <v>592</v>
      </c>
      <c r="B7" s="1002"/>
      <c r="C7" s="1002"/>
      <c r="D7" s="1002"/>
      <c r="E7" s="1002"/>
      <c r="F7" s="1002"/>
      <c r="G7" s="1002"/>
      <c r="H7" s="1002"/>
      <c r="I7" s="1002"/>
      <c r="J7" s="1002"/>
      <c r="K7" s="1002"/>
      <c r="L7" s="1002"/>
      <c r="M7" s="1002"/>
      <c r="N7" s="1002"/>
      <c r="O7" s="1002"/>
      <c r="P7" s="1002"/>
      <c r="Q7" s="1002"/>
      <c r="R7" s="1002"/>
      <c r="S7" s="1002"/>
      <c r="T7" s="1002"/>
      <c r="U7" s="1002"/>
      <c r="V7" s="1002"/>
      <c r="W7" s="1002"/>
      <c r="X7" s="1002"/>
      <c r="Y7" s="1002"/>
      <c r="Z7" s="1002"/>
      <c r="AA7" s="1002"/>
      <c r="AB7" s="1002"/>
      <c r="AC7" s="1002"/>
      <c r="AD7" s="1002"/>
      <c r="AE7" s="1002"/>
      <c r="AF7" s="133"/>
      <c r="AG7" s="146"/>
      <c r="AH7" s="375"/>
      <c r="AI7" s="146"/>
      <c r="AJ7" s="146"/>
    </row>
    <row r="8" spans="1:36" s="147" customFormat="1" ht="24.75" customHeight="1" x14ac:dyDescent="0.4">
      <c r="A8" s="133"/>
      <c r="B8" s="133"/>
      <c r="C8" s="133"/>
      <c r="D8" s="133"/>
      <c r="E8" s="133"/>
      <c r="F8" s="133"/>
      <c r="G8" s="133"/>
      <c r="H8" s="133"/>
      <c r="I8" s="133"/>
      <c r="J8" s="133"/>
      <c r="K8" s="133"/>
      <c r="L8" s="133"/>
      <c r="M8" s="133"/>
      <c r="N8" s="133"/>
      <c r="O8" s="133"/>
      <c r="P8" s="133"/>
      <c r="Q8" s="133"/>
      <c r="R8" s="133"/>
      <c r="S8" s="133"/>
      <c r="T8" s="133"/>
      <c r="U8" s="133"/>
      <c r="V8" s="133"/>
      <c r="W8" s="133"/>
      <c r="X8" s="133"/>
      <c r="Y8" s="133"/>
      <c r="Z8" s="133"/>
      <c r="AA8" s="133"/>
      <c r="AB8" s="133"/>
      <c r="AC8" s="245"/>
      <c r="AD8" s="245"/>
      <c r="AE8" s="245"/>
      <c r="AF8" s="133"/>
      <c r="AG8" s="146"/>
      <c r="AH8" s="375"/>
      <c r="AI8" s="146"/>
      <c r="AJ8" s="146"/>
    </row>
    <row r="9" spans="1:36" s="150" customFormat="1" ht="24" customHeight="1" x14ac:dyDescent="0.2">
      <c r="A9" s="990"/>
      <c r="B9" s="990"/>
      <c r="C9" s="990"/>
      <c r="D9" s="990"/>
      <c r="E9" s="990"/>
      <c r="F9" s="990"/>
      <c r="G9" s="990"/>
      <c r="H9" s="990"/>
      <c r="I9" s="990"/>
      <c r="J9" s="990"/>
      <c r="K9" s="990"/>
      <c r="L9" s="990"/>
      <c r="M9" s="990"/>
      <c r="N9" s="990"/>
      <c r="O9" s="990"/>
      <c r="P9" s="990"/>
      <c r="Q9" s="990"/>
      <c r="R9" s="990"/>
      <c r="S9" s="990"/>
      <c r="T9" s="990"/>
      <c r="U9" s="990"/>
      <c r="V9" s="990"/>
      <c r="W9" s="990"/>
      <c r="X9" s="990"/>
      <c r="Y9" s="990"/>
      <c r="Z9" s="990"/>
      <c r="AA9" s="990"/>
      <c r="AB9" s="990"/>
      <c r="AC9" s="990"/>
      <c r="AD9" s="990"/>
      <c r="AE9" s="990"/>
      <c r="AF9" s="148"/>
      <c r="AG9" s="149"/>
      <c r="AH9" s="376"/>
    </row>
    <row r="10" spans="1:36" s="147" customFormat="1" ht="50.25" customHeight="1" x14ac:dyDescent="0.2">
      <c r="A10" s="1003" t="s">
        <v>0</v>
      </c>
      <c r="B10" s="991" t="s">
        <v>1</v>
      </c>
      <c r="C10" s="1005" t="s">
        <v>324</v>
      </c>
      <c r="D10" s="1005" t="s">
        <v>325</v>
      </c>
      <c r="E10" s="991" t="s">
        <v>2</v>
      </c>
      <c r="F10" s="993" t="s">
        <v>3</v>
      </c>
      <c r="G10" s="994"/>
      <c r="H10" s="995"/>
      <c r="I10" s="993" t="s">
        <v>4</v>
      </c>
      <c r="J10" s="994"/>
      <c r="K10" s="995"/>
      <c r="L10" s="993" t="s">
        <v>5</v>
      </c>
      <c r="M10" s="994"/>
      <c r="N10" s="995"/>
      <c r="O10" s="993" t="s">
        <v>6</v>
      </c>
      <c r="P10" s="995"/>
      <c r="Q10" s="996" t="s">
        <v>323</v>
      </c>
      <c r="R10" s="997"/>
      <c r="S10" s="998"/>
      <c r="T10" s="993" t="s">
        <v>22</v>
      </c>
      <c r="U10" s="994"/>
      <c r="V10" s="995"/>
      <c r="W10" s="993" t="s">
        <v>271</v>
      </c>
      <c r="X10" s="994"/>
      <c r="Y10" s="995"/>
      <c r="Z10" s="993" t="s">
        <v>326</v>
      </c>
      <c r="AA10" s="994"/>
      <c r="AB10" s="995"/>
      <c r="AC10" s="999" t="s">
        <v>7</v>
      </c>
      <c r="AD10" s="1000"/>
      <c r="AE10" s="1001"/>
      <c r="AF10" s="987" t="s">
        <v>327</v>
      </c>
      <c r="AG10" s="989" t="s">
        <v>8</v>
      </c>
      <c r="AH10" s="377"/>
    </row>
    <row r="11" spans="1:36" s="147" customFormat="1" ht="94.5" x14ac:dyDescent="0.2">
      <c r="A11" s="1004"/>
      <c r="B11" s="992"/>
      <c r="C11" s="1006"/>
      <c r="D11" s="1006"/>
      <c r="E11" s="992"/>
      <c r="F11" s="151" t="s">
        <v>9</v>
      </c>
      <c r="G11" s="152" t="s">
        <v>10</v>
      </c>
      <c r="H11" s="152" t="s">
        <v>440</v>
      </c>
      <c r="I11" s="151" t="s">
        <v>11</v>
      </c>
      <c r="J11" s="151" t="s">
        <v>12</v>
      </c>
      <c r="K11" s="152" t="s">
        <v>13</v>
      </c>
      <c r="L11" s="151" t="s">
        <v>11</v>
      </c>
      <c r="M11" s="151" t="s">
        <v>12</v>
      </c>
      <c r="N11" s="152" t="s">
        <v>440</v>
      </c>
      <c r="O11" s="151" t="s">
        <v>14</v>
      </c>
      <c r="P11" s="151" t="s">
        <v>15</v>
      </c>
      <c r="Q11" s="153" t="s">
        <v>328</v>
      </c>
      <c r="R11" s="153" t="s">
        <v>10</v>
      </c>
      <c r="S11" s="152" t="s">
        <v>440</v>
      </c>
      <c r="T11" s="151" t="s">
        <v>329</v>
      </c>
      <c r="U11" s="151" t="s">
        <v>10</v>
      </c>
      <c r="V11" s="151" t="s">
        <v>330</v>
      </c>
      <c r="W11" s="151" t="s">
        <v>11</v>
      </c>
      <c r="X11" s="151" t="s">
        <v>12</v>
      </c>
      <c r="Y11" s="152" t="s">
        <v>13</v>
      </c>
      <c r="Z11" s="151" t="s">
        <v>11</v>
      </c>
      <c r="AA11" s="151" t="s">
        <v>12</v>
      </c>
      <c r="AB11" s="152" t="s">
        <v>440</v>
      </c>
      <c r="AC11" s="151" t="s">
        <v>16</v>
      </c>
      <c r="AD11" s="151" t="s">
        <v>12</v>
      </c>
      <c r="AE11" s="152" t="s">
        <v>440</v>
      </c>
      <c r="AF11" s="988"/>
      <c r="AG11" s="989"/>
      <c r="AH11" s="377"/>
    </row>
    <row r="12" spans="1:36" s="157" customFormat="1" ht="23.25" x14ac:dyDescent="0.2">
      <c r="A12" s="154">
        <v>1</v>
      </c>
      <c r="B12" s="154">
        <v>2</v>
      </c>
      <c r="C12" s="155">
        <v>3</v>
      </c>
      <c r="D12" s="155"/>
      <c r="E12" s="154">
        <v>4</v>
      </c>
      <c r="F12" s="154">
        <v>5</v>
      </c>
      <c r="G12" s="154">
        <v>6</v>
      </c>
      <c r="H12" s="154">
        <v>7</v>
      </c>
      <c r="I12" s="154">
        <v>8</v>
      </c>
      <c r="J12" s="154">
        <v>9</v>
      </c>
      <c r="K12" s="154">
        <v>10</v>
      </c>
      <c r="L12" s="154">
        <v>11</v>
      </c>
      <c r="M12" s="154">
        <v>12</v>
      </c>
      <c r="N12" s="154">
        <v>13</v>
      </c>
      <c r="O12" s="154">
        <v>14</v>
      </c>
      <c r="P12" s="154">
        <v>15</v>
      </c>
      <c r="Q12" s="154">
        <v>16</v>
      </c>
      <c r="R12" s="154">
        <v>17</v>
      </c>
      <c r="S12" s="154">
        <v>18</v>
      </c>
      <c r="T12" s="154">
        <v>19</v>
      </c>
      <c r="U12" s="154">
        <v>20</v>
      </c>
      <c r="V12" s="154">
        <v>21</v>
      </c>
      <c r="W12" s="154">
        <v>22</v>
      </c>
      <c r="X12" s="154">
        <v>23</v>
      </c>
      <c r="Y12" s="154">
        <v>24</v>
      </c>
      <c r="Z12" s="154">
        <v>25</v>
      </c>
      <c r="AA12" s="154">
        <v>26</v>
      </c>
      <c r="AB12" s="154">
        <v>27</v>
      </c>
      <c r="AC12" s="247">
        <v>28</v>
      </c>
      <c r="AD12" s="247">
        <v>29</v>
      </c>
      <c r="AE12" s="247">
        <v>30</v>
      </c>
      <c r="AF12" s="154">
        <v>31</v>
      </c>
      <c r="AG12" s="156"/>
      <c r="AH12" s="374"/>
    </row>
    <row r="13" spans="1:36" s="147" customFormat="1" ht="32.25" customHeight="1" x14ac:dyDescent="0.2">
      <c r="A13" s="154"/>
      <c r="B13" s="158"/>
      <c r="C13" s="155"/>
      <c r="D13" s="155"/>
      <c r="E13" s="159" t="s">
        <v>424</v>
      </c>
      <c r="F13" s="154"/>
      <c r="G13" s="158"/>
      <c r="H13" s="154"/>
      <c r="I13" s="154"/>
      <c r="J13" s="154"/>
      <c r="K13" s="154"/>
      <c r="L13" s="158"/>
      <c r="M13" s="154"/>
      <c r="N13" s="158"/>
      <c r="O13" s="154"/>
      <c r="P13" s="158"/>
      <c r="Q13" s="158"/>
      <c r="R13" s="158"/>
      <c r="S13" s="158"/>
      <c r="T13" s="154"/>
      <c r="U13" s="158"/>
      <c r="V13" s="158"/>
      <c r="W13" s="154"/>
      <c r="X13" s="160"/>
      <c r="Y13" s="158"/>
      <c r="Z13" s="154"/>
      <c r="AA13" s="160"/>
      <c r="AB13" s="154"/>
      <c r="AC13" s="248"/>
      <c r="AD13" s="247"/>
      <c r="AE13" s="248"/>
      <c r="AF13" s="158"/>
      <c r="AG13" s="161"/>
      <c r="AH13" s="377"/>
    </row>
    <row r="14" spans="1:36" s="167" customFormat="1" ht="35.25" customHeight="1" x14ac:dyDescent="0.2">
      <c r="A14" s="162"/>
      <c r="B14" s="163"/>
      <c r="C14" s="162"/>
      <c r="D14" s="162"/>
      <c r="E14" s="164" t="s">
        <v>331</v>
      </c>
      <c r="F14" s="162"/>
      <c r="G14" s="165"/>
      <c r="H14" s="162"/>
      <c r="I14" s="162"/>
      <c r="J14" s="162"/>
      <c r="K14" s="162"/>
      <c r="L14" s="165"/>
      <c r="M14" s="162"/>
      <c r="N14" s="165"/>
      <c r="O14" s="162"/>
      <c r="P14" s="165"/>
      <c r="Q14" s="165"/>
      <c r="R14" s="165"/>
      <c r="S14" s="165"/>
      <c r="T14" s="162"/>
      <c r="U14" s="165"/>
      <c r="V14" s="165"/>
      <c r="W14" s="162"/>
      <c r="X14" s="165"/>
      <c r="Y14" s="165"/>
      <c r="Z14" s="162"/>
      <c r="AA14" s="165"/>
      <c r="AB14" s="162"/>
      <c r="AC14" s="249"/>
      <c r="AD14" s="250"/>
      <c r="AE14" s="249"/>
      <c r="AF14" s="165"/>
      <c r="AG14" s="166"/>
      <c r="AH14" s="378"/>
    </row>
    <row r="15" spans="1:36" s="167" customFormat="1" ht="35.25" customHeight="1" collapsed="1" x14ac:dyDescent="0.2">
      <c r="A15" s="168" t="s">
        <v>524</v>
      </c>
      <c r="B15" s="163"/>
      <c r="C15" s="162"/>
      <c r="D15" s="162"/>
      <c r="E15" s="164"/>
      <c r="F15" s="162"/>
      <c r="G15" s="165"/>
      <c r="H15" s="162"/>
      <c r="I15" s="162"/>
      <c r="J15" s="162"/>
      <c r="K15" s="162"/>
      <c r="L15" s="165"/>
      <c r="M15" s="162"/>
      <c r="N15" s="165"/>
      <c r="O15" s="162"/>
      <c r="P15" s="165"/>
      <c r="Q15" s="165"/>
      <c r="R15" s="165"/>
      <c r="S15" s="165"/>
      <c r="T15" s="162"/>
      <c r="U15" s="165"/>
      <c r="V15" s="165"/>
      <c r="W15" s="162"/>
      <c r="X15" s="165"/>
      <c r="Y15" s="165"/>
      <c r="Z15" s="162"/>
      <c r="AA15" s="165"/>
      <c r="AB15" s="162"/>
      <c r="AC15" s="249"/>
      <c r="AD15" s="250"/>
      <c r="AE15" s="249"/>
      <c r="AF15" s="165"/>
      <c r="AG15" s="166"/>
      <c r="AH15" s="379"/>
    </row>
    <row r="16" spans="1:36" s="363" customFormat="1" ht="72" x14ac:dyDescent="0.2">
      <c r="A16" s="368" t="s">
        <v>17</v>
      </c>
      <c r="B16" s="369" t="s">
        <v>427</v>
      </c>
      <c r="C16" s="370" t="s">
        <v>444</v>
      </c>
      <c r="D16" s="370" t="s">
        <v>443</v>
      </c>
      <c r="E16" s="371" t="s">
        <v>445</v>
      </c>
      <c r="F16" s="139">
        <f>'1_16.1'!J114</f>
        <v>3141.58</v>
      </c>
      <c r="G16" s="139">
        <f>'1_16.1'!L114</f>
        <v>16654.71</v>
      </c>
      <c r="H16" s="173">
        <f>'1_16.1'!L122:L122</f>
        <v>15405.61</v>
      </c>
      <c r="I16" s="174"/>
      <c r="J16" s="174"/>
      <c r="K16" s="173"/>
      <c r="L16" s="173" t="e">
        <f>'1_16.1'!#REF!</f>
        <v>#REF!</v>
      </c>
      <c r="M16" s="173" t="e">
        <f>'1_16.1'!#REF!</f>
        <v>#REF!</v>
      </c>
      <c r="N16" s="173">
        <f>'1_16.1'!L127</f>
        <v>15450.39</v>
      </c>
      <c r="O16" s="139">
        <f>'1_16.1'!J116</f>
        <v>3098.33</v>
      </c>
      <c r="P16" s="139">
        <f>'1_16.1'!L116</f>
        <v>15857.12</v>
      </c>
      <c r="Q16" s="139">
        <f>0</f>
        <v>0</v>
      </c>
      <c r="R16" s="139">
        <v>0</v>
      </c>
      <c r="S16" s="139">
        <v>0</v>
      </c>
      <c r="T16" s="139"/>
      <c r="U16" s="139"/>
      <c r="V16" s="139"/>
      <c r="W16" s="139"/>
      <c r="X16" s="173"/>
      <c r="Y16" s="139"/>
      <c r="Z16" s="139">
        <f>'1_16.1'!J118</f>
        <v>2</v>
      </c>
      <c r="AA16" s="173">
        <f>'1_16.1'!L118</f>
        <v>48.41</v>
      </c>
      <c r="AB16" s="173">
        <f>'1_16.1'!L129</f>
        <v>0</v>
      </c>
      <c r="AC16" s="137" t="e">
        <f t="shared" ref="AC16:AC26" si="0">F16+I16+L16+Q16+T16+W16+Z16</f>
        <v>#REF!</v>
      </c>
      <c r="AD16" s="173" t="e">
        <f t="shared" ref="AD16:AD26" si="1">G16+J16+M16+R16+U16+X16+AA16</f>
        <v>#REF!</v>
      </c>
      <c r="AE16" s="137">
        <f t="shared" ref="AE16:AE26" si="2">H16+K16+N16+S16+V16+Y16+AB16</f>
        <v>30856</v>
      </c>
      <c r="AF16" s="137"/>
      <c r="AG16" s="372" t="s">
        <v>344</v>
      </c>
      <c r="AH16" s="380"/>
      <c r="AI16" s="176"/>
    </row>
    <row r="17" spans="1:36" s="167" customFormat="1" ht="23.25" collapsed="1" x14ac:dyDescent="0.2">
      <c r="A17" s="168" t="s">
        <v>525</v>
      </c>
      <c r="B17" s="163"/>
      <c r="C17" s="162"/>
      <c r="D17" s="162"/>
      <c r="E17" s="164"/>
      <c r="F17" s="162"/>
      <c r="G17" s="165"/>
      <c r="H17" s="162"/>
      <c r="I17" s="162"/>
      <c r="J17" s="162"/>
      <c r="K17" s="162"/>
      <c r="L17" s="165"/>
      <c r="M17" s="162"/>
      <c r="N17" s="165"/>
      <c r="O17" s="162"/>
      <c r="P17" s="165"/>
      <c r="Q17" s="165"/>
      <c r="R17" s="165"/>
      <c r="S17" s="165"/>
      <c r="T17" s="162"/>
      <c r="U17" s="165"/>
      <c r="V17" s="165"/>
      <c r="W17" s="162"/>
      <c r="X17" s="165"/>
      <c r="Y17" s="165"/>
      <c r="Z17" s="162"/>
      <c r="AA17" s="165"/>
      <c r="AB17" s="162"/>
      <c r="AC17" s="249"/>
      <c r="AD17" s="250"/>
      <c r="AE17" s="249"/>
      <c r="AF17" s="165"/>
      <c r="AG17" s="166"/>
      <c r="AH17" s="379"/>
    </row>
    <row r="18" spans="1:36" s="363" customFormat="1" ht="108" x14ac:dyDescent="0.2">
      <c r="A18" s="368" t="s">
        <v>18</v>
      </c>
      <c r="B18" s="369" t="s">
        <v>428</v>
      </c>
      <c r="C18" s="370" t="s">
        <v>454</v>
      </c>
      <c r="D18" s="370" t="s">
        <v>453</v>
      </c>
      <c r="E18" s="371" t="s">
        <v>455</v>
      </c>
      <c r="F18" s="139">
        <f>'2_16.2'!J195</f>
        <v>10793.24</v>
      </c>
      <c r="G18" s="139">
        <f>'2_16.2'!L195</f>
        <v>83283.350000000006</v>
      </c>
      <c r="H18" s="173">
        <f>'2_16.2'!L203:L203</f>
        <v>77037.100000000006</v>
      </c>
      <c r="I18" s="174"/>
      <c r="J18" s="174"/>
      <c r="K18" s="173"/>
      <c r="L18" s="173" t="e">
        <f>'2_16.2'!#REF!</f>
        <v>#REF!</v>
      </c>
      <c r="M18" s="173" t="e">
        <f>'2_16.2'!#REF!</f>
        <v>#REF!</v>
      </c>
      <c r="N18" s="173">
        <f>'2_16.2'!L208</f>
        <v>79805.399999999994</v>
      </c>
      <c r="O18" s="139">
        <f>'2_16.2'!J197</f>
        <v>7520.33</v>
      </c>
      <c r="P18" s="139">
        <f>'2_16.2'!L197</f>
        <v>22813.21</v>
      </c>
      <c r="Q18" s="139">
        <v>0</v>
      </c>
      <c r="R18" s="139">
        <v>0</v>
      </c>
      <c r="S18" s="139">
        <v>0</v>
      </c>
      <c r="T18" s="139"/>
      <c r="U18" s="139"/>
      <c r="V18" s="139"/>
      <c r="W18" s="139"/>
      <c r="X18" s="173"/>
      <c r="Y18" s="139"/>
      <c r="Z18" s="139">
        <f>'2_16.2'!J199</f>
        <v>123.51</v>
      </c>
      <c r="AA18" s="173">
        <f>'2_16.2'!L199</f>
        <v>2992.75</v>
      </c>
      <c r="AB18" s="173">
        <f>'2_16.2'!L210</f>
        <v>0</v>
      </c>
      <c r="AC18" s="137" t="e">
        <f t="shared" si="0"/>
        <v>#REF!</v>
      </c>
      <c r="AD18" s="173" t="e">
        <f t="shared" si="1"/>
        <v>#REF!</v>
      </c>
      <c r="AE18" s="137">
        <f t="shared" si="2"/>
        <v>156842.5</v>
      </c>
      <c r="AF18" s="137"/>
      <c r="AG18" s="372" t="s">
        <v>344</v>
      </c>
      <c r="AH18" s="380"/>
      <c r="AI18" s="176"/>
    </row>
    <row r="19" spans="1:36" s="363" customFormat="1" ht="108" x14ac:dyDescent="0.2">
      <c r="A19" s="368" t="s">
        <v>25</v>
      </c>
      <c r="B19" s="369" t="s">
        <v>429</v>
      </c>
      <c r="C19" s="370" t="s">
        <v>454</v>
      </c>
      <c r="D19" s="370" t="s">
        <v>453</v>
      </c>
      <c r="E19" s="371" t="s">
        <v>455</v>
      </c>
      <c r="F19" s="139">
        <f>'3_16.3'!J587</f>
        <v>153838.06</v>
      </c>
      <c r="G19" s="139">
        <f>'3_16.3'!L587</f>
        <v>1062883.3500000001</v>
      </c>
      <c r="H19" s="173">
        <f>'3_16.3'!L597</f>
        <v>983167.1</v>
      </c>
      <c r="I19" s="174"/>
      <c r="J19" s="174"/>
      <c r="K19" s="173"/>
      <c r="L19" s="173" t="e">
        <f>'3_16.3'!#REF!</f>
        <v>#REF!</v>
      </c>
      <c r="M19" s="173" t="e">
        <f>'3_16.3'!#REF!</f>
        <v>#REF!</v>
      </c>
      <c r="N19" s="173">
        <f>'3_16.3'!L602</f>
        <v>1013784.55</v>
      </c>
      <c r="O19" s="139">
        <f>'3_16.3'!J589</f>
        <v>125042.62</v>
      </c>
      <c r="P19" s="139">
        <f>'3_16.3'!L589</f>
        <v>526830.59</v>
      </c>
      <c r="Q19" s="139">
        <f>'3_16.3'!J654</f>
        <v>0</v>
      </c>
      <c r="R19" s="139">
        <f>'3_16.3'!L654</f>
        <v>0</v>
      </c>
      <c r="S19" s="139">
        <f>'3_16.3'!L674</f>
        <v>0</v>
      </c>
      <c r="T19" s="139"/>
      <c r="U19" s="139"/>
      <c r="V19" s="139"/>
      <c r="W19" s="139"/>
      <c r="X19" s="173"/>
      <c r="Y19" s="139"/>
      <c r="Z19" s="139">
        <f>'3_16.3'!J593</f>
        <v>1366.07</v>
      </c>
      <c r="AA19" s="173">
        <f>'3_16.3'!L593</f>
        <v>33099.94</v>
      </c>
      <c r="AB19" s="173">
        <f>'3_16.3'!L604</f>
        <v>0</v>
      </c>
      <c r="AC19" s="137" t="e">
        <f t="shared" si="0"/>
        <v>#REF!</v>
      </c>
      <c r="AD19" s="173" t="e">
        <f t="shared" si="1"/>
        <v>#REF!</v>
      </c>
      <c r="AE19" s="137">
        <f t="shared" si="2"/>
        <v>1996951.65</v>
      </c>
      <c r="AF19" s="137"/>
      <c r="AG19" s="372" t="s">
        <v>344</v>
      </c>
      <c r="AH19" s="396"/>
      <c r="AI19" s="176"/>
    </row>
    <row r="20" spans="1:36" s="363" customFormat="1" ht="72" x14ac:dyDescent="0.2">
      <c r="A20" s="368" t="s">
        <v>19</v>
      </c>
      <c r="B20" s="369" t="s">
        <v>430</v>
      </c>
      <c r="C20" s="370" t="s">
        <v>516</v>
      </c>
      <c r="D20" s="370" t="s">
        <v>515</v>
      </c>
      <c r="E20" s="371" t="s">
        <v>517</v>
      </c>
      <c r="F20" s="139">
        <f>'4_16.4'!J346</f>
        <v>131931.06</v>
      </c>
      <c r="G20" s="139">
        <f>'4_16.4'!L346</f>
        <v>932931.29</v>
      </c>
      <c r="H20" s="173">
        <f>'4_16.4'!L356</f>
        <v>862961.44</v>
      </c>
      <c r="I20" s="174"/>
      <c r="J20" s="174"/>
      <c r="K20" s="173"/>
      <c r="L20" s="173" t="e">
        <f>'4_16.4'!#REF!</f>
        <v>#REF!</v>
      </c>
      <c r="M20" s="173" t="e">
        <f>'4_16.4'!#REF!</f>
        <v>#REF!</v>
      </c>
      <c r="N20" s="173">
        <f>'4_16.4'!L361</f>
        <v>883624.79</v>
      </c>
      <c r="O20" s="139">
        <f>'4_16.4'!J348</f>
        <v>112126.36</v>
      </c>
      <c r="P20" s="139">
        <f>'4_16.4'!L348</f>
        <v>566390.68999999994</v>
      </c>
      <c r="Q20" s="139">
        <v>0</v>
      </c>
      <c r="R20" s="139">
        <f>0</f>
        <v>0</v>
      </c>
      <c r="S20" s="139">
        <f>0</f>
        <v>0</v>
      </c>
      <c r="T20" s="139"/>
      <c r="U20" s="139"/>
      <c r="V20" s="139"/>
      <c r="W20" s="139"/>
      <c r="X20" s="173"/>
      <c r="Y20" s="139"/>
      <c r="Z20" s="139">
        <f>'4_16.4'!J352</f>
        <v>921.95</v>
      </c>
      <c r="AA20" s="173">
        <f>'4_16.4'!L352</f>
        <v>22338.76</v>
      </c>
      <c r="AB20" s="173">
        <f>'4_16.4'!L363</f>
        <v>0</v>
      </c>
      <c r="AC20" s="137" t="e">
        <f>F20+I20+L20+Q20+T20+W20+Z20</f>
        <v>#REF!</v>
      </c>
      <c r="AD20" s="173" t="e">
        <f t="shared" si="1"/>
        <v>#REF!</v>
      </c>
      <c r="AE20" s="137">
        <f>H20+K20+N20+S20+V20+Y20+AB20</f>
        <v>1746586.23</v>
      </c>
      <c r="AF20" s="137"/>
      <c r="AG20" s="372" t="s">
        <v>344</v>
      </c>
      <c r="AH20" s="380"/>
      <c r="AI20" s="176"/>
    </row>
    <row r="21" spans="1:36" s="363" customFormat="1" ht="72" outlineLevel="1" x14ac:dyDescent="0.2">
      <c r="A21" s="368" t="s">
        <v>20</v>
      </c>
      <c r="B21" s="369" t="s">
        <v>431</v>
      </c>
      <c r="C21" s="370" t="s">
        <v>516</v>
      </c>
      <c r="D21" s="370" t="s">
        <v>515</v>
      </c>
      <c r="E21" s="371" t="s">
        <v>517</v>
      </c>
      <c r="F21" s="139">
        <f>'5_16.5'!J143</f>
        <v>24802.13</v>
      </c>
      <c r="G21" s="139">
        <f>'5_16.5'!L143</f>
        <v>179037.04</v>
      </c>
      <c r="H21" s="173">
        <f>'5_16.5'!L153</f>
        <v>165609.26</v>
      </c>
      <c r="I21" s="174"/>
      <c r="J21" s="174"/>
      <c r="K21" s="173"/>
      <c r="L21" s="173" t="e">
        <f>'5_16.5'!#REF!</f>
        <v>#REF!</v>
      </c>
      <c r="M21" s="173" t="e">
        <f>'5_16.5'!#REF!</f>
        <v>#REF!</v>
      </c>
      <c r="N21" s="173">
        <f>'5_16.5'!L158</f>
        <v>170317.15</v>
      </c>
      <c r="O21" s="139">
        <f>'5_16.5'!J145</f>
        <v>20291.73</v>
      </c>
      <c r="P21" s="139">
        <f>'5_16.5'!L145</f>
        <v>95551.61</v>
      </c>
      <c r="Q21" s="139">
        <v>0</v>
      </c>
      <c r="R21" s="139">
        <f>'5_16.5'!L124</f>
        <v>0</v>
      </c>
      <c r="S21" s="139">
        <f>0</f>
        <v>0</v>
      </c>
      <c r="T21" s="139"/>
      <c r="U21" s="139"/>
      <c r="V21" s="139"/>
      <c r="W21" s="139"/>
      <c r="X21" s="173"/>
      <c r="Y21" s="139"/>
      <c r="Z21" s="139">
        <f>'5_16.5'!J149</f>
        <v>210.05</v>
      </c>
      <c r="AA21" s="173">
        <f>'5_16.5'!L149</f>
        <v>5089.6099999999997</v>
      </c>
      <c r="AB21" s="173">
        <f>'5_16.5'!L160</f>
        <v>0</v>
      </c>
      <c r="AC21" s="137" t="e">
        <f t="shared" si="0"/>
        <v>#REF!</v>
      </c>
      <c r="AD21" s="173" t="e">
        <f t="shared" si="1"/>
        <v>#REF!</v>
      </c>
      <c r="AE21" s="137">
        <f t="shared" si="2"/>
        <v>335926.41</v>
      </c>
      <c r="AF21" s="137"/>
      <c r="AG21" s="372" t="s">
        <v>344</v>
      </c>
      <c r="AH21" s="380"/>
      <c r="AI21" s="176"/>
    </row>
    <row r="22" spans="1:36" s="363" customFormat="1" ht="108" x14ac:dyDescent="0.2">
      <c r="A22" s="368" t="s">
        <v>21</v>
      </c>
      <c r="B22" s="369" t="s">
        <v>432</v>
      </c>
      <c r="C22" s="370" t="s">
        <v>454</v>
      </c>
      <c r="D22" s="370" t="s">
        <v>453</v>
      </c>
      <c r="E22" s="371" t="s">
        <v>455</v>
      </c>
      <c r="F22" s="139">
        <f>'6_16.6'!J52</f>
        <v>9042.42</v>
      </c>
      <c r="G22" s="139">
        <f>'6_16.6'!L52</f>
        <v>61704.27</v>
      </c>
      <c r="H22" s="173">
        <f>'6_16.6'!L62</f>
        <v>57076.45</v>
      </c>
      <c r="I22" s="174"/>
      <c r="J22" s="174"/>
      <c r="K22" s="173"/>
      <c r="L22" s="173" t="e">
        <f>'6_16.6'!#REF!</f>
        <v>#REF!</v>
      </c>
      <c r="M22" s="173" t="e">
        <f>'6_16.6'!#REF!</f>
        <v>#REF!</v>
      </c>
      <c r="N22" s="173">
        <f>'6_16.6'!L67</f>
        <v>57975.22</v>
      </c>
      <c r="O22" s="139">
        <f>'6_16.6'!J54</f>
        <v>8186.62</v>
      </c>
      <c r="P22" s="139">
        <f>'6_16.6'!L54</f>
        <v>45806.83</v>
      </c>
      <c r="Q22" s="139">
        <f>0</f>
        <v>0</v>
      </c>
      <c r="R22" s="139">
        <v>0</v>
      </c>
      <c r="S22" s="139">
        <f>0</f>
        <v>0</v>
      </c>
      <c r="T22" s="139"/>
      <c r="U22" s="139"/>
      <c r="V22" s="139"/>
      <c r="W22" s="139"/>
      <c r="X22" s="173"/>
      <c r="Y22" s="139"/>
      <c r="Z22" s="139">
        <f>'6_16.6'!J58</f>
        <v>40.1</v>
      </c>
      <c r="AA22" s="173">
        <f>'6_16.6'!L58</f>
        <v>971.65</v>
      </c>
      <c r="AB22" s="173">
        <f>'6_16.6'!L69</f>
        <v>0</v>
      </c>
      <c r="AC22" s="137" t="e">
        <f t="shared" si="0"/>
        <v>#REF!</v>
      </c>
      <c r="AD22" s="173" t="e">
        <f t="shared" si="1"/>
        <v>#REF!</v>
      </c>
      <c r="AE22" s="137">
        <f t="shared" si="2"/>
        <v>115051.67</v>
      </c>
      <c r="AF22" s="137"/>
      <c r="AG22" s="372" t="s">
        <v>344</v>
      </c>
      <c r="AH22" s="380"/>
      <c r="AI22" s="176"/>
    </row>
    <row r="23" spans="1:36" s="363" customFormat="1" ht="126" x14ac:dyDescent="0.2">
      <c r="A23" s="368" t="s">
        <v>28</v>
      </c>
      <c r="B23" s="369" t="s">
        <v>433</v>
      </c>
      <c r="C23" s="370" t="s">
        <v>519</v>
      </c>
      <c r="D23" s="370" t="s">
        <v>518</v>
      </c>
      <c r="E23" s="371" t="s">
        <v>520</v>
      </c>
      <c r="F23" s="139">
        <f>'7_16.7'!J281</f>
        <v>82228.210000000006</v>
      </c>
      <c r="G23" s="139">
        <f>'7_16.7'!L281</f>
        <v>911526.37</v>
      </c>
      <c r="H23" s="173">
        <f>'7_16.7'!L291</f>
        <v>843161.89</v>
      </c>
      <c r="I23" s="174"/>
      <c r="J23" s="174"/>
      <c r="K23" s="173"/>
      <c r="L23" s="173" t="e">
        <f>'7_16.7'!#REF!</f>
        <v>#REF!</v>
      </c>
      <c r="M23" s="173" t="e">
        <f>'7_16.7'!#REF!</f>
        <v>#REF!</v>
      </c>
      <c r="N23" s="173">
        <f>'7_16.7'!L296</f>
        <v>876605.46</v>
      </c>
      <c r="O23" s="139">
        <f>'7_16.7'!J283</f>
        <v>55913.01</v>
      </c>
      <c r="P23" s="139">
        <f>'7_16.7'!L283</f>
        <v>388874.45</v>
      </c>
      <c r="Q23" s="139">
        <v>0</v>
      </c>
      <c r="R23" s="139">
        <v>0</v>
      </c>
      <c r="S23" s="139">
        <v>0</v>
      </c>
      <c r="T23" s="139"/>
      <c r="U23" s="139"/>
      <c r="V23" s="139"/>
      <c r="W23" s="139"/>
      <c r="X23" s="173"/>
      <c r="Y23" s="139"/>
      <c r="Z23" s="139">
        <f>'7_16.7'!J287</f>
        <v>1492.17</v>
      </c>
      <c r="AA23" s="173">
        <f>'7_16.7'!L287</f>
        <v>36155.21</v>
      </c>
      <c r="AB23" s="173">
        <f>'7_16.7'!L298</f>
        <v>0</v>
      </c>
      <c r="AC23" s="137" t="e">
        <f t="shared" si="0"/>
        <v>#REF!</v>
      </c>
      <c r="AD23" s="173" t="e">
        <f t="shared" si="1"/>
        <v>#REF!</v>
      </c>
      <c r="AE23" s="137">
        <f t="shared" si="2"/>
        <v>1719767.35</v>
      </c>
      <c r="AF23" s="137"/>
      <c r="AG23" s="372" t="s">
        <v>344</v>
      </c>
      <c r="AH23" s="380"/>
      <c r="AI23" s="176"/>
    </row>
    <row r="24" spans="1:36" s="363" customFormat="1" ht="126" x14ac:dyDescent="0.2">
      <c r="A24" s="368" t="s">
        <v>340</v>
      </c>
      <c r="B24" s="369" t="s">
        <v>434</v>
      </c>
      <c r="C24" s="370" t="s">
        <v>519</v>
      </c>
      <c r="D24" s="370" t="s">
        <v>518</v>
      </c>
      <c r="E24" s="371" t="s">
        <v>520</v>
      </c>
      <c r="F24" s="139">
        <f>'8_16.8'!J208</f>
        <v>29826.639999999999</v>
      </c>
      <c r="G24" s="139">
        <f>'8_16.8'!L208</f>
        <v>377591.34</v>
      </c>
      <c r="H24" s="173">
        <f>'8_16.8'!L216</f>
        <v>349271.99</v>
      </c>
      <c r="I24" s="174"/>
      <c r="J24" s="174"/>
      <c r="K24" s="173"/>
      <c r="L24" s="173" t="e">
        <f>'8_16.8'!#REF!</f>
        <v>#REF!</v>
      </c>
      <c r="M24" s="173" t="e">
        <f>'8_16.8'!#REF!</f>
        <v>#REF!</v>
      </c>
      <c r="N24" s="173">
        <f>'8_16.8'!L221</f>
        <v>366585.5</v>
      </c>
      <c r="O24" s="139">
        <f>'8_16.8'!J210</f>
        <v>11592.71</v>
      </c>
      <c r="P24" s="139">
        <f>'8_16.8'!L210</f>
        <v>78575.7</v>
      </c>
      <c r="Q24" s="139">
        <v>0</v>
      </c>
      <c r="R24" s="139">
        <v>0</v>
      </c>
      <c r="S24" s="139">
        <v>0</v>
      </c>
      <c r="T24" s="139"/>
      <c r="U24" s="139"/>
      <c r="V24" s="139"/>
      <c r="W24" s="139"/>
      <c r="X24" s="173"/>
      <c r="Y24" s="139"/>
      <c r="Z24" s="139">
        <f>'8_16.8'!J212</f>
        <v>772.49</v>
      </c>
      <c r="AA24" s="173">
        <f>'8_16.8'!L212</f>
        <v>18717.310000000001</v>
      </c>
      <c r="AB24" s="173">
        <f>'8_16.8'!L223</f>
        <v>0</v>
      </c>
      <c r="AC24" s="137" t="e">
        <f t="shared" si="0"/>
        <v>#REF!</v>
      </c>
      <c r="AD24" s="173" t="e">
        <f t="shared" si="1"/>
        <v>#REF!</v>
      </c>
      <c r="AE24" s="137">
        <f t="shared" si="2"/>
        <v>715857.49</v>
      </c>
      <c r="AF24" s="137"/>
      <c r="AG24" s="372" t="s">
        <v>344</v>
      </c>
      <c r="AH24" s="380"/>
      <c r="AI24" s="176"/>
    </row>
    <row r="25" spans="1:36" s="363" customFormat="1" ht="108" x14ac:dyDescent="0.2">
      <c r="A25" s="368" t="s">
        <v>341</v>
      </c>
      <c r="B25" s="369" t="s">
        <v>435</v>
      </c>
      <c r="C25" s="370" t="s">
        <v>454</v>
      </c>
      <c r="D25" s="370" t="s">
        <v>453</v>
      </c>
      <c r="E25" s="371" t="s">
        <v>455</v>
      </c>
      <c r="F25" s="139">
        <f>'9_16.9'!J207</f>
        <v>49580.7</v>
      </c>
      <c r="G25" s="139">
        <f>'9_16.9'!L207</f>
        <v>335989.69</v>
      </c>
      <c r="H25" s="173">
        <f>'9_16.9'!L217</f>
        <v>310790.46000000002</v>
      </c>
      <c r="I25" s="174"/>
      <c r="J25" s="174"/>
      <c r="K25" s="173"/>
      <c r="L25" s="173" t="e">
        <f>'9_16.9'!#REF!</f>
        <v>#REF!</v>
      </c>
      <c r="M25" s="173" t="e">
        <f>'9_16.9'!#REF!</f>
        <v>#REF!</v>
      </c>
      <c r="N25" s="173">
        <f>'9_16.9'!L222</f>
        <v>319062.51</v>
      </c>
      <c r="O25" s="139">
        <f>'9_16.9'!J209</f>
        <v>41774.31</v>
      </c>
      <c r="P25" s="139">
        <f>'9_16.9'!L209</f>
        <v>190791.34</v>
      </c>
      <c r="Q25" s="139">
        <f>0</f>
        <v>0</v>
      </c>
      <c r="R25" s="139">
        <v>0</v>
      </c>
      <c r="S25" s="139">
        <v>0</v>
      </c>
      <c r="T25" s="139"/>
      <c r="U25" s="139"/>
      <c r="V25" s="139"/>
      <c r="W25" s="139"/>
      <c r="X25" s="173"/>
      <c r="Y25" s="139"/>
      <c r="Z25" s="139">
        <f>'9_16.9'!J213</f>
        <v>369.08</v>
      </c>
      <c r="AA25" s="173">
        <f>'9_16.9'!L213</f>
        <v>8942.76</v>
      </c>
      <c r="AB25" s="173">
        <f>'9_16.9'!L224</f>
        <v>0</v>
      </c>
      <c r="AC25" s="137" t="e">
        <f t="shared" si="0"/>
        <v>#REF!</v>
      </c>
      <c r="AD25" s="173" t="e">
        <f t="shared" si="1"/>
        <v>#REF!</v>
      </c>
      <c r="AE25" s="137">
        <f t="shared" si="2"/>
        <v>629852.97</v>
      </c>
      <c r="AF25" s="137"/>
      <c r="AG25" s="372" t="s">
        <v>344</v>
      </c>
      <c r="AH25" s="380"/>
      <c r="AI25" s="176"/>
    </row>
    <row r="26" spans="1:36" s="363" customFormat="1" ht="126" x14ac:dyDescent="0.2">
      <c r="A26" s="368" t="s">
        <v>342</v>
      </c>
      <c r="B26" s="369" t="s">
        <v>436</v>
      </c>
      <c r="C26" s="370" t="s">
        <v>519</v>
      </c>
      <c r="D26" s="370" t="s">
        <v>518</v>
      </c>
      <c r="E26" s="371" t="s">
        <v>520</v>
      </c>
      <c r="F26" s="139">
        <f>'10_16.10'!J126</f>
        <v>16018.19</v>
      </c>
      <c r="G26" s="139">
        <f>'10_16.10'!L126</f>
        <v>189415.35</v>
      </c>
      <c r="H26" s="173">
        <f>'10_16.10'!L134</f>
        <v>175209.2</v>
      </c>
      <c r="I26" s="174"/>
      <c r="J26" s="174"/>
      <c r="K26" s="173"/>
      <c r="L26" s="173" t="e">
        <f>'10_16.10'!#REF!</f>
        <v>#REF!</v>
      </c>
      <c r="M26" s="173" t="e">
        <f>'10_16.10'!#REF!</f>
        <v>#REF!</v>
      </c>
      <c r="N26" s="173">
        <f>'10_16.10'!L139</f>
        <v>183219.09</v>
      </c>
      <c r="O26" s="139">
        <f>'10_16.10'!J128</f>
        <v>9778.3700000000008</v>
      </c>
      <c r="P26" s="139">
        <f>'10_16.10'!L128</f>
        <v>64651.18</v>
      </c>
      <c r="Q26" s="139">
        <v>0</v>
      </c>
      <c r="R26" s="139">
        <v>0</v>
      </c>
      <c r="S26" s="139">
        <v>0</v>
      </c>
      <c r="T26" s="139"/>
      <c r="U26" s="139"/>
      <c r="V26" s="139"/>
      <c r="W26" s="139"/>
      <c r="X26" s="173"/>
      <c r="Y26" s="139"/>
      <c r="Z26" s="139">
        <f>'10_16.10'!J130</f>
        <v>357.38</v>
      </c>
      <c r="AA26" s="173">
        <f>'10_16.10'!L130</f>
        <v>8659.34</v>
      </c>
      <c r="AB26" s="173">
        <f>'10_16.10'!L141</f>
        <v>0</v>
      </c>
      <c r="AC26" s="137" t="e">
        <f t="shared" si="0"/>
        <v>#REF!</v>
      </c>
      <c r="AD26" s="173" t="e">
        <f t="shared" si="1"/>
        <v>#REF!</v>
      </c>
      <c r="AE26" s="137">
        <f t="shared" si="2"/>
        <v>358428.29</v>
      </c>
      <c r="AF26" s="137"/>
      <c r="AG26" s="372" t="s">
        <v>344</v>
      </c>
      <c r="AH26" s="380"/>
      <c r="AI26" s="176"/>
    </row>
    <row r="27" spans="1:36" s="157" customFormat="1" ht="23.25" x14ac:dyDescent="0.2">
      <c r="A27" s="169" t="s">
        <v>343</v>
      </c>
      <c r="B27" s="170" t="s">
        <v>437</v>
      </c>
      <c r="C27" s="171"/>
      <c r="D27" s="171"/>
      <c r="E27" s="172"/>
      <c r="F27" s="139"/>
      <c r="G27" s="139"/>
      <c r="H27" s="177"/>
      <c r="I27" s="174"/>
      <c r="J27" s="174"/>
      <c r="K27" s="177"/>
      <c r="L27" s="173"/>
      <c r="M27" s="173"/>
      <c r="N27" s="173"/>
      <c r="O27" s="139"/>
      <c r="P27" s="139"/>
      <c r="Q27" s="139"/>
      <c r="R27" s="139"/>
      <c r="S27" s="139"/>
      <c r="T27" s="139"/>
      <c r="U27" s="139"/>
      <c r="V27" s="139"/>
      <c r="W27" s="139"/>
      <c r="X27" s="173"/>
      <c r="Y27" s="139"/>
      <c r="Z27" s="139"/>
      <c r="AA27" s="173"/>
      <c r="AB27" s="173"/>
      <c r="AC27" s="137"/>
      <c r="AD27" s="173"/>
      <c r="AE27" s="137"/>
      <c r="AF27" s="137"/>
      <c r="AG27" s="175"/>
      <c r="AH27" s="380"/>
      <c r="AI27"/>
    </row>
    <row r="28" spans="1:36" s="394" customFormat="1" ht="54" hidden="1" x14ac:dyDescent="0.2">
      <c r="A28" s="385" t="s">
        <v>345</v>
      </c>
      <c r="B28" s="386" t="s">
        <v>441</v>
      </c>
      <c r="C28" s="387" t="s">
        <v>522</v>
      </c>
      <c r="D28" s="387" t="s">
        <v>521</v>
      </c>
      <c r="E28" s="388" t="s">
        <v>523</v>
      </c>
      <c r="F28" s="389"/>
      <c r="G28" s="389"/>
      <c r="H28" s="390"/>
      <c r="I28" s="391"/>
      <c r="J28" s="391"/>
      <c r="K28" s="390"/>
      <c r="L28" s="390"/>
      <c r="M28" s="390"/>
      <c r="N28" s="390"/>
      <c r="O28" s="389"/>
      <c r="P28" s="389"/>
      <c r="Q28" s="389"/>
      <c r="R28" s="389"/>
      <c r="S28" s="389"/>
      <c r="T28" s="389"/>
      <c r="U28" s="389"/>
      <c r="V28" s="389"/>
      <c r="W28" s="389"/>
      <c r="X28" s="390"/>
      <c r="Y28" s="389"/>
      <c r="Z28" s="389"/>
      <c r="AA28" s="390"/>
      <c r="AB28" s="390"/>
      <c r="AC28" s="392"/>
      <c r="AD28" s="390"/>
      <c r="AE28" s="392"/>
      <c r="AF28" s="392"/>
      <c r="AG28" s="393" t="s">
        <v>439</v>
      </c>
      <c r="AH28" s="395" t="s">
        <v>578</v>
      </c>
    </row>
    <row r="29" spans="1:36" s="167" customFormat="1" ht="23.25" collapsed="1" x14ac:dyDescent="0.2">
      <c r="A29" s="168" t="s">
        <v>332</v>
      </c>
      <c r="B29" s="163"/>
      <c r="C29" s="162"/>
      <c r="D29" s="162"/>
      <c r="E29" s="164"/>
      <c r="F29" s="162"/>
      <c r="G29" s="165"/>
      <c r="H29" s="162"/>
      <c r="I29" s="162"/>
      <c r="J29" s="162"/>
      <c r="K29" s="162"/>
      <c r="L29" s="165"/>
      <c r="M29" s="162"/>
      <c r="N29" s="165"/>
      <c r="O29" s="162"/>
      <c r="P29" s="165"/>
      <c r="Q29" s="165"/>
      <c r="R29" s="165"/>
      <c r="S29" s="165"/>
      <c r="T29" s="162"/>
      <c r="U29" s="165"/>
      <c r="V29" s="165"/>
      <c r="W29" s="162"/>
      <c r="X29" s="165"/>
      <c r="Y29" s="165"/>
      <c r="Z29" s="162"/>
      <c r="AA29" s="165"/>
      <c r="AB29" s="162"/>
      <c r="AC29" s="249"/>
      <c r="AD29" s="250"/>
      <c r="AE29" s="249"/>
      <c r="AF29" s="165"/>
      <c r="AG29" s="166"/>
      <c r="AH29" s="379"/>
    </row>
    <row r="30" spans="1:36" s="157" customFormat="1" ht="23.25" x14ac:dyDescent="0.2">
      <c r="A30" s="169" t="s">
        <v>346</v>
      </c>
      <c r="B30" s="170" t="s">
        <v>438</v>
      </c>
      <c r="C30" s="171"/>
      <c r="D30" s="171"/>
      <c r="E30" s="172"/>
      <c r="F30" s="139"/>
      <c r="G30" s="139"/>
      <c r="H30" s="177"/>
      <c r="I30" s="174"/>
      <c r="J30" s="174"/>
      <c r="K30" s="177"/>
      <c r="L30" s="173"/>
      <c r="M30" s="173"/>
      <c r="N30" s="173"/>
      <c r="O30" s="139"/>
      <c r="P30" s="139"/>
      <c r="Q30" s="139"/>
      <c r="R30" s="139"/>
      <c r="S30" s="139"/>
      <c r="T30" s="139"/>
      <c r="U30" s="139"/>
      <c r="V30" s="139"/>
      <c r="W30" s="139"/>
      <c r="X30" s="173"/>
      <c r="Y30" s="139"/>
      <c r="Z30" s="139"/>
      <c r="AA30" s="173"/>
      <c r="AB30" s="173"/>
      <c r="AC30" s="137"/>
      <c r="AD30" s="173"/>
      <c r="AE30" s="137"/>
      <c r="AF30" s="137"/>
      <c r="AG30" s="175"/>
      <c r="AH30" s="380"/>
      <c r="AI30"/>
      <c r="AJ30"/>
    </row>
    <row r="31" spans="1:36" s="157" customFormat="1" ht="23.25" x14ac:dyDescent="0.2">
      <c r="A31" s="169" t="s">
        <v>347</v>
      </c>
      <c r="B31" s="170" t="s">
        <v>576</v>
      </c>
      <c r="C31" s="171"/>
      <c r="D31" s="171"/>
      <c r="E31" s="172"/>
      <c r="F31" s="139"/>
      <c r="G31" s="139"/>
      <c r="H31" s="177"/>
      <c r="I31" s="174"/>
      <c r="J31" s="174"/>
      <c r="K31" s="177"/>
      <c r="L31" s="173"/>
      <c r="M31" s="173"/>
      <c r="N31" s="173"/>
      <c r="O31" s="139"/>
      <c r="P31" s="139"/>
      <c r="Q31" s="139"/>
      <c r="R31" s="139"/>
      <c r="S31" s="139"/>
      <c r="T31" s="139"/>
      <c r="U31" s="139"/>
      <c r="V31" s="139"/>
      <c r="W31" s="139"/>
      <c r="X31" s="173"/>
      <c r="Y31" s="139"/>
      <c r="Z31" s="139"/>
      <c r="AA31" s="173"/>
      <c r="AB31" s="173"/>
      <c r="AC31" s="137"/>
      <c r="AD31" s="173"/>
      <c r="AE31" s="137"/>
      <c r="AF31" s="137"/>
      <c r="AG31" s="175"/>
      <c r="AH31" s="397"/>
      <c r="AI31"/>
      <c r="AJ31"/>
    </row>
    <row r="32" spans="1:36" s="157" customFormat="1" ht="23.25" x14ac:dyDescent="0.2">
      <c r="A32" s="169" t="s">
        <v>348</v>
      </c>
      <c r="B32" s="170" t="s">
        <v>577</v>
      </c>
      <c r="C32" s="171"/>
      <c r="D32" s="171"/>
      <c r="E32" s="172"/>
      <c r="F32" s="139"/>
      <c r="G32" s="139"/>
      <c r="H32" s="177"/>
      <c r="I32" s="174"/>
      <c r="J32" s="174"/>
      <c r="K32" s="177"/>
      <c r="L32" s="173"/>
      <c r="M32" s="173"/>
      <c r="N32" s="173"/>
      <c r="O32" s="139"/>
      <c r="P32" s="139"/>
      <c r="Q32" s="139"/>
      <c r="R32" s="139"/>
      <c r="S32" s="139"/>
      <c r="T32" s="139"/>
      <c r="U32" s="139"/>
      <c r="V32" s="139"/>
      <c r="W32" s="139"/>
      <c r="X32" s="173"/>
      <c r="Y32" s="139"/>
      <c r="Z32" s="139"/>
      <c r="AA32" s="173"/>
      <c r="AB32" s="173"/>
      <c r="AC32" s="137"/>
      <c r="AD32" s="173"/>
      <c r="AE32" s="137"/>
      <c r="AF32" s="137"/>
      <c r="AG32" s="175"/>
      <c r="AH32" s="397"/>
      <c r="AI32"/>
      <c r="AJ32"/>
    </row>
    <row r="33" spans="1:38" s="178" customFormat="1" ht="43.5" customHeight="1" x14ac:dyDescent="0.2">
      <c r="A33" s="134"/>
      <c r="B33" s="135"/>
      <c r="C33" s="135"/>
      <c r="D33" s="135"/>
      <c r="E33" s="136" t="s">
        <v>425</v>
      </c>
      <c r="F33" s="137">
        <f>SUM(F16:F32)</f>
        <v>511202.23</v>
      </c>
      <c r="G33" s="137">
        <f>SUM(G16:G32)</f>
        <v>4151016.76</v>
      </c>
      <c r="H33" s="137">
        <f>SUM(H16:H32)</f>
        <v>3839690.5</v>
      </c>
      <c r="I33" s="137">
        <f t="shared" ref="I33:Y33" si="3">SUM(I16:I32)</f>
        <v>0</v>
      </c>
      <c r="J33" s="137">
        <f t="shared" si="3"/>
        <v>0</v>
      </c>
      <c r="K33" s="137">
        <f t="shared" si="3"/>
        <v>0</v>
      </c>
      <c r="L33" s="137" t="e">
        <f>SUM(L16:L32)</f>
        <v>#REF!</v>
      </c>
      <c r="M33" s="137" t="e">
        <f>SUM(M16:M32)</f>
        <v>#REF!</v>
      </c>
      <c r="N33" s="137">
        <f>SUM(N16:N32)</f>
        <v>3966430.06</v>
      </c>
      <c r="O33" s="137">
        <f>SUM(O16:O32)</f>
        <v>395324.39</v>
      </c>
      <c r="P33" s="137">
        <f>SUM(P16:P32)</f>
        <v>1996142.72</v>
      </c>
      <c r="Q33" s="137">
        <f t="shared" si="3"/>
        <v>0</v>
      </c>
      <c r="R33" s="137">
        <f t="shared" si="3"/>
        <v>0</v>
      </c>
      <c r="S33" s="137">
        <f t="shared" si="3"/>
        <v>0</v>
      </c>
      <c r="T33" s="137">
        <f t="shared" si="3"/>
        <v>0</v>
      </c>
      <c r="U33" s="137">
        <f t="shared" si="3"/>
        <v>0</v>
      </c>
      <c r="V33" s="137">
        <f t="shared" si="3"/>
        <v>0</v>
      </c>
      <c r="W33" s="137">
        <f t="shared" si="3"/>
        <v>0</v>
      </c>
      <c r="X33" s="137">
        <f t="shared" si="3"/>
        <v>0</v>
      </c>
      <c r="Y33" s="137">
        <f t="shared" si="3"/>
        <v>0</v>
      </c>
      <c r="Z33" s="137">
        <f t="shared" ref="Z33:AD33" si="4">SUM(Z16:Z32)</f>
        <v>5654.8</v>
      </c>
      <c r="AA33" s="137">
        <f t="shared" si="4"/>
        <v>137015.74</v>
      </c>
      <c r="AB33" s="137">
        <f t="shared" si="4"/>
        <v>0</v>
      </c>
      <c r="AC33" s="137" t="e">
        <f t="shared" si="4"/>
        <v>#REF!</v>
      </c>
      <c r="AD33" s="137" t="e">
        <f t="shared" si="4"/>
        <v>#REF!</v>
      </c>
      <c r="AE33" s="137">
        <f>SUM(AE16:AE32)</f>
        <v>7806120.5599999996</v>
      </c>
      <c r="AF33" s="137">
        <f>SUM(AF16:AF30)</f>
        <v>0</v>
      </c>
      <c r="AG33" s="138"/>
      <c r="AH33" s="381"/>
      <c r="AI33"/>
      <c r="AJ33"/>
    </row>
    <row r="34" spans="1:38" s="363" customFormat="1" ht="23.25" x14ac:dyDescent="0.2">
      <c r="A34" s="358"/>
      <c r="B34" s="359"/>
      <c r="C34" s="360"/>
      <c r="D34" s="360"/>
      <c r="E34" s="361" t="s">
        <v>3</v>
      </c>
      <c r="F34" s="139">
        <f>F39</f>
        <v>511202.23</v>
      </c>
      <c r="G34" s="139">
        <f>G39</f>
        <v>4151016.76</v>
      </c>
      <c r="H34" s="139">
        <f>H39</f>
        <v>3839690.5</v>
      </c>
      <c r="I34" s="139">
        <f t="shared" ref="I34:N34" si="5">I39</f>
        <v>0</v>
      </c>
      <c r="J34" s="139">
        <f t="shared" si="5"/>
        <v>0</v>
      </c>
      <c r="K34" s="139">
        <f t="shared" si="5"/>
        <v>0</v>
      </c>
      <c r="L34" s="139" t="e">
        <f>L39</f>
        <v>#REF!</v>
      </c>
      <c r="M34" s="139" t="e">
        <f t="shared" si="5"/>
        <v>#REF!</v>
      </c>
      <c r="N34" s="139">
        <f t="shared" si="5"/>
        <v>3966430.06</v>
      </c>
      <c r="O34" s="139"/>
      <c r="P34" s="139"/>
      <c r="Q34" s="139"/>
      <c r="R34" s="139"/>
      <c r="S34" s="139"/>
      <c r="T34" s="139"/>
      <c r="U34" s="139"/>
      <c r="V34" s="139"/>
      <c r="W34" s="139"/>
      <c r="X34" s="139"/>
      <c r="Y34" s="139"/>
      <c r="Z34" s="139"/>
      <c r="AA34" s="139"/>
      <c r="AB34" s="139"/>
      <c r="AC34" s="139" t="e">
        <f>F34+I34+L34</f>
        <v>#REF!</v>
      </c>
      <c r="AD34" s="139" t="e">
        <f>G34+J34+M34</f>
        <v>#REF!</v>
      </c>
      <c r="AE34" s="139">
        <f>H34+K34+N34</f>
        <v>7806120.5599999996</v>
      </c>
      <c r="AF34" s="139"/>
      <c r="AG34" s="362"/>
      <c r="AH34" s="382"/>
    </row>
    <row r="35" spans="1:38" s="363" customFormat="1" ht="23.25" x14ac:dyDescent="0.2">
      <c r="A35" s="358"/>
      <c r="B35" s="359"/>
      <c r="C35" s="360"/>
      <c r="D35" s="360"/>
      <c r="E35" s="361" t="s">
        <v>6</v>
      </c>
      <c r="F35" s="139"/>
      <c r="G35" s="139"/>
      <c r="H35" s="139"/>
      <c r="I35" s="139"/>
      <c r="J35" s="139"/>
      <c r="K35" s="139"/>
      <c r="L35" s="139"/>
      <c r="M35" s="139"/>
      <c r="N35" s="139"/>
      <c r="O35" s="139">
        <f>O39</f>
        <v>395324.39</v>
      </c>
      <c r="P35" s="139">
        <f>P39</f>
        <v>1996142.72</v>
      </c>
      <c r="Q35" s="139"/>
      <c r="R35" s="139"/>
      <c r="S35" s="139"/>
      <c r="T35" s="139"/>
      <c r="U35" s="139"/>
      <c r="V35" s="139"/>
      <c r="W35" s="139"/>
      <c r="X35" s="139"/>
      <c r="Y35" s="139"/>
      <c r="Z35" s="139"/>
      <c r="AA35" s="139"/>
      <c r="AB35" s="139"/>
      <c r="AC35" s="139"/>
      <c r="AD35" s="139"/>
      <c r="AE35" s="139"/>
      <c r="AF35" s="139"/>
      <c r="AG35" s="362"/>
      <c r="AH35" s="382"/>
      <c r="AI35" s="364"/>
      <c r="AJ35" s="364"/>
      <c r="AK35" s="364"/>
      <c r="AL35" s="364"/>
    </row>
    <row r="36" spans="1:38" s="363" customFormat="1" ht="23.25" x14ac:dyDescent="0.2">
      <c r="A36" s="358"/>
      <c r="B36" s="359"/>
      <c r="C36" s="360"/>
      <c r="D36" s="360"/>
      <c r="E36" s="361" t="s">
        <v>323</v>
      </c>
      <c r="F36" s="139"/>
      <c r="G36" s="139"/>
      <c r="H36" s="139"/>
      <c r="I36" s="139"/>
      <c r="J36" s="139"/>
      <c r="K36" s="139"/>
      <c r="L36" s="139"/>
      <c r="M36" s="139"/>
      <c r="N36" s="139"/>
      <c r="O36" s="139"/>
      <c r="P36" s="139"/>
      <c r="Q36" s="139">
        <f>Q33</f>
        <v>0</v>
      </c>
      <c r="R36" s="139">
        <f t="shared" ref="R36:S36" si="6">R33</f>
        <v>0</v>
      </c>
      <c r="S36" s="139">
        <f t="shared" si="6"/>
        <v>0</v>
      </c>
      <c r="T36" s="139"/>
      <c r="U36" s="139"/>
      <c r="V36" s="139"/>
      <c r="W36" s="139"/>
      <c r="X36" s="139"/>
      <c r="Y36" s="139"/>
      <c r="Z36" s="139"/>
      <c r="AA36" s="139"/>
      <c r="AB36" s="139"/>
      <c r="AC36" s="139">
        <f>Q36</f>
        <v>0</v>
      </c>
      <c r="AD36" s="139">
        <f t="shared" ref="AD36:AE36" si="7">R36</f>
        <v>0</v>
      </c>
      <c r="AE36" s="139">
        <f t="shared" si="7"/>
        <v>0</v>
      </c>
      <c r="AF36" s="139"/>
      <c r="AG36" s="362"/>
      <c r="AH36" s="382"/>
      <c r="AI36" s="364"/>
      <c r="AJ36" s="364"/>
      <c r="AK36" s="364"/>
      <c r="AL36" s="364"/>
    </row>
    <row r="37" spans="1:38" s="363" customFormat="1" ht="23.25" x14ac:dyDescent="0.2">
      <c r="A37" s="358"/>
      <c r="B37" s="359"/>
      <c r="C37" s="360"/>
      <c r="D37" s="360"/>
      <c r="E37" s="361" t="s">
        <v>22</v>
      </c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139">
        <f>T39</f>
        <v>0</v>
      </c>
      <c r="U37" s="139">
        <f>U39</f>
        <v>0</v>
      </c>
      <c r="V37" s="139">
        <f>V39</f>
        <v>0</v>
      </c>
      <c r="W37" s="139"/>
      <c r="X37" s="139"/>
      <c r="Y37" s="139"/>
      <c r="Z37" s="139"/>
      <c r="AA37" s="139"/>
      <c r="AB37" s="139"/>
      <c r="AC37" s="139">
        <f>T37+Z37</f>
        <v>0</v>
      </c>
      <c r="AD37" s="139">
        <f>U37+AA37</f>
        <v>0</v>
      </c>
      <c r="AE37" s="139">
        <f>V37+AB37</f>
        <v>0</v>
      </c>
      <c r="AF37" s="139"/>
      <c r="AG37" s="362"/>
      <c r="AH37" s="382"/>
      <c r="AI37" s="364"/>
      <c r="AJ37" s="364"/>
      <c r="AK37" s="364"/>
      <c r="AL37" s="364"/>
    </row>
    <row r="38" spans="1:38" s="363" customFormat="1" ht="23.25" x14ac:dyDescent="0.2">
      <c r="A38" s="358"/>
      <c r="B38" s="359"/>
      <c r="C38" s="365"/>
      <c r="D38" s="365"/>
      <c r="E38" s="361" t="s">
        <v>23</v>
      </c>
      <c r="F38" s="366"/>
      <c r="G38" s="366"/>
      <c r="H38" s="366"/>
      <c r="I38" s="366"/>
      <c r="J38" s="366"/>
      <c r="K38" s="366"/>
      <c r="L38" s="366"/>
      <c r="M38" s="366"/>
      <c r="N38" s="366"/>
      <c r="O38" s="366"/>
      <c r="P38" s="366"/>
      <c r="Q38" s="366"/>
      <c r="R38" s="366"/>
      <c r="S38" s="366"/>
      <c r="T38" s="139"/>
      <c r="U38" s="139"/>
      <c r="V38" s="139"/>
      <c r="W38" s="139">
        <f>W39</f>
        <v>0</v>
      </c>
      <c r="X38" s="139">
        <f t="shared" ref="X38:Y38" si="8">X39</f>
        <v>0</v>
      </c>
      <c r="Y38" s="139">
        <f t="shared" si="8"/>
        <v>0</v>
      </c>
      <c r="Z38" s="139">
        <f>Z39</f>
        <v>5654.8</v>
      </c>
      <c r="AA38" s="139">
        <f t="shared" ref="AA38:AB38" si="9">AA39</f>
        <v>137015.74</v>
      </c>
      <c r="AB38" s="139">
        <f t="shared" si="9"/>
        <v>0</v>
      </c>
      <c r="AC38" s="139">
        <f>W38+Z38</f>
        <v>5654.8</v>
      </c>
      <c r="AD38" s="139">
        <f>X38+AA38</f>
        <v>137015.74</v>
      </c>
      <c r="AE38" s="139">
        <f>Y38+AB38</f>
        <v>0</v>
      </c>
      <c r="AF38" s="139"/>
      <c r="AG38" s="367"/>
      <c r="AH38" s="382"/>
    </row>
    <row r="39" spans="1:38" s="179" customFormat="1" ht="37.5" customHeight="1" x14ac:dyDescent="0.2">
      <c r="A39" s="140"/>
      <c r="B39" s="141"/>
      <c r="C39" s="141"/>
      <c r="D39" s="141"/>
      <c r="E39" s="142" t="s">
        <v>426</v>
      </c>
      <c r="F39" s="137">
        <f>F33</f>
        <v>511202.23</v>
      </c>
      <c r="G39" s="137">
        <f t="shared" ref="G39:AF39" si="10">G33</f>
        <v>4151016.76</v>
      </c>
      <c r="H39" s="137">
        <f t="shared" si="10"/>
        <v>3839690.5</v>
      </c>
      <c r="I39" s="137">
        <f t="shared" si="10"/>
        <v>0</v>
      </c>
      <c r="J39" s="137">
        <f t="shared" si="10"/>
        <v>0</v>
      </c>
      <c r="K39" s="137">
        <f t="shared" si="10"/>
        <v>0</v>
      </c>
      <c r="L39" s="137" t="e">
        <f t="shared" si="10"/>
        <v>#REF!</v>
      </c>
      <c r="M39" s="137" t="e">
        <f t="shared" si="10"/>
        <v>#REF!</v>
      </c>
      <c r="N39" s="137">
        <f t="shared" si="10"/>
        <v>3966430.06</v>
      </c>
      <c r="O39" s="137">
        <f t="shared" si="10"/>
        <v>395324.39</v>
      </c>
      <c r="P39" s="137">
        <f t="shared" si="10"/>
        <v>1996142.72</v>
      </c>
      <c r="Q39" s="137">
        <f t="shared" si="10"/>
        <v>0</v>
      </c>
      <c r="R39" s="137">
        <f t="shared" si="10"/>
        <v>0</v>
      </c>
      <c r="S39" s="137">
        <f t="shared" si="10"/>
        <v>0</v>
      </c>
      <c r="T39" s="137">
        <f t="shared" si="10"/>
        <v>0</v>
      </c>
      <c r="U39" s="137">
        <f t="shared" si="10"/>
        <v>0</v>
      </c>
      <c r="V39" s="137">
        <f t="shared" si="10"/>
        <v>0</v>
      </c>
      <c r="W39" s="137">
        <f t="shared" si="10"/>
        <v>0</v>
      </c>
      <c r="X39" s="137">
        <f t="shared" si="10"/>
        <v>0</v>
      </c>
      <c r="Y39" s="137">
        <f t="shared" si="10"/>
        <v>0</v>
      </c>
      <c r="Z39" s="137">
        <f t="shared" si="10"/>
        <v>5654.8</v>
      </c>
      <c r="AA39" s="137">
        <f t="shared" si="10"/>
        <v>137015.74</v>
      </c>
      <c r="AB39" s="137">
        <f t="shared" si="10"/>
        <v>0</v>
      </c>
      <c r="AC39" s="137" t="e">
        <f>AC33</f>
        <v>#REF!</v>
      </c>
      <c r="AD39" s="137" t="e">
        <f t="shared" si="10"/>
        <v>#REF!</v>
      </c>
      <c r="AE39" s="137">
        <f t="shared" si="10"/>
        <v>7806120.5599999996</v>
      </c>
      <c r="AF39" s="137">
        <f t="shared" si="10"/>
        <v>0</v>
      </c>
      <c r="AG39" s="143"/>
      <c r="AH39" s="383"/>
      <c r="AI39" s="180"/>
      <c r="AK39" s="180"/>
    </row>
    <row r="40" spans="1:38" s="147" customFormat="1" x14ac:dyDescent="0.3">
      <c r="A40" s="181"/>
      <c r="B40" s="182"/>
      <c r="C40" s="183"/>
      <c r="D40" s="183"/>
      <c r="E40" s="184"/>
      <c r="F40" s="184"/>
      <c r="G40" s="184"/>
      <c r="H40" s="184"/>
      <c r="I40" s="184"/>
      <c r="J40" s="184"/>
      <c r="K40" s="184"/>
      <c r="L40" s="184"/>
      <c r="M40" s="184"/>
      <c r="N40" s="184"/>
      <c r="O40" s="184"/>
      <c r="P40" s="184"/>
      <c r="Q40" s="184"/>
      <c r="R40" s="184"/>
      <c r="S40" s="184"/>
      <c r="T40" s="184"/>
      <c r="U40" s="184"/>
      <c r="V40" s="184"/>
      <c r="W40" s="184"/>
      <c r="X40" s="184"/>
      <c r="Y40" s="184"/>
      <c r="Z40" s="184"/>
      <c r="AA40" s="184"/>
      <c r="AB40" s="184"/>
      <c r="AC40" s="185"/>
      <c r="AD40" s="185"/>
      <c r="AE40" s="186"/>
      <c r="AF40" s="185"/>
      <c r="AG40" s="187"/>
      <c r="AH40" s="377"/>
      <c r="AI40" s="188"/>
      <c r="AK40" s="188"/>
    </row>
    <row r="41" spans="1:38" s="147" customFormat="1" x14ac:dyDescent="0.3">
      <c r="A41" s="181"/>
      <c r="B41" s="182"/>
      <c r="C41" s="183"/>
      <c r="D41" s="183"/>
      <c r="E41" s="184"/>
      <c r="F41" s="184"/>
      <c r="G41" s="184"/>
      <c r="H41" s="184"/>
      <c r="I41" s="184"/>
      <c r="J41" s="184"/>
      <c r="K41" s="184"/>
      <c r="L41" s="184"/>
      <c r="M41" s="184"/>
      <c r="N41" s="184"/>
      <c r="O41" s="184"/>
      <c r="P41" s="184"/>
      <c r="Q41" s="184"/>
      <c r="R41" s="184"/>
      <c r="S41" s="184"/>
      <c r="T41" s="184"/>
      <c r="U41" s="184"/>
      <c r="V41" s="184"/>
      <c r="W41" s="184"/>
      <c r="X41" s="184"/>
      <c r="Y41" s="184"/>
      <c r="Z41" s="184"/>
      <c r="AA41" s="184"/>
      <c r="AB41" s="184"/>
      <c r="AC41" s="185"/>
      <c r="AD41" s="185"/>
      <c r="AE41" s="185"/>
      <c r="AF41" s="185"/>
      <c r="AG41" s="187"/>
      <c r="AH41" s="377"/>
      <c r="AI41" s="188"/>
      <c r="AK41" s="188"/>
    </row>
    <row r="42" spans="1:38" s="147" customFormat="1" x14ac:dyDescent="0.3">
      <c r="A42" s="181"/>
      <c r="B42" s="182"/>
      <c r="C42" s="183"/>
      <c r="D42" s="183"/>
      <c r="E42" s="184"/>
      <c r="F42" s="184"/>
      <c r="G42" s="184"/>
      <c r="H42" s="184"/>
      <c r="I42" s="184"/>
      <c r="J42" s="184"/>
      <c r="K42" s="184"/>
      <c r="L42" s="184"/>
      <c r="M42" s="184"/>
      <c r="N42" s="184"/>
      <c r="O42" s="184"/>
      <c r="P42" s="184"/>
      <c r="Q42" s="184"/>
      <c r="R42" s="184"/>
      <c r="S42" s="184"/>
      <c r="T42" s="184"/>
      <c r="U42" s="184"/>
      <c r="V42" s="184"/>
      <c r="W42" s="184"/>
      <c r="X42" s="184"/>
      <c r="Y42" s="184"/>
      <c r="Z42" s="184"/>
      <c r="AA42" s="184"/>
      <c r="AB42" s="184"/>
      <c r="AC42" s="185"/>
      <c r="AD42" s="185"/>
      <c r="AE42" s="185">
        <f>AE39*1.2</f>
        <v>9367344.6720000003</v>
      </c>
      <c r="AF42" s="185"/>
      <c r="AG42" s="187"/>
      <c r="AH42" s="377"/>
      <c r="AI42" s="188"/>
      <c r="AK42" s="188"/>
    </row>
    <row r="43" spans="1:38" s="147" customFormat="1" x14ac:dyDescent="0.3">
      <c r="A43" s="181"/>
      <c r="B43" s="182"/>
      <c r="C43" s="183"/>
      <c r="D43" s="183"/>
      <c r="E43" s="184"/>
      <c r="F43" s="184"/>
      <c r="G43" s="184"/>
      <c r="H43" s="184"/>
      <c r="I43" s="184"/>
      <c r="J43" s="184"/>
      <c r="K43" s="184"/>
      <c r="L43" s="184"/>
      <c r="M43" s="184"/>
      <c r="N43" s="184"/>
      <c r="O43" s="184"/>
      <c r="P43" s="184"/>
      <c r="Q43" s="184"/>
      <c r="R43" s="184"/>
      <c r="S43" s="184"/>
      <c r="T43" s="184"/>
      <c r="U43" s="184"/>
      <c r="V43" s="184"/>
      <c r="W43" s="184"/>
      <c r="X43" s="184"/>
      <c r="Y43" s="184"/>
      <c r="Z43" s="184"/>
      <c r="AA43" s="184"/>
      <c r="AB43" s="184"/>
      <c r="AC43" s="185"/>
      <c r="AD43" s="185"/>
      <c r="AE43" s="185"/>
      <c r="AF43" s="185"/>
      <c r="AG43" s="137"/>
      <c r="AH43" s="377"/>
      <c r="AI43" s="188"/>
      <c r="AK43" s="188"/>
    </row>
    <row r="44" spans="1:38" s="144" customFormat="1" x14ac:dyDescent="0.3">
      <c r="A44" s="189"/>
      <c r="B44" s="190"/>
      <c r="C44" s="191"/>
      <c r="D44" s="191"/>
      <c r="E44" s="184" t="s">
        <v>333</v>
      </c>
      <c r="F44" s="184"/>
      <c r="G44" s="184"/>
      <c r="H44" s="184"/>
      <c r="I44" s="184"/>
      <c r="J44" s="184"/>
      <c r="K44" s="184"/>
      <c r="L44" s="184"/>
      <c r="M44" s="184"/>
      <c r="N44" s="184"/>
      <c r="O44" s="184"/>
      <c r="P44" s="184"/>
      <c r="Q44" s="184"/>
      <c r="R44" s="184"/>
      <c r="S44" s="184"/>
      <c r="T44" s="184"/>
      <c r="U44" s="184"/>
      <c r="V44" s="184"/>
      <c r="W44" s="184"/>
      <c r="X44" s="184"/>
      <c r="Y44" s="184"/>
      <c r="Z44" s="184"/>
      <c r="AA44" s="184"/>
      <c r="AB44" s="184"/>
      <c r="AC44" s="184"/>
      <c r="AD44" s="192"/>
      <c r="AE44" s="185"/>
      <c r="AF44" s="185"/>
      <c r="AG44" s="185"/>
      <c r="AH44" s="373"/>
      <c r="AJ44" s="193"/>
      <c r="AL44" s="193"/>
    </row>
    <row r="45" spans="1:38" s="147" customFormat="1" x14ac:dyDescent="0.3">
      <c r="A45" s="194"/>
      <c r="B45" s="195"/>
      <c r="C45" s="196"/>
      <c r="D45" s="196"/>
      <c r="E45" s="184" t="s">
        <v>334</v>
      </c>
      <c r="F45" s="184"/>
      <c r="G45" s="184"/>
      <c r="H45" s="184"/>
      <c r="I45" s="184"/>
      <c r="J45" s="184"/>
      <c r="K45" s="184"/>
      <c r="L45" s="184"/>
      <c r="M45" s="197"/>
      <c r="N45" s="197"/>
      <c r="O45" s="197"/>
      <c r="P45" s="197"/>
      <c r="Q45" s="184"/>
      <c r="R45" s="184"/>
      <c r="S45" s="184"/>
      <c r="T45" s="184"/>
      <c r="U45" s="184"/>
      <c r="V45" s="198" t="s">
        <v>335</v>
      </c>
      <c r="W45" s="185" t="s">
        <v>336</v>
      </c>
      <c r="X45" s="184"/>
      <c r="Y45" s="198"/>
      <c r="Z45" s="198" t="s">
        <v>337</v>
      </c>
      <c r="AA45" s="198"/>
      <c r="AB45" s="198"/>
      <c r="AC45" s="198"/>
      <c r="AD45" s="185"/>
      <c r="AE45" s="185"/>
      <c r="AF45" s="185"/>
      <c r="AG45" s="185"/>
      <c r="AH45" s="374"/>
    </row>
    <row r="46" spans="1:38" s="145" customFormat="1" x14ac:dyDescent="0.3">
      <c r="A46" s="199"/>
      <c r="B46" s="200"/>
      <c r="C46" s="201"/>
      <c r="D46" s="201"/>
      <c r="E46" s="202"/>
      <c r="F46" s="203"/>
      <c r="G46" s="203"/>
      <c r="H46" s="203"/>
      <c r="I46" s="203"/>
      <c r="J46" s="203"/>
      <c r="K46" s="203"/>
      <c r="L46" s="203"/>
      <c r="M46" s="203"/>
      <c r="N46" s="203"/>
      <c r="O46" s="203"/>
      <c r="P46" s="203"/>
      <c r="Q46" s="203"/>
      <c r="R46" s="203"/>
      <c r="S46" s="203"/>
      <c r="T46" s="203"/>
      <c r="U46" s="203"/>
      <c r="V46" s="203"/>
      <c r="W46" s="203"/>
      <c r="X46" s="203"/>
      <c r="Y46" s="203"/>
      <c r="Z46" s="203"/>
      <c r="AA46" s="203"/>
      <c r="AB46" s="203"/>
      <c r="AC46" s="203"/>
      <c r="AD46" s="203"/>
      <c r="AE46" s="203"/>
      <c r="AF46" s="203"/>
      <c r="AG46" s="203"/>
      <c r="AH46" s="373"/>
    </row>
    <row r="47" spans="1:38" s="147" customFormat="1" x14ac:dyDescent="0.3">
      <c r="A47" s="194"/>
      <c r="B47" s="195"/>
      <c r="C47" s="196"/>
      <c r="D47" s="196"/>
      <c r="F47" s="204"/>
      <c r="G47" s="204"/>
      <c r="H47" s="204"/>
      <c r="I47" s="204"/>
      <c r="J47" s="204"/>
      <c r="K47" s="204"/>
      <c r="L47" s="204"/>
      <c r="M47" s="204"/>
      <c r="N47" s="204"/>
      <c r="O47" s="204"/>
      <c r="P47" s="204"/>
      <c r="Q47" s="204"/>
      <c r="R47" s="204"/>
      <c r="S47" s="204"/>
      <c r="T47" s="204"/>
      <c r="U47" s="204"/>
      <c r="V47" s="204"/>
      <c r="W47" s="204"/>
      <c r="X47" s="204"/>
      <c r="Y47" s="204"/>
      <c r="Z47" s="204"/>
      <c r="AA47" s="204"/>
      <c r="AB47" s="204"/>
      <c r="AC47" s="205"/>
      <c r="AD47" s="205"/>
      <c r="AE47" s="205"/>
      <c r="AF47" s="205"/>
      <c r="AG47" s="187"/>
      <c r="AH47" s="377"/>
    </row>
    <row r="48" spans="1:38" s="147" customFormat="1" x14ac:dyDescent="0.3">
      <c r="A48" s="194"/>
      <c r="B48" s="195"/>
      <c r="C48" s="196"/>
      <c r="D48" s="196"/>
      <c r="F48" s="204"/>
      <c r="G48" s="204"/>
      <c r="H48" s="204"/>
      <c r="I48" s="204"/>
      <c r="J48" s="204"/>
      <c r="K48" s="204"/>
      <c r="L48" s="204"/>
      <c r="M48" s="204"/>
      <c r="N48" s="204"/>
      <c r="O48" s="204"/>
      <c r="P48" s="204"/>
      <c r="Q48" s="204"/>
      <c r="R48" s="204"/>
      <c r="S48" s="204"/>
      <c r="T48" s="204"/>
      <c r="U48" s="204"/>
      <c r="V48" s="204"/>
      <c r="W48" s="204"/>
      <c r="X48" s="204"/>
      <c r="Y48" s="204"/>
      <c r="Z48" s="204"/>
      <c r="AA48" s="204"/>
      <c r="AB48" s="204"/>
      <c r="AC48" s="205"/>
      <c r="AD48" s="205"/>
      <c r="AE48" s="205"/>
      <c r="AF48" s="205"/>
      <c r="AG48" s="187"/>
      <c r="AH48" s="377"/>
    </row>
  </sheetData>
  <mergeCells count="19">
    <mergeCell ref="A5:AE5"/>
    <mergeCell ref="A7:AE7"/>
    <mergeCell ref="A10:A11"/>
    <mergeCell ref="B10:B11"/>
    <mergeCell ref="C10:C11"/>
    <mergeCell ref="D10:D11"/>
    <mergeCell ref="AF10:AF11"/>
    <mergeCell ref="AG10:AG11"/>
    <mergeCell ref="A9:AE9"/>
    <mergeCell ref="E10:E11"/>
    <mergeCell ref="F10:H10"/>
    <mergeCell ref="I10:K10"/>
    <mergeCell ref="L10:N10"/>
    <mergeCell ref="O10:P10"/>
    <mergeCell ref="Q10:S10"/>
    <mergeCell ref="T10:V10"/>
    <mergeCell ref="W10:Y10"/>
    <mergeCell ref="Z10:AB10"/>
    <mergeCell ref="AC10:AE10"/>
  </mergeCells>
  <phoneticPr fontId="43" type="noConversion"/>
  <pageMargins left="0.39370078740157483" right="0.39370078740157483" top="0.19685039370078741" bottom="0.19685039370078741" header="0.31496062992125984" footer="0.31496062992125984"/>
  <pageSetup paperSize="9" scale="33" fitToHeight="0" orientation="landscape" blackAndWhite="1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AD38"/>
  <sheetViews>
    <sheetView view="pageBreakPreview" topLeftCell="A13" zoomScale="40" zoomScaleNormal="55" zoomScaleSheetLayoutView="40" workbookViewId="0">
      <selection activeCell="H20" sqref="H20"/>
    </sheetView>
  </sheetViews>
  <sheetFormatPr defaultRowHeight="26.25" x14ac:dyDescent="0.2"/>
  <cols>
    <col min="1" max="1" width="6.83203125" style="612" customWidth="1"/>
    <col min="2" max="2" width="15.5" style="619" customWidth="1"/>
    <col min="3" max="3" width="27.6640625" style="619" customWidth="1"/>
    <col min="4" max="4" width="41.6640625" style="620" customWidth="1"/>
    <col min="5" max="5" width="74.83203125" style="614" customWidth="1"/>
    <col min="6" max="6" width="33" style="614" customWidth="1"/>
    <col min="7" max="7" width="28.83203125" style="614" customWidth="1"/>
    <col min="8" max="8" width="29.5" style="614" customWidth="1"/>
    <col min="9" max="9" width="21.1640625" style="614" hidden="1" customWidth="1"/>
    <col min="10" max="10" width="24.33203125" style="614" hidden="1" customWidth="1"/>
    <col min="11" max="11" width="24.5" style="614" hidden="1" customWidth="1"/>
    <col min="12" max="12" width="26.1640625" style="614" hidden="1" customWidth="1"/>
    <col min="13" max="13" width="24.33203125" style="614" hidden="1" customWidth="1"/>
    <col min="14" max="14" width="25" style="614" hidden="1" customWidth="1"/>
    <col min="15" max="15" width="30.5" style="614" customWidth="1"/>
    <col min="16" max="16" width="28.1640625" style="614" customWidth="1"/>
    <col min="17" max="17" width="30.33203125" style="614" customWidth="1"/>
    <col min="18" max="18" width="26.33203125" style="614" customWidth="1"/>
    <col min="19" max="19" width="26.5" style="614" customWidth="1"/>
    <col min="20" max="20" width="33" style="614" customWidth="1"/>
    <col min="21" max="21" width="34.1640625" style="614" customWidth="1"/>
    <col min="22" max="24" width="36.83203125" style="614" customWidth="1"/>
    <col min="25" max="25" width="31.33203125" style="615" customWidth="1"/>
    <col min="26" max="26" width="29.5" style="615" customWidth="1"/>
    <col min="27" max="29" width="9.1640625" style="615"/>
    <col min="30" max="30" width="33.33203125" style="615" bestFit="1" customWidth="1"/>
    <col min="31" max="243" width="9.1640625" style="615"/>
    <col min="244" max="244" width="6.83203125" style="615" customWidth="1"/>
    <col min="245" max="245" width="10.1640625" style="615" customWidth="1"/>
    <col min="246" max="246" width="32.33203125" style="615" customWidth="1"/>
    <col min="247" max="247" width="48.1640625" style="615" customWidth="1"/>
    <col min="248" max="248" width="22" style="615" bestFit="1" customWidth="1"/>
    <col min="249" max="249" width="19.83203125" style="615" bestFit="1" customWidth="1"/>
    <col min="250" max="250" width="21.33203125" style="615" customWidth="1"/>
    <col min="251" max="251" width="21" style="615" bestFit="1" customWidth="1"/>
    <col min="252" max="252" width="18.5" style="615" bestFit="1" customWidth="1"/>
    <col min="253" max="253" width="21.33203125" style="615" bestFit="1" customWidth="1"/>
    <col min="254" max="254" width="16.83203125" style="615" bestFit="1" customWidth="1"/>
    <col min="255" max="257" width="18.5" style="615" bestFit="1" customWidth="1"/>
    <col min="258" max="258" width="19.83203125" style="615" bestFit="1" customWidth="1"/>
    <col min="259" max="261" width="0" style="615" hidden="1" customWidth="1"/>
    <col min="262" max="262" width="18.1640625" style="615" bestFit="1" customWidth="1"/>
    <col min="263" max="263" width="19.1640625" style="615" customWidth="1"/>
    <col min="264" max="264" width="18.5" style="615" customWidth="1"/>
    <col min="265" max="265" width="15.5" style="615" bestFit="1" customWidth="1"/>
    <col min="266" max="266" width="18.5" style="615" bestFit="1" customWidth="1"/>
    <col min="267" max="267" width="18.1640625" style="615" bestFit="1" customWidth="1"/>
    <col min="268" max="268" width="19.83203125" style="615" bestFit="1" customWidth="1"/>
    <col min="269" max="269" width="21.33203125" style="615" bestFit="1" customWidth="1"/>
    <col min="270" max="270" width="22.5" style="615" bestFit="1" customWidth="1"/>
    <col min="271" max="271" width="32" style="615" customWidth="1"/>
    <col min="272" max="273" width="32.83203125" style="615" bestFit="1" customWidth="1"/>
    <col min="274" max="274" width="9.1640625" style="615"/>
    <col min="275" max="275" width="34.6640625" style="615" customWidth="1"/>
    <col min="276" max="499" width="9.1640625" style="615"/>
    <col min="500" max="500" width="6.83203125" style="615" customWidth="1"/>
    <col min="501" max="501" width="10.1640625" style="615" customWidth="1"/>
    <col min="502" max="502" width="32.33203125" style="615" customWidth="1"/>
    <col min="503" max="503" width="48.1640625" style="615" customWidth="1"/>
    <col min="504" max="504" width="22" style="615" bestFit="1" customWidth="1"/>
    <col min="505" max="505" width="19.83203125" style="615" bestFit="1" customWidth="1"/>
    <col min="506" max="506" width="21.33203125" style="615" customWidth="1"/>
    <col min="507" max="507" width="21" style="615" bestFit="1" customWidth="1"/>
    <col min="508" max="508" width="18.5" style="615" bestFit="1" customWidth="1"/>
    <col min="509" max="509" width="21.33203125" style="615" bestFit="1" customWidth="1"/>
    <col min="510" max="510" width="16.83203125" style="615" bestFit="1" customWidth="1"/>
    <col min="511" max="513" width="18.5" style="615" bestFit="1" customWidth="1"/>
    <col min="514" max="514" width="19.83203125" style="615" bestFit="1" customWidth="1"/>
    <col min="515" max="517" width="0" style="615" hidden="1" customWidth="1"/>
    <col min="518" max="518" width="18.1640625" style="615" bestFit="1" customWidth="1"/>
    <col min="519" max="519" width="19.1640625" style="615" customWidth="1"/>
    <col min="520" max="520" width="18.5" style="615" customWidth="1"/>
    <col min="521" max="521" width="15.5" style="615" bestFit="1" customWidth="1"/>
    <col min="522" max="522" width="18.5" style="615" bestFit="1" customWidth="1"/>
    <col min="523" max="523" width="18.1640625" style="615" bestFit="1" customWidth="1"/>
    <col min="524" max="524" width="19.83203125" style="615" bestFit="1" customWidth="1"/>
    <col min="525" max="525" width="21.33203125" style="615" bestFit="1" customWidth="1"/>
    <col min="526" max="526" width="22.5" style="615" bestFit="1" customWidth="1"/>
    <col min="527" max="527" width="32" style="615" customWidth="1"/>
    <col min="528" max="529" width="32.83203125" style="615" bestFit="1" customWidth="1"/>
    <col min="530" max="530" width="9.1640625" style="615"/>
    <col min="531" max="531" width="34.6640625" style="615" customWidth="1"/>
    <col min="532" max="755" width="9.1640625" style="615"/>
    <col min="756" max="756" width="6.83203125" style="615" customWidth="1"/>
    <col min="757" max="757" width="10.1640625" style="615" customWidth="1"/>
    <col min="758" max="758" width="32.33203125" style="615" customWidth="1"/>
    <col min="759" max="759" width="48.1640625" style="615" customWidth="1"/>
    <col min="760" max="760" width="22" style="615" bestFit="1" customWidth="1"/>
    <col min="761" max="761" width="19.83203125" style="615" bestFit="1" customWidth="1"/>
    <col min="762" max="762" width="21.33203125" style="615" customWidth="1"/>
    <col min="763" max="763" width="21" style="615" bestFit="1" customWidth="1"/>
    <col min="764" max="764" width="18.5" style="615" bestFit="1" customWidth="1"/>
    <col min="765" max="765" width="21.33203125" style="615" bestFit="1" customWidth="1"/>
    <col min="766" max="766" width="16.83203125" style="615" bestFit="1" customWidth="1"/>
    <col min="767" max="769" width="18.5" style="615" bestFit="1" customWidth="1"/>
    <col min="770" max="770" width="19.83203125" style="615" bestFit="1" customWidth="1"/>
    <col min="771" max="773" width="0" style="615" hidden="1" customWidth="1"/>
    <col min="774" max="774" width="18.1640625" style="615" bestFit="1" customWidth="1"/>
    <col min="775" max="775" width="19.1640625" style="615" customWidth="1"/>
    <col min="776" max="776" width="18.5" style="615" customWidth="1"/>
    <col min="777" max="777" width="15.5" style="615" bestFit="1" customWidth="1"/>
    <col min="778" max="778" width="18.5" style="615" bestFit="1" customWidth="1"/>
    <col min="779" max="779" width="18.1640625" style="615" bestFit="1" customWidth="1"/>
    <col min="780" max="780" width="19.83203125" style="615" bestFit="1" customWidth="1"/>
    <col min="781" max="781" width="21.33203125" style="615" bestFit="1" customWidth="1"/>
    <col min="782" max="782" width="22.5" style="615" bestFit="1" customWidth="1"/>
    <col min="783" max="783" width="32" style="615" customWidth="1"/>
    <col min="784" max="785" width="32.83203125" style="615" bestFit="1" customWidth="1"/>
    <col min="786" max="786" width="9.1640625" style="615"/>
    <col min="787" max="787" width="34.6640625" style="615" customWidth="1"/>
    <col min="788" max="1011" width="9.1640625" style="615"/>
    <col min="1012" max="1012" width="6.83203125" style="615" customWidth="1"/>
    <col min="1013" max="1013" width="10.1640625" style="615" customWidth="1"/>
    <col min="1014" max="1014" width="32.33203125" style="615" customWidth="1"/>
    <col min="1015" max="1015" width="48.1640625" style="615" customWidth="1"/>
    <col min="1016" max="1016" width="22" style="615" bestFit="1" customWidth="1"/>
    <col min="1017" max="1017" width="19.83203125" style="615" bestFit="1" customWidth="1"/>
    <col min="1018" max="1018" width="21.33203125" style="615" customWidth="1"/>
    <col min="1019" max="1019" width="21" style="615" bestFit="1" customWidth="1"/>
    <col min="1020" max="1020" width="18.5" style="615" bestFit="1" customWidth="1"/>
    <col min="1021" max="1021" width="21.33203125" style="615" bestFit="1" customWidth="1"/>
    <col min="1022" max="1022" width="16.83203125" style="615" bestFit="1" customWidth="1"/>
    <col min="1023" max="1025" width="18.5" style="615" bestFit="1" customWidth="1"/>
    <col min="1026" max="1026" width="19.83203125" style="615" bestFit="1" customWidth="1"/>
    <col min="1027" max="1029" width="0" style="615" hidden="1" customWidth="1"/>
    <col min="1030" max="1030" width="18.1640625" style="615" bestFit="1" customWidth="1"/>
    <col min="1031" max="1031" width="19.1640625" style="615" customWidth="1"/>
    <col min="1032" max="1032" width="18.5" style="615" customWidth="1"/>
    <col min="1033" max="1033" width="15.5" style="615" bestFit="1" customWidth="1"/>
    <col min="1034" max="1034" width="18.5" style="615" bestFit="1" customWidth="1"/>
    <col min="1035" max="1035" width="18.1640625" style="615" bestFit="1" customWidth="1"/>
    <col min="1036" max="1036" width="19.83203125" style="615" bestFit="1" customWidth="1"/>
    <col min="1037" max="1037" width="21.33203125" style="615" bestFit="1" customWidth="1"/>
    <col min="1038" max="1038" width="22.5" style="615" bestFit="1" customWidth="1"/>
    <col min="1039" max="1039" width="32" style="615" customWidth="1"/>
    <col min="1040" max="1041" width="32.83203125" style="615" bestFit="1" customWidth="1"/>
    <col min="1042" max="1042" width="9.1640625" style="615"/>
    <col min="1043" max="1043" width="34.6640625" style="615" customWidth="1"/>
    <col min="1044" max="1267" width="9.1640625" style="615"/>
    <col min="1268" max="1268" width="6.83203125" style="615" customWidth="1"/>
    <col min="1269" max="1269" width="10.1640625" style="615" customWidth="1"/>
    <col min="1270" max="1270" width="32.33203125" style="615" customWidth="1"/>
    <col min="1271" max="1271" width="48.1640625" style="615" customWidth="1"/>
    <col min="1272" max="1272" width="22" style="615" bestFit="1" customWidth="1"/>
    <col min="1273" max="1273" width="19.83203125" style="615" bestFit="1" customWidth="1"/>
    <col min="1274" max="1274" width="21.33203125" style="615" customWidth="1"/>
    <col min="1275" max="1275" width="21" style="615" bestFit="1" customWidth="1"/>
    <col min="1276" max="1276" width="18.5" style="615" bestFit="1" customWidth="1"/>
    <col min="1277" max="1277" width="21.33203125" style="615" bestFit="1" customWidth="1"/>
    <col min="1278" max="1278" width="16.83203125" style="615" bestFit="1" customWidth="1"/>
    <col min="1279" max="1281" width="18.5" style="615" bestFit="1" customWidth="1"/>
    <col min="1282" max="1282" width="19.83203125" style="615" bestFit="1" customWidth="1"/>
    <col min="1283" max="1285" width="0" style="615" hidden="1" customWidth="1"/>
    <col min="1286" max="1286" width="18.1640625" style="615" bestFit="1" customWidth="1"/>
    <col min="1287" max="1287" width="19.1640625" style="615" customWidth="1"/>
    <col min="1288" max="1288" width="18.5" style="615" customWidth="1"/>
    <col min="1289" max="1289" width="15.5" style="615" bestFit="1" customWidth="1"/>
    <col min="1290" max="1290" width="18.5" style="615" bestFit="1" customWidth="1"/>
    <col min="1291" max="1291" width="18.1640625" style="615" bestFit="1" customWidth="1"/>
    <col min="1292" max="1292" width="19.83203125" style="615" bestFit="1" customWidth="1"/>
    <col min="1293" max="1293" width="21.33203125" style="615" bestFit="1" customWidth="1"/>
    <col min="1294" max="1294" width="22.5" style="615" bestFit="1" customWidth="1"/>
    <col min="1295" max="1295" width="32" style="615" customWidth="1"/>
    <col min="1296" max="1297" width="32.83203125" style="615" bestFit="1" customWidth="1"/>
    <col min="1298" max="1298" width="9.1640625" style="615"/>
    <col min="1299" max="1299" width="34.6640625" style="615" customWidth="1"/>
    <col min="1300" max="1523" width="9.1640625" style="615"/>
    <col min="1524" max="1524" width="6.83203125" style="615" customWidth="1"/>
    <col min="1525" max="1525" width="10.1640625" style="615" customWidth="1"/>
    <col min="1526" max="1526" width="32.33203125" style="615" customWidth="1"/>
    <col min="1527" max="1527" width="48.1640625" style="615" customWidth="1"/>
    <col min="1528" max="1528" width="22" style="615" bestFit="1" customWidth="1"/>
    <col min="1529" max="1529" width="19.83203125" style="615" bestFit="1" customWidth="1"/>
    <col min="1530" max="1530" width="21.33203125" style="615" customWidth="1"/>
    <col min="1531" max="1531" width="21" style="615" bestFit="1" customWidth="1"/>
    <col min="1532" max="1532" width="18.5" style="615" bestFit="1" customWidth="1"/>
    <col min="1533" max="1533" width="21.33203125" style="615" bestFit="1" customWidth="1"/>
    <col min="1534" max="1534" width="16.83203125" style="615" bestFit="1" customWidth="1"/>
    <col min="1535" max="1537" width="18.5" style="615" bestFit="1" customWidth="1"/>
    <col min="1538" max="1538" width="19.83203125" style="615" bestFit="1" customWidth="1"/>
    <col min="1539" max="1541" width="0" style="615" hidden="1" customWidth="1"/>
    <col min="1542" max="1542" width="18.1640625" style="615" bestFit="1" customWidth="1"/>
    <col min="1543" max="1543" width="19.1640625" style="615" customWidth="1"/>
    <col min="1544" max="1544" width="18.5" style="615" customWidth="1"/>
    <col min="1545" max="1545" width="15.5" style="615" bestFit="1" customWidth="1"/>
    <col min="1546" max="1546" width="18.5" style="615" bestFit="1" customWidth="1"/>
    <col min="1547" max="1547" width="18.1640625" style="615" bestFit="1" customWidth="1"/>
    <col min="1548" max="1548" width="19.83203125" style="615" bestFit="1" customWidth="1"/>
    <col min="1549" max="1549" width="21.33203125" style="615" bestFit="1" customWidth="1"/>
    <col min="1550" max="1550" width="22.5" style="615" bestFit="1" customWidth="1"/>
    <col min="1551" max="1551" width="32" style="615" customWidth="1"/>
    <col min="1552" max="1553" width="32.83203125" style="615" bestFit="1" customWidth="1"/>
    <col min="1554" max="1554" width="9.1640625" style="615"/>
    <col min="1555" max="1555" width="34.6640625" style="615" customWidth="1"/>
    <col min="1556" max="1779" width="9.1640625" style="615"/>
    <col min="1780" max="1780" width="6.83203125" style="615" customWidth="1"/>
    <col min="1781" max="1781" width="10.1640625" style="615" customWidth="1"/>
    <col min="1782" max="1782" width="32.33203125" style="615" customWidth="1"/>
    <col min="1783" max="1783" width="48.1640625" style="615" customWidth="1"/>
    <col min="1784" max="1784" width="22" style="615" bestFit="1" customWidth="1"/>
    <col min="1785" max="1785" width="19.83203125" style="615" bestFit="1" customWidth="1"/>
    <col min="1786" max="1786" width="21.33203125" style="615" customWidth="1"/>
    <col min="1787" max="1787" width="21" style="615" bestFit="1" customWidth="1"/>
    <col min="1788" max="1788" width="18.5" style="615" bestFit="1" customWidth="1"/>
    <col min="1789" max="1789" width="21.33203125" style="615" bestFit="1" customWidth="1"/>
    <col min="1790" max="1790" width="16.83203125" style="615" bestFit="1" customWidth="1"/>
    <col min="1791" max="1793" width="18.5" style="615" bestFit="1" customWidth="1"/>
    <col min="1794" max="1794" width="19.83203125" style="615" bestFit="1" customWidth="1"/>
    <col min="1795" max="1797" width="0" style="615" hidden="1" customWidth="1"/>
    <col min="1798" max="1798" width="18.1640625" style="615" bestFit="1" customWidth="1"/>
    <col min="1799" max="1799" width="19.1640625" style="615" customWidth="1"/>
    <col min="1800" max="1800" width="18.5" style="615" customWidth="1"/>
    <col min="1801" max="1801" width="15.5" style="615" bestFit="1" customWidth="1"/>
    <col min="1802" max="1802" width="18.5" style="615" bestFit="1" customWidth="1"/>
    <col min="1803" max="1803" width="18.1640625" style="615" bestFit="1" customWidth="1"/>
    <col min="1804" max="1804" width="19.83203125" style="615" bestFit="1" customWidth="1"/>
    <col min="1805" max="1805" width="21.33203125" style="615" bestFit="1" customWidth="1"/>
    <col min="1806" max="1806" width="22.5" style="615" bestFit="1" customWidth="1"/>
    <col min="1807" max="1807" width="32" style="615" customWidth="1"/>
    <col min="1808" max="1809" width="32.83203125" style="615" bestFit="1" customWidth="1"/>
    <col min="1810" max="1810" width="9.1640625" style="615"/>
    <col min="1811" max="1811" width="34.6640625" style="615" customWidth="1"/>
    <col min="1812" max="2035" width="9.1640625" style="615"/>
    <col min="2036" max="2036" width="6.83203125" style="615" customWidth="1"/>
    <col min="2037" max="2037" width="10.1640625" style="615" customWidth="1"/>
    <col min="2038" max="2038" width="32.33203125" style="615" customWidth="1"/>
    <col min="2039" max="2039" width="48.1640625" style="615" customWidth="1"/>
    <col min="2040" max="2040" width="22" style="615" bestFit="1" customWidth="1"/>
    <col min="2041" max="2041" width="19.83203125" style="615" bestFit="1" customWidth="1"/>
    <col min="2042" max="2042" width="21.33203125" style="615" customWidth="1"/>
    <col min="2043" max="2043" width="21" style="615" bestFit="1" customWidth="1"/>
    <col min="2044" max="2044" width="18.5" style="615" bestFit="1" customWidth="1"/>
    <col min="2045" max="2045" width="21.33203125" style="615" bestFit="1" customWidth="1"/>
    <col min="2046" max="2046" width="16.83203125" style="615" bestFit="1" customWidth="1"/>
    <col min="2047" max="2049" width="18.5" style="615" bestFit="1" customWidth="1"/>
    <col min="2050" max="2050" width="19.83203125" style="615" bestFit="1" customWidth="1"/>
    <col min="2051" max="2053" width="0" style="615" hidden="1" customWidth="1"/>
    <col min="2054" max="2054" width="18.1640625" style="615" bestFit="1" customWidth="1"/>
    <col min="2055" max="2055" width="19.1640625" style="615" customWidth="1"/>
    <col min="2056" max="2056" width="18.5" style="615" customWidth="1"/>
    <col min="2057" max="2057" width="15.5" style="615" bestFit="1" customWidth="1"/>
    <col min="2058" max="2058" width="18.5" style="615" bestFit="1" customWidth="1"/>
    <col min="2059" max="2059" width="18.1640625" style="615" bestFit="1" customWidth="1"/>
    <col min="2060" max="2060" width="19.83203125" style="615" bestFit="1" customWidth="1"/>
    <col min="2061" max="2061" width="21.33203125" style="615" bestFit="1" customWidth="1"/>
    <col min="2062" max="2062" width="22.5" style="615" bestFit="1" customWidth="1"/>
    <col min="2063" max="2063" width="32" style="615" customWidth="1"/>
    <col min="2064" max="2065" width="32.83203125" style="615" bestFit="1" customWidth="1"/>
    <col min="2066" max="2066" width="9.1640625" style="615"/>
    <col min="2067" max="2067" width="34.6640625" style="615" customWidth="1"/>
    <col min="2068" max="2291" width="9.1640625" style="615"/>
    <col min="2292" max="2292" width="6.83203125" style="615" customWidth="1"/>
    <col min="2293" max="2293" width="10.1640625" style="615" customWidth="1"/>
    <col min="2294" max="2294" width="32.33203125" style="615" customWidth="1"/>
    <col min="2295" max="2295" width="48.1640625" style="615" customWidth="1"/>
    <col min="2296" max="2296" width="22" style="615" bestFit="1" customWidth="1"/>
    <col min="2297" max="2297" width="19.83203125" style="615" bestFit="1" customWidth="1"/>
    <col min="2298" max="2298" width="21.33203125" style="615" customWidth="1"/>
    <col min="2299" max="2299" width="21" style="615" bestFit="1" customWidth="1"/>
    <col min="2300" max="2300" width="18.5" style="615" bestFit="1" customWidth="1"/>
    <col min="2301" max="2301" width="21.33203125" style="615" bestFit="1" customWidth="1"/>
    <col min="2302" max="2302" width="16.83203125" style="615" bestFit="1" customWidth="1"/>
    <col min="2303" max="2305" width="18.5" style="615" bestFit="1" customWidth="1"/>
    <col min="2306" max="2306" width="19.83203125" style="615" bestFit="1" customWidth="1"/>
    <col min="2307" max="2309" width="0" style="615" hidden="1" customWidth="1"/>
    <col min="2310" max="2310" width="18.1640625" style="615" bestFit="1" customWidth="1"/>
    <col min="2311" max="2311" width="19.1640625" style="615" customWidth="1"/>
    <col min="2312" max="2312" width="18.5" style="615" customWidth="1"/>
    <col min="2313" max="2313" width="15.5" style="615" bestFit="1" customWidth="1"/>
    <col min="2314" max="2314" width="18.5" style="615" bestFit="1" customWidth="1"/>
    <col min="2315" max="2315" width="18.1640625" style="615" bestFit="1" customWidth="1"/>
    <col min="2316" max="2316" width="19.83203125" style="615" bestFit="1" customWidth="1"/>
    <col min="2317" max="2317" width="21.33203125" style="615" bestFit="1" customWidth="1"/>
    <col min="2318" max="2318" width="22.5" style="615" bestFit="1" customWidth="1"/>
    <col min="2319" max="2319" width="32" style="615" customWidth="1"/>
    <col min="2320" max="2321" width="32.83203125" style="615" bestFit="1" customWidth="1"/>
    <col min="2322" max="2322" width="9.1640625" style="615"/>
    <col min="2323" max="2323" width="34.6640625" style="615" customWidth="1"/>
    <col min="2324" max="2547" width="9.1640625" style="615"/>
    <col min="2548" max="2548" width="6.83203125" style="615" customWidth="1"/>
    <col min="2549" max="2549" width="10.1640625" style="615" customWidth="1"/>
    <col min="2550" max="2550" width="32.33203125" style="615" customWidth="1"/>
    <col min="2551" max="2551" width="48.1640625" style="615" customWidth="1"/>
    <col min="2552" max="2552" width="22" style="615" bestFit="1" customWidth="1"/>
    <col min="2553" max="2553" width="19.83203125" style="615" bestFit="1" customWidth="1"/>
    <col min="2554" max="2554" width="21.33203125" style="615" customWidth="1"/>
    <col min="2555" max="2555" width="21" style="615" bestFit="1" customWidth="1"/>
    <col min="2556" max="2556" width="18.5" style="615" bestFit="1" customWidth="1"/>
    <col min="2557" max="2557" width="21.33203125" style="615" bestFit="1" customWidth="1"/>
    <col min="2558" max="2558" width="16.83203125" style="615" bestFit="1" customWidth="1"/>
    <col min="2559" max="2561" width="18.5" style="615" bestFit="1" customWidth="1"/>
    <col min="2562" max="2562" width="19.83203125" style="615" bestFit="1" customWidth="1"/>
    <col min="2563" max="2565" width="0" style="615" hidden="1" customWidth="1"/>
    <col min="2566" max="2566" width="18.1640625" style="615" bestFit="1" customWidth="1"/>
    <col min="2567" max="2567" width="19.1640625" style="615" customWidth="1"/>
    <col min="2568" max="2568" width="18.5" style="615" customWidth="1"/>
    <col min="2569" max="2569" width="15.5" style="615" bestFit="1" customWidth="1"/>
    <col min="2570" max="2570" width="18.5" style="615" bestFit="1" customWidth="1"/>
    <col min="2571" max="2571" width="18.1640625" style="615" bestFit="1" customWidth="1"/>
    <col min="2572" max="2572" width="19.83203125" style="615" bestFit="1" customWidth="1"/>
    <col min="2573" max="2573" width="21.33203125" style="615" bestFit="1" customWidth="1"/>
    <col min="2574" max="2574" width="22.5" style="615" bestFit="1" customWidth="1"/>
    <col min="2575" max="2575" width="32" style="615" customWidth="1"/>
    <col min="2576" max="2577" width="32.83203125" style="615" bestFit="1" customWidth="1"/>
    <col min="2578" max="2578" width="9.1640625" style="615"/>
    <col min="2579" max="2579" width="34.6640625" style="615" customWidth="1"/>
    <col min="2580" max="2803" width="9.1640625" style="615"/>
    <col min="2804" max="2804" width="6.83203125" style="615" customWidth="1"/>
    <col min="2805" max="2805" width="10.1640625" style="615" customWidth="1"/>
    <col min="2806" max="2806" width="32.33203125" style="615" customWidth="1"/>
    <col min="2807" max="2807" width="48.1640625" style="615" customWidth="1"/>
    <col min="2808" max="2808" width="22" style="615" bestFit="1" customWidth="1"/>
    <col min="2809" max="2809" width="19.83203125" style="615" bestFit="1" customWidth="1"/>
    <col min="2810" max="2810" width="21.33203125" style="615" customWidth="1"/>
    <col min="2811" max="2811" width="21" style="615" bestFit="1" customWidth="1"/>
    <col min="2812" max="2812" width="18.5" style="615" bestFit="1" customWidth="1"/>
    <col min="2813" max="2813" width="21.33203125" style="615" bestFit="1" customWidth="1"/>
    <col min="2814" max="2814" width="16.83203125" style="615" bestFit="1" customWidth="1"/>
    <col min="2815" max="2817" width="18.5" style="615" bestFit="1" customWidth="1"/>
    <col min="2818" max="2818" width="19.83203125" style="615" bestFit="1" customWidth="1"/>
    <col min="2819" max="2821" width="0" style="615" hidden="1" customWidth="1"/>
    <col min="2822" max="2822" width="18.1640625" style="615" bestFit="1" customWidth="1"/>
    <col min="2823" max="2823" width="19.1640625" style="615" customWidth="1"/>
    <col min="2824" max="2824" width="18.5" style="615" customWidth="1"/>
    <col min="2825" max="2825" width="15.5" style="615" bestFit="1" customWidth="1"/>
    <col min="2826" max="2826" width="18.5" style="615" bestFit="1" customWidth="1"/>
    <col min="2827" max="2827" width="18.1640625" style="615" bestFit="1" customWidth="1"/>
    <col min="2828" max="2828" width="19.83203125" style="615" bestFit="1" customWidth="1"/>
    <col min="2829" max="2829" width="21.33203125" style="615" bestFit="1" customWidth="1"/>
    <col min="2830" max="2830" width="22.5" style="615" bestFit="1" customWidth="1"/>
    <col min="2831" max="2831" width="32" style="615" customWidth="1"/>
    <col min="2832" max="2833" width="32.83203125" style="615" bestFit="1" customWidth="1"/>
    <col min="2834" max="2834" width="9.1640625" style="615"/>
    <col min="2835" max="2835" width="34.6640625" style="615" customWidth="1"/>
    <col min="2836" max="3059" width="9.1640625" style="615"/>
    <col min="3060" max="3060" width="6.83203125" style="615" customWidth="1"/>
    <col min="3061" max="3061" width="10.1640625" style="615" customWidth="1"/>
    <col min="3062" max="3062" width="32.33203125" style="615" customWidth="1"/>
    <col min="3063" max="3063" width="48.1640625" style="615" customWidth="1"/>
    <col min="3064" max="3064" width="22" style="615" bestFit="1" customWidth="1"/>
    <col min="3065" max="3065" width="19.83203125" style="615" bestFit="1" customWidth="1"/>
    <col min="3066" max="3066" width="21.33203125" style="615" customWidth="1"/>
    <col min="3067" max="3067" width="21" style="615" bestFit="1" customWidth="1"/>
    <col min="3068" max="3068" width="18.5" style="615" bestFit="1" customWidth="1"/>
    <col min="3069" max="3069" width="21.33203125" style="615" bestFit="1" customWidth="1"/>
    <col min="3070" max="3070" width="16.83203125" style="615" bestFit="1" customWidth="1"/>
    <col min="3071" max="3073" width="18.5" style="615" bestFit="1" customWidth="1"/>
    <col min="3074" max="3074" width="19.83203125" style="615" bestFit="1" customWidth="1"/>
    <col min="3075" max="3077" width="0" style="615" hidden="1" customWidth="1"/>
    <col min="3078" max="3078" width="18.1640625" style="615" bestFit="1" customWidth="1"/>
    <col min="3079" max="3079" width="19.1640625" style="615" customWidth="1"/>
    <col min="3080" max="3080" width="18.5" style="615" customWidth="1"/>
    <col min="3081" max="3081" width="15.5" style="615" bestFit="1" customWidth="1"/>
    <col min="3082" max="3082" width="18.5" style="615" bestFit="1" customWidth="1"/>
    <col min="3083" max="3083" width="18.1640625" style="615" bestFit="1" customWidth="1"/>
    <col min="3084" max="3084" width="19.83203125" style="615" bestFit="1" customWidth="1"/>
    <col min="3085" max="3085" width="21.33203125" style="615" bestFit="1" customWidth="1"/>
    <col min="3086" max="3086" width="22.5" style="615" bestFit="1" customWidth="1"/>
    <col min="3087" max="3087" width="32" style="615" customWidth="1"/>
    <col min="3088" max="3089" width="32.83203125" style="615" bestFit="1" customWidth="1"/>
    <col min="3090" max="3090" width="9.1640625" style="615"/>
    <col min="3091" max="3091" width="34.6640625" style="615" customWidth="1"/>
    <col min="3092" max="3315" width="9.1640625" style="615"/>
    <col min="3316" max="3316" width="6.83203125" style="615" customWidth="1"/>
    <col min="3317" max="3317" width="10.1640625" style="615" customWidth="1"/>
    <col min="3318" max="3318" width="32.33203125" style="615" customWidth="1"/>
    <col min="3319" max="3319" width="48.1640625" style="615" customWidth="1"/>
    <col min="3320" max="3320" width="22" style="615" bestFit="1" customWidth="1"/>
    <col min="3321" max="3321" width="19.83203125" style="615" bestFit="1" customWidth="1"/>
    <col min="3322" max="3322" width="21.33203125" style="615" customWidth="1"/>
    <col min="3323" max="3323" width="21" style="615" bestFit="1" customWidth="1"/>
    <col min="3324" max="3324" width="18.5" style="615" bestFit="1" customWidth="1"/>
    <col min="3325" max="3325" width="21.33203125" style="615" bestFit="1" customWidth="1"/>
    <col min="3326" max="3326" width="16.83203125" style="615" bestFit="1" customWidth="1"/>
    <col min="3327" max="3329" width="18.5" style="615" bestFit="1" customWidth="1"/>
    <col min="3330" max="3330" width="19.83203125" style="615" bestFit="1" customWidth="1"/>
    <col min="3331" max="3333" width="0" style="615" hidden="1" customWidth="1"/>
    <col min="3334" max="3334" width="18.1640625" style="615" bestFit="1" customWidth="1"/>
    <col min="3335" max="3335" width="19.1640625" style="615" customWidth="1"/>
    <col min="3336" max="3336" width="18.5" style="615" customWidth="1"/>
    <col min="3337" max="3337" width="15.5" style="615" bestFit="1" customWidth="1"/>
    <col min="3338" max="3338" width="18.5" style="615" bestFit="1" customWidth="1"/>
    <col min="3339" max="3339" width="18.1640625" style="615" bestFit="1" customWidth="1"/>
    <col min="3340" max="3340" width="19.83203125" style="615" bestFit="1" customWidth="1"/>
    <col min="3341" max="3341" width="21.33203125" style="615" bestFit="1" customWidth="1"/>
    <col min="3342" max="3342" width="22.5" style="615" bestFit="1" customWidth="1"/>
    <col min="3343" max="3343" width="32" style="615" customWidth="1"/>
    <col min="3344" max="3345" width="32.83203125" style="615" bestFit="1" customWidth="1"/>
    <col min="3346" max="3346" width="9.1640625" style="615"/>
    <col min="3347" max="3347" width="34.6640625" style="615" customWidth="1"/>
    <col min="3348" max="3571" width="9.1640625" style="615"/>
    <col min="3572" max="3572" width="6.83203125" style="615" customWidth="1"/>
    <col min="3573" max="3573" width="10.1640625" style="615" customWidth="1"/>
    <col min="3574" max="3574" width="32.33203125" style="615" customWidth="1"/>
    <col min="3575" max="3575" width="48.1640625" style="615" customWidth="1"/>
    <col min="3576" max="3576" width="22" style="615" bestFit="1" customWidth="1"/>
    <col min="3577" max="3577" width="19.83203125" style="615" bestFit="1" customWidth="1"/>
    <col min="3578" max="3578" width="21.33203125" style="615" customWidth="1"/>
    <col min="3579" max="3579" width="21" style="615" bestFit="1" customWidth="1"/>
    <col min="3580" max="3580" width="18.5" style="615" bestFit="1" customWidth="1"/>
    <col min="3581" max="3581" width="21.33203125" style="615" bestFit="1" customWidth="1"/>
    <col min="3582" max="3582" width="16.83203125" style="615" bestFit="1" customWidth="1"/>
    <col min="3583" max="3585" width="18.5" style="615" bestFit="1" customWidth="1"/>
    <col min="3586" max="3586" width="19.83203125" style="615" bestFit="1" customWidth="1"/>
    <col min="3587" max="3589" width="0" style="615" hidden="1" customWidth="1"/>
    <col min="3590" max="3590" width="18.1640625" style="615" bestFit="1" customWidth="1"/>
    <col min="3591" max="3591" width="19.1640625" style="615" customWidth="1"/>
    <col min="3592" max="3592" width="18.5" style="615" customWidth="1"/>
    <col min="3593" max="3593" width="15.5" style="615" bestFit="1" customWidth="1"/>
    <col min="3594" max="3594" width="18.5" style="615" bestFit="1" customWidth="1"/>
    <col min="3595" max="3595" width="18.1640625" style="615" bestFit="1" customWidth="1"/>
    <col min="3596" max="3596" width="19.83203125" style="615" bestFit="1" customWidth="1"/>
    <col min="3597" max="3597" width="21.33203125" style="615" bestFit="1" customWidth="1"/>
    <col min="3598" max="3598" width="22.5" style="615" bestFit="1" customWidth="1"/>
    <col min="3599" max="3599" width="32" style="615" customWidth="1"/>
    <col min="3600" max="3601" width="32.83203125" style="615" bestFit="1" customWidth="1"/>
    <col min="3602" max="3602" width="9.1640625" style="615"/>
    <col min="3603" max="3603" width="34.6640625" style="615" customWidth="1"/>
    <col min="3604" max="3827" width="9.1640625" style="615"/>
    <col min="3828" max="3828" width="6.83203125" style="615" customWidth="1"/>
    <col min="3829" max="3829" width="10.1640625" style="615" customWidth="1"/>
    <col min="3830" max="3830" width="32.33203125" style="615" customWidth="1"/>
    <col min="3831" max="3831" width="48.1640625" style="615" customWidth="1"/>
    <col min="3832" max="3832" width="22" style="615" bestFit="1" customWidth="1"/>
    <col min="3833" max="3833" width="19.83203125" style="615" bestFit="1" customWidth="1"/>
    <col min="3834" max="3834" width="21.33203125" style="615" customWidth="1"/>
    <col min="3835" max="3835" width="21" style="615" bestFit="1" customWidth="1"/>
    <col min="3836" max="3836" width="18.5" style="615" bestFit="1" customWidth="1"/>
    <col min="3837" max="3837" width="21.33203125" style="615" bestFit="1" customWidth="1"/>
    <col min="3838" max="3838" width="16.83203125" style="615" bestFit="1" customWidth="1"/>
    <col min="3839" max="3841" width="18.5" style="615" bestFit="1" customWidth="1"/>
    <col min="3842" max="3842" width="19.83203125" style="615" bestFit="1" customWidth="1"/>
    <col min="3843" max="3845" width="0" style="615" hidden="1" customWidth="1"/>
    <col min="3846" max="3846" width="18.1640625" style="615" bestFit="1" customWidth="1"/>
    <col min="3847" max="3847" width="19.1640625" style="615" customWidth="1"/>
    <col min="3848" max="3848" width="18.5" style="615" customWidth="1"/>
    <col min="3849" max="3849" width="15.5" style="615" bestFit="1" customWidth="1"/>
    <col min="3850" max="3850" width="18.5" style="615" bestFit="1" customWidth="1"/>
    <col min="3851" max="3851" width="18.1640625" style="615" bestFit="1" customWidth="1"/>
    <col min="3852" max="3852" width="19.83203125" style="615" bestFit="1" customWidth="1"/>
    <col min="3853" max="3853" width="21.33203125" style="615" bestFit="1" customWidth="1"/>
    <col min="3854" max="3854" width="22.5" style="615" bestFit="1" customWidth="1"/>
    <col min="3855" max="3855" width="32" style="615" customWidth="1"/>
    <col min="3856" max="3857" width="32.83203125" style="615" bestFit="1" customWidth="1"/>
    <col min="3858" max="3858" width="9.1640625" style="615"/>
    <col min="3859" max="3859" width="34.6640625" style="615" customWidth="1"/>
    <col min="3860" max="4083" width="9.1640625" style="615"/>
    <col min="4084" max="4084" width="6.83203125" style="615" customWidth="1"/>
    <col min="4085" max="4085" width="10.1640625" style="615" customWidth="1"/>
    <col min="4086" max="4086" width="32.33203125" style="615" customWidth="1"/>
    <col min="4087" max="4087" width="48.1640625" style="615" customWidth="1"/>
    <col min="4088" max="4088" width="22" style="615" bestFit="1" customWidth="1"/>
    <col min="4089" max="4089" width="19.83203125" style="615" bestFit="1" customWidth="1"/>
    <col min="4090" max="4090" width="21.33203125" style="615" customWidth="1"/>
    <col min="4091" max="4091" width="21" style="615" bestFit="1" customWidth="1"/>
    <col min="4092" max="4092" width="18.5" style="615" bestFit="1" customWidth="1"/>
    <col min="4093" max="4093" width="21.33203125" style="615" bestFit="1" customWidth="1"/>
    <col min="4094" max="4094" width="16.83203125" style="615" bestFit="1" customWidth="1"/>
    <col min="4095" max="4097" width="18.5" style="615" bestFit="1" customWidth="1"/>
    <col min="4098" max="4098" width="19.83203125" style="615" bestFit="1" customWidth="1"/>
    <col min="4099" max="4101" width="0" style="615" hidden="1" customWidth="1"/>
    <col min="4102" max="4102" width="18.1640625" style="615" bestFit="1" customWidth="1"/>
    <col min="4103" max="4103" width="19.1640625" style="615" customWidth="1"/>
    <col min="4104" max="4104" width="18.5" style="615" customWidth="1"/>
    <col min="4105" max="4105" width="15.5" style="615" bestFit="1" customWidth="1"/>
    <col min="4106" max="4106" width="18.5" style="615" bestFit="1" customWidth="1"/>
    <col min="4107" max="4107" width="18.1640625" style="615" bestFit="1" customWidth="1"/>
    <col min="4108" max="4108" width="19.83203125" style="615" bestFit="1" customWidth="1"/>
    <col min="4109" max="4109" width="21.33203125" style="615" bestFit="1" customWidth="1"/>
    <col min="4110" max="4110" width="22.5" style="615" bestFit="1" customWidth="1"/>
    <col min="4111" max="4111" width="32" style="615" customWidth="1"/>
    <col min="4112" max="4113" width="32.83203125" style="615" bestFit="1" customWidth="1"/>
    <col min="4114" max="4114" width="9.1640625" style="615"/>
    <col min="4115" max="4115" width="34.6640625" style="615" customWidth="1"/>
    <col min="4116" max="4339" width="9.1640625" style="615"/>
    <col min="4340" max="4340" width="6.83203125" style="615" customWidth="1"/>
    <col min="4341" max="4341" width="10.1640625" style="615" customWidth="1"/>
    <col min="4342" max="4342" width="32.33203125" style="615" customWidth="1"/>
    <col min="4343" max="4343" width="48.1640625" style="615" customWidth="1"/>
    <col min="4344" max="4344" width="22" style="615" bestFit="1" customWidth="1"/>
    <col min="4345" max="4345" width="19.83203125" style="615" bestFit="1" customWidth="1"/>
    <col min="4346" max="4346" width="21.33203125" style="615" customWidth="1"/>
    <col min="4347" max="4347" width="21" style="615" bestFit="1" customWidth="1"/>
    <col min="4348" max="4348" width="18.5" style="615" bestFit="1" customWidth="1"/>
    <col min="4349" max="4349" width="21.33203125" style="615" bestFit="1" customWidth="1"/>
    <col min="4350" max="4350" width="16.83203125" style="615" bestFit="1" customWidth="1"/>
    <col min="4351" max="4353" width="18.5" style="615" bestFit="1" customWidth="1"/>
    <col min="4354" max="4354" width="19.83203125" style="615" bestFit="1" customWidth="1"/>
    <col min="4355" max="4357" width="0" style="615" hidden="1" customWidth="1"/>
    <col min="4358" max="4358" width="18.1640625" style="615" bestFit="1" customWidth="1"/>
    <col min="4359" max="4359" width="19.1640625" style="615" customWidth="1"/>
    <col min="4360" max="4360" width="18.5" style="615" customWidth="1"/>
    <col min="4361" max="4361" width="15.5" style="615" bestFit="1" customWidth="1"/>
    <col min="4362" max="4362" width="18.5" style="615" bestFit="1" customWidth="1"/>
    <col min="4363" max="4363" width="18.1640625" style="615" bestFit="1" customWidth="1"/>
    <col min="4364" max="4364" width="19.83203125" style="615" bestFit="1" customWidth="1"/>
    <col min="4365" max="4365" width="21.33203125" style="615" bestFit="1" customWidth="1"/>
    <col min="4366" max="4366" width="22.5" style="615" bestFit="1" customWidth="1"/>
    <col min="4367" max="4367" width="32" style="615" customWidth="1"/>
    <col min="4368" max="4369" width="32.83203125" style="615" bestFit="1" customWidth="1"/>
    <col min="4370" max="4370" width="9.1640625" style="615"/>
    <col min="4371" max="4371" width="34.6640625" style="615" customWidth="1"/>
    <col min="4372" max="4595" width="9.1640625" style="615"/>
    <col min="4596" max="4596" width="6.83203125" style="615" customWidth="1"/>
    <col min="4597" max="4597" width="10.1640625" style="615" customWidth="1"/>
    <col min="4598" max="4598" width="32.33203125" style="615" customWidth="1"/>
    <col min="4599" max="4599" width="48.1640625" style="615" customWidth="1"/>
    <col min="4600" max="4600" width="22" style="615" bestFit="1" customWidth="1"/>
    <col min="4601" max="4601" width="19.83203125" style="615" bestFit="1" customWidth="1"/>
    <col min="4602" max="4602" width="21.33203125" style="615" customWidth="1"/>
    <col min="4603" max="4603" width="21" style="615" bestFit="1" customWidth="1"/>
    <col min="4604" max="4604" width="18.5" style="615" bestFit="1" customWidth="1"/>
    <col min="4605" max="4605" width="21.33203125" style="615" bestFit="1" customWidth="1"/>
    <col min="4606" max="4606" width="16.83203125" style="615" bestFit="1" customWidth="1"/>
    <col min="4607" max="4609" width="18.5" style="615" bestFit="1" customWidth="1"/>
    <col min="4610" max="4610" width="19.83203125" style="615" bestFit="1" customWidth="1"/>
    <col min="4611" max="4613" width="0" style="615" hidden="1" customWidth="1"/>
    <col min="4614" max="4614" width="18.1640625" style="615" bestFit="1" customWidth="1"/>
    <col min="4615" max="4615" width="19.1640625" style="615" customWidth="1"/>
    <col min="4616" max="4616" width="18.5" style="615" customWidth="1"/>
    <col min="4617" max="4617" width="15.5" style="615" bestFit="1" customWidth="1"/>
    <col min="4618" max="4618" width="18.5" style="615" bestFit="1" customWidth="1"/>
    <col min="4619" max="4619" width="18.1640625" style="615" bestFit="1" customWidth="1"/>
    <col min="4620" max="4620" width="19.83203125" style="615" bestFit="1" customWidth="1"/>
    <col min="4621" max="4621" width="21.33203125" style="615" bestFit="1" customWidth="1"/>
    <col min="4622" max="4622" width="22.5" style="615" bestFit="1" customWidth="1"/>
    <col min="4623" max="4623" width="32" style="615" customWidth="1"/>
    <col min="4624" max="4625" width="32.83203125" style="615" bestFit="1" customWidth="1"/>
    <col min="4626" max="4626" width="9.1640625" style="615"/>
    <col min="4627" max="4627" width="34.6640625" style="615" customWidth="1"/>
    <col min="4628" max="4851" width="9.1640625" style="615"/>
    <col min="4852" max="4852" width="6.83203125" style="615" customWidth="1"/>
    <col min="4853" max="4853" width="10.1640625" style="615" customWidth="1"/>
    <col min="4854" max="4854" width="32.33203125" style="615" customWidth="1"/>
    <col min="4855" max="4855" width="48.1640625" style="615" customWidth="1"/>
    <col min="4856" max="4856" width="22" style="615" bestFit="1" customWidth="1"/>
    <col min="4857" max="4857" width="19.83203125" style="615" bestFit="1" customWidth="1"/>
    <col min="4858" max="4858" width="21.33203125" style="615" customWidth="1"/>
    <col min="4859" max="4859" width="21" style="615" bestFit="1" customWidth="1"/>
    <col min="4860" max="4860" width="18.5" style="615" bestFit="1" customWidth="1"/>
    <col min="4861" max="4861" width="21.33203125" style="615" bestFit="1" customWidth="1"/>
    <col min="4862" max="4862" width="16.83203125" style="615" bestFit="1" customWidth="1"/>
    <col min="4863" max="4865" width="18.5" style="615" bestFit="1" customWidth="1"/>
    <col min="4866" max="4866" width="19.83203125" style="615" bestFit="1" customWidth="1"/>
    <col min="4867" max="4869" width="0" style="615" hidden="1" customWidth="1"/>
    <col min="4870" max="4870" width="18.1640625" style="615" bestFit="1" customWidth="1"/>
    <col min="4871" max="4871" width="19.1640625" style="615" customWidth="1"/>
    <col min="4872" max="4872" width="18.5" style="615" customWidth="1"/>
    <col min="4873" max="4873" width="15.5" style="615" bestFit="1" customWidth="1"/>
    <col min="4874" max="4874" width="18.5" style="615" bestFit="1" customWidth="1"/>
    <col min="4875" max="4875" width="18.1640625" style="615" bestFit="1" customWidth="1"/>
    <col min="4876" max="4876" width="19.83203125" style="615" bestFit="1" customWidth="1"/>
    <col min="4877" max="4877" width="21.33203125" style="615" bestFit="1" customWidth="1"/>
    <col min="4878" max="4878" width="22.5" style="615" bestFit="1" customWidth="1"/>
    <col min="4879" max="4879" width="32" style="615" customWidth="1"/>
    <col min="4880" max="4881" width="32.83203125" style="615" bestFit="1" customWidth="1"/>
    <col min="4882" max="4882" width="9.1640625" style="615"/>
    <col min="4883" max="4883" width="34.6640625" style="615" customWidth="1"/>
    <col min="4884" max="5107" width="9.1640625" style="615"/>
    <col min="5108" max="5108" width="6.83203125" style="615" customWidth="1"/>
    <col min="5109" max="5109" width="10.1640625" style="615" customWidth="1"/>
    <col min="5110" max="5110" width="32.33203125" style="615" customWidth="1"/>
    <col min="5111" max="5111" width="48.1640625" style="615" customWidth="1"/>
    <col min="5112" max="5112" width="22" style="615" bestFit="1" customWidth="1"/>
    <col min="5113" max="5113" width="19.83203125" style="615" bestFit="1" customWidth="1"/>
    <col min="5114" max="5114" width="21.33203125" style="615" customWidth="1"/>
    <col min="5115" max="5115" width="21" style="615" bestFit="1" customWidth="1"/>
    <col min="5116" max="5116" width="18.5" style="615" bestFit="1" customWidth="1"/>
    <col min="5117" max="5117" width="21.33203125" style="615" bestFit="1" customWidth="1"/>
    <col min="5118" max="5118" width="16.83203125" style="615" bestFit="1" customWidth="1"/>
    <col min="5119" max="5121" width="18.5" style="615" bestFit="1" customWidth="1"/>
    <col min="5122" max="5122" width="19.83203125" style="615" bestFit="1" customWidth="1"/>
    <col min="5123" max="5125" width="0" style="615" hidden="1" customWidth="1"/>
    <col min="5126" max="5126" width="18.1640625" style="615" bestFit="1" customWidth="1"/>
    <col min="5127" max="5127" width="19.1640625" style="615" customWidth="1"/>
    <col min="5128" max="5128" width="18.5" style="615" customWidth="1"/>
    <col min="5129" max="5129" width="15.5" style="615" bestFit="1" customWidth="1"/>
    <col min="5130" max="5130" width="18.5" style="615" bestFit="1" customWidth="1"/>
    <col min="5131" max="5131" width="18.1640625" style="615" bestFit="1" customWidth="1"/>
    <col min="5132" max="5132" width="19.83203125" style="615" bestFit="1" customWidth="1"/>
    <col min="5133" max="5133" width="21.33203125" style="615" bestFit="1" customWidth="1"/>
    <col min="5134" max="5134" width="22.5" style="615" bestFit="1" customWidth="1"/>
    <col min="5135" max="5135" width="32" style="615" customWidth="1"/>
    <col min="5136" max="5137" width="32.83203125" style="615" bestFit="1" customWidth="1"/>
    <col min="5138" max="5138" width="9.1640625" style="615"/>
    <col min="5139" max="5139" width="34.6640625" style="615" customWidth="1"/>
    <col min="5140" max="5363" width="9.1640625" style="615"/>
    <col min="5364" max="5364" width="6.83203125" style="615" customWidth="1"/>
    <col min="5365" max="5365" width="10.1640625" style="615" customWidth="1"/>
    <col min="5366" max="5366" width="32.33203125" style="615" customWidth="1"/>
    <col min="5367" max="5367" width="48.1640625" style="615" customWidth="1"/>
    <col min="5368" max="5368" width="22" style="615" bestFit="1" customWidth="1"/>
    <col min="5369" max="5369" width="19.83203125" style="615" bestFit="1" customWidth="1"/>
    <col min="5370" max="5370" width="21.33203125" style="615" customWidth="1"/>
    <col min="5371" max="5371" width="21" style="615" bestFit="1" customWidth="1"/>
    <col min="5372" max="5372" width="18.5" style="615" bestFit="1" customWidth="1"/>
    <col min="5373" max="5373" width="21.33203125" style="615" bestFit="1" customWidth="1"/>
    <col min="5374" max="5374" width="16.83203125" style="615" bestFit="1" customWidth="1"/>
    <col min="5375" max="5377" width="18.5" style="615" bestFit="1" customWidth="1"/>
    <col min="5378" max="5378" width="19.83203125" style="615" bestFit="1" customWidth="1"/>
    <col min="5379" max="5381" width="0" style="615" hidden="1" customWidth="1"/>
    <col min="5382" max="5382" width="18.1640625" style="615" bestFit="1" customWidth="1"/>
    <col min="5383" max="5383" width="19.1640625" style="615" customWidth="1"/>
    <col min="5384" max="5384" width="18.5" style="615" customWidth="1"/>
    <col min="5385" max="5385" width="15.5" style="615" bestFit="1" customWidth="1"/>
    <col min="5386" max="5386" width="18.5" style="615" bestFit="1" customWidth="1"/>
    <col min="5387" max="5387" width="18.1640625" style="615" bestFit="1" customWidth="1"/>
    <col min="5388" max="5388" width="19.83203125" style="615" bestFit="1" customWidth="1"/>
    <col min="5389" max="5389" width="21.33203125" style="615" bestFit="1" customWidth="1"/>
    <col min="5390" max="5390" width="22.5" style="615" bestFit="1" customWidth="1"/>
    <col min="5391" max="5391" width="32" style="615" customWidth="1"/>
    <col min="5392" max="5393" width="32.83203125" style="615" bestFit="1" customWidth="1"/>
    <col min="5394" max="5394" width="9.1640625" style="615"/>
    <col min="5395" max="5395" width="34.6640625" style="615" customWidth="1"/>
    <col min="5396" max="5619" width="9.1640625" style="615"/>
    <col min="5620" max="5620" width="6.83203125" style="615" customWidth="1"/>
    <col min="5621" max="5621" width="10.1640625" style="615" customWidth="1"/>
    <col min="5622" max="5622" width="32.33203125" style="615" customWidth="1"/>
    <col min="5623" max="5623" width="48.1640625" style="615" customWidth="1"/>
    <col min="5624" max="5624" width="22" style="615" bestFit="1" customWidth="1"/>
    <col min="5625" max="5625" width="19.83203125" style="615" bestFit="1" customWidth="1"/>
    <col min="5626" max="5626" width="21.33203125" style="615" customWidth="1"/>
    <col min="5627" max="5627" width="21" style="615" bestFit="1" customWidth="1"/>
    <col min="5628" max="5628" width="18.5" style="615" bestFit="1" customWidth="1"/>
    <col min="5629" max="5629" width="21.33203125" style="615" bestFit="1" customWidth="1"/>
    <col min="5630" max="5630" width="16.83203125" style="615" bestFit="1" customWidth="1"/>
    <col min="5631" max="5633" width="18.5" style="615" bestFit="1" customWidth="1"/>
    <col min="5634" max="5634" width="19.83203125" style="615" bestFit="1" customWidth="1"/>
    <col min="5635" max="5637" width="0" style="615" hidden="1" customWidth="1"/>
    <col min="5638" max="5638" width="18.1640625" style="615" bestFit="1" customWidth="1"/>
    <col min="5639" max="5639" width="19.1640625" style="615" customWidth="1"/>
    <col min="5640" max="5640" width="18.5" style="615" customWidth="1"/>
    <col min="5641" max="5641" width="15.5" style="615" bestFit="1" customWidth="1"/>
    <col min="5642" max="5642" width="18.5" style="615" bestFit="1" customWidth="1"/>
    <col min="5643" max="5643" width="18.1640625" style="615" bestFit="1" customWidth="1"/>
    <col min="5644" max="5644" width="19.83203125" style="615" bestFit="1" customWidth="1"/>
    <col min="5645" max="5645" width="21.33203125" style="615" bestFit="1" customWidth="1"/>
    <col min="5646" max="5646" width="22.5" style="615" bestFit="1" customWidth="1"/>
    <col min="5647" max="5647" width="32" style="615" customWidth="1"/>
    <col min="5648" max="5649" width="32.83203125" style="615" bestFit="1" customWidth="1"/>
    <col min="5650" max="5650" width="9.1640625" style="615"/>
    <col min="5651" max="5651" width="34.6640625" style="615" customWidth="1"/>
    <col min="5652" max="5875" width="9.1640625" style="615"/>
    <col min="5876" max="5876" width="6.83203125" style="615" customWidth="1"/>
    <col min="5877" max="5877" width="10.1640625" style="615" customWidth="1"/>
    <col min="5878" max="5878" width="32.33203125" style="615" customWidth="1"/>
    <col min="5879" max="5879" width="48.1640625" style="615" customWidth="1"/>
    <col min="5880" max="5880" width="22" style="615" bestFit="1" customWidth="1"/>
    <col min="5881" max="5881" width="19.83203125" style="615" bestFit="1" customWidth="1"/>
    <col min="5882" max="5882" width="21.33203125" style="615" customWidth="1"/>
    <col min="5883" max="5883" width="21" style="615" bestFit="1" customWidth="1"/>
    <col min="5884" max="5884" width="18.5" style="615" bestFit="1" customWidth="1"/>
    <col min="5885" max="5885" width="21.33203125" style="615" bestFit="1" customWidth="1"/>
    <col min="5886" max="5886" width="16.83203125" style="615" bestFit="1" customWidth="1"/>
    <col min="5887" max="5889" width="18.5" style="615" bestFit="1" customWidth="1"/>
    <col min="5890" max="5890" width="19.83203125" style="615" bestFit="1" customWidth="1"/>
    <col min="5891" max="5893" width="0" style="615" hidden="1" customWidth="1"/>
    <col min="5894" max="5894" width="18.1640625" style="615" bestFit="1" customWidth="1"/>
    <col min="5895" max="5895" width="19.1640625" style="615" customWidth="1"/>
    <col min="5896" max="5896" width="18.5" style="615" customWidth="1"/>
    <col min="5897" max="5897" width="15.5" style="615" bestFit="1" customWidth="1"/>
    <col min="5898" max="5898" width="18.5" style="615" bestFit="1" customWidth="1"/>
    <col min="5899" max="5899" width="18.1640625" style="615" bestFit="1" customWidth="1"/>
    <col min="5900" max="5900" width="19.83203125" style="615" bestFit="1" customWidth="1"/>
    <col min="5901" max="5901" width="21.33203125" style="615" bestFit="1" customWidth="1"/>
    <col min="5902" max="5902" width="22.5" style="615" bestFit="1" customWidth="1"/>
    <col min="5903" max="5903" width="32" style="615" customWidth="1"/>
    <col min="5904" max="5905" width="32.83203125" style="615" bestFit="1" customWidth="1"/>
    <col min="5906" max="5906" width="9.1640625" style="615"/>
    <col min="5907" max="5907" width="34.6640625" style="615" customWidth="1"/>
    <col min="5908" max="6131" width="9.1640625" style="615"/>
    <col min="6132" max="6132" width="6.83203125" style="615" customWidth="1"/>
    <col min="6133" max="6133" width="10.1640625" style="615" customWidth="1"/>
    <col min="6134" max="6134" width="32.33203125" style="615" customWidth="1"/>
    <col min="6135" max="6135" width="48.1640625" style="615" customWidth="1"/>
    <col min="6136" max="6136" width="22" style="615" bestFit="1" customWidth="1"/>
    <col min="6137" max="6137" width="19.83203125" style="615" bestFit="1" customWidth="1"/>
    <col min="6138" max="6138" width="21.33203125" style="615" customWidth="1"/>
    <col min="6139" max="6139" width="21" style="615" bestFit="1" customWidth="1"/>
    <col min="6140" max="6140" width="18.5" style="615" bestFit="1" customWidth="1"/>
    <col min="6141" max="6141" width="21.33203125" style="615" bestFit="1" customWidth="1"/>
    <col min="6142" max="6142" width="16.83203125" style="615" bestFit="1" customWidth="1"/>
    <col min="6143" max="6145" width="18.5" style="615" bestFit="1" customWidth="1"/>
    <col min="6146" max="6146" width="19.83203125" style="615" bestFit="1" customWidth="1"/>
    <col min="6147" max="6149" width="0" style="615" hidden="1" customWidth="1"/>
    <col min="6150" max="6150" width="18.1640625" style="615" bestFit="1" customWidth="1"/>
    <col min="6151" max="6151" width="19.1640625" style="615" customWidth="1"/>
    <col min="6152" max="6152" width="18.5" style="615" customWidth="1"/>
    <col min="6153" max="6153" width="15.5" style="615" bestFit="1" customWidth="1"/>
    <col min="6154" max="6154" width="18.5" style="615" bestFit="1" customWidth="1"/>
    <col min="6155" max="6155" width="18.1640625" style="615" bestFit="1" customWidth="1"/>
    <col min="6156" max="6156" width="19.83203125" style="615" bestFit="1" customWidth="1"/>
    <col min="6157" max="6157" width="21.33203125" style="615" bestFit="1" customWidth="1"/>
    <col min="6158" max="6158" width="22.5" style="615" bestFit="1" customWidth="1"/>
    <col min="6159" max="6159" width="32" style="615" customWidth="1"/>
    <col min="6160" max="6161" width="32.83203125" style="615" bestFit="1" customWidth="1"/>
    <col min="6162" max="6162" width="9.1640625" style="615"/>
    <col min="6163" max="6163" width="34.6640625" style="615" customWidth="1"/>
    <col min="6164" max="6387" width="9.1640625" style="615"/>
    <col min="6388" max="6388" width="6.83203125" style="615" customWidth="1"/>
    <col min="6389" max="6389" width="10.1640625" style="615" customWidth="1"/>
    <col min="6390" max="6390" width="32.33203125" style="615" customWidth="1"/>
    <col min="6391" max="6391" width="48.1640625" style="615" customWidth="1"/>
    <col min="6392" max="6392" width="22" style="615" bestFit="1" customWidth="1"/>
    <col min="6393" max="6393" width="19.83203125" style="615" bestFit="1" customWidth="1"/>
    <col min="6394" max="6394" width="21.33203125" style="615" customWidth="1"/>
    <col min="6395" max="6395" width="21" style="615" bestFit="1" customWidth="1"/>
    <col min="6396" max="6396" width="18.5" style="615" bestFit="1" customWidth="1"/>
    <col min="6397" max="6397" width="21.33203125" style="615" bestFit="1" customWidth="1"/>
    <col min="6398" max="6398" width="16.83203125" style="615" bestFit="1" customWidth="1"/>
    <col min="6399" max="6401" width="18.5" style="615" bestFit="1" customWidth="1"/>
    <col min="6402" max="6402" width="19.83203125" style="615" bestFit="1" customWidth="1"/>
    <col min="6403" max="6405" width="0" style="615" hidden="1" customWidth="1"/>
    <col min="6406" max="6406" width="18.1640625" style="615" bestFit="1" customWidth="1"/>
    <col min="6407" max="6407" width="19.1640625" style="615" customWidth="1"/>
    <col min="6408" max="6408" width="18.5" style="615" customWidth="1"/>
    <col min="6409" max="6409" width="15.5" style="615" bestFit="1" customWidth="1"/>
    <col min="6410" max="6410" width="18.5" style="615" bestFit="1" customWidth="1"/>
    <col min="6411" max="6411" width="18.1640625" style="615" bestFit="1" customWidth="1"/>
    <col min="6412" max="6412" width="19.83203125" style="615" bestFit="1" customWidth="1"/>
    <col min="6413" max="6413" width="21.33203125" style="615" bestFit="1" customWidth="1"/>
    <col min="6414" max="6414" width="22.5" style="615" bestFit="1" customWidth="1"/>
    <col min="6415" max="6415" width="32" style="615" customWidth="1"/>
    <col min="6416" max="6417" width="32.83203125" style="615" bestFit="1" customWidth="1"/>
    <col min="6418" max="6418" width="9.1640625" style="615"/>
    <col min="6419" max="6419" width="34.6640625" style="615" customWidth="1"/>
    <col min="6420" max="6643" width="9.1640625" style="615"/>
    <col min="6644" max="6644" width="6.83203125" style="615" customWidth="1"/>
    <col min="6645" max="6645" width="10.1640625" style="615" customWidth="1"/>
    <col min="6646" max="6646" width="32.33203125" style="615" customWidth="1"/>
    <col min="6647" max="6647" width="48.1640625" style="615" customWidth="1"/>
    <col min="6648" max="6648" width="22" style="615" bestFit="1" customWidth="1"/>
    <col min="6649" max="6649" width="19.83203125" style="615" bestFit="1" customWidth="1"/>
    <col min="6650" max="6650" width="21.33203125" style="615" customWidth="1"/>
    <col min="6651" max="6651" width="21" style="615" bestFit="1" customWidth="1"/>
    <col min="6652" max="6652" width="18.5" style="615" bestFit="1" customWidth="1"/>
    <col min="6653" max="6653" width="21.33203125" style="615" bestFit="1" customWidth="1"/>
    <col min="6654" max="6654" width="16.83203125" style="615" bestFit="1" customWidth="1"/>
    <col min="6655" max="6657" width="18.5" style="615" bestFit="1" customWidth="1"/>
    <col min="6658" max="6658" width="19.83203125" style="615" bestFit="1" customWidth="1"/>
    <col min="6659" max="6661" width="0" style="615" hidden="1" customWidth="1"/>
    <col min="6662" max="6662" width="18.1640625" style="615" bestFit="1" customWidth="1"/>
    <col min="6663" max="6663" width="19.1640625" style="615" customWidth="1"/>
    <col min="6664" max="6664" width="18.5" style="615" customWidth="1"/>
    <col min="6665" max="6665" width="15.5" style="615" bestFit="1" customWidth="1"/>
    <col min="6666" max="6666" width="18.5" style="615" bestFit="1" customWidth="1"/>
    <col min="6667" max="6667" width="18.1640625" style="615" bestFit="1" customWidth="1"/>
    <col min="6668" max="6668" width="19.83203125" style="615" bestFit="1" customWidth="1"/>
    <col min="6669" max="6669" width="21.33203125" style="615" bestFit="1" customWidth="1"/>
    <col min="6670" max="6670" width="22.5" style="615" bestFit="1" customWidth="1"/>
    <col min="6671" max="6671" width="32" style="615" customWidth="1"/>
    <col min="6672" max="6673" width="32.83203125" style="615" bestFit="1" customWidth="1"/>
    <col min="6674" max="6674" width="9.1640625" style="615"/>
    <col min="6675" max="6675" width="34.6640625" style="615" customWidth="1"/>
    <col min="6676" max="6899" width="9.1640625" style="615"/>
    <col min="6900" max="6900" width="6.83203125" style="615" customWidth="1"/>
    <col min="6901" max="6901" width="10.1640625" style="615" customWidth="1"/>
    <col min="6902" max="6902" width="32.33203125" style="615" customWidth="1"/>
    <col min="6903" max="6903" width="48.1640625" style="615" customWidth="1"/>
    <col min="6904" max="6904" width="22" style="615" bestFit="1" customWidth="1"/>
    <col min="6905" max="6905" width="19.83203125" style="615" bestFit="1" customWidth="1"/>
    <col min="6906" max="6906" width="21.33203125" style="615" customWidth="1"/>
    <col min="6907" max="6907" width="21" style="615" bestFit="1" customWidth="1"/>
    <col min="6908" max="6908" width="18.5" style="615" bestFit="1" customWidth="1"/>
    <col min="6909" max="6909" width="21.33203125" style="615" bestFit="1" customWidth="1"/>
    <col min="6910" max="6910" width="16.83203125" style="615" bestFit="1" customWidth="1"/>
    <col min="6911" max="6913" width="18.5" style="615" bestFit="1" customWidth="1"/>
    <col min="6914" max="6914" width="19.83203125" style="615" bestFit="1" customWidth="1"/>
    <col min="6915" max="6917" width="0" style="615" hidden="1" customWidth="1"/>
    <col min="6918" max="6918" width="18.1640625" style="615" bestFit="1" customWidth="1"/>
    <col min="6919" max="6919" width="19.1640625" style="615" customWidth="1"/>
    <col min="6920" max="6920" width="18.5" style="615" customWidth="1"/>
    <col min="6921" max="6921" width="15.5" style="615" bestFit="1" customWidth="1"/>
    <col min="6922" max="6922" width="18.5" style="615" bestFit="1" customWidth="1"/>
    <col min="6923" max="6923" width="18.1640625" style="615" bestFit="1" customWidth="1"/>
    <col min="6924" max="6924" width="19.83203125" style="615" bestFit="1" customWidth="1"/>
    <col min="6925" max="6925" width="21.33203125" style="615" bestFit="1" customWidth="1"/>
    <col min="6926" max="6926" width="22.5" style="615" bestFit="1" customWidth="1"/>
    <col min="6927" max="6927" width="32" style="615" customWidth="1"/>
    <col min="6928" max="6929" width="32.83203125" style="615" bestFit="1" customWidth="1"/>
    <col min="6930" max="6930" width="9.1640625" style="615"/>
    <col min="6931" max="6931" width="34.6640625" style="615" customWidth="1"/>
    <col min="6932" max="7155" width="9.1640625" style="615"/>
    <col min="7156" max="7156" width="6.83203125" style="615" customWidth="1"/>
    <col min="7157" max="7157" width="10.1640625" style="615" customWidth="1"/>
    <col min="7158" max="7158" width="32.33203125" style="615" customWidth="1"/>
    <col min="7159" max="7159" width="48.1640625" style="615" customWidth="1"/>
    <col min="7160" max="7160" width="22" style="615" bestFit="1" customWidth="1"/>
    <col min="7161" max="7161" width="19.83203125" style="615" bestFit="1" customWidth="1"/>
    <col min="7162" max="7162" width="21.33203125" style="615" customWidth="1"/>
    <col min="7163" max="7163" width="21" style="615" bestFit="1" customWidth="1"/>
    <col min="7164" max="7164" width="18.5" style="615" bestFit="1" customWidth="1"/>
    <col min="7165" max="7165" width="21.33203125" style="615" bestFit="1" customWidth="1"/>
    <col min="7166" max="7166" width="16.83203125" style="615" bestFit="1" customWidth="1"/>
    <col min="7167" max="7169" width="18.5" style="615" bestFit="1" customWidth="1"/>
    <col min="7170" max="7170" width="19.83203125" style="615" bestFit="1" customWidth="1"/>
    <col min="7171" max="7173" width="0" style="615" hidden="1" customWidth="1"/>
    <col min="7174" max="7174" width="18.1640625" style="615" bestFit="1" customWidth="1"/>
    <col min="7175" max="7175" width="19.1640625" style="615" customWidth="1"/>
    <col min="7176" max="7176" width="18.5" style="615" customWidth="1"/>
    <col min="7177" max="7177" width="15.5" style="615" bestFit="1" customWidth="1"/>
    <col min="7178" max="7178" width="18.5" style="615" bestFit="1" customWidth="1"/>
    <col min="7179" max="7179" width="18.1640625" style="615" bestFit="1" customWidth="1"/>
    <col min="7180" max="7180" width="19.83203125" style="615" bestFit="1" customWidth="1"/>
    <col min="7181" max="7181" width="21.33203125" style="615" bestFit="1" customWidth="1"/>
    <col min="7182" max="7182" width="22.5" style="615" bestFit="1" customWidth="1"/>
    <col min="7183" max="7183" width="32" style="615" customWidth="1"/>
    <col min="7184" max="7185" width="32.83203125" style="615" bestFit="1" customWidth="1"/>
    <col min="7186" max="7186" width="9.1640625" style="615"/>
    <col min="7187" max="7187" width="34.6640625" style="615" customWidth="1"/>
    <col min="7188" max="7411" width="9.1640625" style="615"/>
    <col min="7412" max="7412" width="6.83203125" style="615" customWidth="1"/>
    <col min="7413" max="7413" width="10.1640625" style="615" customWidth="1"/>
    <col min="7414" max="7414" width="32.33203125" style="615" customWidth="1"/>
    <col min="7415" max="7415" width="48.1640625" style="615" customWidth="1"/>
    <col min="7416" max="7416" width="22" style="615" bestFit="1" customWidth="1"/>
    <col min="7417" max="7417" width="19.83203125" style="615" bestFit="1" customWidth="1"/>
    <col min="7418" max="7418" width="21.33203125" style="615" customWidth="1"/>
    <col min="7419" max="7419" width="21" style="615" bestFit="1" customWidth="1"/>
    <col min="7420" max="7420" width="18.5" style="615" bestFit="1" customWidth="1"/>
    <col min="7421" max="7421" width="21.33203125" style="615" bestFit="1" customWidth="1"/>
    <col min="7422" max="7422" width="16.83203125" style="615" bestFit="1" customWidth="1"/>
    <col min="7423" max="7425" width="18.5" style="615" bestFit="1" customWidth="1"/>
    <col min="7426" max="7426" width="19.83203125" style="615" bestFit="1" customWidth="1"/>
    <col min="7427" max="7429" width="0" style="615" hidden="1" customWidth="1"/>
    <col min="7430" max="7430" width="18.1640625" style="615" bestFit="1" customWidth="1"/>
    <col min="7431" max="7431" width="19.1640625" style="615" customWidth="1"/>
    <col min="7432" max="7432" width="18.5" style="615" customWidth="1"/>
    <col min="7433" max="7433" width="15.5" style="615" bestFit="1" customWidth="1"/>
    <col min="7434" max="7434" width="18.5" style="615" bestFit="1" customWidth="1"/>
    <col min="7435" max="7435" width="18.1640625" style="615" bestFit="1" customWidth="1"/>
    <col min="7436" max="7436" width="19.83203125" style="615" bestFit="1" customWidth="1"/>
    <col min="7437" max="7437" width="21.33203125" style="615" bestFit="1" customWidth="1"/>
    <col min="7438" max="7438" width="22.5" style="615" bestFit="1" customWidth="1"/>
    <col min="7439" max="7439" width="32" style="615" customWidth="1"/>
    <col min="7440" max="7441" width="32.83203125" style="615" bestFit="1" customWidth="1"/>
    <col min="7442" max="7442" width="9.1640625" style="615"/>
    <col min="7443" max="7443" width="34.6640625" style="615" customWidth="1"/>
    <col min="7444" max="7667" width="9.1640625" style="615"/>
    <col min="7668" max="7668" width="6.83203125" style="615" customWidth="1"/>
    <col min="7669" max="7669" width="10.1640625" style="615" customWidth="1"/>
    <col min="7670" max="7670" width="32.33203125" style="615" customWidth="1"/>
    <col min="7671" max="7671" width="48.1640625" style="615" customWidth="1"/>
    <col min="7672" max="7672" width="22" style="615" bestFit="1" customWidth="1"/>
    <col min="7673" max="7673" width="19.83203125" style="615" bestFit="1" customWidth="1"/>
    <col min="7674" max="7674" width="21.33203125" style="615" customWidth="1"/>
    <col min="7675" max="7675" width="21" style="615" bestFit="1" customWidth="1"/>
    <col min="7676" max="7676" width="18.5" style="615" bestFit="1" customWidth="1"/>
    <col min="7677" max="7677" width="21.33203125" style="615" bestFit="1" customWidth="1"/>
    <col min="7678" max="7678" width="16.83203125" style="615" bestFit="1" customWidth="1"/>
    <col min="7679" max="7681" width="18.5" style="615" bestFit="1" customWidth="1"/>
    <col min="7682" max="7682" width="19.83203125" style="615" bestFit="1" customWidth="1"/>
    <col min="7683" max="7685" width="0" style="615" hidden="1" customWidth="1"/>
    <col min="7686" max="7686" width="18.1640625" style="615" bestFit="1" customWidth="1"/>
    <col min="7687" max="7687" width="19.1640625" style="615" customWidth="1"/>
    <col min="7688" max="7688" width="18.5" style="615" customWidth="1"/>
    <col min="7689" max="7689" width="15.5" style="615" bestFit="1" customWidth="1"/>
    <col min="7690" max="7690" width="18.5" style="615" bestFit="1" customWidth="1"/>
    <col min="7691" max="7691" width="18.1640625" style="615" bestFit="1" customWidth="1"/>
    <col min="7692" max="7692" width="19.83203125" style="615" bestFit="1" customWidth="1"/>
    <col min="7693" max="7693" width="21.33203125" style="615" bestFit="1" customWidth="1"/>
    <col min="7694" max="7694" width="22.5" style="615" bestFit="1" customWidth="1"/>
    <col min="7695" max="7695" width="32" style="615" customWidth="1"/>
    <col min="7696" max="7697" width="32.83203125" style="615" bestFit="1" customWidth="1"/>
    <col min="7698" max="7698" width="9.1640625" style="615"/>
    <col min="7699" max="7699" width="34.6640625" style="615" customWidth="1"/>
    <col min="7700" max="7923" width="9.1640625" style="615"/>
    <col min="7924" max="7924" width="6.83203125" style="615" customWidth="1"/>
    <col min="7925" max="7925" width="10.1640625" style="615" customWidth="1"/>
    <col min="7926" max="7926" width="32.33203125" style="615" customWidth="1"/>
    <col min="7927" max="7927" width="48.1640625" style="615" customWidth="1"/>
    <col min="7928" max="7928" width="22" style="615" bestFit="1" customWidth="1"/>
    <col min="7929" max="7929" width="19.83203125" style="615" bestFit="1" customWidth="1"/>
    <col min="7930" max="7930" width="21.33203125" style="615" customWidth="1"/>
    <col min="7931" max="7931" width="21" style="615" bestFit="1" customWidth="1"/>
    <col min="7932" max="7932" width="18.5" style="615" bestFit="1" customWidth="1"/>
    <col min="7933" max="7933" width="21.33203125" style="615" bestFit="1" customWidth="1"/>
    <col min="7934" max="7934" width="16.83203125" style="615" bestFit="1" customWidth="1"/>
    <col min="7935" max="7937" width="18.5" style="615" bestFit="1" customWidth="1"/>
    <col min="7938" max="7938" width="19.83203125" style="615" bestFit="1" customWidth="1"/>
    <col min="7939" max="7941" width="0" style="615" hidden="1" customWidth="1"/>
    <col min="7942" max="7942" width="18.1640625" style="615" bestFit="1" customWidth="1"/>
    <col min="7943" max="7943" width="19.1640625" style="615" customWidth="1"/>
    <col min="7944" max="7944" width="18.5" style="615" customWidth="1"/>
    <col min="7945" max="7945" width="15.5" style="615" bestFit="1" customWidth="1"/>
    <col min="7946" max="7946" width="18.5" style="615" bestFit="1" customWidth="1"/>
    <col min="7947" max="7947" width="18.1640625" style="615" bestFit="1" customWidth="1"/>
    <col min="7948" max="7948" width="19.83203125" style="615" bestFit="1" customWidth="1"/>
    <col min="7949" max="7949" width="21.33203125" style="615" bestFit="1" customWidth="1"/>
    <col min="7950" max="7950" width="22.5" style="615" bestFit="1" customWidth="1"/>
    <col min="7951" max="7951" width="32" style="615" customWidth="1"/>
    <col min="7952" max="7953" width="32.83203125" style="615" bestFit="1" customWidth="1"/>
    <col min="7954" max="7954" width="9.1640625" style="615"/>
    <col min="7955" max="7955" width="34.6640625" style="615" customWidth="1"/>
    <col min="7956" max="8179" width="9.1640625" style="615"/>
    <col min="8180" max="8180" width="6.83203125" style="615" customWidth="1"/>
    <col min="8181" max="8181" width="10.1640625" style="615" customWidth="1"/>
    <col min="8182" max="8182" width="32.33203125" style="615" customWidth="1"/>
    <col min="8183" max="8183" width="48.1640625" style="615" customWidth="1"/>
    <col min="8184" max="8184" width="22" style="615" bestFit="1" customWidth="1"/>
    <col min="8185" max="8185" width="19.83203125" style="615" bestFit="1" customWidth="1"/>
    <col min="8186" max="8186" width="21.33203125" style="615" customWidth="1"/>
    <col min="8187" max="8187" width="21" style="615" bestFit="1" customWidth="1"/>
    <col min="8188" max="8188" width="18.5" style="615" bestFit="1" customWidth="1"/>
    <col min="8189" max="8189" width="21.33203125" style="615" bestFit="1" customWidth="1"/>
    <col min="8190" max="8190" width="16.83203125" style="615" bestFit="1" customWidth="1"/>
    <col min="8191" max="8193" width="18.5" style="615" bestFit="1" customWidth="1"/>
    <col min="8194" max="8194" width="19.83203125" style="615" bestFit="1" customWidth="1"/>
    <col min="8195" max="8197" width="0" style="615" hidden="1" customWidth="1"/>
    <col min="8198" max="8198" width="18.1640625" style="615" bestFit="1" customWidth="1"/>
    <col min="8199" max="8199" width="19.1640625" style="615" customWidth="1"/>
    <col min="8200" max="8200" width="18.5" style="615" customWidth="1"/>
    <col min="8201" max="8201" width="15.5" style="615" bestFit="1" customWidth="1"/>
    <col min="8202" max="8202" width="18.5" style="615" bestFit="1" customWidth="1"/>
    <col min="8203" max="8203" width="18.1640625" style="615" bestFit="1" customWidth="1"/>
    <col min="8204" max="8204" width="19.83203125" style="615" bestFit="1" customWidth="1"/>
    <col min="8205" max="8205" width="21.33203125" style="615" bestFit="1" customWidth="1"/>
    <col min="8206" max="8206" width="22.5" style="615" bestFit="1" customWidth="1"/>
    <col min="8207" max="8207" width="32" style="615" customWidth="1"/>
    <col min="8208" max="8209" width="32.83203125" style="615" bestFit="1" customWidth="1"/>
    <col min="8210" max="8210" width="9.1640625" style="615"/>
    <col min="8211" max="8211" width="34.6640625" style="615" customWidth="1"/>
    <col min="8212" max="8435" width="9.1640625" style="615"/>
    <col min="8436" max="8436" width="6.83203125" style="615" customWidth="1"/>
    <col min="8437" max="8437" width="10.1640625" style="615" customWidth="1"/>
    <col min="8438" max="8438" width="32.33203125" style="615" customWidth="1"/>
    <col min="8439" max="8439" width="48.1640625" style="615" customWidth="1"/>
    <col min="8440" max="8440" width="22" style="615" bestFit="1" customWidth="1"/>
    <col min="8441" max="8441" width="19.83203125" style="615" bestFit="1" customWidth="1"/>
    <col min="8442" max="8442" width="21.33203125" style="615" customWidth="1"/>
    <col min="8443" max="8443" width="21" style="615" bestFit="1" customWidth="1"/>
    <col min="8444" max="8444" width="18.5" style="615" bestFit="1" customWidth="1"/>
    <col min="8445" max="8445" width="21.33203125" style="615" bestFit="1" customWidth="1"/>
    <col min="8446" max="8446" width="16.83203125" style="615" bestFit="1" customWidth="1"/>
    <col min="8447" max="8449" width="18.5" style="615" bestFit="1" customWidth="1"/>
    <col min="8450" max="8450" width="19.83203125" style="615" bestFit="1" customWidth="1"/>
    <col min="8451" max="8453" width="0" style="615" hidden="1" customWidth="1"/>
    <col min="8454" max="8454" width="18.1640625" style="615" bestFit="1" customWidth="1"/>
    <col min="8455" max="8455" width="19.1640625" style="615" customWidth="1"/>
    <col min="8456" max="8456" width="18.5" style="615" customWidth="1"/>
    <col min="8457" max="8457" width="15.5" style="615" bestFit="1" customWidth="1"/>
    <col min="8458" max="8458" width="18.5" style="615" bestFit="1" customWidth="1"/>
    <col min="8459" max="8459" width="18.1640625" style="615" bestFit="1" customWidth="1"/>
    <col min="8460" max="8460" width="19.83203125" style="615" bestFit="1" customWidth="1"/>
    <col min="8461" max="8461" width="21.33203125" style="615" bestFit="1" customWidth="1"/>
    <col min="8462" max="8462" width="22.5" style="615" bestFit="1" customWidth="1"/>
    <col min="8463" max="8463" width="32" style="615" customWidth="1"/>
    <col min="8464" max="8465" width="32.83203125" style="615" bestFit="1" customWidth="1"/>
    <col min="8466" max="8466" width="9.1640625" style="615"/>
    <col min="8467" max="8467" width="34.6640625" style="615" customWidth="1"/>
    <col min="8468" max="8691" width="9.1640625" style="615"/>
    <col min="8692" max="8692" width="6.83203125" style="615" customWidth="1"/>
    <col min="8693" max="8693" width="10.1640625" style="615" customWidth="1"/>
    <col min="8694" max="8694" width="32.33203125" style="615" customWidth="1"/>
    <col min="8695" max="8695" width="48.1640625" style="615" customWidth="1"/>
    <col min="8696" max="8696" width="22" style="615" bestFit="1" customWidth="1"/>
    <col min="8697" max="8697" width="19.83203125" style="615" bestFit="1" customWidth="1"/>
    <col min="8698" max="8698" width="21.33203125" style="615" customWidth="1"/>
    <col min="8699" max="8699" width="21" style="615" bestFit="1" customWidth="1"/>
    <col min="8700" max="8700" width="18.5" style="615" bestFit="1" customWidth="1"/>
    <col min="8701" max="8701" width="21.33203125" style="615" bestFit="1" customWidth="1"/>
    <col min="8702" max="8702" width="16.83203125" style="615" bestFit="1" customWidth="1"/>
    <col min="8703" max="8705" width="18.5" style="615" bestFit="1" customWidth="1"/>
    <col min="8706" max="8706" width="19.83203125" style="615" bestFit="1" customWidth="1"/>
    <col min="8707" max="8709" width="0" style="615" hidden="1" customWidth="1"/>
    <col min="8710" max="8710" width="18.1640625" style="615" bestFit="1" customWidth="1"/>
    <col min="8711" max="8711" width="19.1640625" style="615" customWidth="1"/>
    <col min="8712" max="8712" width="18.5" style="615" customWidth="1"/>
    <col min="8713" max="8713" width="15.5" style="615" bestFit="1" customWidth="1"/>
    <col min="8714" max="8714" width="18.5" style="615" bestFit="1" customWidth="1"/>
    <col min="8715" max="8715" width="18.1640625" style="615" bestFit="1" customWidth="1"/>
    <col min="8716" max="8716" width="19.83203125" style="615" bestFit="1" customWidth="1"/>
    <col min="8717" max="8717" width="21.33203125" style="615" bestFit="1" customWidth="1"/>
    <col min="8718" max="8718" width="22.5" style="615" bestFit="1" customWidth="1"/>
    <col min="8719" max="8719" width="32" style="615" customWidth="1"/>
    <col min="8720" max="8721" width="32.83203125" style="615" bestFit="1" customWidth="1"/>
    <col min="8722" max="8722" width="9.1640625" style="615"/>
    <col min="8723" max="8723" width="34.6640625" style="615" customWidth="1"/>
    <col min="8724" max="8947" width="9.1640625" style="615"/>
    <col min="8948" max="8948" width="6.83203125" style="615" customWidth="1"/>
    <col min="8949" max="8949" width="10.1640625" style="615" customWidth="1"/>
    <col min="8950" max="8950" width="32.33203125" style="615" customWidth="1"/>
    <col min="8951" max="8951" width="48.1640625" style="615" customWidth="1"/>
    <col min="8952" max="8952" width="22" style="615" bestFit="1" customWidth="1"/>
    <col min="8953" max="8953" width="19.83203125" style="615" bestFit="1" customWidth="1"/>
    <col min="8954" max="8954" width="21.33203125" style="615" customWidth="1"/>
    <col min="8955" max="8955" width="21" style="615" bestFit="1" customWidth="1"/>
    <col min="8956" max="8956" width="18.5" style="615" bestFit="1" customWidth="1"/>
    <col min="8957" max="8957" width="21.33203125" style="615" bestFit="1" customWidth="1"/>
    <col min="8958" max="8958" width="16.83203125" style="615" bestFit="1" customWidth="1"/>
    <col min="8959" max="8961" width="18.5" style="615" bestFit="1" customWidth="1"/>
    <col min="8962" max="8962" width="19.83203125" style="615" bestFit="1" customWidth="1"/>
    <col min="8963" max="8965" width="0" style="615" hidden="1" customWidth="1"/>
    <col min="8966" max="8966" width="18.1640625" style="615" bestFit="1" customWidth="1"/>
    <col min="8967" max="8967" width="19.1640625" style="615" customWidth="1"/>
    <col min="8968" max="8968" width="18.5" style="615" customWidth="1"/>
    <col min="8969" max="8969" width="15.5" style="615" bestFit="1" customWidth="1"/>
    <col min="8970" max="8970" width="18.5" style="615" bestFit="1" customWidth="1"/>
    <col min="8971" max="8971" width="18.1640625" style="615" bestFit="1" customWidth="1"/>
    <col min="8972" max="8972" width="19.83203125" style="615" bestFit="1" customWidth="1"/>
    <col min="8973" max="8973" width="21.33203125" style="615" bestFit="1" customWidth="1"/>
    <col min="8974" max="8974" width="22.5" style="615" bestFit="1" customWidth="1"/>
    <col min="8975" max="8975" width="32" style="615" customWidth="1"/>
    <col min="8976" max="8977" width="32.83203125" style="615" bestFit="1" customWidth="1"/>
    <col min="8978" max="8978" width="9.1640625" style="615"/>
    <col min="8979" max="8979" width="34.6640625" style="615" customWidth="1"/>
    <col min="8980" max="9203" width="9.1640625" style="615"/>
    <col min="9204" max="9204" width="6.83203125" style="615" customWidth="1"/>
    <col min="9205" max="9205" width="10.1640625" style="615" customWidth="1"/>
    <col min="9206" max="9206" width="32.33203125" style="615" customWidth="1"/>
    <col min="9207" max="9207" width="48.1640625" style="615" customWidth="1"/>
    <col min="9208" max="9208" width="22" style="615" bestFit="1" customWidth="1"/>
    <col min="9209" max="9209" width="19.83203125" style="615" bestFit="1" customWidth="1"/>
    <col min="9210" max="9210" width="21.33203125" style="615" customWidth="1"/>
    <col min="9211" max="9211" width="21" style="615" bestFit="1" customWidth="1"/>
    <col min="9212" max="9212" width="18.5" style="615" bestFit="1" customWidth="1"/>
    <col min="9213" max="9213" width="21.33203125" style="615" bestFit="1" customWidth="1"/>
    <col min="9214" max="9214" width="16.83203125" style="615" bestFit="1" customWidth="1"/>
    <col min="9215" max="9217" width="18.5" style="615" bestFit="1" customWidth="1"/>
    <col min="9218" max="9218" width="19.83203125" style="615" bestFit="1" customWidth="1"/>
    <col min="9219" max="9221" width="0" style="615" hidden="1" customWidth="1"/>
    <col min="9222" max="9222" width="18.1640625" style="615" bestFit="1" customWidth="1"/>
    <col min="9223" max="9223" width="19.1640625" style="615" customWidth="1"/>
    <col min="9224" max="9224" width="18.5" style="615" customWidth="1"/>
    <col min="9225" max="9225" width="15.5" style="615" bestFit="1" customWidth="1"/>
    <col min="9226" max="9226" width="18.5" style="615" bestFit="1" customWidth="1"/>
    <col min="9227" max="9227" width="18.1640625" style="615" bestFit="1" customWidth="1"/>
    <col min="9228" max="9228" width="19.83203125" style="615" bestFit="1" customWidth="1"/>
    <col min="9229" max="9229" width="21.33203125" style="615" bestFit="1" customWidth="1"/>
    <col min="9230" max="9230" width="22.5" style="615" bestFit="1" customWidth="1"/>
    <col min="9231" max="9231" width="32" style="615" customWidth="1"/>
    <col min="9232" max="9233" width="32.83203125" style="615" bestFit="1" customWidth="1"/>
    <col min="9234" max="9234" width="9.1640625" style="615"/>
    <col min="9235" max="9235" width="34.6640625" style="615" customWidth="1"/>
    <col min="9236" max="9459" width="9.1640625" style="615"/>
    <col min="9460" max="9460" width="6.83203125" style="615" customWidth="1"/>
    <col min="9461" max="9461" width="10.1640625" style="615" customWidth="1"/>
    <col min="9462" max="9462" width="32.33203125" style="615" customWidth="1"/>
    <col min="9463" max="9463" width="48.1640625" style="615" customWidth="1"/>
    <col min="9464" max="9464" width="22" style="615" bestFit="1" customWidth="1"/>
    <col min="9465" max="9465" width="19.83203125" style="615" bestFit="1" customWidth="1"/>
    <col min="9466" max="9466" width="21.33203125" style="615" customWidth="1"/>
    <col min="9467" max="9467" width="21" style="615" bestFit="1" customWidth="1"/>
    <col min="9468" max="9468" width="18.5" style="615" bestFit="1" customWidth="1"/>
    <col min="9469" max="9469" width="21.33203125" style="615" bestFit="1" customWidth="1"/>
    <col min="9470" max="9470" width="16.83203125" style="615" bestFit="1" customWidth="1"/>
    <col min="9471" max="9473" width="18.5" style="615" bestFit="1" customWidth="1"/>
    <col min="9474" max="9474" width="19.83203125" style="615" bestFit="1" customWidth="1"/>
    <col min="9475" max="9477" width="0" style="615" hidden="1" customWidth="1"/>
    <col min="9478" max="9478" width="18.1640625" style="615" bestFit="1" customWidth="1"/>
    <col min="9479" max="9479" width="19.1640625" style="615" customWidth="1"/>
    <col min="9480" max="9480" width="18.5" style="615" customWidth="1"/>
    <col min="9481" max="9481" width="15.5" style="615" bestFit="1" customWidth="1"/>
    <col min="9482" max="9482" width="18.5" style="615" bestFit="1" customWidth="1"/>
    <col min="9483" max="9483" width="18.1640625" style="615" bestFit="1" customWidth="1"/>
    <col min="9484" max="9484" width="19.83203125" style="615" bestFit="1" customWidth="1"/>
    <col min="9485" max="9485" width="21.33203125" style="615" bestFit="1" customWidth="1"/>
    <col min="9486" max="9486" width="22.5" style="615" bestFit="1" customWidth="1"/>
    <col min="9487" max="9487" width="32" style="615" customWidth="1"/>
    <col min="9488" max="9489" width="32.83203125" style="615" bestFit="1" customWidth="1"/>
    <col min="9490" max="9490" width="9.1640625" style="615"/>
    <col min="9491" max="9491" width="34.6640625" style="615" customWidth="1"/>
    <col min="9492" max="9715" width="9.1640625" style="615"/>
    <col min="9716" max="9716" width="6.83203125" style="615" customWidth="1"/>
    <col min="9717" max="9717" width="10.1640625" style="615" customWidth="1"/>
    <col min="9718" max="9718" width="32.33203125" style="615" customWidth="1"/>
    <col min="9719" max="9719" width="48.1640625" style="615" customWidth="1"/>
    <col min="9720" max="9720" width="22" style="615" bestFit="1" customWidth="1"/>
    <col min="9721" max="9721" width="19.83203125" style="615" bestFit="1" customWidth="1"/>
    <col min="9722" max="9722" width="21.33203125" style="615" customWidth="1"/>
    <col min="9723" max="9723" width="21" style="615" bestFit="1" customWidth="1"/>
    <col min="9724" max="9724" width="18.5" style="615" bestFit="1" customWidth="1"/>
    <col min="9725" max="9725" width="21.33203125" style="615" bestFit="1" customWidth="1"/>
    <col min="9726" max="9726" width="16.83203125" style="615" bestFit="1" customWidth="1"/>
    <col min="9727" max="9729" width="18.5" style="615" bestFit="1" customWidth="1"/>
    <col min="9730" max="9730" width="19.83203125" style="615" bestFit="1" customWidth="1"/>
    <col min="9731" max="9733" width="0" style="615" hidden="1" customWidth="1"/>
    <col min="9734" max="9734" width="18.1640625" style="615" bestFit="1" customWidth="1"/>
    <col min="9735" max="9735" width="19.1640625" style="615" customWidth="1"/>
    <col min="9736" max="9736" width="18.5" style="615" customWidth="1"/>
    <col min="9737" max="9737" width="15.5" style="615" bestFit="1" customWidth="1"/>
    <col min="9738" max="9738" width="18.5" style="615" bestFit="1" customWidth="1"/>
    <col min="9739" max="9739" width="18.1640625" style="615" bestFit="1" customWidth="1"/>
    <col min="9740" max="9740" width="19.83203125" style="615" bestFit="1" customWidth="1"/>
    <col min="9741" max="9741" width="21.33203125" style="615" bestFit="1" customWidth="1"/>
    <col min="9742" max="9742" width="22.5" style="615" bestFit="1" customWidth="1"/>
    <col min="9743" max="9743" width="32" style="615" customWidth="1"/>
    <col min="9744" max="9745" width="32.83203125" style="615" bestFit="1" customWidth="1"/>
    <col min="9746" max="9746" width="9.1640625" style="615"/>
    <col min="9747" max="9747" width="34.6640625" style="615" customWidth="1"/>
    <col min="9748" max="9971" width="9.1640625" style="615"/>
    <col min="9972" max="9972" width="6.83203125" style="615" customWidth="1"/>
    <col min="9973" max="9973" width="10.1640625" style="615" customWidth="1"/>
    <col min="9974" max="9974" width="32.33203125" style="615" customWidth="1"/>
    <col min="9975" max="9975" width="48.1640625" style="615" customWidth="1"/>
    <col min="9976" max="9976" width="22" style="615" bestFit="1" customWidth="1"/>
    <col min="9977" max="9977" width="19.83203125" style="615" bestFit="1" customWidth="1"/>
    <col min="9978" max="9978" width="21.33203125" style="615" customWidth="1"/>
    <col min="9979" max="9979" width="21" style="615" bestFit="1" customWidth="1"/>
    <col min="9980" max="9980" width="18.5" style="615" bestFit="1" customWidth="1"/>
    <col min="9981" max="9981" width="21.33203125" style="615" bestFit="1" customWidth="1"/>
    <col min="9982" max="9982" width="16.83203125" style="615" bestFit="1" customWidth="1"/>
    <col min="9983" max="9985" width="18.5" style="615" bestFit="1" customWidth="1"/>
    <col min="9986" max="9986" width="19.83203125" style="615" bestFit="1" customWidth="1"/>
    <col min="9987" max="9989" width="0" style="615" hidden="1" customWidth="1"/>
    <col min="9990" max="9990" width="18.1640625" style="615" bestFit="1" customWidth="1"/>
    <col min="9991" max="9991" width="19.1640625" style="615" customWidth="1"/>
    <col min="9992" max="9992" width="18.5" style="615" customWidth="1"/>
    <col min="9993" max="9993" width="15.5" style="615" bestFit="1" customWidth="1"/>
    <col min="9994" max="9994" width="18.5" style="615" bestFit="1" customWidth="1"/>
    <col min="9995" max="9995" width="18.1640625" style="615" bestFit="1" customWidth="1"/>
    <col min="9996" max="9996" width="19.83203125" style="615" bestFit="1" customWidth="1"/>
    <col min="9997" max="9997" width="21.33203125" style="615" bestFit="1" customWidth="1"/>
    <col min="9998" max="9998" width="22.5" style="615" bestFit="1" customWidth="1"/>
    <col min="9999" max="9999" width="32" style="615" customWidth="1"/>
    <col min="10000" max="10001" width="32.83203125" style="615" bestFit="1" customWidth="1"/>
    <col min="10002" max="10002" width="9.1640625" style="615"/>
    <col min="10003" max="10003" width="34.6640625" style="615" customWidth="1"/>
    <col min="10004" max="10227" width="9.1640625" style="615"/>
    <col min="10228" max="10228" width="6.83203125" style="615" customWidth="1"/>
    <col min="10229" max="10229" width="10.1640625" style="615" customWidth="1"/>
    <col min="10230" max="10230" width="32.33203125" style="615" customWidth="1"/>
    <col min="10231" max="10231" width="48.1640625" style="615" customWidth="1"/>
    <col min="10232" max="10232" width="22" style="615" bestFit="1" customWidth="1"/>
    <col min="10233" max="10233" width="19.83203125" style="615" bestFit="1" customWidth="1"/>
    <col min="10234" max="10234" width="21.33203125" style="615" customWidth="1"/>
    <col min="10235" max="10235" width="21" style="615" bestFit="1" customWidth="1"/>
    <col min="10236" max="10236" width="18.5" style="615" bestFit="1" customWidth="1"/>
    <col min="10237" max="10237" width="21.33203125" style="615" bestFit="1" customWidth="1"/>
    <col min="10238" max="10238" width="16.83203125" style="615" bestFit="1" customWidth="1"/>
    <col min="10239" max="10241" width="18.5" style="615" bestFit="1" customWidth="1"/>
    <col min="10242" max="10242" width="19.83203125" style="615" bestFit="1" customWidth="1"/>
    <col min="10243" max="10245" width="0" style="615" hidden="1" customWidth="1"/>
    <col min="10246" max="10246" width="18.1640625" style="615" bestFit="1" customWidth="1"/>
    <col min="10247" max="10247" width="19.1640625" style="615" customWidth="1"/>
    <col min="10248" max="10248" width="18.5" style="615" customWidth="1"/>
    <col min="10249" max="10249" width="15.5" style="615" bestFit="1" customWidth="1"/>
    <col min="10250" max="10250" width="18.5" style="615" bestFit="1" customWidth="1"/>
    <col min="10251" max="10251" width="18.1640625" style="615" bestFit="1" customWidth="1"/>
    <col min="10252" max="10252" width="19.83203125" style="615" bestFit="1" customWidth="1"/>
    <col min="10253" max="10253" width="21.33203125" style="615" bestFit="1" customWidth="1"/>
    <col min="10254" max="10254" width="22.5" style="615" bestFit="1" customWidth="1"/>
    <col min="10255" max="10255" width="32" style="615" customWidth="1"/>
    <col min="10256" max="10257" width="32.83203125" style="615" bestFit="1" customWidth="1"/>
    <col min="10258" max="10258" width="9.1640625" style="615"/>
    <col min="10259" max="10259" width="34.6640625" style="615" customWidth="1"/>
    <col min="10260" max="10483" width="9.1640625" style="615"/>
    <col min="10484" max="10484" width="6.83203125" style="615" customWidth="1"/>
    <col min="10485" max="10485" width="10.1640625" style="615" customWidth="1"/>
    <col min="10486" max="10486" width="32.33203125" style="615" customWidth="1"/>
    <col min="10487" max="10487" width="48.1640625" style="615" customWidth="1"/>
    <col min="10488" max="10488" width="22" style="615" bestFit="1" customWidth="1"/>
    <col min="10489" max="10489" width="19.83203125" style="615" bestFit="1" customWidth="1"/>
    <col min="10490" max="10490" width="21.33203125" style="615" customWidth="1"/>
    <col min="10491" max="10491" width="21" style="615" bestFit="1" customWidth="1"/>
    <col min="10492" max="10492" width="18.5" style="615" bestFit="1" customWidth="1"/>
    <col min="10493" max="10493" width="21.33203125" style="615" bestFit="1" customWidth="1"/>
    <col min="10494" max="10494" width="16.83203125" style="615" bestFit="1" customWidth="1"/>
    <col min="10495" max="10497" width="18.5" style="615" bestFit="1" customWidth="1"/>
    <col min="10498" max="10498" width="19.83203125" style="615" bestFit="1" customWidth="1"/>
    <col min="10499" max="10501" width="0" style="615" hidden="1" customWidth="1"/>
    <col min="10502" max="10502" width="18.1640625" style="615" bestFit="1" customWidth="1"/>
    <col min="10503" max="10503" width="19.1640625" style="615" customWidth="1"/>
    <col min="10504" max="10504" width="18.5" style="615" customWidth="1"/>
    <col min="10505" max="10505" width="15.5" style="615" bestFit="1" customWidth="1"/>
    <col min="10506" max="10506" width="18.5" style="615" bestFit="1" customWidth="1"/>
    <col min="10507" max="10507" width="18.1640625" style="615" bestFit="1" customWidth="1"/>
    <col min="10508" max="10508" width="19.83203125" style="615" bestFit="1" customWidth="1"/>
    <col min="10509" max="10509" width="21.33203125" style="615" bestFit="1" customWidth="1"/>
    <col min="10510" max="10510" width="22.5" style="615" bestFit="1" customWidth="1"/>
    <col min="10511" max="10511" width="32" style="615" customWidth="1"/>
    <col min="10512" max="10513" width="32.83203125" style="615" bestFit="1" customWidth="1"/>
    <col min="10514" max="10514" width="9.1640625" style="615"/>
    <col min="10515" max="10515" width="34.6640625" style="615" customWidth="1"/>
    <col min="10516" max="10739" width="9.1640625" style="615"/>
    <col min="10740" max="10740" width="6.83203125" style="615" customWidth="1"/>
    <col min="10741" max="10741" width="10.1640625" style="615" customWidth="1"/>
    <col min="10742" max="10742" width="32.33203125" style="615" customWidth="1"/>
    <col min="10743" max="10743" width="48.1640625" style="615" customWidth="1"/>
    <col min="10744" max="10744" width="22" style="615" bestFit="1" customWidth="1"/>
    <col min="10745" max="10745" width="19.83203125" style="615" bestFit="1" customWidth="1"/>
    <col min="10746" max="10746" width="21.33203125" style="615" customWidth="1"/>
    <col min="10747" max="10747" width="21" style="615" bestFit="1" customWidth="1"/>
    <col min="10748" max="10748" width="18.5" style="615" bestFit="1" customWidth="1"/>
    <col min="10749" max="10749" width="21.33203125" style="615" bestFit="1" customWidth="1"/>
    <col min="10750" max="10750" width="16.83203125" style="615" bestFit="1" customWidth="1"/>
    <col min="10751" max="10753" width="18.5" style="615" bestFit="1" customWidth="1"/>
    <col min="10754" max="10754" width="19.83203125" style="615" bestFit="1" customWidth="1"/>
    <col min="10755" max="10757" width="0" style="615" hidden="1" customWidth="1"/>
    <col min="10758" max="10758" width="18.1640625" style="615" bestFit="1" customWidth="1"/>
    <col min="10759" max="10759" width="19.1640625" style="615" customWidth="1"/>
    <col min="10760" max="10760" width="18.5" style="615" customWidth="1"/>
    <col min="10761" max="10761" width="15.5" style="615" bestFit="1" customWidth="1"/>
    <col min="10762" max="10762" width="18.5" style="615" bestFit="1" customWidth="1"/>
    <col min="10763" max="10763" width="18.1640625" style="615" bestFit="1" customWidth="1"/>
    <col min="10764" max="10764" width="19.83203125" style="615" bestFit="1" customWidth="1"/>
    <col min="10765" max="10765" width="21.33203125" style="615" bestFit="1" customWidth="1"/>
    <col min="10766" max="10766" width="22.5" style="615" bestFit="1" customWidth="1"/>
    <col min="10767" max="10767" width="32" style="615" customWidth="1"/>
    <col min="10768" max="10769" width="32.83203125" style="615" bestFit="1" customWidth="1"/>
    <col min="10770" max="10770" width="9.1640625" style="615"/>
    <col min="10771" max="10771" width="34.6640625" style="615" customWidth="1"/>
    <col min="10772" max="10995" width="9.1640625" style="615"/>
    <col min="10996" max="10996" width="6.83203125" style="615" customWidth="1"/>
    <col min="10997" max="10997" width="10.1640625" style="615" customWidth="1"/>
    <col min="10998" max="10998" width="32.33203125" style="615" customWidth="1"/>
    <col min="10999" max="10999" width="48.1640625" style="615" customWidth="1"/>
    <col min="11000" max="11000" width="22" style="615" bestFit="1" customWidth="1"/>
    <col min="11001" max="11001" width="19.83203125" style="615" bestFit="1" customWidth="1"/>
    <col min="11002" max="11002" width="21.33203125" style="615" customWidth="1"/>
    <col min="11003" max="11003" width="21" style="615" bestFit="1" customWidth="1"/>
    <col min="11004" max="11004" width="18.5" style="615" bestFit="1" customWidth="1"/>
    <col min="11005" max="11005" width="21.33203125" style="615" bestFit="1" customWidth="1"/>
    <col min="11006" max="11006" width="16.83203125" style="615" bestFit="1" customWidth="1"/>
    <col min="11007" max="11009" width="18.5" style="615" bestFit="1" customWidth="1"/>
    <col min="11010" max="11010" width="19.83203125" style="615" bestFit="1" customWidth="1"/>
    <col min="11011" max="11013" width="0" style="615" hidden="1" customWidth="1"/>
    <col min="11014" max="11014" width="18.1640625" style="615" bestFit="1" customWidth="1"/>
    <col min="11015" max="11015" width="19.1640625" style="615" customWidth="1"/>
    <col min="11016" max="11016" width="18.5" style="615" customWidth="1"/>
    <col min="11017" max="11017" width="15.5" style="615" bestFit="1" customWidth="1"/>
    <col min="11018" max="11018" width="18.5" style="615" bestFit="1" customWidth="1"/>
    <col min="11019" max="11019" width="18.1640625" style="615" bestFit="1" customWidth="1"/>
    <col min="11020" max="11020" width="19.83203125" style="615" bestFit="1" customWidth="1"/>
    <col min="11021" max="11021" width="21.33203125" style="615" bestFit="1" customWidth="1"/>
    <col min="11022" max="11022" width="22.5" style="615" bestFit="1" customWidth="1"/>
    <col min="11023" max="11023" width="32" style="615" customWidth="1"/>
    <col min="11024" max="11025" width="32.83203125" style="615" bestFit="1" customWidth="1"/>
    <col min="11026" max="11026" width="9.1640625" style="615"/>
    <col min="11027" max="11027" width="34.6640625" style="615" customWidth="1"/>
    <col min="11028" max="11251" width="9.1640625" style="615"/>
    <col min="11252" max="11252" width="6.83203125" style="615" customWidth="1"/>
    <col min="11253" max="11253" width="10.1640625" style="615" customWidth="1"/>
    <col min="11254" max="11254" width="32.33203125" style="615" customWidth="1"/>
    <col min="11255" max="11255" width="48.1640625" style="615" customWidth="1"/>
    <col min="11256" max="11256" width="22" style="615" bestFit="1" customWidth="1"/>
    <col min="11257" max="11257" width="19.83203125" style="615" bestFit="1" customWidth="1"/>
    <col min="11258" max="11258" width="21.33203125" style="615" customWidth="1"/>
    <col min="11259" max="11259" width="21" style="615" bestFit="1" customWidth="1"/>
    <col min="11260" max="11260" width="18.5" style="615" bestFit="1" customWidth="1"/>
    <col min="11261" max="11261" width="21.33203125" style="615" bestFit="1" customWidth="1"/>
    <col min="11262" max="11262" width="16.83203125" style="615" bestFit="1" customWidth="1"/>
    <col min="11263" max="11265" width="18.5" style="615" bestFit="1" customWidth="1"/>
    <col min="11266" max="11266" width="19.83203125" style="615" bestFit="1" customWidth="1"/>
    <col min="11267" max="11269" width="0" style="615" hidden="1" customWidth="1"/>
    <col min="11270" max="11270" width="18.1640625" style="615" bestFit="1" customWidth="1"/>
    <col min="11271" max="11271" width="19.1640625" style="615" customWidth="1"/>
    <col min="11272" max="11272" width="18.5" style="615" customWidth="1"/>
    <col min="11273" max="11273" width="15.5" style="615" bestFit="1" customWidth="1"/>
    <col min="11274" max="11274" width="18.5" style="615" bestFit="1" customWidth="1"/>
    <col min="11275" max="11275" width="18.1640625" style="615" bestFit="1" customWidth="1"/>
    <col min="11276" max="11276" width="19.83203125" style="615" bestFit="1" customWidth="1"/>
    <col min="11277" max="11277" width="21.33203125" style="615" bestFit="1" customWidth="1"/>
    <col min="11278" max="11278" width="22.5" style="615" bestFit="1" customWidth="1"/>
    <col min="11279" max="11279" width="32" style="615" customWidth="1"/>
    <col min="11280" max="11281" width="32.83203125" style="615" bestFit="1" customWidth="1"/>
    <col min="11282" max="11282" width="9.1640625" style="615"/>
    <col min="11283" max="11283" width="34.6640625" style="615" customWidth="1"/>
    <col min="11284" max="11507" width="9.1640625" style="615"/>
    <col min="11508" max="11508" width="6.83203125" style="615" customWidth="1"/>
    <col min="11509" max="11509" width="10.1640625" style="615" customWidth="1"/>
    <col min="11510" max="11510" width="32.33203125" style="615" customWidth="1"/>
    <col min="11511" max="11511" width="48.1640625" style="615" customWidth="1"/>
    <col min="11512" max="11512" width="22" style="615" bestFit="1" customWidth="1"/>
    <col min="11513" max="11513" width="19.83203125" style="615" bestFit="1" customWidth="1"/>
    <col min="11514" max="11514" width="21.33203125" style="615" customWidth="1"/>
    <col min="11515" max="11515" width="21" style="615" bestFit="1" customWidth="1"/>
    <col min="11516" max="11516" width="18.5" style="615" bestFit="1" customWidth="1"/>
    <col min="11517" max="11517" width="21.33203125" style="615" bestFit="1" customWidth="1"/>
    <col min="11518" max="11518" width="16.83203125" style="615" bestFit="1" customWidth="1"/>
    <col min="11519" max="11521" width="18.5" style="615" bestFit="1" customWidth="1"/>
    <col min="11522" max="11522" width="19.83203125" style="615" bestFit="1" customWidth="1"/>
    <col min="11523" max="11525" width="0" style="615" hidden="1" customWidth="1"/>
    <col min="11526" max="11526" width="18.1640625" style="615" bestFit="1" customWidth="1"/>
    <col min="11527" max="11527" width="19.1640625" style="615" customWidth="1"/>
    <col min="11528" max="11528" width="18.5" style="615" customWidth="1"/>
    <col min="11529" max="11529" width="15.5" style="615" bestFit="1" customWidth="1"/>
    <col min="11530" max="11530" width="18.5" style="615" bestFit="1" customWidth="1"/>
    <col min="11531" max="11531" width="18.1640625" style="615" bestFit="1" customWidth="1"/>
    <col min="11532" max="11532" width="19.83203125" style="615" bestFit="1" customWidth="1"/>
    <col min="11533" max="11533" width="21.33203125" style="615" bestFit="1" customWidth="1"/>
    <col min="11534" max="11534" width="22.5" style="615" bestFit="1" customWidth="1"/>
    <col min="11535" max="11535" width="32" style="615" customWidth="1"/>
    <col min="11536" max="11537" width="32.83203125" style="615" bestFit="1" customWidth="1"/>
    <col min="11538" max="11538" width="9.1640625" style="615"/>
    <col min="11539" max="11539" width="34.6640625" style="615" customWidth="1"/>
    <col min="11540" max="11763" width="9.1640625" style="615"/>
    <col min="11764" max="11764" width="6.83203125" style="615" customWidth="1"/>
    <col min="11765" max="11765" width="10.1640625" style="615" customWidth="1"/>
    <col min="11766" max="11766" width="32.33203125" style="615" customWidth="1"/>
    <col min="11767" max="11767" width="48.1640625" style="615" customWidth="1"/>
    <col min="11768" max="11768" width="22" style="615" bestFit="1" customWidth="1"/>
    <col min="11769" max="11769" width="19.83203125" style="615" bestFit="1" customWidth="1"/>
    <col min="11770" max="11770" width="21.33203125" style="615" customWidth="1"/>
    <col min="11771" max="11771" width="21" style="615" bestFit="1" customWidth="1"/>
    <col min="11772" max="11772" width="18.5" style="615" bestFit="1" customWidth="1"/>
    <col min="11773" max="11773" width="21.33203125" style="615" bestFit="1" customWidth="1"/>
    <col min="11774" max="11774" width="16.83203125" style="615" bestFit="1" customWidth="1"/>
    <col min="11775" max="11777" width="18.5" style="615" bestFit="1" customWidth="1"/>
    <col min="11778" max="11778" width="19.83203125" style="615" bestFit="1" customWidth="1"/>
    <col min="11779" max="11781" width="0" style="615" hidden="1" customWidth="1"/>
    <col min="11782" max="11782" width="18.1640625" style="615" bestFit="1" customWidth="1"/>
    <col min="11783" max="11783" width="19.1640625" style="615" customWidth="1"/>
    <col min="11784" max="11784" width="18.5" style="615" customWidth="1"/>
    <col min="11785" max="11785" width="15.5" style="615" bestFit="1" customWidth="1"/>
    <col min="11786" max="11786" width="18.5" style="615" bestFit="1" customWidth="1"/>
    <col min="11787" max="11787" width="18.1640625" style="615" bestFit="1" customWidth="1"/>
    <col min="11788" max="11788" width="19.83203125" style="615" bestFit="1" customWidth="1"/>
    <col min="11789" max="11789" width="21.33203125" style="615" bestFit="1" customWidth="1"/>
    <col min="11790" max="11790" width="22.5" style="615" bestFit="1" customWidth="1"/>
    <col min="11791" max="11791" width="32" style="615" customWidth="1"/>
    <col min="11792" max="11793" width="32.83203125" style="615" bestFit="1" customWidth="1"/>
    <col min="11794" max="11794" width="9.1640625" style="615"/>
    <col min="11795" max="11795" width="34.6640625" style="615" customWidth="1"/>
    <col min="11796" max="12019" width="9.1640625" style="615"/>
    <col min="12020" max="12020" width="6.83203125" style="615" customWidth="1"/>
    <col min="12021" max="12021" width="10.1640625" style="615" customWidth="1"/>
    <col min="12022" max="12022" width="32.33203125" style="615" customWidth="1"/>
    <col min="12023" max="12023" width="48.1640625" style="615" customWidth="1"/>
    <col min="12024" max="12024" width="22" style="615" bestFit="1" customWidth="1"/>
    <col min="12025" max="12025" width="19.83203125" style="615" bestFit="1" customWidth="1"/>
    <col min="12026" max="12026" width="21.33203125" style="615" customWidth="1"/>
    <col min="12027" max="12027" width="21" style="615" bestFit="1" customWidth="1"/>
    <col min="12028" max="12028" width="18.5" style="615" bestFit="1" customWidth="1"/>
    <col min="12029" max="12029" width="21.33203125" style="615" bestFit="1" customWidth="1"/>
    <col min="12030" max="12030" width="16.83203125" style="615" bestFit="1" customWidth="1"/>
    <col min="12031" max="12033" width="18.5" style="615" bestFit="1" customWidth="1"/>
    <col min="12034" max="12034" width="19.83203125" style="615" bestFit="1" customWidth="1"/>
    <col min="12035" max="12037" width="0" style="615" hidden="1" customWidth="1"/>
    <col min="12038" max="12038" width="18.1640625" style="615" bestFit="1" customWidth="1"/>
    <col min="12039" max="12039" width="19.1640625" style="615" customWidth="1"/>
    <col min="12040" max="12040" width="18.5" style="615" customWidth="1"/>
    <col min="12041" max="12041" width="15.5" style="615" bestFit="1" customWidth="1"/>
    <col min="12042" max="12042" width="18.5" style="615" bestFit="1" customWidth="1"/>
    <col min="12043" max="12043" width="18.1640625" style="615" bestFit="1" customWidth="1"/>
    <col min="12044" max="12044" width="19.83203125" style="615" bestFit="1" customWidth="1"/>
    <col min="12045" max="12045" width="21.33203125" style="615" bestFit="1" customWidth="1"/>
    <col min="12046" max="12046" width="22.5" style="615" bestFit="1" customWidth="1"/>
    <col min="12047" max="12047" width="32" style="615" customWidth="1"/>
    <col min="12048" max="12049" width="32.83203125" style="615" bestFit="1" customWidth="1"/>
    <col min="12050" max="12050" width="9.1640625" style="615"/>
    <col min="12051" max="12051" width="34.6640625" style="615" customWidth="1"/>
    <col min="12052" max="12275" width="9.1640625" style="615"/>
    <col min="12276" max="12276" width="6.83203125" style="615" customWidth="1"/>
    <col min="12277" max="12277" width="10.1640625" style="615" customWidth="1"/>
    <col min="12278" max="12278" width="32.33203125" style="615" customWidth="1"/>
    <col min="12279" max="12279" width="48.1640625" style="615" customWidth="1"/>
    <col min="12280" max="12280" width="22" style="615" bestFit="1" customWidth="1"/>
    <col min="12281" max="12281" width="19.83203125" style="615" bestFit="1" customWidth="1"/>
    <col min="12282" max="12282" width="21.33203125" style="615" customWidth="1"/>
    <col min="12283" max="12283" width="21" style="615" bestFit="1" customWidth="1"/>
    <col min="12284" max="12284" width="18.5" style="615" bestFit="1" customWidth="1"/>
    <col min="12285" max="12285" width="21.33203125" style="615" bestFit="1" customWidth="1"/>
    <col min="12286" max="12286" width="16.83203125" style="615" bestFit="1" customWidth="1"/>
    <col min="12287" max="12289" width="18.5" style="615" bestFit="1" customWidth="1"/>
    <col min="12290" max="12290" width="19.83203125" style="615" bestFit="1" customWidth="1"/>
    <col min="12291" max="12293" width="0" style="615" hidden="1" customWidth="1"/>
    <col min="12294" max="12294" width="18.1640625" style="615" bestFit="1" customWidth="1"/>
    <col min="12295" max="12295" width="19.1640625" style="615" customWidth="1"/>
    <col min="12296" max="12296" width="18.5" style="615" customWidth="1"/>
    <col min="12297" max="12297" width="15.5" style="615" bestFit="1" customWidth="1"/>
    <col min="12298" max="12298" width="18.5" style="615" bestFit="1" customWidth="1"/>
    <col min="12299" max="12299" width="18.1640625" style="615" bestFit="1" customWidth="1"/>
    <col min="12300" max="12300" width="19.83203125" style="615" bestFit="1" customWidth="1"/>
    <col min="12301" max="12301" width="21.33203125" style="615" bestFit="1" customWidth="1"/>
    <col min="12302" max="12302" width="22.5" style="615" bestFit="1" customWidth="1"/>
    <col min="12303" max="12303" width="32" style="615" customWidth="1"/>
    <col min="12304" max="12305" width="32.83203125" style="615" bestFit="1" customWidth="1"/>
    <col min="12306" max="12306" width="9.1640625" style="615"/>
    <col min="12307" max="12307" width="34.6640625" style="615" customWidth="1"/>
    <col min="12308" max="12531" width="9.1640625" style="615"/>
    <col min="12532" max="12532" width="6.83203125" style="615" customWidth="1"/>
    <col min="12533" max="12533" width="10.1640625" style="615" customWidth="1"/>
    <col min="12534" max="12534" width="32.33203125" style="615" customWidth="1"/>
    <col min="12535" max="12535" width="48.1640625" style="615" customWidth="1"/>
    <col min="12536" max="12536" width="22" style="615" bestFit="1" customWidth="1"/>
    <col min="12537" max="12537" width="19.83203125" style="615" bestFit="1" customWidth="1"/>
    <col min="12538" max="12538" width="21.33203125" style="615" customWidth="1"/>
    <col min="12539" max="12539" width="21" style="615" bestFit="1" customWidth="1"/>
    <col min="12540" max="12540" width="18.5" style="615" bestFit="1" customWidth="1"/>
    <col min="12541" max="12541" width="21.33203125" style="615" bestFit="1" customWidth="1"/>
    <col min="12542" max="12542" width="16.83203125" style="615" bestFit="1" customWidth="1"/>
    <col min="12543" max="12545" width="18.5" style="615" bestFit="1" customWidth="1"/>
    <col min="12546" max="12546" width="19.83203125" style="615" bestFit="1" customWidth="1"/>
    <col min="12547" max="12549" width="0" style="615" hidden="1" customWidth="1"/>
    <col min="12550" max="12550" width="18.1640625" style="615" bestFit="1" customWidth="1"/>
    <col min="12551" max="12551" width="19.1640625" style="615" customWidth="1"/>
    <col min="12552" max="12552" width="18.5" style="615" customWidth="1"/>
    <col min="12553" max="12553" width="15.5" style="615" bestFit="1" customWidth="1"/>
    <col min="12554" max="12554" width="18.5" style="615" bestFit="1" customWidth="1"/>
    <col min="12555" max="12555" width="18.1640625" style="615" bestFit="1" customWidth="1"/>
    <col min="12556" max="12556" width="19.83203125" style="615" bestFit="1" customWidth="1"/>
    <col min="12557" max="12557" width="21.33203125" style="615" bestFit="1" customWidth="1"/>
    <col min="12558" max="12558" width="22.5" style="615" bestFit="1" customWidth="1"/>
    <col min="12559" max="12559" width="32" style="615" customWidth="1"/>
    <col min="12560" max="12561" width="32.83203125" style="615" bestFit="1" customWidth="1"/>
    <col min="12562" max="12562" width="9.1640625" style="615"/>
    <col min="12563" max="12563" width="34.6640625" style="615" customWidth="1"/>
    <col min="12564" max="12787" width="9.1640625" style="615"/>
    <col min="12788" max="12788" width="6.83203125" style="615" customWidth="1"/>
    <col min="12789" max="12789" width="10.1640625" style="615" customWidth="1"/>
    <col min="12790" max="12790" width="32.33203125" style="615" customWidth="1"/>
    <col min="12791" max="12791" width="48.1640625" style="615" customWidth="1"/>
    <col min="12792" max="12792" width="22" style="615" bestFit="1" customWidth="1"/>
    <col min="12793" max="12793" width="19.83203125" style="615" bestFit="1" customWidth="1"/>
    <col min="12794" max="12794" width="21.33203125" style="615" customWidth="1"/>
    <col min="12795" max="12795" width="21" style="615" bestFit="1" customWidth="1"/>
    <col min="12796" max="12796" width="18.5" style="615" bestFit="1" customWidth="1"/>
    <col min="12797" max="12797" width="21.33203125" style="615" bestFit="1" customWidth="1"/>
    <col min="12798" max="12798" width="16.83203125" style="615" bestFit="1" customWidth="1"/>
    <col min="12799" max="12801" width="18.5" style="615" bestFit="1" customWidth="1"/>
    <col min="12802" max="12802" width="19.83203125" style="615" bestFit="1" customWidth="1"/>
    <col min="12803" max="12805" width="0" style="615" hidden="1" customWidth="1"/>
    <col min="12806" max="12806" width="18.1640625" style="615" bestFit="1" customWidth="1"/>
    <col min="12807" max="12807" width="19.1640625" style="615" customWidth="1"/>
    <col min="12808" max="12808" width="18.5" style="615" customWidth="1"/>
    <col min="12809" max="12809" width="15.5" style="615" bestFit="1" customWidth="1"/>
    <col min="12810" max="12810" width="18.5" style="615" bestFit="1" customWidth="1"/>
    <col min="12811" max="12811" width="18.1640625" style="615" bestFit="1" customWidth="1"/>
    <col min="12812" max="12812" width="19.83203125" style="615" bestFit="1" customWidth="1"/>
    <col min="12813" max="12813" width="21.33203125" style="615" bestFit="1" customWidth="1"/>
    <col min="12814" max="12814" width="22.5" style="615" bestFit="1" customWidth="1"/>
    <col min="12815" max="12815" width="32" style="615" customWidth="1"/>
    <col min="12816" max="12817" width="32.83203125" style="615" bestFit="1" customWidth="1"/>
    <col min="12818" max="12818" width="9.1640625" style="615"/>
    <col min="12819" max="12819" width="34.6640625" style="615" customWidth="1"/>
    <col min="12820" max="13043" width="9.1640625" style="615"/>
    <col min="13044" max="13044" width="6.83203125" style="615" customWidth="1"/>
    <col min="13045" max="13045" width="10.1640625" style="615" customWidth="1"/>
    <col min="13046" max="13046" width="32.33203125" style="615" customWidth="1"/>
    <col min="13047" max="13047" width="48.1640625" style="615" customWidth="1"/>
    <col min="13048" max="13048" width="22" style="615" bestFit="1" customWidth="1"/>
    <col min="13049" max="13049" width="19.83203125" style="615" bestFit="1" customWidth="1"/>
    <col min="13050" max="13050" width="21.33203125" style="615" customWidth="1"/>
    <col min="13051" max="13051" width="21" style="615" bestFit="1" customWidth="1"/>
    <col min="13052" max="13052" width="18.5" style="615" bestFit="1" customWidth="1"/>
    <col min="13053" max="13053" width="21.33203125" style="615" bestFit="1" customWidth="1"/>
    <col min="13054" max="13054" width="16.83203125" style="615" bestFit="1" customWidth="1"/>
    <col min="13055" max="13057" width="18.5" style="615" bestFit="1" customWidth="1"/>
    <col min="13058" max="13058" width="19.83203125" style="615" bestFit="1" customWidth="1"/>
    <col min="13059" max="13061" width="0" style="615" hidden="1" customWidth="1"/>
    <col min="13062" max="13062" width="18.1640625" style="615" bestFit="1" customWidth="1"/>
    <col min="13063" max="13063" width="19.1640625" style="615" customWidth="1"/>
    <col min="13064" max="13064" width="18.5" style="615" customWidth="1"/>
    <col min="13065" max="13065" width="15.5" style="615" bestFit="1" customWidth="1"/>
    <col min="13066" max="13066" width="18.5" style="615" bestFit="1" customWidth="1"/>
    <col min="13067" max="13067" width="18.1640625" style="615" bestFit="1" customWidth="1"/>
    <col min="13068" max="13068" width="19.83203125" style="615" bestFit="1" customWidth="1"/>
    <col min="13069" max="13069" width="21.33203125" style="615" bestFit="1" customWidth="1"/>
    <col min="13070" max="13070" width="22.5" style="615" bestFit="1" customWidth="1"/>
    <col min="13071" max="13071" width="32" style="615" customWidth="1"/>
    <col min="13072" max="13073" width="32.83203125" style="615" bestFit="1" customWidth="1"/>
    <col min="13074" max="13074" width="9.1640625" style="615"/>
    <col min="13075" max="13075" width="34.6640625" style="615" customWidth="1"/>
    <col min="13076" max="13299" width="9.1640625" style="615"/>
    <col min="13300" max="13300" width="6.83203125" style="615" customWidth="1"/>
    <col min="13301" max="13301" width="10.1640625" style="615" customWidth="1"/>
    <col min="13302" max="13302" width="32.33203125" style="615" customWidth="1"/>
    <col min="13303" max="13303" width="48.1640625" style="615" customWidth="1"/>
    <col min="13304" max="13304" width="22" style="615" bestFit="1" customWidth="1"/>
    <col min="13305" max="13305" width="19.83203125" style="615" bestFit="1" customWidth="1"/>
    <col min="13306" max="13306" width="21.33203125" style="615" customWidth="1"/>
    <col min="13307" max="13307" width="21" style="615" bestFit="1" customWidth="1"/>
    <col min="13308" max="13308" width="18.5" style="615" bestFit="1" customWidth="1"/>
    <col min="13309" max="13309" width="21.33203125" style="615" bestFit="1" customWidth="1"/>
    <col min="13310" max="13310" width="16.83203125" style="615" bestFit="1" customWidth="1"/>
    <col min="13311" max="13313" width="18.5" style="615" bestFit="1" customWidth="1"/>
    <col min="13314" max="13314" width="19.83203125" style="615" bestFit="1" customWidth="1"/>
    <col min="13315" max="13317" width="0" style="615" hidden="1" customWidth="1"/>
    <col min="13318" max="13318" width="18.1640625" style="615" bestFit="1" customWidth="1"/>
    <col min="13319" max="13319" width="19.1640625" style="615" customWidth="1"/>
    <col min="13320" max="13320" width="18.5" style="615" customWidth="1"/>
    <col min="13321" max="13321" width="15.5" style="615" bestFit="1" customWidth="1"/>
    <col min="13322" max="13322" width="18.5" style="615" bestFit="1" customWidth="1"/>
    <col min="13323" max="13323" width="18.1640625" style="615" bestFit="1" customWidth="1"/>
    <col min="13324" max="13324" width="19.83203125" style="615" bestFit="1" customWidth="1"/>
    <col min="13325" max="13325" width="21.33203125" style="615" bestFit="1" customWidth="1"/>
    <col min="13326" max="13326" width="22.5" style="615" bestFit="1" customWidth="1"/>
    <col min="13327" max="13327" width="32" style="615" customWidth="1"/>
    <col min="13328" max="13329" width="32.83203125" style="615" bestFit="1" customWidth="1"/>
    <col min="13330" max="13330" width="9.1640625" style="615"/>
    <col min="13331" max="13331" width="34.6640625" style="615" customWidth="1"/>
    <col min="13332" max="13555" width="9.1640625" style="615"/>
    <col min="13556" max="13556" width="6.83203125" style="615" customWidth="1"/>
    <col min="13557" max="13557" width="10.1640625" style="615" customWidth="1"/>
    <col min="13558" max="13558" width="32.33203125" style="615" customWidth="1"/>
    <col min="13559" max="13559" width="48.1640625" style="615" customWidth="1"/>
    <col min="13560" max="13560" width="22" style="615" bestFit="1" customWidth="1"/>
    <col min="13561" max="13561" width="19.83203125" style="615" bestFit="1" customWidth="1"/>
    <col min="13562" max="13562" width="21.33203125" style="615" customWidth="1"/>
    <col min="13563" max="13563" width="21" style="615" bestFit="1" customWidth="1"/>
    <col min="13564" max="13564" width="18.5" style="615" bestFit="1" customWidth="1"/>
    <col min="13565" max="13565" width="21.33203125" style="615" bestFit="1" customWidth="1"/>
    <col min="13566" max="13566" width="16.83203125" style="615" bestFit="1" customWidth="1"/>
    <col min="13567" max="13569" width="18.5" style="615" bestFit="1" customWidth="1"/>
    <col min="13570" max="13570" width="19.83203125" style="615" bestFit="1" customWidth="1"/>
    <col min="13571" max="13573" width="0" style="615" hidden="1" customWidth="1"/>
    <col min="13574" max="13574" width="18.1640625" style="615" bestFit="1" customWidth="1"/>
    <col min="13575" max="13575" width="19.1640625" style="615" customWidth="1"/>
    <col min="13576" max="13576" width="18.5" style="615" customWidth="1"/>
    <col min="13577" max="13577" width="15.5" style="615" bestFit="1" customWidth="1"/>
    <col min="13578" max="13578" width="18.5" style="615" bestFit="1" customWidth="1"/>
    <col min="13579" max="13579" width="18.1640625" style="615" bestFit="1" customWidth="1"/>
    <col min="13580" max="13580" width="19.83203125" style="615" bestFit="1" customWidth="1"/>
    <col min="13581" max="13581" width="21.33203125" style="615" bestFit="1" customWidth="1"/>
    <col min="13582" max="13582" width="22.5" style="615" bestFit="1" customWidth="1"/>
    <col min="13583" max="13583" width="32" style="615" customWidth="1"/>
    <col min="13584" max="13585" width="32.83203125" style="615" bestFit="1" customWidth="1"/>
    <col min="13586" max="13586" width="9.1640625" style="615"/>
    <col min="13587" max="13587" width="34.6640625" style="615" customWidth="1"/>
    <col min="13588" max="13811" width="9.1640625" style="615"/>
    <col min="13812" max="13812" width="6.83203125" style="615" customWidth="1"/>
    <col min="13813" max="13813" width="10.1640625" style="615" customWidth="1"/>
    <col min="13814" max="13814" width="32.33203125" style="615" customWidth="1"/>
    <col min="13815" max="13815" width="48.1640625" style="615" customWidth="1"/>
    <col min="13816" max="13816" width="22" style="615" bestFit="1" customWidth="1"/>
    <col min="13817" max="13817" width="19.83203125" style="615" bestFit="1" customWidth="1"/>
    <col min="13818" max="13818" width="21.33203125" style="615" customWidth="1"/>
    <col min="13819" max="13819" width="21" style="615" bestFit="1" customWidth="1"/>
    <col min="13820" max="13820" width="18.5" style="615" bestFit="1" customWidth="1"/>
    <col min="13821" max="13821" width="21.33203125" style="615" bestFit="1" customWidth="1"/>
    <col min="13822" max="13822" width="16.83203125" style="615" bestFit="1" customWidth="1"/>
    <col min="13823" max="13825" width="18.5" style="615" bestFit="1" customWidth="1"/>
    <col min="13826" max="13826" width="19.83203125" style="615" bestFit="1" customWidth="1"/>
    <col min="13827" max="13829" width="0" style="615" hidden="1" customWidth="1"/>
    <col min="13830" max="13830" width="18.1640625" style="615" bestFit="1" customWidth="1"/>
    <col min="13831" max="13831" width="19.1640625" style="615" customWidth="1"/>
    <col min="13832" max="13832" width="18.5" style="615" customWidth="1"/>
    <col min="13833" max="13833" width="15.5" style="615" bestFit="1" customWidth="1"/>
    <col min="13834" max="13834" width="18.5" style="615" bestFit="1" customWidth="1"/>
    <col min="13835" max="13835" width="18.1640625" style="615" bestFit="1" customWidth="1"/>
    <col min="13836" max="13836" width="19.83203125" style="615" bestFit="1" customWidth="1"/>
    <col min="13837" max="13837" width="21.33203125" style="615" bestFit="1" customWidth="1"/>
    <col min="13838" max="13838" width="22.5" style="615" bestFit="1" customWidth="1"/>
    <col min="13839" max="13839" width="32" style="615" customWidth="1"/>
    <col min="13840" max="13841" width="32.83203125" style="615" bestFit="1" customWidth="1"/>
    <col min="13842" max="13842" width="9.1640625" style="615"/>
    <col min="13843" max="13843" width="34.6640625" style="615" customWidth="1"/>
    <col min="13844" max="14067" width="9.1640625" style="615"/>
    <col min="14068" max="14068" width="6.83203125" style="615" customWidth="1"/>
    <col min="14069" max="14069" width="10.1640625" style="615" customWidth="1"/>
    <col min="14070" max="14070" width="32.33203125" style="615" customWidth="1"/>
    <col min="14071" max="14071" width="48.1640625" style="615" customWidth="1"/>
    <col min="14072" max="14072" width="22" style="615" bestFit="1" customWidth="1"/>
    <col min="14073" max="14073" width="19.83203125" style="615" bestFit="1" customWidth="1"/>
    <col min="14074" max="14074" width="21.33203125" style="615" customWidth="1"/>
    <col min="14075" max="14075" width="21" style="615" bestFit="1" customWidth="1"/>
    <col min="14076" max="14076" width="18.5" style="615" bestFit="1" customWidth="1"/>
    <col min="14077" max="14077" width="21.33203125" style="615" bestFit="1" customWidth="1"/>
    <col min="14078" max="14078" width="16.83203125" style="615" bestFit="1" customWidth="1"/>
    <col min="14079" max="14081" width="18.5" style="615" bestFit="1" customWidth="1"/>
    <col min="14082" max="14082" width="19.83203125" style="615" bestFit="1" customWidth="1"/>
    <col min="14083" max="14085" width="0" style="615" hidden="1" customWidth="1"/>
    <col min="14086" max="14086" width="18.1640625" style="615" bestFit="1" customWidth="1"/>
    <col min="14087" max="14087" width="19.1640625" style="615" customWidth="1"/>
    <col min="14088" max="14088" width="18.5" style="615" customWidth="1"/>
    <col min="14089" max="14089" width="15.5" style="615" bestFit="1" customWidth="1"/>
    <col min="14090" max="14090" width="18.5" style="615" bestFit="1" customWidth="1"/>
    <col min="14091" max="14091" width="18.1640625" style="615" bestFit="1" customWidth="1"/>
    <col min="14092" max="14092" width="19.83203125" style="615" bestFit="1" customWidth="1"/>
    <col min="14093" max="14093" width="21.33203125" style="615" bestFit="1" customWidth="1"/>
    <col min="14094" max="14094" width="22.5" style="615" bestFit="1" customWidth="1"/>
    <col min="14095" max="14095" width="32" style="615" customWidth="1"/>
    <col min="14096" max="14097" width="32.83203125" style="615" bestFit="1" customWidth="1"/>
    <col min="14098" max="14098" width="9.1640625" style="615"/>
    <col min="14099" max="14099" width="34.6640625" style="615" customWidth="1"/>
    <col min="14100" max="14323" width="9.1640625" style="615"/>
    <col min="14324" max="14324" width="6.83203125" style="615" customWidth="1"/>
    <col min="14325" max="14325" width="10.1640625" style="615" customWidth="1"/>
    <col min="14326" max="14326" width="32.33203125" style="615" customWidth="1"/>
    <col min="14327" max="14327" width="48.1640625" style="615" customWidth="1"/>
    <col min="14328" max="14328" width="22" style="615" bestFit="1" customWidth="1"/>
    <col min="14329" max="14329" width="19.83203125" style="615" bestFit="1" customWidth="1"/>
    <col min="14330" max="14330" width="21.33203125" style="615" customWidth="1"/>
    <col min="14331" max="14331" width="21" style="615" bestFit="1" customWidth="1"/>
    <col min="14332" max="14332" width="18.5" style="615" bestFit="1" customWidth="1"/>
    <col min="14333" max="14333" width="21.33203125" style="615" bestFit="1" customWidth="1"/>
    <col min="14334" max="14334" width="16.83203125" style="615" bestFit="1" customWidth="1"/>
    <col min="14335" max="14337" width="18.5" style="615" bestFit="1" customWidth="1"/>
    <col min="14338" max="14338" width="19.83203125" style="615" bestFit="1" customWidth="1"/>
    <col min="14339" max="14341" width="0" style="615" hidden="1" customWidth="1"/>
    <col min="14342" max="14342" width="18.1640625" style="615" bestFit="1" customWidth="1"/>
    <col min="14343" max="14343" width="19.1640625" style="615" customWidth="1"/>
    <col min="14344" max="14344" width="18.5" style="615" customWidth="1"/>
    <col min="14345" max="14345" width="15.5" style="615" bestFit="1" customWidth="1"/>
    <col min="14346" max="14346" width="18.5" style="615" bestFit="1" customWidth="1"/>
    <col min="14347" max="14347" width="18.1640625" style="615" bestFit="1" customWidth="1"/>
    <col min="14348" max="14348" width="19.83203125" style="615" bestFit="1" customWidth="1"/>
    <col min="14349" max="14349" width="21.33203125" style="615" bestFit="1" customWidth="1"/>
    <col min="14350" max="14350" width="22.5" style="615" bestFit="1" customWidth="1"/>
    <col min="14351" max="14351" width="32" style="615" customWidth="1"/>
    <col min="14352" max="14353" width="32.83203125" style="615" bestFit="1" customWidth="1"/>
    <col min="14354" max="14354" width="9.1640625" style="615"/>
    <col min="14355" max="14355" width="34.6640625" style="615" customWidth="1"/>
    <col min="14356" max="14579" width="9.1640625" style="615"/>
    <col min="14580" max="14580" width="6.83203125" style="615" customWidth="1"/>
    <col min="14581" max="14581" width="10.1640625" style="615" customWidth="1"/>
    <col min="14582" max="14582" width="32.33203125" style="615" customWidth="1"/>
    <col min="14583" max="14583" width="48.1640625" style="615" customWidth="1"/>
    <col min="14584" max="14584" width="22" style="615" bestFit="1" customWidth="1"/>
    <col min="14585" max="14585" width="19.83203125" style="615" bestFit="1" customWidth="1"/>
    <col min="14586" max="14586" width="21.33203125" style="615" customWidth="1"/>
    <col min="14587" max="14587" width="21" style="615" bestFit="1" customWidth="1"/>
    <col min="14588" max="14588" width="18.5" style="615" bestFit="1" customWidth="1"/>
    <col min="14589" max="14589" width="21.33203125" style="615" bestFit="1" customWidth="1"/>
    <col min="14590" max="14590" width="16.83203125" style="615" bestFit="1" customWidth="1"/>
    <col min="14591" max="14593" width="18.5" style="615" bestFit="1" customWidth="1"/>
    <col min="14594" max="14594" width="19.83203125" style="615" bestFit="1" customWidth="1"/>
    <col min="14595" max="14597" width="0" style="615" hidden="1" customWidth="1"/>
    <col min="14598" max="14598" width="18.1640625" style="615" bestFit="1" customWidth="1"/>
    <col min="14599" max="14599" width="19.1640625" style="615" customWidth="1"/>
    <col min="14600" max="14600" width="18.5" style="615" customWidth="1"/>
    <col min="14601" max="14601" width="15.5" style="615" bestFit="1" customWidth="1"/>
    <col min="14602" max="14602" width="18.5" style="615" bestFit="1" customWidth="1"/>
    <col min="14603" max="14603" width="18.1640625" style="615" bestFit="1" customWidth="1"/>
    <col min="14604" max="14604" width="19.83203125" style="615" bestFit="1" customWidth="1"/>
    <col min="14605" max="14605" width="21.33203125" style="615" bestFit="1" customWidth="1"/>
    <col min="14606" max="14606" width="22.5" style="615" bestFit="1" customWidth="1"/>
    <col min="14607" max="14607" width="32" style="615" customWidth="1"/>
    <col min="14608" max="14609" width="32.83203125" style="615" bestFit="1" customWidth="1"/>
    <col min="14610" max="14610" width="9.1640625" style="615"/>
    <col min="14611" max="14611" width="34.6640625" style="615" customWidth="1"/>
    <col min="14612" max="14835" width="9.1640625" style="615"/>
    <col min="14836" max="14836" width="6.83203125" style="615" customWidth="1"/>
    <col min="14837" max="14837" width="10.1640625" style="615" customWidth="1"/>
    <col min="14838" max="14838" width="32.33203125" style="615" customWidth="1"/>
    <col min="14839" max="14839" width="48.1640625" style="615" customWidth="1"/>
    <col min="14840" max="14840" width="22" style="615" bestFit="1" customWidth="1"/>
    <col min="14841" max="14841" width="19.83203125" style="615" bestFit="1" customWidth="1"/>
    <col min="14842" max="14842" width="21.33203125" style="615" customWidth="1"/>
    <col min="14843" max="14843" width="21" style="615" bestFit="1" customWidth="1"/>
    <col min="14844" max="14844" width="18.5" style="615" bestFit="1" customWidth="1"/>
    <col min="14845" max="14845" width="21.33203125" style="615" bestFit="1" customWidth="1"/>
    <col min="14846" max="14846" width="16.83203125" style="615" bestFit="1" customWidth="1"/>
    <col min="14847" max="14849" width="18.5" style="615" bestFit="1" customWidth="1"/>
    <col min="14850" max="14850" width="19.83203125" style="615" bestFit="1" customWidth="1"/>
    <col min="14851" max="14853" width="0" style="615" hidden="1" customWidth="1"/>
    <col min="14854" max="14854" width="18.1640625" style="615" bestFit="1" customWidth="1"/>
    <col min="14855" max="14855" width="19.1640625" style="615" customWidth="1"/>
    <col min="14856" max="14856" width="18.5" style="615" customWidth="1"/>
    <col min="14857" max="14857" width="15.5" style="615" bestFit="1" customWidth="1"/>
    <col min="14858" max="14858" width="18.5" style="615" bestFit="1" customWidth="1"/>
    <col min="14859" max="14859" width="18.1640625" style="615" bestFit="1" customWidth="1"/>
    <col min="14860" max="14860" width="19.83203125" style="615" bestFit="1" customWidth="1"/>
    <col min="14861" max="14861" width="21.33203125" style="615" bestFit="1" customWidth="1"/>
    <col min="14862" max="14862" width="22.5" style="615" bestFit="1" customWidth="1"/>
    <col min="14863" max="14863" width="32" style="615" customWidth="1"/>
    <col min="14864" max="14865" width="32.83203125" style="615" bestFit="1" customWidth="1"/>
    <col min="14866" max="14866" width="9.1640625" style="615"/>
    <col min="14867" max="14867" width="34.6640625" style="615" customWidth="1"/>
    <col min="14868" max="15091" width="9.1640625" style="615"/>
    <col min="15092" max="15092" width="6.83203125" style="615" customWidth="1"/>
    <col min="15093" max="15093" width="10.1640625" style="615" customWidth="1"/>
    <col min="15094" max="15094" width="32.33203125" style="615" customWidth="1"/>
    <col min="15095" max="15095" width="48.1640625" style="615" customWidth="1"/>
    <col min="15096" max="15096" width="22" style="615" bestFit="1" customWidth="1"/>
    <col min="15097" max="15097" width="19.83203125" style="615" bestFit="1" customWidth="1"/>
    <col min="15098" max="15098" width="21.33203125" style="615" customWidth="1"/>
    <col min="15099" max="15099" width="21" style="615" bestFit="1" customWidth="1"/>
    <col min="15100" max="15100" width="18.5" style="615" bestFit="1" customWidth="1"/>
    <col min="15101" max="15101" width="21.33203125" style="615" bestFit="1" customWidth="1"/>
    <col min="15102" max="15102" width="16.83203125" style="615" bestFit="1" customWidth="1"/>
    <col min="15103" max="15105" width="18.5" style="615" bestFit="1" customWidth="1"/>
    <col min="15106" max="15106" width="19.83203125" style="615" bestFit="1" customWidth="1"/>
    <col min="15107" max="15109" width="0" style="615" hidden="1" customWidth="1"/>
    <col min="15110" max="15110" width="18.1640625" style="615" bestFit="1" customWidth="1"/>
    <col min="15111" max="15111" width="19.1640625" style="615" customWidth="1"/>
    <col min="15112" max="15112" width="18.5" style="615" customWidth="1"/>
    <col min="15113" max="15113" width="15.5" style="615" bestFit="1" customWidth="1"/>
    <col min="15114" max="15114" width="18.5" style="615" bestFit="1" customWidth="1"/>
    <col min="15115" max="15115" width="18.1640625" style="615" bestFit="1" customWidth="1"/>
    <col min="15116" max="15116" width="19.83203125" style="615" bestFit="1" customWidth="1"/>
    <col min="15117" max="15117" width="21.33203125" style="615" bestFit="1" customWidth="1"/>
    <col min="15118" max="15118" width="22.5" style="615" bestFit="1" customWidth="1"/>
    <col min="15119" max="15119" width="32" style="615" customWidth="1"/>
    <col min="15120" max="15121" width="32.83203125" style="615" bestFit="1" customWidth="1"/>
    <col min="15122" max="15122" width="9.1640625" style="615"/>
    <col min="15123" max="15123" width="34.6640625" style="615" customWidth="1"/>
    <col min="15124" max="15347" width="9.1640625" style="615"/>
    <col min="15348" max="15348" width="6.83203125" style="615" customWidth="1"/>
    <col min="15349" max="15349" width="10.1640625" style="615" customWidth="1"/>
    <col min="15350" max="15350" width="32.33203125" style="615" customWidth="1"/>
    <col min="15351" max="15351" width="48.1640625" style="615" customWidth="1"/>
    <col min="15352" max="15352" width="22" style="615" bestFit="1" customWidth="1"/>
    <col min="15353" max="15353" width="19.83203125" style="615" bestFit="1" customWidth="1"/>
    <col min="15354" max="15354" width="21.33203125" style="615" customWidth="1"/>
    <col min="15355" max="15355" width="21" style="615" bestFit="1" customWidth="1"/>
    <col min="15356" max="15356" width="18.5" style="615" bestFit="1" customWidth="1"/>
    <col min="15357" max="15357" width="21.33203125" style="615" bestFit="1" customWidth="1"/>
    <col min="15358" max="15358" width="16.83203125" style="615" bestFit="1" customWidth="1"/>
    <col min="15359" max="15361" width="18.5" style="615" bestFit="1" customWidth="1"/>
    <col min="15362" max="15362" width="19.83203125" style="615" bestFit="1" customWidth="1"/>
    <col min="15363" max="15365" width="0" style="615" hidden="1" customWidth="1"/>
    <col min="15366" max="15366" width="18.1640625" style="615" bestFit="1" customWidth="1"/>
    <col min="15367" max="15367" width="19.1640625" style="615" customWidth="1"/>
    <col min="15368" max="15368" width="18.5" style="615" customWidth="1"/>
    <col min="15369" max="15369" width="15.5" style="615" bestFit="1" customWidth="1"/>
    <col min="15370" max="15370" width="18.5" style="615" bestFit="1" customWidth="1"/>
    <col min="15371" max="15371" width="18.1640625" style="615" bestFit="1" customWidth="1"/>
    <col min="15372" max="15372" width="19.83203125" style="615" bestFit="1" customWidth="1"/>
    <col min="15373" max="15373" width="21.33203125" style="615" bestFit="1" customWidth="1"/>
    <col min="15374" max="15374" width="22.5" style="615" bestFit="1" customWidth="1"/>
    <col min="15375" max="15375" width="32" style="615" customWidth="1"/>
    <col min="15376" max="15377" width="32.83203125" style="615" bestFit="1" customWidth="1"/>
    <col min="15378" max="15378" width="9.1640625" style="615"/>
    <col min="15379" max="15379" width="34.6640625" style="615" customWidth="1"/>
    <col min="15380" max="15603" width="9.1640625" style="615"/>
    <col min="15604" max="15604" width="6.83203125" style="615" customWidth="1"/>
    <col min="15605" max="15605" width="10.1640625" style="615" customWidth="1"/>
    <col min="15606" max="15606" width="32.33203125" style="615" customWidth="1"/>
    <col min="15607" max="15607" width="48.1640625" style="615" customWidth="1"/>
    <col min="15608" max="15608" width="22" style="615" bestFit="1" customWidth="1"/>
    <col min="15609" max="15609" width="19.83203125" style="615" bestFit="1" customWidth="1"/>
    <col min="15610" max="15610" width="21.33203125" style="615" customWidth="1"/>
    <col min="15611" max="15611" width="21" style="615" bestFit="1" customWidth="1"/>
    <col min="15612" max="15612" width="18.5" style="615" bestFit="1" customWidth="1"/>
    <col min="15613" max="15613" width="21.33203125" style="615" bestFit="1" customWidth="1"/>
    <col min="15614" max="15614" width="16.83203125" style="615" bestFit="1" customWidth="1"/>
    <col min="15615" max="15617" width="18.5" style="615" bestFit="1" customWidth="1"/>
    <col min="15618" max="15618" width="19.83203125" style="615" bestFit="1" customWidth="1"/>
    <col min="15619" max="15621" width="0" style="615" hidden="1" customWidth="1"/>
    <col min="15622" max="15622" width="18.1640625" style="615" bestFit="1" customWidth="1"/>
    <col min="15623" max="15623" width="19.1640625" style="615" customWidth="1"/>
    <col min="15624" max="15624" width="18.5" style="615" customWidth="1"/>
    <col min="15625" max="15625" width="15.5" style="615" bestFit="1" customWidth="1"/>
    <col min="15626" max="15626" width="18.5" style="615" bestFit="1" customWidth="1"/>
    <col min="15627" max="15627" width="18.1640625" style="615" bestFit="1" customWidth="1"/>
    <col min="15628" max="15628" width="19.83203125" style="615" bestFit="1" customWidth="1"/>
    <col min="15629" max="15629" width="21.33203125" style="615" bestFit="1" customWidth="1"/>
    <col min="15630" max="15630" width="22.5" style="615" bestFit="1" customWidth="1"/>
    <col min="15631" max="15631" width="32" style="615" customWidth="1"/>
    <col min="15632" max="15633" width="32.83203125" style="615" bestFit="1" customWidth="1"/>
    <col min="15634" max="15634" width="9.1640625" style="615"/>
    <col min="15635" max="15635" width="34.6640625" style="615" customWidth="1"/>
    <col min="15636" max="15859" width="9.1640625" style="615"/>
    <col min="15860" max="15860" width="6.83203125" style="615" customWidth="1"/>
    <col min="15861" max="15861" width="10.1640625" style="615" customWidth="1"/>
    <col min="15862" max="15862" width="32.33203125" style="615" customWidth="1"/>
    <col min="15863" max="15863" width="48.1640625" style="615" customWidth="1"/>
    <col min="15864" max="15864" width="22" style="615" bestFit="1" customWidth="1"/>
    <col min="15865" max="15865" width="19.83203125" style="615" bestFit="1" customWidth="1"/>
    <col min="15866" max="15866" width="21.33203125" style="615" customWidth="1"/>
    <col min="15867" max="15867" width="21" style="615" bestFit="1" customWidth="1"/>
    <col min="15868" max="15868" width="18.5" style="615" bestFit="1" customWidth="1"/>
    <col min="15869" max="15869" width="21.33203125" style="615" bestFit="1" customWidth="1"/>
    <col min="15870" max="15870" width="16.83203125" style="615" bestFit="1" customWidth="1"/>
    <col min="15871" max="15873" width="18.5" style="615" bestFit="1" customWidth="1"/>
    <col min="15874" max="15874" width="19.83203125" style="615" bestFit="1" customWidth="1"/>
    <col min="15875" max="15877" width="0" style="615" hidden="1" customWidth="1"/>
    <col min="15878" max="15878" width="18.1640625" style="615" bestFit="1" customWidth="1"/>
    <col min="15879" max="15879" width="19.1640625" style="615" customWidth="1"/>
    <col min="15880" max="15880" width="18.5" style="615" customWidth="1"/>
    <col min="15881" max="15881" width="15.5" style="615" bestFit="1" customWidth="1"/>
    <col min="15882" max="15882" width="18.5" style="615" bestFit="1" customWidth="1"/>
    <col min="15883" max="15883" width="18.1640625" style="615" bestFit="1" customWidth="1"/>
    <col min="15884" max="15884" width="19.83203125" style="615" bestFit="1" customWidth="1"/>
    <col min="15885" max="15885" width="21.33203125" style="615" bestFit="1" customWidth="1"/>
    <col min="15886" max="15886" width="22.5" style="615" bestFit="1" customWidth="1"/>
    <col min="15887" max="15887" width="32" style="615" customWidth="1"/>
    <col min="15888" max="15889" width="32.83203125" style="615" bestFit="1" customWidth="1"/>
    <col min="15890" max="15890" width="9.1640625" style="615"/>
    <col min="15891" max="15891" width="34.6640625" style="615" customWidth="1"/>
    <col min="15892" max="16115" width="9.1640625" style="615"/>
    <col min="16116" max="16116" width="6.83203125" style="615" customWidth="1"/>
    <col min="16117" max="16117" width="10.1640625" style="615" customWidth="1"/>
    <col min="16118" max="16118" width="32.33203125" style="615" customWidth="1"/>
    <col min="16119" max="16119" width="48.1640625" style="615" customWidth="1"/>
    <col min="16120" max="16120" width="22" style="615" bestFit="1" customWidth="1"/>
    <col min="16121" max="16121" width="19.83203125" style="615" bestFit="1" customWidth="1"/>
    <col min="16122" max="16122" width="21.33203125" style="615" customWidth="1"/>
    <col min="16123" max="16123" width="21" style="615" bestFit="1" customWidth="1"/>
    <col min="16124" max="16124" width="18.5" style="615" bestFit="1" customWidth="1"/>
    <col min="16125" max="16125" width="21.33203125" style="615" bestFit="1" customWidth="1"/>
    <col min="16126" max="16126" width="16.83203125" style="615" bestFit="1" customWidth="1"/>
    <col min="16127" max="16129" width="18.5" style="615" bestFit="1" customWidth="1"/>
    <col min="16130" max="16130" width="19.83203125" style="615" bestFit="1" customWidth="1"/>
    <col min="16131" max="16133" width="0" style="615" hidden="1" customWidth="1"/>
    <col min="16134" max="16134" width="18.1640625" style="615" bestFit="1" customWidth="1"/>
    <col min="16135" max="16135" width="19.1640625" style="615" customWidth="1"/>
    <col min="16136" max="16136" width="18.5" style="615" customWidth="1"/>
    <col min="16137" max="16137" width="15.5" style="615" bestFit="1" customWidth="1"/>
    <col min="16138" max="16138" width="18.5" style="615" bestFit="1" customWidth="1"/>
    <col min="16139" max="16139" width="18.1640625" style="615" bestFit="1" customWidth="1"/>
    <col min="16140" max="16140" width="19.83203125" style="615" bestFit="1" customWidth="1"/>
    <col min="16141" max="16141" width="21.33203125" style="615" bestFit="1" customWidth="1"/>
    <col min="16142" max="16142" width="22.5" style="615" bestFit="1" customWidth="1"/>
    <col min="16143" max="16143" width="32" style="615" customWidth="1"/>
    <col min="16144" max="16145" width="32.83203125" style="615" bestFit="1" customWidth="1"/>
    <col min="16146" max="16146" width="9.1640625" style="615"/>
    <col min="16147" max="16147" width="34.6640625" style="615" customWidth="1"/>
    <col min="16148" max="16384" width="9.1640625" style="615"/>
  </cols>
  <sheetData>
    <row r="1" spans="1:30" s="587" customFormat="1" x14ac:dyDescent="0.2">
      <c r="A1" s="549" t="s">
        <v>687</v>
      </c>
      <c r="B1" s="584"/>
      <c r="C1" s="584"/>
      <c r="D1" s="549"/>
      <c r="E1" s="585"/>
      <c r="F1" s="585"/>
      <c r="G1" s="585"/>
      <c r="H1" s="585"/>
      <c r="I1" s="585"/>
      <c r="J1" s="585"/>
      <c r="K1" s="585"/>
      <c r="L1" s="585"/>
      <c r="M1" s="585"/>
      <c r="N1" s="585"/>
      <c r="O1" s="585"/>
      <c r="P1" s="585"/>
      <c r="Q1" s="585"/>
      <c r="R1" s="585"/>
      <c r="S1" s="585"/>
      <c r="T1" s="585"/>
      <c r="U1" s="586"/>
      <c r="V1" s="586"/>
      <c r="W1" s="586"/>
      <c r="X1" s="586"/>
    </row>
    <row r="2" spans="1:30" s="587" customFormat="1" x14ac:dyDescent="0.2">
      <c r="A2" s="412" t="s">
        <v>613</v>
      </c>
      <c r="B2" s="588"/>
      <c r="C2" s="588"/>
      <c r="D2" s="412"/>
      <c r="E2" s="585"/>
      <c r="F2" s="585"/>
      <c r="G2" s="585"/>
      <c r="H2" s="585"/>
      <c r="I2" s="585"/>
      <c r="J2" s="585"/>
      <c r="K2" s="585"/>
      <c r="L2" s="585"/>
      <c r="M2" s="585"/>
      <c r="N2" s="585"/>
      <c r="O2" s="585"/>
      <c r="P2" s="585"/>
      <c r="Q2" s="585"/>
      <c r="R2" s="585"/>
      <c r="S2" s="585"/>
      <c r="T2" s="585"/>
      <c r="U2" s="586"/>
      <c r="V2" s="586"/>
      <c r="W2" s="586"/>
      <c r="X2" s="586"/>
    </row>
    <row r="3" spans="1:30" s="587" customFormat="1" x14ac:dyDescent="0.2">
      <c r="A3" s="549" t="s">
        <v>686</v>
      </c>
      <c r="B3" s="549"/>
      <c r="C3" s="549"/>
      <c r="D3" s="585"/>
      <c r="E3" s="585"/>
      <c r="F3" s="585"/>
      <c r="G3" s="585"/>
      <c r="H3" s="585"/>
      <c r="I3" s="585"/>
      <c r="J3" s="585"/>
      <c r="K3" s="585"/>
      <c r="L3" s="585"/>
      <c r="M3" s="585"/>
      <c r="N3" s="585"/>
      <c r="O3" s="585"/>
      <c r="P3" s="585"/>
      <c r="Q3" s="585"/>
      <c r="R3" s="585"/>
      <c r="S3" s="585"/>
      <c r="T3" s="585"/>
      <c r="U3" s="586"/>
      <c r="V3" s="586"/>
      <c r="W3" s="586"/>
      <c r="X3" s="586"/>
    </row>
    <row r="4" spans="1:30" s="587" customFormat="1" x14ac:dyDescent="0.2">
      <c r="A4" s="412" t="s">
        <v>710</v>
      </c>
      <c r="B4" s="584"/>
      <c r="C4" s="584"/>
      <c r="D4" s="549"/>
      <c r="E4" s="585"/>
      <c r="F4" s="585"/>
      <c r="G4" s="585"/>
      <c r="H4" s="585"/>
      <c r="I4" s="585"/>
      <c r="J4" s="585"/>
      <c r="K4" s="585"/>
      <c r="L4" s="585"/>
      <c r="M4" s="585"/>
      <c r="N4" s="585"/>
      <c r="O4" s="585"/>
      <c r="P4" s="585"/>
      <c r="Q4" s="585"/>
      <c r="R4" s="585"/>
      <c r="S4" s="585"/>
      <c r="T4" s="585"/>
      <c r="U4" s="586"/>
      <c r="V4" s="586"/>
      <c r="W4" s="586"/>
      <c r="X4" s="586"/>
    </row>
    <row r="5" spans="1:30" s="587" customFormat="1" x14ac:dyDescent="0.2">
      <c r="A5" s="549" t="s">
        <v>614</v>
      </c>
      <c r="B5" s="584"/>
      <c r="C5" s="584"/>
      <c r="D5" s="549"/>
      <c r="E5" s="585"/>
      <c r="F5" s="585"/>
      <c r="G5" s="585"/>
      <c r="H5" s="585"/>
      <c r="I5" s="585"/>
      <c r="J5" s="585"/>
      <c r="K5" s="585"/>
      <c r="L5" s="585"/>
      <c r="M5" s="585"/>
      <c r="N5" s="585"/>
      <c r="O5" s="585"/>
      <c r="P5" s="585"/>
      <c r="Q5" s="585"/>
      <c r="R5" s="585"/>
      <c r="S5" s="585"/>
      <c r="T5" s="585"/>
      <c r="U5" s="586"/>
      <c r="V5" s="586"/>
      <c r="W5" s="586"/>
      <c r="X5" s="586"/>
    </row>
    <row r="6" spans="1:30" s="589" customFormat="1" ht="27" x14ac:dyDescent="0.35">
      <c r="A6" s="1017" t="s">
        <v>627</v>
      </c>
      <c r="B6" s="1017"/>
      <c r="C6" s="1017"/>
      <c r="D6" s="1017"/>
      <c r="E6" s="1017"/>
      <c r="F6" s="1017"/>
      <c r="G6" s="1017"/>
      <c r="H6" s="1017"/>
      <c r="I6" s="1017"/>
      <c r="J6" s="1017"/>
      <c r="K6" s="1017"/>
      <c r="L6" s="1017"/>
      <c r="M6" s="1017"/>
      <c r="N6" s="1017"/>
      <c r="O6" s="1017"/>
      <c r="P6" s="1017"/>
      <c r="Q6" s="1017"/>
      <c r="R6" s="1017"/>
      <c r="S6" s="1017"/>
      <c r="T6" s="1017"/>
      <c r="U6" s="1017"/>
      <c r="V6" s="1017"/>
      <c r="W6" s="550"/>
      <c r="X6" s="550"/>
    </row>
    <row r="7" spans="1:30" s="589" customFormat="1" ht="27" x14ac:dyDescent="0.35">
      <c r="A7" s="550"/>
      <c r="B7" s="550"/>
      <c r="C7" s="550"/>
      <c r="D7" s="550"/>
      <c r="E7" s="550"/>
      <c r="F7" s="550"/>
      <c r="G7" s="550"/>
      <c r="H7" s="550"/>
      <c r="I7" s="550"/>
      <c r="J7" s="550"/>
      <c r="K7" s="550"/>
      <c r="L7" s="550"/>
      <c r="M7" s="550"/>
      <c r="N7" s="550"/>
      <c r="O7" s="550"/>
      <c r="P7" s="550"/>
      <c r="Q7" s="550"/>
      <c r="R7" s="550"/>
      <c r="S7" s="550"/>
      <c r="T7" s="551"/>
      <c r="U7" s="550"/>
      <c r="V7" s="550"/>
      <c r="W7" s="550"/>
      <c r="X7" s="550"/>
    </row>
    <row r="8" spans="1:30" s="589" customFormat="1" ht="27" x14ac:dyDescent="0.35">
      <c r="A8" s="1017" t="s">
        <v>628</v>
      </c>
      <c r="B8" s="1017"/>
      <c r="C8" s="1017"/>
      <c r="D8" s="1017"/>
      <c r="E8" s="1017"/>
      <c r="F8" s="1017"/>
      <c r="G8" s="1017"/>
      <c r="H8" s="1017"/>
      <c r="I8" s="1017"/>
      <c r="J8" s="1017"/>
      <c r="K8" s="1017"/>
      <c r="L8" s="1017"/>
      <c r="M8" s="1017"/>
      <c r="N8" s="1017"/>
      <c r="O8" s="1017"/>
      <c r="P8" s="1017"/>
      <c r="Q8" s="1017"/>
      <c r="R8" s="1017"/>
      <c r="S8" s="1017"/>
      <c r="T8" s="1017"/>
      <c r="U8" s="1017"/>
      <c r="V8" s="1017"/>
      <c r="W8" s="550"/>
      <c r="X8" s="550"/>
    </row>
    <row r="9" spans="1:30" s="589" customFormat="1" ht="25.5" x14ac:dyDescent="0.35">
      <c r="A9" s="552"/>
      <c r="B9" s="552"/>
      <c r="C9" s="552"/>
      <c r="D9" s="552"/>
      <c r="E9" s="552"/>
      <c r="F9" s="552"/>
      <c r="G9" s="552"/>
      <c r="H9" s="552"/>
      <c r="I9" s="552"/>
      <c r="J9" s="552"/>
      <c r="K9" s="552"/>
      <c r="L9" s="552"/>
      <c r="M9" s="552"/>
      <c r="N9" s="552"/>
      <c r="O9" s="552"/>
      <c r="P9" s="552"/>
      <c r="Q9" s="552"/>
      <c r="R9" s="552"/>
      <c r="S9" s="552"/>
      <c r="T9" s="552"/>
      <c r="U9" s="552"/>
      <c r="V9" s="552"/>
      <c r="W9" s="552"/>
      <c r="X9" s="552"/>
    </row>
    <row r="10" spans="1:30" s="590" customFormat="1" ht="54.75" customHeight="1" x14ac:dyDescent="0.2">
      <c r="A10" s="1018" t="s">
        <v>0</v>
      </c>
      <c r="B10" s="1009" t="s">
        <v>1</v>
      </c>
      <c r="C10" s="1009" t="s">
        <v>324</v>
      </c>
      <c r="D10" s="1020" t="s">
        <v>325</v>
      </c>
      <c r="E10" s="1009" t="s">
        <v>2</v>
      </c>
      <c r="F10" s="1011" t="s">
        <v>3</v>
      </c>
      <c r="G10" s="1012"/>
      <c r="H10" s="1013"/>
      <c r="I10" s="1011" t="s">
        <v>4</v>
      </c>
      <c r="J10" s="1012"/>
      <c r="K10" s="1013"/>
      <c r="L10" s="1011" t="s">
        <v>5</v>
      </c>
      <c r="M10" s="1012"/>
      <c r="N10" s="1013"/>
      <c r="O10" s="1011" t="s">
        <v>6</v>
      </c>
      <c r="P10" s="1013"/>
      <c r="Q10" s="1011" t="s">
        <v>615</v>
      </c>
      <c r="R10" s="1012"/>
      <c r="S10" s="1013"/>
      <c r="T10" s="1011" t="s">
        <v>7</v>
      </c>
      <c r="U10" s="1012"/>
      <c r="V10" s="1013"/>
      <c r="W10" s="1009" t="s">
        <v>616</v>
      </c>
      <c r="X10" s="1009" t="s">
        <v>617</v>
      </c>
      <c r="Y10" s="1014" t="s">
        <v>8</v>
      </c>
    </row>
    <row r="11" spans="1:30" s="589" customFormat="1" ht="93.75" x14ac:dyDescent="0.2">
      <c r="A11" s="1019"/>
      <c r="B11" s="1010"/>
      <c r="C11" s="1010"/>
      <c r="D11" s="1021"/>
      <c r="E11" s="1010"/>
      <c r="F11" s="553" t="s">
        <v>9</v>
      </c>
      <c r="G11" s="554" t="s">
        <v>10</v>
      </c>
      <c r="H11" s="554" t="s">
        <v>618</v>
      </c>
      <c r="I11" s="553" t="s">
        <v>11</v>
      </c>
      <c r="J11" s="553" t="s">
        <v>12</v>
      </c>
      <c r="K11" s="554" t="s">
        <v>13</v>
      </c>
      <c r="L11" s="553" t="s">
        <v>11</v>
      </c>
      <c r="M11" s="553" t="s">
        <v>12</v>
      </c>
      <c r="N11" s="554" t="s">
        <v>618</v>
      </c>
      <c r="O11" s="553" t="s">
        <v>14</v>
      </c>
      <c r="P11" s="553" t="s">
        <v>15</v>
      </c>
      <c r="Q11" s="553" t="s">
        <v>11</v>
      </c>
      <c r="R11" s="553" t="s">
        <v>12</v>
      </c>
      <c r="S11" s="554" t="s">
        <v>618</v>
      </c>
      <c r="T11" s="553" t="s">
        <v>16</v>
      </c>
      <c r="U11" s="553" t="s">
        <v>12</v>
      </c>
      <c r="V11" s="554" t="s">
        <v>618</v>
      </c>
      <c r="W11" s="1010"/>
      <c r="X11" s="1010"/>
      <c r="Y11" s="1015"/>
    </row>
    <row r="12" spans="1:30" s="589" customFormat="1" ht="23.25" x14ac:dyDescent="0.2">
      <c r="A12" s="555">
        <v>1</v>
      </c>
      <c r="B12" s="555">
        <v>2</v>
      </c>
      <c r="C12" s="555">
        <v>3</v>
      </c>
      <c r="D12" s="555">
        <v>4</v>
      </c>
      <c r="E12" s="555">
        <v>5</v>
      </c>
      <c r="F12" s="555">
        <v>6</v>
      </c>
      <c r="G12" s="555">
        <v>7</v>
      </c>
      <c r="H12" s="555">
        <v>8</v>
      </c>
      <c r="I12" s="555">
        <v>9</v>
      </c>
      <c r="J12" s="555">
        <v>10</v>
      </c>
      <c r="K12" s="555">
        <v>11</v>
      </c>
      <c r="L12" s="555">
        <v>12</v>
      </c>
      <c r="M12" s="555">
        <v>13</v>
      </c>
      <c r="N12" s="555">
        <v>14</v>
      </c>
      <c r="O12" s="555">
        <v>15</v>
      </c>
      <c r="P12" s="555">
        <v>16</v>
      </c>
      <c r="Q12" s="555">
        <v>17</v>
      </c>
      <c r="R12" s="555">
        <v>18</v>
      </c>
      <c r="S12" s="555">
        <v>19</v>
      </c>
      <c r="T12" s="555">
        <v>20</v>
      </c>
      <c r="U12" s="555">
        <v>21</v>
      </c>
      <c r="V12" s="555">
        <v>22</v>
      </c>
      <c r="W12" s="555">
        <v>23</v>
      </c>
      <c r="X12" s="555">
        <v>24</v>
      </c>
      <c r="Y12" s="555">
        <v>25</v>
      </c>
    </row>
    <row r="13" spans="1:30" s="589" customFormat="1" ht="75" x14ac:dyDescent="0.2">
      <c r="A13" s="556" t="s">
        <v>17</v>
      </c>
      <c r="B13" s="557" t="s">
        <v>711</v>
      </c>
      <c r="C13" s="569" t="s">
        <v>444</v>
      </c>
      <c r="D13" s="569" t="s">
        <v>443</v>
      </c>
      <c r="E13" s="591" t="s">
        <v>445</v>
      </c>
      <c r="F13" s="558">
        <f>'1_16.1'!J113</f>
        <v>3141.58</v>
      </c>
      <c r="G13" s="558">
        <f>'1_16.1'!L113</f>
        <v>16654.71</v>
      </c>
      <c r="H13" s="559">
        <f>G13*0.925</f>
        <v>15405.61</v>
      </c>
      <c r="I13" s="560"/>
      <c r="J13" s="560"/>
      <c r="K13" s="559"/>
      <c r="L13" s="559">
        <v>0</v>
      </c>
      <c r="M13" s="559">
        <v>0</v>
      </c>
      <c r="N13" s="559">
        <f>M13</f>
        <v>0</v>
      </c>
      <c r="O13" s="558">
        <f>'1_16.1'!J116</f>
        <v>3098.33</v>
      </c>
      <c r="P13" s="558">
        <f>'1_16.1'!L116</f>
        <v>15857.12</v>
      </c>
      <c r="Q13" s="559">
        <f>'1_16.1'!J118</f>
        <v>2</v>
      </c>
      <c r="R13" s="559">
        <f>'1_16.1'!L118</f>
        <v>48.41</v>
      </c>
      <c r="S13" s="558">
        <f>'1_16.1'!L126</f>
        <v>44.78</v>
      </c>
      <c r="T13" s="561">
        <f>F13+I13+L13+Q13</f>
        <v>3143.58</v>
      </c>
      <c r="U13" s="559">
        <f>G13+J13+M13+R13</f>
        <v>16703.12</v>
      </c>
      <c r="V13" s="561">
        <f>S13+H13</f>
        <v>15450.39</v>
      </c>
      <c r="W13" s="561"/>
      <c r="X13" s="561"/>
      <c r="Y13" s="562" t="s">
        <v>619</v>
      </c>
      <c r="Z13" s="592"/>
      <c r="AD13" s="592">
        <f>V13+V14</f>
        <v>95255.79</v>
      </c>
    </row>
    <row r="14" spans="1:30" s="589" customFormat="1" ht="93.75" x14ac:dyDescent="0.2">
      <c r="A14" s="556" t="s">
        <v>18</v>
      </c>
      <c r="B14" s="557" t="s">
        <v>712</v>
      </c>
      <c r="C14" s="569" t="s">
        <v>454</v>
      </c>
      <c r="D14" s="569" t="s">
        <v>453</v>
      </c>
      <c r="E14" s="591" t="s">
        <v>455</v>
      </c>
      <c r="F14" s="558">
        <f>'2_16.2'!J194</f>
        <v>10793.24</v>
      </c>
      <c r="G14" s="558">
        <f>'2_16.2'!L194</f>
        <v>83283.350000000006</v>
      </c>
      <c r="H14" s="559">
        <f t="shared" ref="H14:H22" si="0">G14*0.925</f>
        <v>77037.100000000006</v>
      </c>
      <c r="I14" s="560"/>
      <c r="J14" s="560"/>
      <c r="K14" s="559"/>
      <c r="L14" s="559"/>
      <c r="M14" s="559"/>
      <c r="N14" s="559"/>
      <c r="O14" s="558">
        <f>'2_16.2'!J197</f>
        <v>7520.33</v>
      </c>
      <c r="P14" s="558">
        <f>'2_16.2'!L197</f>
        <v>22813.21</v>
      </c>
      <c r="Q14" s="559">
        <f>'2_16.2'!J199</f>
        <v>123.51</v>
      </c>
      <c r="R14" s="559">
        <v>2992.75</v>
      </c>
      <c r="S14" s="558">
        <f>'2_16.2'!L207</f>
        <v>2768.3</v>
      </c>
      <c r="T14" s="561">
        <f t="shared" ref="T14:T21" si="1">F14+I14+L14+Q14</f>
        <v>10916.75</v>
      </c>
      <c r="U14" s="559">
        <f>G14+J14+M14+R14</f>
        <v>86276.1</v>
      </c>
      <c r="V14" s="561">
        <f t="shared" ref="V14:V22" si="2">S14+H14</f>
        <v>79805.399999999994</v>
      </c>
      <c r="W14" s="561"/>
      <c r="X14" s="561"/>
      <c r="Y14" s="562" t="s">
        <v>619</v>
      </c>
      <c r="Z14" s="592"/>
      <c r="AD14" s="592">
        <f>V15+V16+V17</f>
        <v>2067726.49</v>
      </c>
    </row>
    <row r="15" spans="1:30" s="589" customFormat="1" ht="93.75" x14ac:dyDescent="0.2">
      <c r="A15" s="556" t="s">
        <v>25</v>
      </c>
      <c r="B15" s="557" t="s">
        <v>713</v>
      </c>
      <c r="C15" s="569" t="s">
        <v>454</v>
      </c>
      <c r="D15" s="569" t="s">
        <v>453</v>
      </c>
      <c r="E15" s="591" t="s">
        <v>455</v>
      </c>
      <c r="F15" s="558">
        <f>'3_16.3'!J586</f>
        <v>153838.06</v>
      </c>
      <c r="G15" s="558">
        <f>'3_16.3'!L586</f>
        <v>1062883.3500000001</v>
      </c>
      <c r="H15" s="559">
        <f t="shared" si="0"/>
        <v>983167.1</v>
      </c>
      <c r="I15" s="560"/>
      <c r="J15" s="560"/>
      <c r="K15" s="559"/>
      <c r="L15" s="559"/>
      <c r="M15" s="559"/>
      <c r="N15" s="559"/>
      <c r="O15" s="558">
        <f>'3_16.3'!J589</f>
        <v>125042.62</v>
      </c>
      <c r="P15" s="558">
        <f>'3_16.3'!L589</f>
        <v>526830.59</v>
      </c>
      <c r="Q15" s="559">
        <f>'3_16.3'!J593</f>
        <v>1366.07</v>
      </c>
      <c r="R15" s="559">
        <f>'3_16.3'!L593</f>
        <v>33099.94</v>
      </c>
      <c r="S15" s="558">
        <f>'3_16.3'!L601</f>
        <v>30617.45</v>
      </c>
      <c r="T15" s="561">
        <f t="shared" si="1"/>
        <v>155204.13</v>
      </c>
      <c r="U15" s="559">
        <f t="shared" ref="U15:U22" si="3">G15+J15+M15+R15</f>
        <v>1095983.29</v>
      </c>
      <c r="V15" s="561">
        <f t="shared" si="2"/>
        <v>1013784.55</v>
      </c>
      <c r="W15" s="561"/>
      <c r="X15" s="561"/>
      <c r="Y15" s="562" t="s">
        <v>619</v>
      </c>
      <c r="Z15" s="592"/>
    </row>
    <row r="16" spans="1:30" s="589" customFormat="1" ht="56.25" x14ac:dyDescent="0.2">
      <c r="A16" s="556" t="s">
        <v>19</v>
      </c>
      <c r="B16" s="557" t="s">
        <v>714</v>
      </c>
      <c r="C16" s="569" t="s">
        <v>516</v>
      </c>
      <c r="D16" s="569" t="s">
        <v>515</v>
      </c>
      <c r="E16" s="591" t="s">
        <v>517</v>
      </c>
      <c r="F16" s="558">
        <f>'4_16.4'!J345</f>
        <v>131931.06</v>
      </c>
      <c r="G16" s="558">
        <f>'4_16.4'!L345</f>
        <v>932931.29</v>
      </c>
      <c r="H16" s="559">
        <f t="shared" si="0"/>
        <v>862961.44</v>
      </c>
      <c r="I16" s="560"/>
      <c r="J16" s="560"/>
      <c r="K16" s="559"/>
      <c r="L16" s="559"/>
      <c r="M16" s="559"/>
      <c r="N16" s="559"/>
      <c r="O16" s="558">
        <f>'4_16.4'!J348</f>
        <v>112126.36</v>
      </c>
      <c r="P16" s="558">
        <f>'4_16.4'!L348</f>
        <v>566390.68999999994</v>
      </c>
      <c r="Q16" s="559">
        <f>'4_16.4'!J352</f>
        <v>921.95</v>
      </c>
      <c r="R16" s="559">
        <f>'4_16.4'!L352</f>
        <v>22338.76</v>
      </c>
      <c r="S16" s="558">
        <f>'4_16.4'!L360</f>
        <v>20663.349999999999</v>
      </c>
      <c r="T16" s="561">
        <f t="shared" si="1"/>
        <v>132853.01</v>
      </c>
      <c r="U16" s="559">
        <f t="shared" si="3"/>
        <v>955270.05</v>
      </c>
      <c r="V16" s="561">
        <f t="shared" si="2"/>
        <v>883624.79</v>
      </c>
      <c r="W16" s="561"/>
      <c r="X16" s="561"/>
      <c r="Y16" s="562" t="s">
        <v>619</v>
      </c>
      <c r="Z16" s="592"/>
    </row>
    <row r="17" spans="1:26" s="589" customFormat="1" ht="56.25" x14ac:dyDescent="0.2">
      <c r="A17" s="556" t="s">
        <v>20</v>
      </c>
      <c r="B17" s="557" t="s">
        <v>715</v>
      </c>
      <c r="C17" s="569" t="s">
        <v>516</v>
      </c>
      <c r="D17" s="569" t="s">
        <v>515</v>
      </c>
      <c r="E17" s="591" t="s">
        <v>517</v>
      </c>
      <c r="F17" s="558">
        <f>'5_16.5'!J142</f>
        <v>24802.13</v>
      </c>
      <c r="G17" s="558">
        <f>'5_16.5'!L142</f>
        <v>179037.04</v>
      </c>
      <c r="H17" s="559">
        <f t="shared" si="0"/>
        <v>165609.26</v>
      </c>
      <c r="I17" s="560"/>
      <c r="J17" s="560"/>
      <c r="K17" s="559"/>
      <c r="L17" s="559"/>
      <c r="M17" s="559"/>
      <c r="N17" s="559"/>
      <c r="O17" s="558">
        <f>'5_16.5'!J145</f>
        <v>20291.73</v>
      </c>
      <c r="P17" s="558">
        <f>'5_16.5'!L145</f>
        <v>95551.61</v>
      </c>
      <c r="Q17" s="559">
        <f>'5_16.5'!J149</f>
        <v>210.05</v>
      </c>
      <c r="R17" s="559">
        <f>'5_16.5'!L149</f>
        <v>5089.6099999999997</v>
      </c>
      <c r="S17" s="558">
        <f>'5_16.5'!L157</f>
        <v>4707.8900000000003</v>
      </c>
      <c r="T17" s="561">
        <f t="shared" si="1"/>
        <v>25012.18</v>
      </c>
      <c r="U17" s="559">
        <f t="shared" si="3"/>
        <v>184126.65</v>
      </c>
      <c r="V17" s="561">
        <f t="shared" si="2"/>
        <v>170317.15</v>
      </c>
      <c r="W17" s="561"/>
      <c r="X17" s="561"/>
      <c r="Y17" s="562" t="s">
        <v>619</v>
      </c>
      <c r="Z17" s="592"/>
    </row>
    <row r="18" spans="1:26" s="589" customFormat="1" ht="93.75" x14ac:dyDescent="0.2">
      <c r="A18" s="556" t="s">
        <v>21</v>
      </c>
      <c r="B18" s="557" t="s">
        <v>716</v>
      </c>
      <c r="C18" s="569" t="s">
        <v>454</v>
      </c>
      <c r="D18" s="569" t="s">
        <v>453</v>
      </c>
      <c r="E18" s="591" t="s">
        <v>455</v>
      </c>
      <c r="F18" s="558">
        <f>'6_16.6'!J51</f>
        <v>9042.42</v>
      </c>
      <c r="G18" s="558">
        <f>'6_16.6'!L51</f>
        <v>61704.27</v>
      </c>
      <c r="H18" s="559">
        <f t="shared" si="0"/>
        <v>57076.45</v>
      </c>
      <c r="I18" s="560"/>
      <c r="J18" s="560"/>
      <c r="K18" s="559"/>
      <c r="L18" s="559"/>
      <c r="M18" s="559"/>
      <c r="N18" s="559"/>
      <c r="O18" s="558">
        <f>'6_16.6'!J54</f>
        <v>8186.62</v>
      </c>
      <c r="P18" s="558">
        <f>'6_16.6'!L54</f>
        <v>45806.83</v>
      </c>
      <c r="Q18" s="559">
        <f>'6_16.6'!J58</f>
        <v>40.1</v>
      </c>
      <c r="R18" s="559">
        <f>'6_16.6'!L58</f>
        <v>971.65</v>
      </c>
      <c r="S18" s="558">
        <f>'6_16.6'!L66</f>
        <v>898.77</v>
      </c>
      <c r="T18" s="561">
        <f t="shared" si="1"/>
        <v>9082.52</v>
      </c>
      <c r="U18" s="559">
        <f t="shared" si="3"/>
        <v>62675.92</v>
      </c>
      <c r="V18" s="561">
        <f t="shared" si="2"/>
        <v>57975.22</v>
      </c>
      <c r="W18" s="561"/>
      <c r="X18" s="561"/>
      <c r="Y18" s="562" t="s">
        <v>619</v>
      </c>
      <c r="Z18" s="592"/>
    </row>
    <row r="19" spans="1:26" s="589" customFormat="1" ht="93.75" x14ac:dyDescent="0.2">
      <c r="A19" s="556" t="s">
        <v>28</v>
      </c>
      <c r="B19" s="557" t="s">
        <v>717</v>
      </c>
      <c r="C19" s="569" t="s">
        <v>519</v>
      </c>
      <c r="D19" s="569" t="s">
        <v>518</v>
      </c>
      <c r="E19" s="591" t="s">
        <v>520</v>
      </c>
      <c r="F19" s="558">
        <f>'7_16.7'!J280</f>
        <v>82228.210000000006</v>
      </c>
      <c r="G19" s="558">
        <f>'7_16.7'!L280</f>
        <v>911526.37</v>
      </c>
      <c r="H19" s="559">
        <f t="shared" si="0"/>
        <v>843161.89</v>
      </c>
      <c r="I19" s="560"/>
      <c r="J19" s="560"/>
      <c r="K19" s="559"/>
      <c r="L19" s="559"/>
      <c r="M19" s="559"/>
      <c r="N19" s="559"/>
      <c r="O19" s="558">
        <f>'7_16.7'!J283</f>
        <v>55913.01</v>
      </c>
      <c r="P19" s="558">
        <f>'7_16.7'!L283</f>
        <v>388874.45</v>
      </c>
      <c r="Q19" s="559">
        <f>'7_16.7'!J287</f>
        <v>1492.17</v>
      </c>
      <c r="R19" s="559">
        <f>'7_16.7'!L287</f>
        <v>36155.21</v>
      </c>
      <c r="S19" s="558">
        <f>'7_16.7'!L295</f>
        <v>33443.57</v>
      </c>
      <c r="T19" s="561">
        <f t="shared" si="1"/>
        <v>83720.38</v>
      </c>
      <c r="U19" s="559">
        <f t="shared" si="3"/>
        <v>947681.58</v>
      </c>
      <c r="V19" s="561">
        <f t="shared" si="2"/>
        <v>876605.46</v>
      </c>
      <c r="W19" s="561"/>
      <c r="X19" s="561"/>
      <c r="Y19" s="562" t="s">
        <v>619</v>
      </c>
      <c r="Z19" s="592"/>
    </row>
    <row r="20" spans="1:26" s="589" customFormat="1" ht="93.75" x14ac:dyDescent="0.2">
      <c r="A20" s="556" t="s">
        <v>340</v>
      </c>
      <c r="B20" s="557" t="s">
        <v>718</v>
      </c>
      <c r="C20" s="569" t="s">
        <v>519</v>
      </c>
      <c r="D20" s="569" t="s">
        <v>518</v>
      </c>
      <c r="E20" s="591" t="s">
        <v>520</v>
      </c>
      <c r="F20" s="558">
        <f>'8_16.8'!J207</f>
        <v>29826.639999999999</v>
      </c>
      <c r="G20" s="558">
        <f>'8_16.8'!L207</f>
        <v>377591.34</v>
      </c>
      <c r="H20" s="559">
        <f t="shared" si="0"/>
        <v>349271.99</v>
      </c>
      <c r="I20" s="560"/>
      <c r="J20" s="560"/>
      <c r="K20" s="559"/>
      <c r="L20" s="559"/>
      <c r="M20" s="559"/>
      <c r="N20" s="559"/>
      <c r="O20" s="558">
        <f>'8_16.8'!J210</f>
        <v>11592.71</v>
      </c>
      <c r="P20" s="558">
        <f>'8_16.8'!L210</f>
        <v>78575.7</v>
      </c>
      <c r="Q20" s="559">
        <f>'8_16.8'!J212</f>
        <v>772.49</v>
      </c>
      <c r="R20" s="559">
        <f>'8_16.8'!L212</f>
        <v>18717.310000000001</v>
      </c>
      <c r="S20" s="558">
        <f>'8_16.8'!L220</f>
        <v>17313.509999999998</v>
      </c>
      <c r="T20" s="561">
        <f t="shared" si="1"/>
        <v>30599.13</v>
      </c>
      <c r="U20" s="559">
        <f t="shared" si="3"/>
        <v>396308.65</v>
      </c>
      <c r="V20" s="561">
        <f t="shared" si="2"/>
        <v>366585.5</v>
      </c>
      <c r="W20" s="561"/>
      <c r="X20" s="561"/>
      <c r="Y20" s="562" t="s">
        <v>619</v>
      </c>
      <c r="Z20" s="592"/>
    </row>
    <row r="21" spans="1:26" s="589" customFormat="1" ht="93.75" x14ac:dyDescent="0.2">
      <c r="A21" s="556" t="s">
        <v>341</v>
      </c>
      <c r="B21" s="557" t="s">
        <v>719</v>
      </c>
      <c r="C21" s="569" t="s">
        <v>454</v>
      </c>
      <c r="D21" s="569" t="s">
        <v>453</v>
      </c>
      <c r="E21" s="591" t="s">
        <v>455</v>
      </c>
      <c r="F21" s="558">
        <f>'9_16.9'!J206</f>
        <v>49580.7</v>
      </c>
      <c r="G21" s="558">
        <f>'9_16.9'!L206</f>
        <v>335989.69</v>
      </c>
      <c r="H21" s="559">
        <f t="shared" si="0"/>
        <v>310790.46000000002</v>
      </c>
      <c r="I21" s="560"/>
      <c r="J21" s="560"/>
      <c r="K21" s="559"/>
      <c r="L21" s="559"/>
      <c r="M21" s="559"/>
      <c r="N21" s="559"/>
      <c r="O21" s="558">
        <f>'9_16.9'!J209</f>
        <v>41774.31</v>
      </c>
      <c r="P21" s="558">
        <f>'9_16.9'!L209</f>
        <v>190791.34</v>
      </c>
      <c r="Q21" s="559">
        <f>'9_16.9'!J213</f>
        <v>369.08</v>
      </c>
      <c r="R21" s="559">
        <f>'9_16.9'!L213</f>
        <v>8942.76</v>
      </c>
      <c r="S21" s="558">
        <f>'9_16.9'!L221</f>
        <v>8272.0499999999993</v>
      </c>
      <c r="T21" s="561">
        <f t="shared" si="1"/>
        <v>49949.78</v>
      </c>
      <c r="U21" s="559">
        <f t="shared" si="3"/>
        <v>344932.45</v>
      </c>
      <c r="V21" s="561">
        <f t="shared" si="2"/>
        <v>319062.51</v>
      </c>
      <c r="W21" s="561"/>
      <c r="X21" s="561"/>
      <c r="Y21" s="562" t="s">
        <v>619</v>
      </c>
      <c r="Z21" s="592"/>
    </row>
    <row r="22" spans="1:26" s="589" customFormat="1" ht="93.75" x14ac:dyDescent="0.2">
      <c r="A22" s="556" t="s">
        <v>342</v>
      </c>
      <c r="B22" s="557" t="s">
        <v>720</v>
      </c>
      <c r="C22" s="569" t="s">
        <v>519</v>
      </c>
      <c r="D22" s="569" t="s">
        <v>518</v>
      </c>
      <c r="E22" s="591" t="s">
        <v>520</v>
      </c>
      <c r="F22" s="558">
        <f>'10_16.10'!J125</f>
        <v>16018.19</v>
      </c>
      <c r="G22" s="558">
        <f>'10_16.10'!L125</f>
        <v>189415.35</v>
      </c>
      <c r="H22" s="559">
        <f t="shared" si="0"/>
        <v>175209.2</v>
      </c>
      <c r="I22" s="560"/>
      <c r="J22" s="560"/>
      <c r="K22" s="559"/>
      <c r="L22" s="559"/>
      <c r="M22" s="559"/>
      <c r="N22" s="559"/>
      <c r="O22" s="558">
        <f>'10_16.10'!J128</f>
        <v>9778.3700000000008</v>
      </c>
      <c r="P22" s="558">
        <f>'10_16.10'!L128</f>
        <v>64651.18</v>
      </c>
      <c r="Q22" s="559">
        <f>'10_16.10'!J130</f>
        <v>357.38</v>
      </c>
      <c r="R22" s="559">
        <f>'10_16.10'!L130</f>
        <v>8659.34</v>
      </c>
      <c r="S22" s="558">
        <f>'10_16.10'!L138</f>
        <v>8009.89</v>
      </c>
      <c r="T22" s="561">
        <f>F22+I22+L22+Q22</f>
        <v>16375.57</v>
      </c>
      <c r="U22" s="559">
        <f t="shared" si="3"/>
        <v>198074.69</v>
      </c>
      <c r="V22" s="561">
        <f t="shared" si="2"/>
        <v>183219.09</v>
      </c>
      <c r="W22" s="561"/>
      <c r="X22" s="561"/>
      <c r="Y22" s="562" t="s">
        <v>619</v>
      </c>
      <c r="Z22" s="592"/>
    </row>
    <row r="23" spans="1:26" s="589" customFormat="1" ht="60" customHeight="1" x14ac:dyDescent="0.2">
      <c r="A23" s="556" t="s">
        <v>343</v>
      </c>
      <c r="B23" s="557" t="s">
        <v>722</v>
      </c>
      <c r="C23" s="569" t="s">
        <v>659</v>
      </c>
      <c r="D23" s="569" t="s">
        <v>660</v>
      </c>
      <c r="E23" s="591" t="s">
        <v>661</v>
      </c>
      <c r="F23" s="558">
        <f>'11_17.52'!J156</f>
        <v>27076.9</v>
      </c>
      <c r="G23" s="558">
        <f>'11_17.52'!L156</f>
        <v>261949.43</v>
      </c>
      <c r="H23" s="559">
        <f>'11_17.52'!L164</f>
        <v>242303.22</v>
      </c>
      <c r="I23" s="560"/>
      <c r="J23" s="560"/>
      <c r="K23" s="559"/>
      <c r="L23" s="559"/>
      <c r="M23" s="559"/>
      <c r="N23" s="559"/>
      <c r="O23" s="558">
        <f>'11_17.52'!J158</f>
        <v>19904.490000000002</v>
      </c>
      <c r="P23" s="558">
        <f>'11_17.52'!L158</f>
        <v>130920.47</v>
      </c>
      <c r="Q23" s="559">
        <f>'11_17.52'!J160</f>
        <v>329.38</v>
      </c>
      <c r="R23" s="559">
        <f>'11_17.52'!L160</f>
        <v>7980.89</v>
      </c>
      <c r="S23" s="558">
        <f>'11_17.52'!L168</f>
        <v>7382.32</v>
      </c>
      <c r="T23" s="561">
        <f t="shared" ref="T23" si="4">F23+I23+L23+Q23</f>
        <v>27406.28</v>
      </c>
      <c r="U23" s="559">
        <f t="shared" ref="U23" si="5">G23+J23+M23+R23</f>
        <v>269930.32</v>
      </c>
      <c r="V23" s="561">
        <f t="shared" ref="V23" si="6">S23+H23</f>
        <v>249685.54</v>
      </c>
      <c r="W23" s="561"/>
      <c r="X23" s="561"/>
      <c r="Y23" s="562"/>
      <c r="Z23" s="592"/>
    </row>
    <row r="24" spans="1:26" s="589" customFormat="1" ht="23.25" x14ac:dyDescent="0.2">
      <c r="A24" s="563"/>
      <c r="B24" s="564"/>
      <c r="C24" s="564"/>
      <c r="D24" s="564"/>
      <c r="E24" s="565" t="s">
        <v>721</v>
      </c>
      <c r="F24" s="561">
        <f t="shared" ref="F24:T24" si="7">SUM(F13:F23)</f>
        <v>538279.13</v>
      </c>
      <c r="G24" s="561">
        <f t="shared" si="7"/>
        <v>4412966.1900000004</v>
      </c>
      <c r="H24" s="561">
        <f t="shared" si="7"/>
        <v>4081993.72</v>
      </c>
      <c r="I24" s="561">
        <f t="shared" si="7"/>
        <v>0</v>
      </c>
      <c r="J24" s="561">
        <f t="shared" si="7"/>
        <v>0</v>
      </c>
      <c r="K24" s="561">
        <f t="shared" si="7"/>
        <v>0</v>
      </c>
      <c r="L24" s="561">
        <f t="shared" si="7"/>
        <v>0</v>
      </c>
      <c r="M24" s="561">
        <f t="shared" si="7"/>
        <v>0</v>
      </c>
      <c r="N24" s="561">
        <f t="shared" si="7"/>
        <v>0</v>
      </c>
      <c r="O24" s="561">
        <f t="shared" si="7"/>
        <v>415228.88</v>
      </c>
      <c r="P24" s="561">
        <f t="shared" si="7"/>
        <v>2127063.19</v>
      </c>
      <c r="Q24" s="561">
        <f t="shared" si="7"/>
        <v>5984.18</v>
      </c>
      <c r="R24" s="561">
        <f>SUM(R13:R23)</f>
        <v>144996.63</v>
      </c>
      <c r="S24" s="561">
        <f t="shared" si="7"/>
        <v>134121.88</v>
      </c>
      <c r="T24" s="561">
        <f t="shared" si="7"/>
        <v>544263.31000000006</v>
      </c>
      <c r="U24" s="561">
        <f>SUM(U13:U23)</f>
        <v>4557962.82</v>
      </c>
      <c r="V24" s="561">
        <f>SUM(V13:V23)</f>
        <v>4216115.5999999996</v>
      </c>
      <c r="W24" s="561">
        <f>SUM(W13:W15)</f>
        <v>0</v>
      </c>
      <c r="X24" s="561">
        <f>SUM(X13:X15)</f>
        <v>0</v>
      </c>
      <c r="Y24" s="566"/>
    </row>
    <row r="25" spans="1:26" s="594" customFormat="1" ht="18.75" x14ac:dyDescent="0.2">
      <c r="A25" s="567"/>
      <c r="B25" s="568"/>
      <c r="C25" s="568"/>
      <c r="D25" s="569"/>
      <c r="E25" s="570" t="s">
        <v>3</v>
      </c>
      <c r="F25" s="558">
        <f t="shared" ref="F25:N25" si="8">F29</f>
        <v>538279.13</v>
      </c>
      <c r="G25" s="558">
        <f t="shared" si="8"/>
        <v>4412966.1900000004</v>
      </c>
      <c r="H25" s="558">
        <f t="shared" si="8"/>
        <v>4081993.72</v>
      </c>
      <c r="I25" s="558">
        <f t="shared" si="8"/>
        <v>0</v>
      </c>
      <c r="J25" s="558">
        <f t="shared" si="8"/>
        <v>0</v>
      </c>
      <c r="K25" s="558">
        <f t="shared" si="8"/>
        <v>0</v>
      </c>
      <c r="L25" s="558">
        <f t="shared" si="8"/>
        <v>0</v>
      </c>
      <c r="M25" s="558">
        <f t="shared" si="8"/>
        <v>0</v>
      </c>
      <c r="N25" s="558">
        <f t="shared" si="8"/>
        <v>0</v>
      </c>
      <c r="O25" s="558"/>
      <c r="P25" s="558"/>
      <c r="Q25" s="558"/>
      <c r="R25" s="558"/>
      <c r="S25" s="558"/>
      <c r="T25" s="558">
        <f>F25+I25+L25</f>
        <v>538279.13</v>
      </c>
      <c r="U25" s="558">
        <f>G25+J25+M25</f>
        <v>4412966.1900000004</v>
      </c>
      <c r="V25" s="558">
        <f>H25+K25+N25</f>
        <v>4081993.72</v>
      </c>
      <c r="W25" s="558">
        <f t="shared" ref="W25:X25" si="9">W29</f>
        <v>0</v>
      </c>
      <c r="X25" s="558">
        <f t="shared" si="9"/>
        <v>0</v>
      </c>
      <c r="Y25" s="593"/>
    </row>
    <row r="26" spans="1:26" s="589" customFormat="1" ht="23.25" x14ac:dyDescent="0.2">
      <c r="A26" s="567"/>
      <c r="B26" s="568"/>
      <c r="C26" s="568"/>
      <c r="D26" s="569"/>
      <c r="E26" s="570" t="s">
        <v>6</v>
      </c>
      <c r="F26" s="558"/>
      <c r="G26" s="558"/>
      <c r="H26" s="558"/>
      <c r="I26" s="558"/>
      <c r="J26" s="558"/>
      <c r="K26" s="558"/>
      <c r="L26" s="558"/>
      <c r="M26" s="558"/>
      <c r="N26" s="558"/>
      <c r="O26" s="558">
        <f>O29</f>
        <v>415228.88</v>
      </c>
      <c r="P26" s="558">
        <f>P29</f>
        <v>2127063.19</v>
      </c>
      <c r="Q26" s="558"/>
      <c r="R26" s="558"/>
      <c r="S26" s="558"/>
      <c r="T26" s="558"/>
      <c r="U26" s="558"/>
      <c r="V26" s="558"/>
      <c r="W26" s="558"/>
      <c r="X26" s="558"/>
      <c r="Y26" s="593"/>
    </row>
    <row r="27" spans="1:26" s="589" customFormat="1" ht="23.25" x14ac:dyDescent="0.2">
      <c r="A27" s="567"/>
      <c r="B27" s="568"/>
      <c r="C27" s="568"/>
      <c r="D27" s="569"/>
      <c r="E27" s="570" t="s">
        <v>22</v>
      </c>
      <c r="F27" s="558"/>
      <c r="G27" s="558"/>
      <c r="H27" s="558"/>
      <c r="I27" s="558"/>
      <c r="J27" s="558"/>
      <c r="K27" s="558"/>
      <c r="L27" s="558"/>
      <c r="M27" s="558"/>
      <c r="N27" s="558"/>
      <c r="O27" s="558"/>
      <c r="P27" s="558"/>
      <c r="Q27" s="558"/>
      <c r="R27" s="558"/>
      <c r="S27" s="558"/>
      <c r="T27" s="558">
        <f t="shared" ref="T27:V28" si="10">Q27</f>
        <v>0</v>
      </c>
      <c r="U27" s="558">
        <f t="shared" si="10"/>
        <v>0</v>
      </c>
      <c r="V27" s="558">
        <f t="shared" si="10"/>
        <v>0</v>
      </c>
      <c r="W27" s="558"/>
      <c r="X27" s="558"/>
      <c r="Y27" s="593"/>
    </row>
    <row r="28" spans="1:26" s="589" customFormat="1" ht="23.25" x14ac:dyDescent="0.2">
      <c r="A28" s="567"/>
      <c r="B28" s="568"/>
      <c r="C28" s="568"/>
      <c r="D28" s="571"/>
      <c r="E28" s="570" t="s">
        <v>23</v>
      </c>
      <c r="F28" s="561"/>
      <c r="G28" s="561"/>
      <c r="H28" s="561"/>
      <c r="I28" s="561"/>
      <c r="J28" s="561"/>
      <c r="K28" s="561"/>
      <c r="L28" s="561"/>
      <c r="M28" s="561"/>
      <c r="N28" s="561"/>
      <c r="O28" s="561"/>
      <c r="P28" s="561"/>
      <c r="Q28" s="558">
        <f>Q29</f>
        <v>5984.18</v>
      </c>
      <c r="R28" s="558">
        <f>R29</f>
        <v>144996.63</v>
      </c>
      <c r="S28" s="558">
        <f>S29</f>
        <v>134121.88</v>
      </c>
      <c r="T28" s="558">
        <f>Q28</f>
        <v>5984.18</v>
      </c>
      <c r="U28" s="558">
        <f t="shared" si="10"/>
        <v>144996.63</v>
      </c>
      <c r="V28" s="558">
        <f t="shared" si="10"/>
        <v>134121.88</v>
      </c>
      <c r="W28" s="561"/>
      <c r="X28" s="561"/>
      <c r="Y28" s="593"/>
    </row>
    <row r="29" spans="1:26" s="589" customFormat="1" ht="23.25" x14ac:dyDescent="0.2">
      <c r="A29" s="567"/>
      <c r="B29" s="572"/>
      <c r="C29" s="572"/>
      <c r="D29" s="572"/>
      <c r="E29" s="573" t="s">
        <v>620</v>
      </c>
      <c r="F29" s="561">
        <f t="shared" ref="F29:X29" si="11">F24</f>
        <v>538279.13</v>
      </c>
      <c r="G29" s="561">
        <f t="shared" si="11"/>
        <v>4412966.1900000004</v>
      </c>
      <c r="H29" s="561">
        <f t="shared" si="11"/>
        <v>4081993.72</v>
      </c>
      <c r="I29" s="561">
        <f t="shared" si="11"/>
        <v>0</v>
      </c>
      <c r="J29" s="561">
        <f t="shared" si="11"/>
        <v>0</v>
      </c>
      <c r="K29" s="561">
        <f t="shared" si="11"/>
        <v>0</v>
      </c>
      <c r="L29" s="561">
        <f t="shared" si="11"/>
        <v>0</v>
      </c>
      <c r="M29" s="561">
        <f t="shared" si="11"/>
        <v>0</v>
      </c>
      <c r="N29" s="561">
        <f t="shared" si="11"/>
        <v>0</v>
      </c>
      <c r="O29" s="561">
        <f t="shared" si="11"/>
        <v>415228.88</v>
      </c>
      <c r="P29" s="561">
        <f t="shared" si="11"/>
        <v>2127063.19</v>
      </c>
      <c r="Q29" s="561">
        <f>Q24</f>
        <v>5984.18</v>
      </c>
      <c r="R29" s="561">
        <f t="shared" si="11"/>
        <v>144996.63</v>
      </c>
      <c r="S29" s="561">
        <f t="shared" si="11"/>
        <v>134121.88</v>
      </c>
      <c r="T29" s="561">
        <f t="shared" si="11"/>
        <v>544263.31000000006</v>
      </c>
      <c r="U29" s="561">
        <f t="shared" si="11"/>
        <v>4557962.82</v>
      </c>
      <c r="V29" s="561">
        <f t="shared" si="11"/>
        <v>4216115.5999999996</v>
      </c>
      <c r="W29" s="561">
        <f t="shared" si="11"/>
        <v>0</v>
      </c>
      <c r="X29" s="561">
        <f t="shared" si="11"/>
        <v>0</v>
      </c>
      <c r="Y29" s="566"/>
    </row>
    <row r="30" spans="1:26" s="599" customFormat="1" x14ac:dyDescent="0.3">
      <c r="A30" s="595"/>
      <c r="B30" s="596"/>
      <c r="C30" s="596"/>
      <c r="D30" s="597"/>
      <c r="E30" s="598"/>
      <c r="F30" s="598"/>
      <c r="G30" s="598"/>
      <c r="H30" s="598"/>
      <c r="I30" s="598"/>
      <c r="J30" s="598"/>
      <c r="K30" s="598"/>
      <c r="L30" s="598"/>
      <c r="M30" s="598"/>
      <c r="N30" s="598"/>
      <c r="O30" s="598"/>
      <c r="P30" s="598"/>
      <c r="Q30" s="598"/>
      <c r="R30" s="598"/>
      <c r="S30" s="598"/>
      <c r="T30" s="598"/>
      <c r="U30" s="598"/>
      <c r="V30" s="598"/>
      <c r="W30" s="598"/>
      <c r="X30" s="598"/>
    </row>
    <row r="31" spans="1:26" s="589" customFormat="1" ht="23.25" x14ac:dyDescent="0.35">
      <c r="A31" s="574"/>
      <c r="B31" s="575" t="s">
        <v>621</v>
      </c>
      <c r="C31" s="575"/>
      <c r="D31" s="575"/>
      <c r="E31" s="1007" t="s">
        <v>622</v>
      </c>
      <c r="F31" s="1016"/>
      <c r="G31" s="1016"/>
      <c r="H31" s="1016"/>
      <c r="I31" s="600"/>
      <c r="J31" s="601"/>
      <c r="K31" s="576"/>
      <c r="L31" s="576"/>
      <c r="M31" s="576"/>
      <c r="N31" s="576"/>
      <c r="O31" s="576"/>
      <c r="P31" s="577"/>
      <c r="Q31" s="602" t="s">
        <v>623</v>
      </c>
      <c r="R31" s="602"/>
      <c r="S31" s="598"/>
      <c r="T31" s="598"/>
      <c r="U31" s="598"/>
      <c r="V31" s="598"/>
      <c r="W31" s="598"/>
      <c r="X31" s="598"/>
    </row>
    <row r="32" spans="1:26" s="589" customFormat="1" ht="23.25" x14ac:dyDescent="0.35">
      <c r="A32" s="603"/>
      <c r="B32" s="578"/>
      <c r="C32" s="578"/>
      <c r="D32" s="579"/>
      <c r="E32" s="580"/>
      <c r="F32" s="581"/>
      <c r="G32" s="582"/>
      <c r="H32" s="583"/>
      <c r="I32" s="583"/>
      <c r="J32" s="583"/>
      <c r="K32" s="583"/>
      <c r="L32" s="583"/>
      <c r="M32" s="583"/>
      <c r="N32" s="583"/>
      <c r="O32" s="583"/>
      <c r="P32" s="583"/>
      <c r="Q32" s="602"/>
      <c r="R32" s="602"/>
      <c r="S32" s="598"/>
      <c r="T32" s="598"/>
      <c r="U32" s="598"/>
      <c r="V32" s="598"/>
      <c r="W32" s="598"/>
      <c r="X32" s="598"/>
    </row>
    <row r="33" spans="1:26" s="589" customFormat="1" ht="23.25" x14ac:dyDescent="0.35">
      <c r="A33" s="594"/>
      <c r="B33" s="604"/>
      <c r="C33" s="604"/>
      <c r="D33" s="605"/>
      <c r="E33" s="606"/>
      <c r="F33" s="607"/>
      <c r="G33" s="608"/>
      <c r="H33" s="609"/>
      <c r="I33" s="609"/>
      <c r="J33" s="609"/>
      <c r="K33" s="609"/>
      <c r="L33" s="609"/>
      <c r="M33" s="609"/>
      <c r="N33" s="609"/>
      <c r="O33" s="609"/>
      <c r="P33" s="609"/>
      <c r="Q33" s="602"/>
      <c r="R33" s="610"/>
      <c r="S33" s="611"/>
      <c r="T33" s="611"/>
      <c r="U33" s="611"/>
      <c r="V33" s="611"/>
      <c r="W33" s="611"/>
      <c r="X33" s="611"/>
      <c r="Y33" s="587"/>
      <c r="Z33" s="587"/>
    </row>
    <row r="34" spans="1:26" s="589" customFormat="1" x14ac:dyDescent="0.35">
      <c r="A34" s="612"/>
      <c r="B34" s="575" t="s">
        <v>624</v>
      </c>
      <c r="C34" s="575"/>
      <c r="D34" s="575"/>
      <c r="E34" s="1007" t="s">
        <v>625</v>
      </c>
      <c r="F34" s="1008"/>
      <c r="G34" s="1008"/>
      <c r="H34" s="1008"/>
      <c r="I34" s="600"/>
      <c r="J34" s="601"/>
      <c r="K34" s="576"/>
      <c r="L34" s="576"/>
      <c r="M34" s="576"/>
      <c r="N34" s="576"/>
      <c r="O34" s="576"/>
      <c r="P34" s="577"/>
      <c r="Q34" s="602" t="s">
        <v>626</v>
      </c>
      <c r="R34" s="613"/>
      <c r="S34" s="614"/>
      <c r="T34" s="614"/>
      <c r="U34" s="614"/>
      <c r="V34" s="614"/>
      <c r="W34" s="614"/>
      <c r="X34" s="614"/>
      <c r="Y34" s="615"/>
      <c r="Z34" s="615"/>
    </row>
    <row r="35" spans="1:26" s="589" customFormat="1" x14ac:dyDescent="0.3">
      <c r="A35" s="612"/>
      <c r="B35" s="412"/>
      <c r="C35" s="412"/>
      <c r="D35" s="616"/>
      <c r="E35" s="617"/>
      <c r="F35" s="618"/>
      <c r="G35" s="611"/>
      <c r="H35" s="611"/>
      <c r="I35" s="611"/>
      <c r="J35" s="611"/>
      <c r="K35" s="611"/>
      <c r="L35" s="611"/>
      <c r="M35" s="611"/>
      <c r="N35" s="611"/>
      <c r="O35" s="611"/>
      <c r="P35" s="611"/>
      <c r="Q35" s="611"/>
      <c r="R35" s="614"/>
      <c r="S35" s="614"/>
      <c r="T35" s="614"/>
      <c r="U35" s="614"/>
      <c r="V35" s="614"/>
      <c r="W35" s="614"/>
      <c r="X35" s="614"/>
      <c r="Y35" s="615"/>
      <c r="Z35" s="615"/>
    </row>
    <row r="36" spans="1:26" s="587" customFormat="1" x14ac:dyDescent="0.2">
      <c r="A36" s="612"/>
      <c r="B36" s="619"/>
      <c r="C36" s="619"/>
      <c r="D36" s="620"/>
      <c r="E36" s="614"/>
      <c r="F36" s="614"/>
      <c r="G36" s="614"/>
      <c r="H36" s="614"/>
      <c r="I36" s="614"/>
      <c r="J36" s="614"/>
      <c r="K36" s="614"/>
      <c r="L36" s="614"/>
      <c r="M36" s="614"/>
      <c r="N36" s="614"/>
      <c r="O36" s="614"/>
      <c r="P36" s="614"/>
      <c r="Q36" s="614"/>
      <c r="R36" s="614"/>
      <c r="S36" s="614"/>
      <c r="T36" s="614"/>
      <c r="U36" s="614"/>
      <c r="V36" s="614"/>
      <c r="W36" s="614"/>
      <c r="X36" s="614"/>
      <c r="Y36" s="615"/>
      <c r="Z36" s="615"/>
    </row>
    <row r="37" spans="1:26" s="589" customFormat="1" x14ac:dyDescent="0.2">
      <c r="A37" s="612"/>
      <c r="B37" s="619"/>
      <c r="C37" s="619"/>
      <c r="D37" s="620"/>
      <c r="E37" s="614"/>
      <c r="F37" s="614"/>
      <c r="G37" s="614"/>
      <c r="H37" s="614"/>
      <c r="I37" s="614"/>
      <c r="J37" s="614"/>
      <c r="K37" s="614"/>
      <c r="L37" s="614"/>
      <c r="M37" s="614"/>
      <c r="N37" s="614"/>
      <c r="O37" s="614"/>
      <c r="P37" s="614"/>
      <c r="Q37" s="614"/>
      <c r="R37" s="614"/>
      <c r="S37" s="614"/>
      <c r="T37" s="614"/>
      <c r="U37" s="614"/>
      <c r="V37" s="614"/>
      <c r="W37" s="614"/>
      <c r="X37" s="614"/>
      <c r="Y37" s="615"/>
      <c r="Z37" s="615"/>
    </row>
    <row r="38" spans="1:26" s="589" customFormat="1" x14ac:dyDescent="0.2">
      <c r="A38" s="612"/>
      <c r="B38" s="619"/>
      <c r="C38" s="619"/>
      <c r="D38" s="620"/>
      <c r="E38" s="614"/>
      <c r="F38" s="614"/>
      <c r="G38" s="614"/>
      <c r="H38" s="614"/>
      <c r="I38" s="614"/>
      <c r="J38" s="614"/>
      <c r="K38" s="614"/>
      <c r="L38" s="614"/>
      <c r="M38" s="614"/>
      <c r="N38" s="614"/>
      <c r="O38" s="614"/>
      <c r="P38" s="614"/>
      <c r="Q38" s="614"/>
      <c r="R38" s="614"/>
      <c r="S38" s="614"/>
      <c r="T38" s="614"/>
      <c r="U38" s="614"/>
      <c r="V38" s="614"/>
      <c r="W38" s="614"/>
      <c r="X38" s="614"/>
      <c r="Y38" s="615"/>
      <c r="Z38" s="615"/>
    </row>
  </sheetData>
  <mergeCells count="18">
    <mergeCell ref="X10:X11"/>
    <mergeCell ref="Y10:Y11"/>
    <mergeCell ref="E31:H31"/>
    <mergeCell ref="A6:V6"/>
    <mergeCell ref="A8:V8"/>
    <mergeCell ref="A10:A11"/>
    <mergeCell ref="B10:B11"/>
    <mergeCell ref="D10:D11"/>
    <mergeCell ref="E10:E11"/>
    <mergeCell ref="F10:H10"/>
    <mergeCell ref="I10:K10"/>
    <mergeCell ref="L10:N10"/>
    <mergeCell ref="O10:P10"/>
    <mergeCell ref="E34:H34"/>
    <mergeCell ref="C10:C11"/>
    <mergeCell ref="Q10:S10"/>
    <mergeCell ref="T10:V10"/>
    <mergeCell ref="W10:W11"/>
  </mergeCells>
  <pageMargins left="0.39370078740157483" right="0.39370078740157483" top="0.78740157480314965" bottom="0.39370078740157483" header="0.31496062992125984" footer="0.31496062992125984"/>
  <pageSetup paperSize="9" scale="29" fitToHeight="0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IV134"/>
  <sheetViews>
    <sheetView tabSelected="1" view="pageBreakPreview" zoomScale="70" zoomScaleNormal="55" zoomScaleSheetLayoutView="70" workbookViewId="0">
      <selection activeCell="J20" sqref="J20:L21"/>
    </sheetView>
  </sheetViews>
  <sheetFormatPr defaultColWidth="9.33203125" defaultRowHeight="12.75" x14ac:dyDescent="0.2"/>
  <cols>
    <col min="1" max="1" width="6.6640625" style="671" customWidth="1"/>
    <col min="2" max="2" width="12.33203125" style="671" customWidth="1"/>
    <col min="3" max="3" width="15" style="671" customWidth="1"/>
    <col min="4" max="4" width="48.83203125" style="671" customWidth="1"/>
    <col min="5" max="6" width="13.6640625" style="671" customWidth="1"/>
    <col min="7" max="7" width="16.5" style="671" customWidth="1"/>
    <col min="8" max="8" width="16.33203125" style="671" customWidth="1"/>
    <col min="9" max="9" width="15.33203125" style="671" customWidth="1"/>
    <col min="10" max="12" width="16.6640625" style="671" customWidth="1"/>
    <col min="13" max="13" width="13.83203125" style="671" bestFit="1" customWidth="1"/>
    <col min="14" max="14" width="9.33203125" style="671"/>
    <col min="15" max="35" width="0" style="671" hidden="1" customWidth="1"/>
    <col min="36" max="36" width="116.33203125" style="671" hidden="1" customWidth="1"/>
    <col min="37" max="37" width="181.6640625" style="671" hidden="1" customWidth="1"/>
    <col min="38" max="38" width="128" style="671" hidden="1" customWidth="1"/>
    <col min="39" max="39" width="0" style="671" hidden="1" customWidth="1"/>
    <col min="40" max="40" width="129.1640625" style="671" hidden="1" customWidth="1"/>
    <col min="41" max="42" width="0" style="671" hidden="1" customWidth="1"/>
    <col min="43" max="16384" width="9.33203125" style="671"/>
  </cols>
  <sheetData>
    <row r="1" spans="1:12" ht="15" x14ac:dyDescent="0.25">
      <c r="A1" s="672"/>
      <c r="D1" s="673"/>
      <c r="E1" s="673"/>
      <c r="F1" s="674"/>
      <c r="G1" s="674"/>
      <c r="H1" s="674"/>
      <c r="I1" s="1053" t="s">
        <v>36</v>
      </c>
      <c r="J1" s="1053"/>
      <c r="K1" s="1053"/>
      <c r="L1" s="1053"/>
    </row>
    <row r="2" spans="1:12" ht="15" x14ac:dyDescent="0.25">
      <c r="A2" s="674"/>
      <c r="B2" s="674"/>
      <c r="C2" s="674"/>
      <c r="D2" s="674"/>
      <c r="E2" s="674"/>
      <c r="F2" s="674"/>
      <c r="G2" s="674"/>
      <c r="H2" s="674"/>
      <c r="I2" s="1053" t="s">
        <v>37</v>
      </c>
      <c r="J2" s="1053"/>
      <c r="K2" s="1053"/>
      <c r="L2" s="1053"/>
    </row>
    <row r="3" spans="1:12" ht="15" x14ac:dyDescent="0.25">
      <c r="A3" s="674"/>
      <c r="B3" s="674"/>
      <c r="C3" s="674"/>
      <c r="D3" s="674"/>
      <c r="E3" s="674"/>
      <c r="F3" s="674"/>
      <c r="G3" s="674"/>
      <c r="H3" s="674"/>
      <c r="I3" s="1053" t="s">
        <v>38</v>
      </c>
      <c r="J3" s="1053"/>
      <c r="K3" s="1053"/>
      <c r="L3" s="1053"/>
    </row>
    <row r="4" spans="1:12" s="675" customFormat="1" ht="15" x14ac:dyDescent="0.25">
      <c r="A4" s="674"/>
      <c r="B4" s="674"/>
      <c r="C4" s="674"/>
      <c r="D4" s="674"/>
      <c r="E4" s="674"/>
      <c r="F4" s="674"/>
      <c r="G4" s="674"/>
      <c r="H4" s="674"/>
      <c r="I4" s="674"/>
      <c r="J4" s="1041" t="s">
        <v>39</v>
      </c>
      <c r="K4" s="1042"/>
      <c r="L4" s="1043"/>
    </row>
    <row r="5" spans="1:12" s="675" customFormat="1" ht="15" x14ac:dyDescent="0.25">
      <c r="A5" s="674"/>
      <c r="B5" s="674"/>
      <c r="C5" s="674"/>
      <c r="D5" s="674"/>
      <c r="E5" s="674"/>
      <c r="F5" s="674"/>
      <c r="G5" s="674"/>
      <c r="H5" s="674"/>
      <c r="I5" s="676" t="s">
        <v>40</v>
      </c>
      <c r="J5" s="1054" t="s">
        <v>41</v>
      </c>
      <c r="K5" s="1055"/>
      <c r="L5" s="1056"/>
    </row>
    <row r="6" spans="1:12" s="675" customFormat="1" ht="15" x14ac:dyDescent="0.25">
      <c r="A6" s="674"/>
      <c r="B6" s="674"/>
      <c r="C6" s="674"/>
      <c r="D6" s="674"/>
      <c r="E6" s="674"/>
      <c r="F6" s="674"/>
      <c r="G6" s="674"/>
      <c r="H6" s="674"/>
      <c r="I6" s="674"/>
      <c r="J6" s="1026" t="s">
        <v>260</v>
      </c>
      <c r="K6" s="1027"/>
      <c r="L6" s="1028"/>
    </row>
    <row r="7" spans="1:12" s="675" customFormat="1" ht="25.5" customHeight="1" x14ac:dyDescent="0.25">
      <c r="A7" s="1023" t="s">
        <v>261</v>
      </c>
      <c r="B7" s="1023"/>
      <c r="C7" s="1024" t="s">
        <v>262</v>
      </c>
      <c r="D7" s="1024"/>
      <c r="E7" s="1024"/>
      <c r="F7" s="1024"/>
      <c r="G7" s="1024"/>
      <c r="H7" s="1024"/>
      <c r="I7" s="676" t="s">
        <v>43</v>
      </c>
      <c r="J7" s="1029"/>
      <c r="K7" s="1030"/>
      <c r="L7" s="1031"/>
    </row>
    <row r="8" spans="1:12" s="675" customFormat="1" ht="15" x14ac:dyDescent="0.25">
      <c r="A8" s="674"/>
      <c r="B8" s="674"/>
      <c r="C8" s="1025" t="s">
        <v>44</v>
      </c>
      <c r="D8" s="1025"/>
      <c r="E8" s="1025"/>
      <c r="F8" s="1025"/>
      <c r="G8" s="1025"/>
      <c r="H8" s="1025"/>
      <c r="I8" s="674"/>
      <c r="J8" s="1026" t="s">
        <v>263</v>
      </c>
      <c r="K8" s="1027"/>
      <c r="L8" s="1028"/>
    </row>
    <row r="9" spans="1:12" s="675" customFormat="1" ht="28.5" customHeight="1" x14ac:dyDescent="0.25">
      <c r="A9" s="1023" t="s">
        <v>264</v>
      </c>
      <c r="B9" s="1023"/>
      <c r="C9" s="1024" t="s">
        <v>265</v>
      </c>
      <c r="D9" s="1024"/>
      <c r="E9" s="1024"/>
      <c r="F9" s="1024"/>
      <c r="G9" s="1024"/>
      <c r="H9" s="1024"/>
      <c r="I9" s="676" t="s">
        <v>43</v>
      </c>
      <c r="J9" s="1029"/>
      <c r="K9" s="1030"/>
      <c r="L9" s="1031"/>
    </row>
    <row r="10" spans="1:12" s="675" customFormat="1" ht="15" x14ac:dyDescent="0.25">
      <c r="A10" s="674"/>
      <c r="B10" s="674"/>
      <c r="C10" s="1025" t="s">
        <v>44</v>
      </c>
      <c r="D10" s="1025"/>
      <c r="E10" s="1025"/>
      <c r="F10" s="1025"/>
      <c r="G10" s="1025"/>
      <c r="H10" s="1025"/>
      <c r="I10" s="674"/>
      <c r="J10" s="1026" t="s">
        <v>593</v>
      </c>
      <c r="K10" s="1027"/>
      <c r="L10" s="1028"/>
    </row>
    <row r="11" spans="1:12" s="675" customFormat="1" ht="14.25" customHeight="1" x14ac:dyDescent="0.25">
      <c r="A11" s="674" t="s">
        <v>45</v>
      </c>
      <c r="B11" s="674"/>
      <c r="C11" s="1024" t="s">
        <v>266</v>
      </c>
      <c r="D11" s="1024"/>
      <c r="E11" s="1024"/>
      <c r="F11" s="1024"/>
      <c r="G11" s="1024"/>
      <c r="H11" s="1024"/>
      <c r="I11" s="676" t="s">
        <v>43</v>
      </c>
      <c r="J11" s="1029"/>
      <c r="K11" s="1030"/>
      <c r="L11" s="1031"/>
    </row>
    <row r="12" spans="1:12" s="675" customFormat="1" ht="15" x14ac:dyDescent="0.25">
      <c r="A12" s="674"/>
      <c r="B12" s="674"/>
      <c r="C12" s="1032" t="s">
        <v>44</v>
      </c>
      <c r="D12" s="1032"/>
      <c r="E12" s="1032"/>
      <c r="F12" s="1032"/>
      <c r="G12" s="1032"/>
      <c r="H12" s="1032"/>
      <c r="I12" s="674"/>
      <c r="J12" s="1026" t="s">
        <v>594</v>
      </c>
      <c r="K12" s="1027"/>
      <c r="L12" s="1028"/>
    </row>
    <row r="13" spans="1:12" s="675" customFormat="1" ht="14.25" customHeight="1" x14ac:dyDescent="0.25">
      <c r="A13" s="674" t="s">
        <v>310</v>
      </c>
      <c r="B13" s="674"/>
      <c r="C13" s="1024" t="s">
        <v>311</v>
      </c>
      <c r="D13" s="1024"/>
      <c r="E13" s="1024"/>
      <c r="F13" s="1024"/>
      <c r="G13" s="1024"/>
      <c r="H13" s="1024"/>
      <c r="I13" s="676" t="s">
        <v>43</v>
      </c>
      <c r="J13" s="1029"/>
      <c r="K13" s="1030"/>
      <c r="L13" s="1031"/>
    </row>
    <row r="14" spans="1:12" s="675" customFormat="1" ht="15" x14ac:dyDescent="0.25">
      <c r="A14" s="674"/>
      <c r="B14" s="674"/>
      <c r="C14" s="1032" t="s">
        <v>44</v>
      </c>
      <c r="D14" s="1032"/>
      <c r="E14" s="1032"/>
      <c r="F14" s="1032"/>
      <c r="G14" s="1032"/>
      <c r="H14" s="1032"/>
      <c r="I14" s="674"/>
      <c r="J14" s="1057"/>
      <c r="K14" s="1058"/>
      <c r="L14" s="1059"/>
    </row>
    <row r="15" spans="1:12" s="675" customFormat="1" ht="30.75" customHeight="1" x14ac:dyDescent="0.25">
      <c r="A15" s="674" t="s">
        <v>46</v>
      </c>
      <c r="B15" s="674"/>
      <c r="C15" s="1024" t="s">
        <v>320</v>
      </c>
      <c r="D15" s="1024"/>
      <c r="E15" s="1024"/>
      <c r="F15" s="1024"/>
      <c r="G15" s="1024"/>
      <c r="H15" s="1024"/>
      <c r="I15" s="674"/>
      <c r="J15" s="1036"/>
      <c r="K15" s="1037"/>
      <c r="L15" s="1038"/>
    </row>
    <row r="16" spans="1:12" s="675" customFormat="1" ht="15" x14ac:dyDescent="0.25">
      <c r="A16" s="674"/>
      <c r="B16" s="674"/>
      <c r="C16" s="1032" t="s">
        <v>47</v>
      </c>
      <c r="D16" s="1032"/>
      <c r="E16" s="1032"/>
      <c r="F16" s="1032"/>
      <c r="G16" s="1032"/>
      <c r="H16" s="1032"/>
      <c r="I16" s="674"/>
      <c r="J16" s="1033"/>
      <c r="K16" s="1034"/>
      <c r="L16" s="1035"/>
    </row>
    <row r="17" spans="1:36" s="675" customFormat="1" ht="31.5" customHeight="1" x14ac:dyDescent="0.25">
      <c r="A17" s="674" t="s">
        <v>48</v>
      </c>
      <c r="B17" s="674"/>
      <c r="C17" s="1024" t="s">
        <v>320</v>
      </c>
      <c r="D17" s="1024"/>
      <c r="E17" s="1024"/>
      <c r="F17" s="1024"/>
      <c r="G17" s="1024"/>
      <c r="H17" s="1024"/>
      <c r="I17" s="674"/>
      <c r="J17" s="1036"/>
      <c r="K17" s="1037"/>
      <c r="L17" s="1038"/>
      <c r="AJ17" s="677" t="s">
        <v>442</v>
      </c>
    </row>
    <row r="18" spans="1:36" s="675" customFormat="1" ht="15" x14ac:dyDescent="0.25">
      <c r="A18" s="674"/>
      <c r="B18" s="674"/>
      <c r="C18" s="1025" t="s">
        <v>49</v>
      </c>
      <c r="D18" s="1025"/>
      <c r="E18" s="1025"/>
      <c r="F18" s="1025"/>
      <c r="G18" s="1025"/>
      <c r="H18" s="1025"/>
      <c r="I18" s="674"/>
      <c r="J18" s="674"/>
      <c r="K18" s="674"/>
      <c r="L18" s="674"/>
    </row>
    <row r="19" spans="1:36" s="675" customFormat="1" ht="14.25" customHeight="1" x14ac:dyDescent="0.25">
      <c r="A19" s="674"/>
      <c r="B19" s="674"/>
      <c r="C19" s="674"/>
      <c r="D19" s="674"/>
      <c r="E19" s="674"/>
      <c r="F19" s="674"/>
      <c r="G19" s="1039" t="s">
        <v>50</v>
      </c>
      <c r="H19" s="1039"/>
      <c r="I19" s="1040"/>
      <c r="J19" s="1041"/>
      <c r="K19" s="1042"/>
      <c r="L19" s="1043"/>
      <c r="AJ19" s="678" t="e">
        <f>IF([92]Source!G35&lt;&gt;"Новый объект", [92]Source!G35, "")</f>
        <v>#REF!</v>
      </c>
    </row>
    <row r="20" spans="1:36" s="675" customFormat="1" ht="15" x14ac:dyDescent="0.25">
      <c r="A20" s="674"/>
      <c r="B20" s="674"/>
      <c r="C20" s="674"/>
      <c r="D20" s="674"/>
      <c r="E20" s="674"/>
      <c r="F20" s="674"/>
      <c r="G20" s="1039" t="s">
        <v>51</v>
      </c>
      <c r="H20" s="1040"/>
      <c r="I20" s="679" t="s">
        <v>52</v>
      </c>
      <c r="J20" s="1041" t="s">
        <v>595</v>
      </c>
      <c r="K20" s="1042"/>
      <c r="L20" s="1043"/>
    </row>
    <row r="21" spans="1:36" s="675" customFormat="1" ht="15" x14ac:dyDescent="0.25">
      <c r="A21" s="674"/>
      <c r="B21" s="674"/>
      <c r="C21" s="674"/>
      <c r="D21" s="674"/>
      <c r="E21" s="674"/>
      <c r="F21" s="674"/>
      <c r="G21" s="674"/>
      <c r="H21" s="674"/>
      <c r="I21" s="680" t="s">
        <v>53</v>
      </c>
      <c r="J21" s="1044">
        <v>43811</v>
      </c>
      <c r="K21" s="1045"/>
      <c r="L21" s="1046"/>
    </row>
    <row r="22" spans="1:36" s="675" customFormat="1" ht="15" x14ac:dyDescent="0.25">
      <c r="A22" s="674"/>
      <c r="B22" s="674"/>
      <c r="C22" s="674"/>
      <c r="D22" s="674"/>
      <c r="E22" s="674"/>
      <c r="F22" s="674"/>
      <c r="G22" s="674"/>
      <c r="H22" s="674"/>
      <c r="I22" s="676" t="s">
        <v>54</v>
      </c>
      <c r="J22" s="1041"/>
      <c r="K22" s="1042"/>
      <c r="L22" s="1043"/>
    </row>
    <row r="23" spans="1:36" s="675" customFormat="1" ht="15" x14ac:dyDescent="0.25">
      <c r="A23" s="674"/>
      <c r="B23" s="674"/>
      <c r="C23" s="674"/>
      <c r="D23" s="674"/>
      <c r="E23" s="674"/>
      <c r="F23" s="674"/>
      <c r="G23" s="674"/>
      <c r="H23" s="674"/>
      <c r="I23" s="674"/>
      <c r="J23" s="674"/>
      <c r="K23" s="674"/>
      <c r="L23" s="674"/>
    </row>
    <row r="24" spans="1:36" s="675" customFormat="1" ht="15" x14ac:dyDescent="0.25">
      <c r="A24" s="674"/>
      <c r="B24" s="674"/>
      <c r="C24" s="674"/>
      <c r="D24" s="674"/>
      <c r="E24" s="674"/>
      <c r="F24" s="674"/>
      <c r="G24" s="674"/>
      <c r="H24" s="674"/>
      <c r="I24" s="1047" t="s">
        <v>55</v>
      </c>
      <c r="J24" s="1047" t="s">
        <v>56</v>
      </c>
      <c r="K24" s="1049" t="s">
        <v>57</v>
      </c>
      <c r="L24" s="1050"/>
    </row>
    <row r="25" spans="1:36" s="675" customFormat="1" ht="15" x14ac:dyDescent="0.25">
      <c r="A25" s="674"/>
      <c r="B25" s="674"/>
      <c r="C25" s="674"/>
      <c r="D25" s="674"/>
      <c r="E25" s="674"/>
      <c r="F25" s="674"/>
      <c r="G25" s="674"/>
      <c r="H25" s="674"/>
      <c r="I25" s="1048"/>
      <c r="J25" s="1048"/>
      <c r="K25" s="681" t="s">
        <v>58</v>
      </c>
      <c r="L25" s="682" t="s">
        <v>59</v>
      </c>
    </row>
    <row r="26" spans="1:36" s="675" customFormat="1" ht="14.25" customHeight="1" x14ac:dyDescent="0.25">
      <c r="A26" s="674"/>
      <c r="B26" s="674"/>
      <c r="C26" s="674"/>
      <c r="D26" s="674"/>
      <c r="E26" s="674"/>
      <c r="F26" s="674"/>
      <c r="G26" s="674"/>
      <c r="H26" s="674"/>
      <c r="I26" s="683" t="s">
        <v>21</v>
      </c>
      <c r="J26" s="437">
        <v>44188</v>
      </c>
      <c r="K26" s="437">
        <v>44166</v>
      </c>
      <c r="L26" s="438">
        <f>J26</f>
        <v>44188</v>
      </c>
    </row>
    <row r="27" spans="1:36" s="675" customFormat="1" ht="18.75" x14ac:dyDescent="0.3">
      <c r="A27" s="1051" t="s">
        <v>60</v>
      </c>
      <c r="B27" s="1051"/>
      <c r="C27" s="1051"/>
      <c r="D27" s="1051"/>
      <c r="E27" s="1051"/>
      <c r="F27" s="1051"/>
      <c r="G27" s="1051"/>
      <c r="H27" s="1051"/>
      <c r="I27" s="1051"/>
      <c r="J27" s="1051"/>
      <c r="K27" s="1051"/>
      <c r="L27" s="1051"/>
    </row>
    <row r="28" spans="1:36" s="675" customFormat="1" ht="18.75" x14ac:dyDescent="0.3">
      <c r="A28" s="1051" t="s">
        <v>61</v>
      </c>
      <c r="B28" s="1051"/>
      <c r="C28" s="1051"/>
      <c r="D28" s="1051"/>
      <c r="E28" s="1051"/>
      <c r="F28" s="1051"/>
      <c r="G28" s="1051"/>
      <c r="H28" s="1051"/>
      <c r="I28" s="1051"/>
      <c r="J28" s="1051"/>
      <c r="K28" s="1051"/>
      <c r="L28" s="1051"/>
    </row>
    <row r="29" spans="1:36" s="675" customFormat="1" ht="14.25" customHeight="1" x14ac:dyDescent="0.25">
      <c r="A29" s="674"/>
      <c r="B29" s="674"/>
      <c r="C29" s="674"/>
      <c r="D29" s="674"/>
      <c r="E29" s="674"/>
      <c r="F29" s="674"/>
      <c r="G29" s="674"/>
      <c r="H29" s="674"/>
      <c r="I29" s="684"/>
      <c r="J29" s="685"/>
      <c r="K29" s="685"/>
      <c r="L29" s="685"/>
    </row>
    <row r="30" spans="1:36" ht="18.75" x14ac:dyDescent="0.3">
      <c r="A30" s="1052" t="s">
        <v>689</v>
      </c>
      <c r="B30" s="1052"/>
      <c r="C30" s="1052"/>
      <c r="D30" s="1052"/>
      <c r="E30" s="1052"/>
      <c r="F30" s="1052"/>
      <c r="G30" s="1052"/>
      <c r="H30" s="1052"/>
      <c r="I30" s="1052"/>
      <c r="J30" s="1052"/>
      <c r="K30" s="1052"/>
      <c r="L30" s="1052"/>
    </row>
    <row r="31" spans="1:36" ht="19.5" x14ac:dyDescent="0.35">
      <c r="A31" s="1022"/>
      <c r="B31" s="1022"/>
      <c r="C31" s="1022"/>
      <c r="D31" s="1022"/>
      <c r="E31" s="1022"/>
      <c r="F31" s="1022"/>
      <c r="G31" s="1022"/>
      <c r="H31" s="1022"/>
      <c r="I31" s="1022"/>
      <c r="J31" s="1022"/>
      <c r="K31" s="1022"/>
      <c r="L31" s="1022"/>
    </row>
    <row r="32" spans="1:36" ht="18.75" x14ac:dyDescent="0.3">
      <c r="A32" s="686"/>
      <c r="B32" s="686"/>
      <c r="C32" s="687" t="s">
        <v>443</v>
      </c>
      <c r="D32" s="686"/>
      <c r="E32" s="686"/>
      <c r="F32" s="686"/>
      <c r="G32" s="686"/>
      <c r="H32" s="686"/>
      <c r="I32" s="686"/>
      <c r="J32" s="686"/>
      <c r="K32" s="686"/>
      <c r="L32" s="686"/>
    </row>
    <row r="33" spans="1:37" ht="18.75" x14ac:dyDescent="0.3">
      <c r="A33" s="686"/>
      <c r="B33" s="686"/>
      <c r="C33" s="687" t="s">
        <v>444</v>
      </c>
      <c r="D33" s="686"/>
      <c r="E33" s="686"/>
      <c r="F33" s="686"/>
      <c r="G33" s="686"/>
      <c r="H33" s="686"/>
      <c r="I33" s="686"/>
      <c r="J33" s="686"/>
      <c r="K33" s="686"/>
      <c r="L33" s="686"/>
    </row>
    <row r="34" spans="1:37" ht="40.5" customHeight="1" x14ac:dyDescent="0.3">
      <c r="A34" s="686"/>
      <c r="B34" s="686"/>
      <c r="C34" s="1060" t="s">
        <v>445</v>
      </c>
      <c r="D34" s="1060"/>
      <c r="E34" s="1060"/>
      <c r="F34" s="1060"/>
      <c r="G34" s="1060"/>
      <c r="H34" s="1060"/>
      <c r="I34" s="1060"/>
      <c r="J34" s="1060"/>
      <c r="K34" s="1060"/>
      <c r="L34" s="686"/>
    </row>
    <row r="35" spans="1:37" ht="30" x14ac:dyDescent="0.25">
      <c r="A35" s="1061" t="s">
        <v>446</v>
      </c>
      <c r="B35" s="1061"/>
      <c r="C35" s="1061"/>
      <c r="D35" s="1061"/>
      <c r="E35" s="1061"/>
      <c r="F35" s="1061"/>
      <c r="G35" s="1061"/>
      <c r="H35" s="1061"/>
      <c r="I35" s="1061"/>
      <c r="J35" s="1061"/>
      <c r="K35" s="1061"/>
      <c r="L35" s="1061"/>
      <c r="AK35" s="688" t="s">
        <v>446</v>
      </c>
    </row>
    <row r="36" spans="1:37" ht="15" x14ac:dyDescent="0.2">
      <c r="A36" s="1065" t="s">
        <v>67</v>
      </c>
      <c r="B36" s="1065"/>
      <c r="C36" s="1065" t="s">
        <v>68</v>
      </c>
      <c r="D36" s="1065" t="s">
        <v>69</v>
      </c>
      <c r="E36" s="1065" t="s">
        <v>70</v>
      </c>
      <c r="F36" s="1065" t="s">
        <v>71</v>
      </c>
      <c r="G36" s="1065" t="s">
        <v>72</v>
      </c>
      <c r="H36" s="1062" t="s">
        <v>73</v>
      </c>
      <c r="I36" s="1062" t="s">
        <v>74</v>
      </c>
      <c r="J36" s="1065" t="s">
        <v>339</v>
      </c>
      <c r="K36" s="1065" t="s">
        <v>76</v>
      </c>
      <c r="L36" s="1065" t="s">
        <v>77</v>
      </c>
    </row>
    <row r="37" spans="1:37" x14ac:dyDescent="0.2">
      <c r="A37" s="1062" t="s">
        <v>78</v>
      </c>
      <c r="B37" s="1062" t="s">
        <v>79</v>
      </c>
      <c r="C37" s="1065"/>
      <c r="D37" s="1065"/>
      <c r="E37" s="1065"/>
      <c r="F37" s="1065"/>
      <c r="G37" s="1065"/>
      <c r="H37" s="1063"/>
      <c r="I37" s="1063"/>
      <c r="J37" s="1065"/>
      <c r="K37" s="1065"/>
      <c r="L37" s="1065"/>
    </row>
    <row r="38" spans="1:37" x14ac:dyDescent="0.2">
      <c r="A38" s="1063"/>
      <c r="B38" s="1063"/>
      <c r="C38" s="1065"/>
      <c r="D38" s="1065"/>
      <c r="E38" s="1065"/>
      <c r="F38" s="1065"/>
      <c r="G38" s="1065"/>
      <c r="H38" s="1063"/>
      <c r="I38" s="1063"/>
      <c r="J38" s="1065"/>
      <c r="K38" s="1065"/>
      <c r="L38" s="1065"/>
    </row>
    <row r="39" spans="1:37" ht="20.100000000000001" customHeight="1" x14ac:dyDescent="0.2">
      <c r="A39" s="1063"/>
      <c r="B39" s="1063"/>
      <c r="C39" s="1065"/>
      <c r="D39" s="1065"/>
      <c r="E39" s="1065"/>
      <c r="F39" s="1065"/>
      <c r="G39" s="1065"/>
      <c r="H39" s="1063"/>
      <c r="I39" s="1063"/>
      <c r="J39" s="1065"/>
      <c r="K39" s="1065"/>
      <c r="L39" s="1065"/>
    </row>
    <row r="40" spans="1:37" ht="20.100000000000001" customHeight="1" x14ac:dyDescent="0.2">
      <c r="A40" s="1064"/>
      <c r="B40" s="1064"/>
      <c r="C40" s="1065"/>
      <c r="D40" s="1065"/>
      <c r="E40" s="1065"/>
      <c r="F40" s="1065"/>
      <c r="G40" s="1065"/>
      <c r="H40" s="1064"/>
      <c r="I40" s="1064"/>
      <c r="J40" s="1065"/>
      <c r="K40" s="1065"/>
      <c r="L40" s="1065"/>
    </row>
    <row r="41" spans="1:37" ht="15" x14ac:dyDescent="0.2">
      <c r="A41" s="689">
        <v>1</v>
      </c>
      <c r="B41" s="689">
        <v>2</v>
      </c>
      <c r="C41" s="689">
        <v>3</v>
      </c>
      <c r="D41" s="689">
        <v>4</v>
      </c>
      <c r="E41" s="689">
        <v>5</v>
      </c>
      <c r="F41" s="689">
        <v>6</v>
      </c>
      <c r="G41" s="689">
        <v>7</v>
      </c>
      <c r="H41" s="689">
        <v>8</v>
      </c>
      <c r="I41" s="689">
        <v>9</v>
      </c>
      <c r="J41" s="689">
        <v>10</v>
      </c>
      <c r="K41" s="689">
        <v>11</v>
      </c>
      <c r="L41" s="689">
        <v>12</v>
      </c>
    </row>
    <row r="43" spans="1:37" ht="33" x14ac:dyDescent="0.25">
      <c r="A43" s="1066" t="str">
        <f>CONCATENATE("Раздел: ",IF([93]Source!G26&lt;&gt;"Новый раздел", [93]Source!G26, ""))</f>
        <v>Раздел: ТОННЕЛИ ЗА СТ. "АМИНЬЕВСКОЕ ШОССЕ". ХОЗЯЙСТВЕННО-ПИТЬЕВОЙ, ПРОИЗВОДСТВЕННЫЙ И ПРОТИВОПОЖАРНЫЙ ТОННЕЛЬНЫЙ ВОДОПРОВОД В1Т</v>
      </c>
      <c r="B43" s="1066"/>
      <c r="C43" s="1066"/>
      <c r="D43" s="1066"/>
      <c r="E43" s="1066"/>
      <c r="F43" s="1066"/>
      <c r="G43" s="1066"/>
      <c r="H43" s="1066"/>
      <c r="I43" s="1066"/>
      <c r="J43" s="1066"/>
      <c r="K43" s="1066"/>
      <c r="L43" s="1066"/>
      <c r="AK43" s="690" t="str">
        <f>CONCATENATE("Раздел: ",IF([93]Source!G26&lt;&gt;"Новый раздел", [93]Source!G26, ""))</f>
        <v>Раздел: ТОННЕЛИ ЗА СТ. "АМИНЬЕВСКОЕ ШОССЕ". ХОЗЯЙСТВЕННО-ПИТЬЕВОЙ, ПРОИЗВОДСТВЕННЫЙ И ПРОТИВОПОЖАРНЫЙ ТОННЕЛЬНЫЙ ВОДОПРОВОД В1Т</v>
      </c>
    </row>
    <row r="44" spans="1:37" ht="75" x14ac:dyDescent="0.25">
      <c r="A44" s="691">
        <v>1</v>
      </c>
      <c r="B44" s="691" t="str">
        <f>[93]Source!E47</f>
        <v>8</v>
      </c>
      <c r="C44" s="692" t="str">
        <f>[93]Source!F47</f>
        <v>1.12-7-98</v>
      </c>
      <c r="D44" s="692" t="s">
        <v>447</v>
      </c>
      <c r="E44" s="693" t="str">
        <f>[93]Source!H47</f>
        <v>м</v>
      </c>
      <c r="F44" s="694">
        <f>[93]Source!I47</f>
        <v>1.2</v>
      </c>
      <c r="G44" s="695">
        <f>[93]Source!AL47</f>
        <v>451.61</v>
      </c>
      <c r="H44" s="696" t="str">
        <f>[93]Source!DD47</f>
        <v/>
      </c>
      <c r="I44" s="694">
        <f>[93]Source!AW47</f>
        <v>1</v>
      </c>
      <c r="J44" s="697">
        <f>ROUND((ROUND(([93]Source!AC47*[93]Source!AW47*[93]Source!I47),2)),2)</f>
        <v>541.92999999999995</v>
      </c>
      <c r="K44" s="694">
        <f>IF([93]Source!BC47&lt;&gt; 0, [93]Source!BC47, 1)</f>
        <v>3.41</v>
      </c>
      <c r="L44" s="697">
        <f>[93]Source!P47</f>
        <v>1847.98</v>
      </c>
      <c r="Q44" s="671">
        <f>ROUND(([93]Source!DN47/100)*ROUND((ROUND(([93]Source!AF47*[93]Source!AV47*[93]Source!I47),2)),2), 2)</f>
        <v>0</v>
      </c>
      <c r="R44" s="671">
        <f>[93]Source!X47</f>
        <v>0</v>
      </c>
      <c r="S44" s="671">
        <f>ROUND(([93]Source!DO47/100)*ROUND((ROUND(([93]Source!AF47*[93]Source!AV47*[93]Source!I47),2)),2), 2)</f>
        <v>0</v>
      </c>
      <c r="T44" s="671">
        <f>[93]Source!Y47</f>
        <v>0</v>
      </c>
      <c r="U44" s="671">
        <f>ROUND((175/100)*ROUND((ROUND(([93]Source!AE47*[93]Source!AV47*[93]Source!I47),2)),2), 2)</f>
        <v>0</v>
      </c>
      <c r="V44" s="671">
        <f>ROUND((157/100)*ROUND(ROUND((ROUND(([93]Source!AE47*[93]Source!AV47*[93]Source!I47),2)*[93]Source!BS47),2), 2), 2)</f>
        <v>0</v>
      </c>
    </row>
    <row r="45" spans="1:37" ht="14.25" x14ac:dyDescent="0.2">
      <c r="A45" s="698"/>
      <c r="B45" s="698"/>
      <c r="C45" s="698"/>
      <c r="D45" s="698"/>
      <c r="E45" s="698"/>
      <c r="F45" s="698"/>
      <c r="G45" s="698"/>
      <c r="H45" s="698"/>
      <c r="I45" s="1067">
        <f>J44</f>
        <v>541.92999999999995</v>
      </c>
      <c r="J45" s="1067"/>
      <c r="K45" s="1067">
        <f>L44</f>
        <v>1847.98</v>
      </c>
      <c r="L45" s="1067"/>
      <c r="O45" s="699">
        <f>J44</f>
        <v>541.92999999999995</v>
      </c>
      <c r="P45" s="699">
        <f>L44</f>
        <v>1847.98</v>
      </c>
      <c r="X45" s="671">
        <f>IF([93]Source!BI47&lt;=1,J44-0, 0)</f>
        <v>541.92999999999995</v>
      </c>
      <c r="Y45" s="671">
        <f>IF([93]Source!BI47=2,J44-0, 0)</f>
        <v>0</v>
      </c>
      <c r="Z45" s="671">
        <f>IF([93]Source!BI47=3,J44-0, 0)</f>
        <v>0</v>
      </c>
      <c r="AA45" s="671">
        <f>IF([93]Source!BI47=4,J44,0)</f>
        <v>0</v>
      </c>
    </row>
    <row r="46" spans="1:37" ht="75" x14ac:dyDescent="0.25">
      <c r="A46" s="691">
        <v>2</v>
      </c>
      <c r="B46" s="691" t="str">
        <f>[93]Source!E49</f>
        <v>9</v>
      </c>
      <c r="C46" s="692" t="str">
        <f>[93]Source!F49</f>
        <v>1.12-10-23</v>
      </c>
      <c r="D46" s="692" t="s">
        <v>448</v>
      </c>
      <c r="E46" s="693" t="str">
        <f>[93]Source!H49</f>
        <v>КОМПЛЕКТ</v>
      </c>
      <c r="F46" s="694">
        <f>[93]Source!I49</f>
        <v>12</v>
      </c>
      <c r="G46" s="695">
        <f>[93]Source!AL49</f>
        <v>21.42</v>
      </c>
      <c r="H46" s="696" t="str">
        <f>[93]Source!DD49</f>
        <v/>
      </c>
      <c r="I46" s="694">
        <f>[93]Source!AW49</f>
        <v>1</v>
      </c>
      <c r="J46" s="697">
        <f>ROUND((ROUND(([93]Source!AC49*[93]Source!AW49*[93]Source!I49),2)),2)</f>
        <v>257.04000000000002</v>
      </c>
      <c r="K46" s="694">
        <f>IF([93]Source!BC49&lt;&gt; 0, [93]Source!BC49, 1)</f>
        <v>8.08</v>
      </c>
      <c r="L46" s="697">
        <f>[93]Source!P49</f>
        <v>2076.88</v>
      </c>
      <c r="Q46" s="671">
        <f>ROUND(([93]Source!DN49/100)*ROUND((ROUND(([93]Source!AF49*[93]Source!AV49*[93]Source!I49),2)),2), 2)</f>
        <v>0</v>
      </c>
      <c r="R46" s="671">
        <f>[93]Source!X49</f>
        <v>0</v>
      </c>
      <c r="S46" s="671">
        <f>ROUND(([93]Source!DO49/100)*ROUND((ROUND(([93]Source!AF49*[93]Source!AV49*[93]Source!I49),2)),2), 2)</f>
        <v>0</v>
      </c>
      <c r="T46" s="671">
        <f>[93]Source!Y49</f>
        <v>0</v>
      </c>
      <c r="U46" s="671">
        <f>ROUND((175/100)*ROUND((ROUND(([93]Source!AE49*[93]Source!AV49*[93]Source!I49),2)),2), 2)</f>
        <v>0</v>
      </c>
      <c r="V46" s="671">
        <f>ROUND((157/100)*ROUND(ROUND((ROUND(([93]Source!AE49*[93]Source!AV49*[93]Source!I49),2)*[93]Source!BS49),2), 2), 2)</f>
        <v>0</v>
      </c>
    </row>
    <row r="47" spans="1:37" ht="14.25" x14ac:dyDescent="0.2">
      <c r="A47" s="698"/>
      <c r="B47" s="698"/>
      <c r="C47" s="698"/>
      <c r="D47" s="698"/>
      <c r="E47" s="698"/>
      <c r="F47" s="698"/>
      <c r="G47" s="698"/>
      <c r="H47" s="698"/>
      <c r="I47" s="1067">
        <f>J46</f>
        <v>257.04000000000002</v>
      </c>
      <c r="J47" s="1067"/>
      <c r="K47" s="1067">
        <f>L46</f>
        <v>2076.88</v>
      </c>
      <c r="L47" s="1067"/>
      <c r="O47" s="699">
        <f>J46</f>
        <v>257.04000000000002</v>
      </c>
      <c r="P47" s="699">
        <f>L46</f>
        <v>2076.88</v>
      </c>
      <c r="X47" s="671">
        <f>IF([93]Source!BI49&lt;=1,J46-0, 0)</f>
        <v>257.04000000000002</v>
      </c>
      <c r="Y47" s="671">
        <f>IF([93]Source!BI49=2,J46-0, 0)</f>
        <v>0</v>
      </c>
      <c r="Z47" s="671">
        <f>IF([93]Source!BI49=3,J46-0, 0)</f>
        <v>0</v>
      </c>
      <c r="AA47" s="671">
        <f>IF([93]Source!BI49=4,J46,0)</f>
        <v>0</v>
      </c>
    </row>
    <row r="48" spans="1:37" ht="53.25" x14ac:dyDescent="0.25">
      <c r="A48" s="691">
        <v>3</v>
      </c>
      <c r="B48" s="691" t="str">
        <f>[93]Source!E51</f>
        <v>10</v>
      </c>
      <c r="C48" s="692" t="s">
        <v>727</v>
      </c>
      <c r="D48" s="692" t="s">
        <v>449</v>
      </c>
      <c r="E48" s="693" t="str">
        <f>[93]Source!H51</f>
        <v>1 т фасонных частей</v>
      </c>
      <c r="F48" s="694">
        <f>[93]Source!I51</f>
        <v>8.6400000000000001E-3</v>
      </c>
      <c r="G48" s="695"/>
      <c r="H48" s="696"/>
      <c r="I48" s="694"/>
      <c r="J48" s="697"/>
      <c r="K48" s="694"/>
      <c r="L48" s="697"/>
      <c r="Q48" s="671">
        <f>ROUND(([93]Source!DN51/100)*ROUND((ROUND(([93]Source!AF51*[93]Source!AV51*[93]Source!I51),2)),2), 2)</f>
        <v>10.75</v>
      </c>
      <c r="R48" s="671">
        <f>[93]Source!X51</f>
        <v>208.38</v>
      </c>
      <c r="S48" s="671">
        <f>ROUND(([93]Source!DO51/100)*ROUND((ROUND(([93]Source!AF51*[93]Source!AV51*[93]Source!I51),2)),2), 2)</f>
        <v>8.08</v>
      </c>
      <c r="T48" s="671">
        <f>[93]Source!Y51</f>
        <v>93.77</v>
      </c>
      <c r="U48" s="671">
        <f>ROUND((175/100)*ROUND((ROUND(([93]Source!AE51*[93]Source!AV51*[93]Source!I51),2)),2), 2)</f>
        <v>0.63</v>
      </c>
      <c r="V48" s="671">
        <f>ROUND((157/100)*ROUND(ROUND((ROUND(([93]Source!AE51*[93]Source!AV51*[93]Source!I51),2)*[93]Source!BS51),2), 2), 2)</f>
        <v>13.69</v>
      </c>
    </row>
    <row r="49" spans="1:27" ht="15" x14ac:dyDescent="0.25">
      <c r="A49" s="691"/>
      <c r="B49" s="691"/>
      <c r="C49" s="692"/>
      <c r="D49" s="692" t="s">
        <v>84</v>
      </c>
      <c r="E49" s="693"/>
      <c r="F49" s="694"/>
      <c r="G49" s="695">
        <f>[93]Source!AO51</f>
        <v>558.44000000000005</v>
      </c>
      <c r="H49" s="696" t="str">
        <f>[93]Source!DG51</f>
        <v>)*1,67</v>
      </c>
      <c r="I49" s="694">
        <f>[93]Source!AV51</f>
        <v>1.0669999999999999</v>
      </c>
      <c r="J49" s="697">
        <f>ROUND((ROUND(([93]Source!AF51*[93]Source!AV51*[93]Source!I51),2)),2)</f>
        <v>8.6</v>
      </c>
      <c r="K49" s="694">
        <f>IF([93]Source!BA51&lt;&gt; 0, [93]Source!BA51, 1)</f>
        <v>24.23</v>
      </c>
      <c r="L49" s="697">
        <f>[93]Source!S51</f>
        <v>208.38</v>
      </c>
      <c r="W49" s="671">
        <f>J49</f>
        <v>8.6</v>
      </c>
    </row>
    <row r="50" spans="1:27" ht="15" x14ac:dyDescent="0.25">
      <c r="A50" s="691"/>
      <c r="B50" s="691"/>
      <c r="C50" s="692"/>
      <c r="D50" s="692" t="s">
        <v>85</v>
      </c>
      <c r="E50" s="693"/>
      <c r="F50" s="694"/>
      <c r="G50" s="695">
        <f>[93]Source!AM51</f>
        <v>97.03</v>
      </c>
      <c r="H50" s="696" t="str">
        <f>[93]Source!DE51</f>
        <v/>
      </c>
      <c r="I50" s="694">
        <f>[93]Source!AV51</f>
        <v>1.0669999999999999</v>
      </c>
      <c r="J50" s="697">
        <f>(ROUND((ROUND((([93]Source!ET51)*[93]Source!AV51*[93]Source!I51),2)),2)+ROUND((ROUND((([93]Source!AE51-([93]Source!EU51))*[93]Source!AV51*[93]Source!I51),2)),2))-J59</f>
        <v>0.89</v>
      </c>
      <c r="K50" s="694">
        <f>IF([93]Source!BB51&lt;&gt; 0, [93]Source!BB51, 1)</f>
        <v>10.07</v>
      </c>
      <c r="L50" s="697">
        <f>[93]Source!Q51-L59</f>
        <v>8.84</v>
      </c>
    </row>
    <row r="51" spans="1:27" ht="15" x14ac:dyDescent="0.25">
      <c r="A51" s="691"/>
      <c r="B51" s="691"/>
      <c r="C51" s="692"/>
      <c r="D51" s="692" t="s">
        <v>86</v>
      </c>
      <c r="E51" s="693"/>
      <c r="F51" s="694"/>
      <c r="G51" s="695">
        <f>[93]Source!AN51</f>
        <v>23.46</v>
      </c>
      <c r="H51" s="696" t="str">
        <f>[93]Source!DE51</f>
        <v/>
      </c>
      <c r="I51" s="694">
        <f>[93]Source!AV51</f>
        <v>1.0669999999999999</v>
      </c>
      <c r="J51" s="700">
        <f>ROUND((ROUND(([93]Source!AE51*[93]Source!AV51*[93]Source!I51),2)),2)-J60</f>
        <v>0.22</v>
      </c>
      <c r="K51" s="694">
        <f>IF([93]Source!BS51&lt;&gt; 0, [93]Source!BS51, 1)</f>
        <v>24.23</v>
      </c>
      <c r="L51" s="700">
        <f>[93]Source!R51-L60</f>
        <v>5.21</v>
      </c>
      <c r="W51" s="671">
        <f>J51</f>
        <v>0.22</v>
      </c>
    </row>
    <row r="52" spans="1:27" ht="15" x14ac:dyDescent="0.25">
      <c r="A52" s="691"/>
      <c r="B52" s="691"/>
      <c r="C52" s="692"/>
      <c r="D52" s="692" t="s">
        <v>87</v>
      </c>
      <c r="E52" s="693"/>
      <c r="F52" s="694"/>
      <c r="G52" s="695">
        <f>[93]Source!AL51</f>
        <v>681.49</v>
      </c>
      <c r="H52" s="696" t="str">
        <f>[93]Source!DD51</f>
        <v/>
      </c>
      <c r="I52" s="694">
        <f>[93]Source!AW51</f>
        <v>1</v>
      </c>
      <c r="J52" s="697">
        <f>ROUND((ROUND(([93]Source!AC51*[93]Source!AW51*[93]Source!I51),2)),2)</f>
        <v>5.89</v>
      </c>
      <c r="K52" s="694">
        <f>IF([93]Source!BC51&lt;&gt; 0, [93]Source!BC51, 1)</f>
        <v>4.5999999999999996</v>
      </c>
      <c r="L52" s="697">
        <f>[93]Source!P51</f>
        <v>27.09</v>
      </c>
    </row>
    <row r="53" spans="1:27" ht="15" x14ac:dyDescent="0.25">
      <c r="A53" s="691"/>
      <c r="B53" s="691"/>
      <c r="C53" s="692"/>
      <c r="D53" s="692" t="s">
        <v>88</v>
      </c>
      <c r="E53" s="693" t="s">
        <v>89</v>
      </c>
      <c r="F53" s="694">
        <f>[93]Source!DN51</f>
        <v>125</v>
      </c>
      <c r="G53" s="695"/>
      <c r="H53" s="696"/>
      <c r="I53" s="694"/>
      <c r="J53" s="697">
        <f>SUM(Q48:Q52)</f>
        <v>10.75</v>
      </c>
      <c r="K53" s="694">
        <f>[93]Source!BZ51</f>
        <v>100</v>
      </c>
      <c r="L53" s="697">
        <f>SUM(R48:R52)</f>
        <v>208.38</v>
      </c>
    </row>
    <row r="54" spans="1:27" ht="15" x14ac:dyDescent="0.25">
      <c r="A54" s="691"/>
      <c r="B54" s="691"/>
      <c r="C54" s="692"/>
      <c r="D54" s="692" t="s">
        <v>90</v>
      </c>
      <c r="E54" s="693" t="s">
        <v>89</v>
      </c>
      <c r="F54" s="694">
        <f>[93]Source!DO51</f>
        <v>94</v>
      </c>
      <c r="G54" s="695"/>
      <c r="H54" s="696"/>
      <c r="I54" s="694"/>
      <c r="J54" s="697">
        <f>SUM(S48:S53)</f>
        <v>8.08</v>
      </c>
      <c r="K54" s="694">
        <f>[93]Source!CA51</f>
        <v>45</v>
      </c>
      <c r="L54" s="697">
        <f>SUM(T48:T53)</f>
        <v>93.77</v>
      </c>
    </row>
    <row r="55" spans="1:27" ht="15" x14ac:dyDescent="0.25">
      <c r="A55" s="691"/>
      <c r="B55" s="691"/>
      <c r="C55" s="692"/>
      <c r="D55" s="692" t="s">
        <v>91</v>
      </c>
      <c r="E55" s="693" t="s">
        <v>89</v>
      </c>
      <c r="F55" s="694">
        <f>175</f>
        <v>175</v>
      </c>
      <c r="G55" s="695"/>
      <c r="H55" s="696"/>
      <c r="I55" s="694"/>
      <c r="J55" s="697">
        <f>SUM(U48:U54)-J61</f>
        <v>0.38</v>
      </c>
      <c r="K55" s="694">
        <f>157</f>
        <v>157</v>
      </c>
      <c r="L55" s="697">
        <f>SUM(V48:V54)-L61</f>
        <v>8.18</v>
      </c>
    </row>
    <row r="56" spans="1:27" ht="15" x14ac:dyDescent="0.25">
      <c r="A56" s="691"/>
      <c r="B56" s="691"/>
      <c r="C56" s="692"/>
      <c r="D56" s="692" t="s">
        <v>92</v>
      </c>
      <c r="E56" s="693" t="s">
        <v>93</v>
      </c>
      <c r="F56" s="694">
        <f>[93]Source!AQ51</f>
        <v>48.1</v>
      </c>
      <c r="G56" s="695"/>
      <c r="H56" s="696" t="str">
        <f>[93]Source!DI51</f>
        <v/>
      </c>
      <c r="I56" s="694">
        <f>[93]Source!AV51</f>
        <v>1.0669999999999999</v>
      </c>
      <c r="J56" s="697">
        <f>[93]Source!U51</f>
        <v>0.44</v>
      </c>
      <c r="K56" s="694"/>
      <c r="L56" s="697"/>
    </row>
    <row r="57" spans="1:27" ht="14.25" x14ac:dyDescent="0.2">
      <c r="I57" s="1067">
        <f>J49+J50+J52+J53+J54+J55</f>
        <v>34.590000000000003</v>
      </c>
      <c r="J57" s="1067"/>
      <c r="K57" s="1067">
        <f>L49+L50+L52+L53+L54+L55</f>
        <v>554.64</v>
      </c>
      <c r="L57" s="1067"/>
      <c r="O57" s="699">
        <f>J49+J50+J52+J53+J54+J55</f>
        <v>34.590000000000003</v>
      </c>
      <c r="P57" s="699">
        <f>L49+L50+L52+L53+L54+L55</f>
        <v>554.64</v>
      </c>
      <c r="X57" s="671">
        <f>IF([93]Source!BI51&lt;=1,J49+J50+J52+J53+J54+J55-0, 0)</f>
        <v>34.590000000000003</v>
      </c>
      <c r="Y57" s="671">
        <f>IF([93]Source!BI51=2,J49+J50+J52+J53+J54+J55-0, 0)</f>
        <v>0</v>
      </c>
      <c r="Z57" s="671">
        <f>IF([93]Source!BI51=3,J49+J50+J52+J53+J54+J55-0, 0)</f>
        <v>0</v>
      </c>
      <c r="AA57" s="671">
        <f>IF([93]Source!BI51=4,J49+J50+J52+J53+J54+J55,0)</f>
        <v>0</v>
      </c>
    </row>
    <row r="58" spans="1:27" ht="30" x14ac:dyDescent="0.25">
      <c r="A58" s="701"/>
      <c r="B58" s="701"/>
      <c r="C58" s="702"/>
      <c r="D58" s="702" t="s">
        <v>94</v>
      </c>
      <c r="E58" s="693"/>
      <c r="F58" s="703"/>
      <c r="G58" s="704"/>
      <c r="H58" s="693"/>
      <c r="I58" s="703"/>
      <c r="J58" s="700"/>
      <c r="K58" s="703"/>
      <c r="L58" s="700"/>
    </row>
    <row r="59" spans="1:27" ht="15" x14ac:dyDescent="0.25">
      <c r="A59" s="701"/>
      <c r="B59" s="701"/>
      <c r="C59" s="702"/>
      <c r="D59" s="702" t="s">
        <v>85</v>
      </c>
      <c r="E59" s="693"/>
      <c r="F59" s="703"/>
      <c r="G59" s="704">
        <f t="shared" ref="G59:L59" si="0">G60</f>
        <v>23.46</v>
      </c>
      <c r="H59" s="705" t="str">
        <f t="shared" si="0"/>
        <v>)*(1.67-1)</v>
      </c>
      <c r="I59" s="703">
        <f t="shared" si="0"/>
        <v>1.0669999999999999</v>
      </c>
      <c r="J59" s="700">
        <f t="shared" si="0"/>
        <v>0.14000000000000001</v>
      </c>
      <c r="K59" s="703">
        <f t="shared" si="0"/>
        <v>24.23</v>
      </c>
      <c r="L59" s="700">
        <f t="shared" si="0"/>
        <v>3.51</v>
      </c>
    </row>
    <row r="60" spans="1:27" ht="15" x14ac:dyDescent="0.25">
      <c r="A60" s="701"/>
      <c r="B60" s="701"/>
      <c r="C60" s="702"/>
      <c r="D60" s="702" t="s">
        <v>86</v>
      </c>
      <c r="E60" s="693"/>
      <c r="F60" s="703"/>
      <c r="G60" s="704">
        <f>[93]Source!AN51</f>
        <v>23.46</v>
      </c>
      <c r="H60" s="705" t="s">
        <v>95</v>
      </c>
      <c r="I60" s="703">
        <f>[93]Source!AV51</f>
        <v>1.0669999999999999</v>
      </c>
      <c r="J60" s="700">
        <f>ROUND(F48*G60*I60*(1.67-1), 2)</f>
        <v>0.14000000000000001</v>
      </c>
      <c r="K60" s="703">
        <f>IF([93]Source!BS51&lt;&gt; 0, [93]Source!BS51, 1)</f>
        <v>24.23</v>
      </c>
      <c r="L60" s="700">
        <f>ROUND(F48*G60*I60*(1.67-1)*K60, 2)</f>
        <v>3.51</v>
      </c>
      <c r="W60" s="671">
        <f>J60</f>
        <v>0.14000000000000001</v>
      </c>
    </row>
    <row r="61" spans="1:27" ht="15" x14ac:dyDescent="0.25">
      <c r="A61" s="701"/>
      <c r="B61" s="701"/>
      <c r="C61" s="702"/>
      <c r="D61" s="702" t="s">
        <v>91</v>
      </c>
      <c r="E61" s="693" t="s">
        <v>89</v>
      </c>
      <c r="F61" s="703">
        <f>175</f>
        <v>175</v>
      </c>
      <c r="G61" s="704"/>
      <c r="H61" s="693"/>
      <c r="I61" s="703"/>
      <c r="J61" s="700">
        <f>ROUND(J60*(F61/100), 2)</f>
        <v>0.25</v>
      </c>
      <c r="K61" s="703">
        <f>157</f>
        <v>157</v>
      </c>
      <c r="L61" s="700">
        <f>ROUND(L60*(K61/100), 2)</f>
        <v>5.51</v>
      </c>
    </row>
    <row r="62" spans="1:27" ht="14.25" x14ac:dyDescent="0.2">
      <c r="I62" s="1067">
        <f>J61+J60</f>
        <v>0.39</v>
      </c>
      <c r="J62" s="1067"/>
      <c r="K62" s="1067">
        <f>L61+L60</f>
        <v>9.02</v>
      </c>
      <c r="L62" s="1067"/>
      <c r="O62" s="699">
        <f>I62</f>
        <v>0.39</v>
      </c>
      <c r="P62" s="699">
        <f>K62</f>
        <v>9.02</v>
      </c>
      <c r="X62" s="671">
        <f>IF([93]Source!BI51&lt;=1,I62, 0)</f>
        <v>0.39</v>
      </c>
      <c r="Y62" s="671">
        <f>IF([93]Source!BI51=2,I62, 0)</f>
        <v>0</v>
      </c>
      <c r="Z62" s="671">
        <f>IF([93]Source!BI51=3,I62, 0)</f>
        <v>0</v>
      </c>
      <c r="AA62" s="671">
        <f>IF([93]Source!BI51=4,I62, 0)</f>
        <v>0</v>
      </c>
    </row>
    <row r="64" spans="1:27" ht="15" x14ac:dyDescent="0.25">
      <c r="A64" s="706"/>
      <c r="B64" s="706"/>
      <c r="C64" s="707"/>
      <c r="D64" s="707" t="s">
        <v>96</v>
      </c>
      <c r="E64" s="708"/>
      <c r="F64" s="709"/>
      <c r="G64" s="710"/>
      <c r="H64" s="711"/>
      <c r="I64" s="1067">
        <f>I57+I62</f>
        <v>34.979999999999997</v>
      </c>
      <c r="J64" s="1067"/>
      <c r="K64" s="1067">
        <f>K57+K62</f>
        <v>563.66</v>
      </c>
      <c r="L64" s="1067"/>
    </row>
    <row r="65" spans="1:27" ht="70.5" x14ac:dyDescent="0.25">
      <c r="A65" s="691">
        <v>4</v>
      </c>
      <c r="B65" s="691" t="str">
        <f>[93]Source!E53</f>
        <v>11</v>
      </c>
      <c r="C65" s="692" t="str">
        <f>[93]Source!F53</f>
        <v>МКЭ-33-1820/8-2 от 16.11.2018</v>
      </c>
      <c r="D65" s="692" t="s">
        <v>728</v>
      </c>
      <c r="E65" s="693" t="str">
        <f>[93]Source!H53</f>
        <v>шт.</v>
      </c>
      <c r="F65" s="694">
        <f>[93]Source!I53</f>
        <v>12</v>
      </c>
      <c r="G65" s="695">
        <f>J65/F65</f>
        <v>26.18</v>
      </c>
      <c r="H65" s="696" t="str">
        <f>[93]Source!DD53</f>
        <v/>
      </c>
      <c r="I65" s="694">
        <f>[93]Source!AW53</f>
        <v>1</v>
      </c>
      <c r="J65" s="697">
        <f>L65/K65</f>
        <v>314.16000000000003</v>
      </c>
      <c r="K65" s="694">
        <f>IF([93]Source!BC53&lt;&gt; 0, [93]Source!BC53, 1)</f>
        <v>5.58</v>
      </c>
      <c r="L65" s="697">
        <f>143.22*1.02*F65</f>
        <v>1753.01</v>
      </c>
      <c r="Q65" s="671">
        <f>ROUND(([93]Source!DN53/100)*ROUND((ROUND(([93]Source!AF53*[93]Source!AV53*[93]Source!I53),2)),2), 2)</f>
        <v>0</v>
      </c>
      <c r="R65" s="671">
        <f>[93]Source!X53</f>
        <v>0</v>
      </c>
      <c r="S65" s="671">
        <f>ROUND(([93]Source!DO53/100)*ROUND((ROUND(([93]Source!AF53*[93]Source!AV53*[93]Source!I53),2)),2), 2)</f>
        <v>0</v>
      </c>
      <c r="T65" s="671">
        <f>[93]Source!Y53</f>
        <v>0</v>
      </c>
      <c r="U65" s="671">
        <f>ROUND((175/100)*ROUND((ROUND(([93]Source!AE53*[93]Source!AV53*[93]Source!I53),2)),2), 2)</f>
        <v>0</v>
      </c>
      <c r="V65" s="671">
        <f>ROUND((157/100)*ROUND(ROUND((ROUND(([93]Source!AE53*[93]Source!AV53*[93]Source!I53),2)*[93]Source!BS53),2), 2), 2)</f>
        <v>0</v>
      </c>
    </row>
    <row r="66" spans="1:27" ht="14.25" x14ac:dyDescent="0.2">
      <c r="A66" s="698"/>
      <c r="B66" s="698"/>
      <c r="C66" s="698"/>
      <c r="D66" s="698"/>
      <c r="E66" s="698"/>
      <c r="F66" s="698"/>
      <c r="G66" s="698"/>
      <c r="H66" s="698"/>
      <c r="I66" s="1067">
        <f>J65</f>
        <v>314.16000000000003</v>
      </c>
      <c r="J66" s="1067"/>
      <c r="K66" s="1067">
        <f>L65</f>
        <v>1753.01</v>
      </c>
      <c r="L66" s="1067"/>
      <c r="O66" s="699">
        <f>J65</f>
        <v>314.16000000000003</v>
      </c>
      <c r="P66" s="699">
        <f>L65</f>
        <v>1753.01</v>
      </c>
      <c r="X66" s="671">
        <f>IF([93]Source!BI53&lt;=1,J65-0, 0)</f>
        <v>314.16000000000003</v>
      </c>
      <c r="Y66" s="671">
        <f>IF([93]Source!BI53=2,J65-0, 0)</f>
        <v>0</v>
      </c>
      <c r="Z66" s="671">
        <f>IF([93]Source!BI53=3,J65-0, 0)</f>
        <v>0</v>
      </c>
      <c r="AA66" s="671">
        <f>IF([93]Source!BI53=4,J65,0)</f>
        <v>0</v>
      </c>
    </row>
    <row r="67" spans="1:27" ht="75" x14ac:dyDescent="0.25">
      <c r="A67" s="691">
        <v>5</v>
      </c>
      <c r="B67" s="691" t="str">
        <f>[93]Source!E59</f>
        <v>13</v>
      </c>
      <c r="C67" s="692" t="str">
        <f>[93]Source!F59</f>
        <v>1.12-7-62</v>
      </c>
      <c r="D67" s="692" t="s">
        <v>450</v>
      </c>
      <c r="E67" s="693" t="str">
        <f>[93]Source!H59</f>
        <v>м</v>
      </c>
      <c r="F67" s="694">
        <f>[93]Source!I59</f>
        <v>2.8</v>
      </c>
      <c r="G67" s="695">
        <f>[93]Source!AL59</f>
        <v>153.78</v>
      </c>
      <c r="H67" s="696" t="str">
        <f>[93]Source!DD59</f>
        <v/>
      </c>
      <c r="I67" s="694">
        <f>[93]Source!AW59</f>
        <v>1</v>
      </c>
      <c r="J67" s="697">
        <f>ROUND((ROUND(([93]Source!AC59*[93]Source!AW59*[93]Source!I59),2)),2)</f>
        <v>430.58</v>
      </c>
      <c r="K67" s="694">
        <f>IF([93]Source!BC59&lt;&gt; 0, [93]Source!BC59, 1)</f>
        <v>3.44</v>
      </c>
      <c r="L67" s="697">
        <f>[93]Source!P59</f>
        <v>1481.2</v>
      </c>
      <c r="Q67" s="671">
        <f>ROUND(([93]Source!DN59/100)*ROUND((ROUND(([93]Source!AF59*[93]Source!AV59*[93]Source!I59),2)),2), 2)</f>
        <v>0</v>
      </c>
      <c r="R67" s="671">
        <f>[93]Source!X59</f>
        <v>0</v>
      </c>
      <c r="S67" s="671">
        <f>ROUND(([93]Source!DO59/100)*ROUND((ROUND(([93]Source!AF59*[93]Source!AV59*[93]Source!I59),2)),2), 2)</f>
        <v>0</v>
      </c>
      <c r="T67" s="671">
        <f>[93]Source!Y59</f>
        <v>0</v>
      </c>
      <c r="U67" s="671">
        <f>ROUND((175/100)*ROUND((ROUND(([93]Source!AE59*[93]Source!AV59*[93]Source!I59),2)),2), 2)</f>
        <v>0</v>
      </c>
      <c r="V67" s="671">
        <f>ROUND((157/100)*ROUND(ROUND((ROUND(([93]Source!AE59*[93]Source!AV59*[93]Source!I59),2)*[93]Source!BS59),2), 2), 2)</f>
        <v>0</v>
      </c>
    </row>
    <row r="68" spans="1:27" ht="14.25" x14ac:dyDescent="0.2">
      <c r="A68" s="698"/>
      <c r="B68" s="698"/>
      <c r="C68" s="698"/>
      <c r="D68" s="698"/>
      <c r="E68" s="698"/>
      <c r="F68" s="698"/>
      <c r="G68" s="698"/>
      <c r="H68" s="698"/>
      <c r="I68" s="1067">
        <f>J67</f>
        <v>430.58</v>
      </c>
      <c r="J68" s="1067"/>
      <c r="K68" s="1067">
        <f>L67</f>
        <v>1481.2</v>
      </c>
      <c r="L68" s="1067"/>
      <c r="O68" s="699">
        <f>J67</f>
        <v>430.58</v>
      </c>
      <c r="P68" s="699">
        <f>L67</f>
        <v>1481.2</v>
      </c>
      <c r="X68" s="671">
        <f>IF([93]Source!BI59&lt;=1,J67-0, 0)</f>
        <v>430.58</v>
      </c>
      <c r="Y68" s="671">
        <f>IF([93]Source!BI59=2,J67-0, 0)</f>
        <v>0</v>
      </c>
      <c r="Z68" s="671">
        <f>IF([93]Source!BI59=3,J67-0, 0)</f>
        <v>0</v>
      </c>
      <c r="AA68" s="671">
        <f>IF([93]Source!BI59=4,J67,0)</f>
        <v>0</v>
      </c>
    </row>
    <row r="69" spans="1:27" ht="75" x14ac:dyDescent="0.25">
      <c r="A69" s="691">
        <v>6</v>
      </c>
      <c r="B69" s="691" t="str">
        <f>[93]Source!E61</f>
        <v>14</v>
      </c>
      <c r="C69" s="692" t="str">
        <f>[93]Source!F61</f>
        <v>1.12-10-19</v>
      </c>
      <c r="D69" s="692" t="s">
        <v>451</v>
      </c>
      <c r="E69" s="693" t="str">
        <f>[93]Source!H61</f>
        <v>КОМПЛЕКТ</v>
      </c>
      <c r="F69" s="694">
        <f>[93]Source!I61</f>
        <v>28</v>
      </c>
      <c r="G69" s="695">
        <f>[93]Source!AL61</f>
        <v>6.49</v>
      </c>
      <c r="H69" s="696" t="str">
        <f>[93]Source!DD61</f>
        <v/>
      </c>
      <c r="I69" s="694">
        <f>[93]Source!AW61</f>
        <v>1</v>
      </c>
      <c r="J69" s="697">
        <f>ROUND((ROUND(([93]Source!AC61*[93]Source!AW61*[93]Source!I61),2)),2)</f>
        <v>181.72</v>
      </c>
      <c r="K69" s="694">
        <f>IF([93]Source!BC61&lt;&gt; 0, [93]Source!BC61, 1)</f>
        <v>6</v>
      </c>
      <c r="L69" s="697">
        <f>[93]Source!P61</f>
        <v>1090.32</v>
      </c>
      <c r="Q69" s="671">
        <f>ROUND(([93]Source!DN61/100)*ROUND((ROUND(([93]Source!AF61*[93]Source!AV61*[93]Source!I61),2)),2), 2)</f>
        <v>0</v>
      </c>
      <c r="R69" s="671">
        <f>[93]Source!X61</f>
        <v>0</v>
      </c>
      <c r="S69" s="671">
        <f>ROUND(([93]Source!DO61/100)*ROUND((ROUND(([93]Source!AF61*[93]Source!AV61*[93]Source!I61),2)),2), 2)</f>
        <v>0</v>
      </c>
      <c r="T69" s="671">
        <f>[93]Source!Y61</f>
        <v>0</v>
      </c>
      <c r="U69" s="671">
        <f>ROUND((175/100)*ROUND((ROUND(([93]Source!AE61*[93]Source!AV61*[93]Source!I61),2)),2), 2)</f>
        <v>0</v>
      </c>
      <c r="V69" s="671">
        <f>ROUND((157/100)*ROUND(ROUND((ROUND(([93]Source!AE61*[93]Source!AV61*[93]Source!I61),2)*[93]Source!BS61),2), 2), 2)</f>
        <v>0</v>
      </c>
    </row>
    <row r="70" spans="1:27" ht="14.25" x14ac:dyDescent="0.2">
      <c r="A70" s="698"/>
      <c r="B70" s="698"/>
      <c r="C70" s="698"/>
      <c r="D70" s="698"/>
      <c r="E70" s="698"/>
      <c r="F70" s="698"/>
      <c r="G70" s="698"/>
      <c r="H70" s="698"/>
      <c r="I70" s="1067">
        <f>J69</f>
        <v>181.72</v>
      </c>
      <c r="J70" s="1067"/>
      <c r="K70" s="1067">
        <f>L69</f>
        <v>1090.32</v>
      </c>
      <c r="L70" s="1067"/>
      <c r="O70" s="699">
        <f>J69</f>
        <v>181.72</v>
      </c>
      <c r="P70" s="699">
        <f>L69</f>
        <v>1090.32</v>
      </c>
      <c r="X70" s="671">
        <f>IF([93]Source!BI61&lt;=1,J69-0, 0)</f>
        <v>181.72</v>
      </c>
      <c r="Y70" s="671">
        <f>IF([93]Source!BI61=2,J69-0, 0)</f>
        <v>0</v>
      </c>
      <c r="Z70" s="671">
        <f>IF([93]Source!BI61=3,J69-0, 0)</f>
        <v>0</v>
      </c>
      <c r="AA70" s="671">
        <f>IF([93]Source!BI61=4,J69,0)</f>
        <v>0</v>
      </c>
    </row>
    <row r="71" spans="1:27" ht="53.25" x14ac:dyDescent="0.25">
      <c r="A71" s="691">
        <v>7</v>
      </c>
      <c r="B71" s="691" t="str">
        <f>[93]Source!E63</f>
        <v>15</v>
      </c>
      <c r="C71" s="692" t="s">
        <v>727</v>
      </c>
      <c r="D71" s="692" t="s">
        <v>449</v>
      </c>
      <c r="E71" s="693" t="str">
        <f>[93]Source!H63</f>
        <v>1 т фасонных частей</v>
      </c>
      <c r="F71" s="694">
        <f>[93]Source!I63</f>
        <v>4.1999999999999997E-3</v>
      </c>
      <c r="G71" s="695"/>
      <c r="H71" s="696"/>
      <c r="I71" s="694"/>
      <c r="J71" s="697"/>
      <c r="K71" s="694"/>
      <c r="L71" s="697"/>
      <c r="Q71" s="671">
        <f>ROUND(([93]Source!DN63/100)*ROUND((ROUND(([93]Source!AF63*[93]Source!AV63*[93]Source!I63),2)),2), 2)</f>
        <v>5.23</v>
      </c>
      <c r="R71" s="671">
        <f>[93]Source!X63</f>
        <v>101.28</v>
      </c>
      <c r="S71" s="671">
        <f>ROUND(([93]Source!DO63/100)*ROUND((ROUND(([93]Source!AF63*[93]Source!AV63*[93]Source!I63),2)),2), 2)</f>
        <v>3.93</v>
      </c>
      <c r="T71" s="671">
        <f>[93]Source!Y63</f>
        <v>45.58</v>
      </c>
      <c r="U71" s="671">
        <f>ROUND((175/100)*ROUND((ROUND(([93]Source!AE63*[93]Source!AV63*[93]Source!I63),2)),2), 2)</f>
        <v>0.32</v>
      </c>
      <c r="V71" s="671">
        <f>ROUND((157/100)*ROUND(ROUND((ROUND(([93]Source!AE63*[93]Source!AV63*[93]Source!I63),2)*[93]Source!BS63),2), 2), 2)</f>
        <v>6.85</v>
      </c>
    </row>
    <row r="72" spans="1:27" ht="15" x14ac:dyDescent="0.25">
      <c r="A72" s="691"/>
      <c r="B72" s="691"/>
      <c r="C72" s="692"/>
      <c r="D72" s="692" t="s">
        <v>84</v>
      </c>
      <c r="E72" s="693"/>
      <c r="F72" s="694"/>
      <c r="G72" s="695">
        <f>[93]Source!AO63</f>
        <v>558.44000000000005</v>
      </c>
      <c r="H72" s="696" t="str">
        <f>[93]Source!DG63</f>
        <v>)*1,67</v>
      </c>
      <c r="I72" s="694">
        <f>[93]Source!AV63</f>
        <v>1.0669999999999999</v>
      </c>
      <c r="J72" s="697">
        <f>ROUND((ROUND(([93]Source!AF63*[93]Source!AV63*[93]Source!I63),2)),2)</f>
        <v>4.18</v>
      </c>
      <c r="K72" s="694">
        <f>IF([93]Source!BA63&lt;&gt; 0, [93]Source!BA63, 1)</f>
        <v>24.23</v>
      </c>
      <c r="L72" s="697">
        <f>[93]Source!S63</f>
        <v>101.28</v>
      </c>
      <c r="W72" s="671">
        <f>J72</f>
        <v>4.18</v>
      </c>
    </row>
    <row r="73" spans="1:27" ht="15" x14ac:dyDescent="0.25">
      <c r="A73" s="691"/>
      <c r="B73" s="691"/>
      <c r="C73" s="692"/>
      <c r="D73" s="692" t="s">
        <v>85</v>
      </c>
      <c r="E73" s="693"/>
      <c r="F73" s="694"/>
      <c r="G73" s="695">
        <f>[93]Source!AM63</f>
        <v>97.03</v>
      </c>
      <c r="H73" s="696" t="str">
        <f>[93]Source!DE63</f>
        <v/>
      </c>
      <c r="I73" s="694">
        <f>[93]Source!AV63</f>
        <v>1.0669999999999999</v>
      </c>
      <c r="J73" s="697">
        <f>(ROUND((ROUND((([93]Source!ET63)*[93]Source!AV63*[93]Source!I63),2)),2)+ROUND((ROUND((([93]Source!AE63-([93]Source!EU63))*[93]Source!AV63*[93]Source!I63),2)),2))-J82</f>
        <v>0.43</v>
      </c>
      <c r="K73" s="694">
        <f>IF([93]Source!BB63&lt;&gt; 0, [93]Source!BB63, 1)</f>
        <v>10.07</v>
      </c>
      <c r="L73" s="697">
        <f>[93]Source!Q63-L82</f>
        <v>4.32</v>
      </c>
    </row>
    <row r="74" spans="1:27" ht="15" x14ac:dyDescent="0.25">
      <c r="A74" s="691"/>
      <c r="B74" s="691"/>
      <c r="C74" s="692"/>
      <c r="D74" s="692" t="s">
        <v>86</v>
      </c>
      <c r="E74" s="693"/>
      <c r="F74" s="694"/>
      <c r="G74" s="695">
        <f>[93]Source!AN63</f>
        <v>23.46</v>
      </c>
      <c r="H74" s="696" t="str">
        <f>[93]Source!DE63</f>
        <v/>
      </c>
      <c r="I74" s="694">
        <f>[93]Source!AV63</f>
        <v>1.0669999999999999</v>
      </c>
      <c r="J74" s="700">
        <f>ROUND((ROUND(([93]Source!AE63*[93]Source!AV63*[93]Source!I63),2)),2)-J83</f>
        <v>0.11</v>
      </c>
      <c r="K74" s="694">
        <f>IF([93]Source!BS63&lt;&gt; 0, [93]Source!BS63, 1)</f>
        <v>24.23</v>
      </c>
      <c r="L74" s="700">
        <f>[93]Source!R63-L83</f>
        <v>2.65</v>
      </c>
      <c r="W74" s="671">
        <f>J74</f>
        <v>0.11</v>
      </c>
    </row>
    <row r="75" spans="1:27" ht="15" x14ac:dyDescent="0.25">
      <c r="A75" s="691"/>
      <c r="B75" s="691"/>
      <c r="C75" s="692"/>
      <c r="D75" s="692" t="s">
        <v>87</v>
      </c>
      <c r="E75" s="693"/>
      <c r="F75" s="694"/>
      <c r="G75" s="695">
        <f>[93]Source!AL63</f>
        <v>681.49</v>
      </c>
      <c r="H75" s="696" t="str">
        <f>[93]Source!DD63</f>
        <v/>
      </c>
      <c r="I75" s="694">
        <f>[93]Source!AW63</f>
        <v>1</v>
      </c>
      <c r="J75" s="697">
        <f>ROUND((ROUND(([93]Source!AC63*[93]Source!AW63*[93]Source!I63),2)),2)</f>
        <v>2.86</v>
      </c>
      <c r="K75" s="694">
        <f>IF([93]Source!BC63&lt;&gt; 0, [93]Source!BC63, 1)</f>
        <v>4.5999999999999996</v>
      </c>
      <c r="L75" s="697">
        <f>[93]Source!P63</f>
        <v>13.16</v>
      </c>
    </row>
    <row r="76" spans="1:27" ht="15" x14ac:dyDescent="0.25">
      <c r="A76" s="691"/>
      <c r="B76" s="691"/>
      <c r="C76" s="692"/>
      <c r="D76" s="692" t="s">
        <v>88</v>
      </c>
      <c r="E76" s="693" t="s">
        <v>89</v>
      </c>
      <c r="F76" s="694">
        <f>[93]Source!DN63</f>
        <v>125</v>
      </c>
      <c r="G76" s="695"/>
      <c r="H76" s="696"/>
      <c r="I76" s="694"/>
      <c r="J76" s="697">
        <f>SUM(Q71:Q75)</f>
        <v>5.23</v>
      </c>
      <c r="K76" s="694">
        <f>[93]Source!BZ63</f>
        <v>100</v>
      </c>
      <c r="L76" s="697">
        <f>SUM(R71:R75)</f>
        <v>101.28</v>
      </c>
    </row>
    <row r="77" spans="1:27" ht="15" x14ac:dyDescent="0.25">
      <c r="A77" s="691"/>
      <c r="B77" s="691"/>
      <c r="C77" s="692"/>
      <c r="D77" s="692" t="s">
        <v>90</v>
      </c>
      <c r="E77" s="693" t="s">
        <v>89</v>
      </c>
      <c r="F77" s="694">
        <f>[93]Source!DO63</f>
        <v>94</v>
      </c>
      <c r="G77" s="695"/>
      <c r="H77" s="696"/>
      <c r="I77" s="694"/>
      <c r="J77" s="697">
        <f>SUM(S71:S76)</f>
        <v>3.93</v>
      </c>
      <c r="K77" s="694">
        <f>[93]Source!CA63</f>
        <v>45</v>
      </c>
      <c r="L77" s="697">
        <f>SUM(T71:T76)</f>
        <v>45.58</v>
      </c>
    </row>
    <row r="78" spans="1:27" ht="15" x14ac:dyDescent="0.25">
      <c r="A78" s="691"/>
      <c r="B78" s="691"/>
      <c r="C78" s="692"/>
      <c r="D78" s="692" t="s">
        <v>91</v>
      </c>
      <c r="E78" s="693" t="s">
        <v>89</v>
      </c>
      <c r="F78" s="694">
        <f>175</f>
        <v>175</v>
      </c>
      <c r="G78" s="695"/>
      <c r="H78" s="696"/>
      <c r="I78" s="694"/>
      <c r="J78" s="697">
        <f>SUM(U71:U77)-J84</f>
        <v>0.2</v>
      </c>
      <c r="K78" s="694">
        <f>157</f>
        <v>157</v>
      </c>
      <c r="L78" s="697">
        <f>SUM(V71:V77)-L84</f>
        <v>4.17</v>
      </c>
    </row>
    <row r="79" spans="1:27" ht="15" x14ac:dyDescent="0.25">
      <c r="A79" s="691"/>
      <c r="B79" s="691"/>
      <c r="C79" s="692"/>
      <c r="D79" s="692" t="s">
        <v>92</v>
      </c>
      <c r="E79" s="693" t="s">
        <v>93</v>
      </c>
      <c r="F79" s="694">
        <f>[93]Source!AQ63</f>
        <v>48.1</v>
      </c>
      <c r="G79" s="695"/>
      <c r="H79" s="696" t="str">
        <f>[93]Source!DI63</f>
        <v/>
      </c>
      <c r="I79" s="694">
        <f>[93]Source!AV63</f>
        <v>1.0669999999999999</v>
      </c>
      <c r="J79" s="697">
        <f>[93]Source!U63</f>
        <v>0.22</v>
      </c>
      <c r="K79" s="694"/>
      <c r="L79" s="697"/>
    </row>
    <row r="80" spans="1:27" ht="14.25" x14ac:dyDescent="0.2">
      <c r="I80" s="1067">
        <f>J72+J73+J75+J76+J77+J78</f>
        <v>16.829999999999998</v>
      </c>
      <c r="J80" s="1067"/>
      <c r="K80" s="1067">
        <f>L72+L73+L75+L76+L77+L78</f>
        <v>269.79000000000002</v>
      </c>
      <c r="L80" s="1067"/>
      <c r="O80" s="699">
        <f>J72+J73+J75+J76+J77+J78</f>
        <v>16.829999999999998</v>
      </c>
      <c r="P80" s="699">
        <f>L72+L73+L75+L76+L77+L78</f>
        <v>269.79000000000002</v>
      </c>
      <c r="X80" s="671">
        <f>IF([93]Source!BI63&lt;=1,J72+J73+J75+J76+J77+J78-0, 0)</f>
        <v>16.829999999999998</v>
      </c>
      <c r="Y80" s="671">
        <f>IF([93]Source!BI63=2,J72+J73+J75+J76+J77+J78-0, 0)</f>
        <v>0</v>
      </c>
      <c r="Z80" s="671">
        <f>IF([93]Source!BI63=3,J72+J73+J75+J76+J77+J78-0, 0)</f>
        <v>0</v>
      </c>
      <c r="AA80" s="671">
        <f>IF([93]Source!BI63=4,J72+J73+J75+J76+J77+J78,0)</f>
        <v>0</v>
      </c>
    </row>
    <row r="81" spans="1:27" ht="30" x14ac:dyDescent="0.25">
      <c r="A81" s="701"/>
      <c r="B81" s="701"/>
      <c r="C81" s="702"/>
      <c r="D81" s="702" t="s">
        <v>94</v>
      </c>
      <c r="E81" s="693"/>
      <c r="F81" s="703"/>
      <c r="G81" s="704"/>
      <c r="H81" s="693"/>
      <c r="I81" s="703"/>
      <c r="J81" s="700"/>
      <c r="K81" s="703"/>
      <c r="L81" s="700"/>
    </row>
    <row r="82" spans="1:27" ht="15" x14ac:dyDescent="0.25">
      <c r="A82" s="701"/>
      <c r="B82" s="701"/>
      <c r="C82" s="702"/>
      <c r="D82" s="702" t="s">
        <v>85</v>
      </c>
      <c r="E82" s="693"/>
      <c r="F82" s="703"/>
      <c r="G82" s="704">
        <f t="shared" ref="G82:L82" si="1">G83</f>
        <v>23.46</v>
      </c>
      <c r="H82" s="705" t="str">
        <f t="shared" si="1"/>
        <v>)*(1.67-1)</v>
      </c>
      <c r="I82" s="703">
        <f t="shared" si="1"/>
        <v>1.0669999999999999</v>
      </c>
      <c r="J82" s="700">
        <f t="shared" si="1"/>
        <v>7.0000000000000007E-2</v>
      </c>
      <c r="K82" s="703">
        <f t="shared" si="1"/>
        <v>24.23</v>
      </c>
      <c r="L82" s="700">
        <f t="shared" si="1"/>
        <v>1.71</v>
      </c>
    </row>
    <row r="83" spans="1:27" ht="15" x14ac:dyDescent="0.25">
      <c r="A83" s="701"/>
      <c r="B83" s="701"/>
      <c r="C83" s="702"/>
      <c r="D83" s="702" t="s">
        <v>86</v>
      </c>
      <c r="E83" s="693"/>
      <c r="F83" s="703"/>
      <c r="G83" s="704">
        <f>[93]Source!AN63</f>
        <v>23.46</v>
      </c>
      <c r="H83" s="705" t="s">
        <v>95</v>
      </c>
      <c r="I83" s="703">
        <f>[93]Source!AV63</f>
        <v>1.0669999999999999</v>
      </c>
      <c r="J83" s="700">
        <f>ROUND(F71*G83*I83*(1.67-1), 2)</f>
        <v>7.0000000000000007E-2</v>
      </c>
      <c r="K83" s="703">
        <f>IF([93]Source!BS63&lt;&gt; 0, [93]Source!BS63, 1)</f>
        <v>24.23</v>
      </c>
      <c r="L83" s="700">
        <f>ROUND(F71*G83*I83*(1.67-1)*K83, 2)</f>
        <v>1.71</v>
      </c>
      <c r="W83" s="671">
        <f>J83</f>
        <v>7.0000000000000007E-2</v>
      </c>
    </row>
    <row r="84" spans="1:27" ht="15" x14ac:dyDescent="0.25">
      <c r="A84" s="701"/>
      <c r="B84" s="701"/>
      <c r="C84" s="702"/>
      <c r="D84" s="702" t="s">
        <v>91</v>
      </c>
      <c r="E84" s="693" t="s">
        <v>89</v>
      </c>
      <c r="F84" s="703">
        <f>175</f>
        <v>175</v>
      </c>
      <c r="G84" s="704"/>
      <c r="H84" s="693"/>
      <c r="I84" s="703"/>
      <c r="J84" s="700">
        <f>ROUND(J83*(F84/100), 2)</f>
        <v>0.12</v>
      </c>
      <c r="K84" s="703">
        <f>157</f>
        <v>157</v>
      </c>
      <c r="L84" s="700">
        <f>ROUND(L83*(K84/100), 2)</f>
        <v>2.68</v>
      </c>
    </row>
    <row r="85" spans="1:27" ht="14.25" x14ac:dyDescent="0.2">
      <c r="I85" s="1067">
        <f>J84+J83</f>
        <v>0.19</v>
      </c>
      <c r="J85" s="1067"/>
      <c r="K85" s="1067">
        <f>L84+L83</f>
        <v>4.3899999999999997</v>
      </c>
      <c r="L85" s="1067"/>
      <c r="O85" s="699">
        <f>I85</f>
        <v>0.19</v>
      </c>
      <c r="P85" s="699">
        <f>K85</f>
        <v>4.3899999999999997</v>
      </c>
      <c r="X85" s="671">
        <f>IF([93]Source!BI63&lt;=1,I85, 0)</f>
        <v>0.19</v>
      </c>
      <c r="Y85" s="671">
        <f>IF([93]Source!BI63=2,I85, 0)</f>
        <v>0</v>
      </c>
      <c r="Z85" s="671">
        <f>IF([93]Source!BI63=3,I85, 0)</f>
        <v>0</v>
      </c>
      <c r="AA85" s="671">
        <f>IF([93]Source!BI63=4,I85, 0)</f>
        <v>0</v>
      </c>
    </row>
    <row r="87" spans="1:27" ht="15" x14ac:dyDescent="0.25">
      <c r="A87" s="706"/>
      <c r="B87" s="706"/>
      <c r="C87" s="707"/>
      <c r="D87" s="707" t="s">
        <v>96</v>
      </c>
      <c r="E87" s="708"/>
      <c r="F87" s="709"/>
      <c r="G87" s="710"/>
      <c r="H87" s="711"/>
      <c r="I87" s="1067">
        <f>I80+I85</f>
        <v>17.02</v>
      </c>
      <c r="J87" s="1067"/>
      <c r="K87" s="1067">
        <f>K80+K85</f>
        <v>274.18</v>
      </c>
      <c r="L87" s="1067"/>
    </row>
    <row r="88" spans="1:27" ht="115.5" x14ac:dyDescent="0.25">
      <c r="A88" s="691">
        <v>8</v>
      </c>
      <c r="B88" s="691" t="str">
        <f>[93]Source!E65</f>
        <v>16</v>
      </c>
      <c r="C88" s="692" t="str">
        <f>[93]Source!F65</f>
        <v>МКЭ-33-168/8-5 от 14.09.2018</v>
      </c>
      <c r="D88" s="692" t="s">
        <v>729</v>
      </c>
      <c r="E88" s="693" t="str">
        <f>[93]Source!H65</f>
        <v>шт.</v>
      </c>
      <c r="F88" s="694">
        <f>[93]Source!I65</f>
        <v>28</v>
      </c>
      <c r="G88" s="697">
        <f>J88/F88</f>
        <v>23.58</v>
      </c>
      <c r="H88" s="696" t="str">
        <f>[93]Source!DD65</f>
        <v/>
      </c>
      <c r="I88" s="694">
        <f>[93]Source!AW65</f>
        <v>1</v>
      </c>
      <c r="J88" s="697">
        <f>L88/K88</f>
        <v>660.26</v>
      </c>
      <c r="K88" s="694">
        <f>IF([93]Source!BC65&lt;&gt; 0, [93]Source!BC65, 1)</f>
        <v>5.58</v>
      </c>
      <c r="L88" s="697">
        <f>129*1.02*F88</f>
        <v>3684.24</v>
      </c>
      <c r="Q88" s="671">
        <f>ROUND(([93]Source!DN65/100)*ROUND((ROUND(([93]Source!AF65*[93]Source!AV65*[93]Source!I65),2)),2), 2)</f>
        <v>0</v>
      </c>
      <c r="R88" s="671">
        <f>[93]Source!X65</f>
        <v>0</v>
      </c>
      <c r="S88" s="671">
        <f>ROUND(([93]Source!DO65/100)*ROUND((ROUND(([93]Source!AF65*[93]Source!AV65*[93]Source!I65),2)),2), 2)</f>
        <v>0</v>
      </c>
      <c r="T88" s="671">
        <f>[93]Source!Y65</f>
        <v>0</v>
      </c>
      <c r="U88" s="671">
        <f>ROUND((175/100)*ROUND((ROUND(([93]Source!AE65*[93]Source!AV65*[93]Source!I65),2)),2), 2)</f>
        <v>0</v>
      </c>
      <c r="V88" s="671">
        <f>ROUND((157/100)*ROUND(ROUND((ROUND(([93]Source!AE65*[93]Source!AV65*[93]Source!I65),2)*[93]Source!BS65),2), 2), 2)</f>
        <v>0</v>
      </c>
    </row>
    <row r="89" spans="1:27" ht="14.25" x14ac:dyDescent="0.2">
      <c r="A89" s="698"/>
      <c r="B89" s="698"/>
      <c r="C89" s="698"/>
      <c r="D89" s="698"/>
      <c r="E89" s="698"/>
      <c r="F89" s="698"/>
      <c r="G89" s="698"/>
      <c r="H89" s="698"/>
      <c r="I89" s="1067">
        <f>J88</f>
        <v>660.26</v>
      </c>
      <c r="J89" s="1067"/>
      <c r="K89" s="1067">
        <f>L88</f>
        <v>3684.24</v>
      </c>
      <c r="L89" s="1067"/>
      <c r="O89" s="699">
        <f>J88</f>
        <v>660.26</v>
      </c>
      <c r="P89" s="699">
        <f>L88</f>
        <v>3684.24</v>
      </c>
      <c r="X89" s="671">
        <f>IF([93]Source!BI65&lt;=1,J88-0, 0)</f>
        <v>660.26</v>
      </c>
      <c r="Y89" s="671">
        <f>IF([93]Source!BI65=2,J88-0, 0)</f>
        <v>0</v>
      </c>
      <c r="Z89" s="671">
        <f>IF([93]Source!BI65=3,J88-0, 0)</f>
        <v>0</v>
      </c>
      <c r="AA89" s="671">
        <f>IF([93]Source!BI65=4,J88,0)</f>
        <v>0</v>
      </c>
    </row>
    <row r="90" spans="1:27" ht="75" x14ac:dyDescent="0.25">
      <c r="A90" s="691">
        <v>9</v>
      </c>
      <c r="B90" s="691" t="str">
        <f>[93]Source!E73</f>
        <v>19</v>
      </c>
      <c r="C90" s="692" t="str">
        <f>[93]Source!F73</f>
        <v>1.12-7-98</v>
      </c>
      <c r="D90" s="692" t="s">
        <v>447</v>
      </c>
      <c r="E90" s="693" t="str">
        <f>[93]Source!H73</f>
        <v>м</v>
      </c>
      <c r="F90" s="694">
        <f>[93]Source!I73</f>
        <v>0.1</v>
      </c>
      <c r="G90" s="695">
        <f>[93]Source!AL73</f>
        <v>451.61</v>
      </c>
      <c r="H90" s="696" t="str">
        <f>[93]Source!DD73</f>
        <v/>
      </c>
      <c r="I90" s="694">
        <f>[93]Source!AW73</f>
        <v>1</v>
      </c>
      <c r="J90" s="697">
        <f>ROUND((ROUND(([93]Source!AC73*[93]Source!AW73*[93]Source!I73),2)),2)</f>
        <v>45.16</v>
      </c>
      <c r="K90" s="694">
        <f>IF([93]Source!BC73&lt;&gt; 0, [93]Source!BC73, 1)</f>
        <v>3.41</v>
      </c>
      <c r="L90" s="697">
        <f>[93]Source!P73</f>
        <v>154</v>
      </c>
      <c r="Q90" s="671">
        <f>ROUND(([93]Source!DN73/100)*ROUND((ROUND(([93]Source!AF73*[93]Source!AV73*[93]Source!I73),2)),2), 2)</f>
        <v>0</v>
      </c>
      <c r="R90" s="671">
        <f>[93]Source!X73</f>
        <v>0</v>
      </c>
      <c r="S90" s="671">
        <f>ROUND(([93]Source!DO73/100)*ROUND((ROUND(([93]Source!AF73*[93]Source!AV73*[93]Source!I73),2)),2), 2)</f>
        <v>0</v>
      </c>
      <c r="T90" s="671">
        <f>[93]Source!Y73</f>
        <v>0</v>
      </c>
      <c r="U90" s="671">
        <f>ROUND((175/100)*ROUND((ROUND(([93]Source!AE73*[93]Source!AV73*[93]Source!I73),2)),2), 2)</f>
        <v>0</v>
      </c>
      <c r="V90" s="671">
        <f>ROUND((157/100)*ROUND(ROUND((ROUND(([93]Source!AE73*[93]Source!AV73*[93]Source!I73),2)*[93]Source!BS73),2), 2), 2)</f>
        <v>0</v>
      </c>
    </row>
    <row r="91" spans="1:27" ht="14.25" x14ac:dyDescent="0.2">
      <c r="A91" s="698"/>
      <c r="B91" s="698"/>
      <c r="C91" s="698"/>
      <c r="D91" s="698"/>
      <c r="E91" s="698"/>
      <c r="F91" s="698"/>
      <c r="G91" s="698"/>
      <c r="H91" s="698"/>
      <c r="I91" s="1067">
        <f>J90</f>
        <v>45.16</v>
      </c>
      <c r="J91" s="1067"/>
      <c r="K91" s="1067">
        <f>L90</f>
        <v>154</v>
      </c>
      <c r="L91" s="1067"/>
      <c r="O91" s="699">
        <f>J90</f>
        <v>45.16</v>
      </c>
      <c r="P91" s="699">
        <f>L90</f>
        <v>154</v>
      </c>
      <c r="X91" s="671">
        <f>IF([93]Source!BI73&lt;=1,J90-0, 0)</f>
        <v>45.16</v>
      </c>
      <c r="Y91" s="671">
        <f>IF([93]Source!BI73=2,J90-0, 0)</f>
        <v>0</v>
      </c>
      <c r="Z91" s="671">
        <f>IF([93]Source!BI73=3,J90-0, 0)</f>
        <v>0</v>
      </c>
      <c r="AA91" s="671">
        <f>IF([93]Source!BI73=4,J90,0)</f>
        <v>0</v>
      </c>
    </row>
    <row r="92" spans="1:27" ht="75" x14ac:dyDescent="0.25">
      <c r="A92" s="691">
        <v>10</v>
      </c>
      <c r="B92" s="691" t="str">
        <f>[93]Source!E75</f>
        <v>20</v>
      </c>
      <c r="C92" s="692" t="str">
        <f>[93]Source!F75</f>
        <v>1.12-10-23</v>
      </c>
      <c r="D92" s="692" t="s">
        <v>448</v>
      </c>
      <c r="E92" s="693" t="str">
        <f>[93]Source!H75</f>
        <v>КОМПЛЕКТ</v>
      </c>
      <c r="F92" s="694">
        <f>[93]Source!I75</f>
        <v>1</v>
      </c>
      <c r="G92" s="695">
        <f>[93]Source!AL75</f>
        <v>21.42</v>
      </c>
      <c r="H92" s="696" t="str">
        <f>[93]Source!DD75</f>
        <v/>
      </c>
      <c r="I92" s="694">
        <f>[93]Source!AW75</f>
        <v>1</v>
      </c>
      <c r="J92" s="697">
        <f>ROUND((ROUND(([93]Source!AC75*[93]Source!AW75*[93]Source!I75),2)),2)</f>
        <v>21.42</v>
      </c>
      <c r="K92" s="694">
        <f>IF([93]Source!BC75&lt;&gt; 0, [93]Source!BC75, 1)</f>
        <v>8.08</v>
      </c>
      <c r="L92" s="697">
        <f>[93]Source!P75</f>
        <v>173.07</v>
      </c>
      <c r="Q92" s="671">
        <f>ROUND(([93]Source!DN75/100)*ROUND((ROUND(([93]Source!AF75*[93]Source!AV75*[93]Source!I75),2)),2), 2)</f>
        <v>0</v>
      </c>
      <c r="R92" s="671">
        <f>[93]Source!X75</f>
        <v>0</v>
      </c>
      <c r="S92" s="671">
        <f>ROUND(([93]Source!DO75/100)*ROUND((ROUND(([93]Source!AF75*[93]Source!AV75*[93]Source!I75),2)),2), 2)</f>
        <v>0</v>
      </c>
      <c r="T92" s="671">
        <f>[93]Source!Y75</f>
        <v>0</v>
      </c>
      <c r="U92" s="671">
        <f>ROUND((175/100)*ROUND((ROUND(([93]Source!AE75*[93]Source!AV75*[93]Source!I75),2)),2), 2)</f>
        <v>0</v>
      </c>
      <c r="V92" s="671">
        <f>ROUND((157/100)*ROUND(ROUND((ROUND(([93]Source!AE75*[93]Source!AV75*[93]Source!I75),2)*[93]Source!BS75),2), 2), 2)</f>
        <v>0</v>
      </c>
    </row>
    <row r="93" spans="1:27" ht="14.25" x14ac:dyDescent="0.2">
      <c r="A93" s="698"/>
      <c r="B93" s="698"/>
      <c r="C93" s="698"/>
      <c r="D93" s="698"/>
      <c r="E93" s="698"/>
      <c r="F93" s="698"/>
      <c r="G93" s="698"/>
      <c r="H93" s="698"/>
      <c r="I93" s="1067">
        <f>J92</f>
        <v>21.42</v>
      </c>
      <c r="J93" s="1067"/>
      <c r="K93" s="1067">
        <f>L92</f>
        <v>173.07</v>
      </c>
      <c r="L93" s="1067"/>
      <c r="O93" s="699">
        <f>J92</f>
        <v>21.42</v>
      </c>
      <c r="P93" s="699">
        <f>L92</f>
        <v>173.07</v>
      </c>
      <c r="X93" s="671">
        <f>IF([93]Source!BI75&lt;=1,J92-0, 0)</f>
        <v>21.42</v>
      </c>
      <c r="Y93" s="671">
        <f>IF([93]Source!BI75=2,J92-0, 0)</f>
        <v>0</v>
      </c>
      <c r="Z93" s="671">
        <f>IF([93]Source!BI75=3,J92-0, 0)</f>
        <v>0</v>
      </c>
      <c r="AA93" s="671">
        <f>IF([93]Source!BI75=4,J92,0)</f>
        <v>0</v>
      </c>
    </row>
    <row r="94" spans="1:27" ht="70.5" x14ac:dyDescent="0.25">
      <c r="A94" s="691">
        <v>11</v>
      </c>
      <c r="B94" s="691">
        <v>46</v>
      </c>
      <c r="C94" s="692" t="str">
        <f>[93]Source!F133</f>
        <v>МКЭ-33-1163/7-1 от 27.06.2017</v>
      </c>
      <c r="D94" s="692" t="s">
        <v>730</v>
      </c>
      <c r="E94" s="693" t="str">
        <f>[93]Source!H133</f>
        <v>шт.</v>
      </c>
      <c r="F94" s="694">
        <f>[93]Source!I133</f>
        <v>2</v>
      </c>
      <c r="G94" s="697">
        <f>J94/F94</f>
        <v>318.66000000000003</v>
      </c>
      <c r="H94" s="696" t="str">
        <f>[93]Source!DD133</f>
        <v/>
      </c>
      <c r="I94" s="694">
        <f>[93]Source!AW133</f>
        <v>1</v>
      </c>
      <c r="J94" s="697">
        <f>L94/K94</f>
        <v>637.30999999999995</v>
      </c>
      <c r="K94" s="694">
        <f>IF([93]Source!BC133&lt;&gt; 0, [93]Source!BC133, 1)</f>
        <v>5.58</v>
      </c>
      <c r="L94" s="697">
        <f>1743.22*1.02*F94</f>
        <v>3556.17</v>
      </c>
      <c r="Q94" s="671">
        <f>ROUND(([93]Source!DN133/100)*ROUND((ROUND(([93]Source!AF133*[93]Source!AV133*[93]Source!I133),2)),2), 2)</f>
        <v>0</v>
      </c>
      <c r="R94" s="671">
        <f>[93]Source!X133</f>
        <v>0</v>
      </c>
      <c r="S94" s="671">
        <f>ROUND(([93]Source!DO133/100)*ROUND((ROUND(([93]Source!AF133*[93]Source!AV133*[93]Source!I133),2)),2), 2)</f>
        <v>0</v>
      </c>
      <c r="T94" s="671">
        <f>[93]Source!Y133</f>
        <v>0</v>
      </c>
      <c r="U94" s="671">
        <f>ROUND((175/100)*ROUND((ROUND(([93]Source!AE133*[93]Source!AV133*[93]Source!I133),2)),2), 2)</f>
        <v>0</v>
      </c>
      <c r="V94" s="671">
        <f>ROUND((157/100)*ROUND(ROUND((ROUND(([93]Source!AE133*[93]Source!AV133*[93]Source!I133),2)*[93]Source!BS133),2), 2), 2)</f>
        <v>0</v>
      </c>
    </row>
    <row r="95" spans="1:27" ht="14.25" x14ac:dyDescent="0.2">
      <c r="A95" s="698"/>
      <c r="B95" s="698"/>
      <c r="C95" s="698"/>
      <c r="D95" s="698"/>
      <c r="E95" s="698"/>
      <c r="F95" s="698"/>
      <c r="G95" s="698"/>
      <c r="H95" s="698"/>
      <c r="I95" s="1067">
        <f>J94</f>
        <v>637.30999999999995</v>
      </c>
      <c r="J95" s="1067"/>
      <c r="K95" s="1067">
        <f>L94</f>
        <v>3556.17</v>
      </c>
      <c r="L95" s="1067"/>
      <c r="O95" s="699">
        <f>J94</f>
        <v>637.30999999999995</v>
      </c>
      <c r="P95" s="699">
        <f>L94</f>
        <v>3556.17</v>
      </c>
      <c r="X95" s="671">
        <f>IF([93]Source!BI133&lt;=1,J94-0, 0)</f>
        <v>637.30999999999995</v>
      </c>
      <c r="Y95" s="671">
        <f>IF([93]Source!BI133=2,J94-0, 0)</f>
        <v>0</v>
      </c>
      <c r="Z95" s="671">
        <f>IF([93]Source!BI133=3,J94-0, 0)</f>
        <v>0</v>
      </c>
      <c r="AA95" s="671">
        <f>IF([93]Source!BI133=4,J94,0)</f>
        <v>0</v>
      </c>
    </row>
    <row r="97" spans="1:38" ht="28.5" x14ac:dyDescent="0.2">
      <c r="A97" s="1068" t="str">
        <f>CONCATENATE("Итого по разделу: ",IF([93]Source!G231&lt;&gt;"Новый раздел", [93]Source!G231, ""))</f>
        <v>Итого по разделу: ТОННЕЛИ ЗА СТ. "АМИНЬЕВСКОЕ ШОССЕ". ХОЗЯЙСТВЕННО-ПИТЬЕВОЙ, ПРОИЗВОДСТВЕННЫЙ И ПРОТИВОПОЖАРНЫЙ ТОННЕЛЬНЫЙ ВОДОПРОВОД В1Т</v>
      </c>
      <c r="B97" s="1068"/>
      <c r="C97" s="1068"/>
      <c r="D97" s="1068"/>
      <c r="E97" s="1068"/>
      <c r="F97" s="1068"/>
      <c r="G97" s="1068"/>
      <c r="H97" s="1068"/>
      <c r="I97" s="1069">
        <f>SUM(O43:O96)</f>
        <v>3141.58</v>
      </c>
      <c r="J97" s="1070"/>
      <c r="K97" s="1069">
        <f>SUM(P43:P96)</f>
        <v>16654.71</v>
      </c>
      <c r="L97" s="1070"/>
      <c r="AL97" s="712" t="str">
        <f>CONCATENATE("Итого по разделу: ",IF([93]Source!G231&lt;&gt;"Новый раздел", [93]Source!G231, ""))</f>
        <v>Итого по разделу: ТОННЕЛИ ЗА СТ. "АМИНЬЕВСКОЕ ШОССЕ". ХОЗЯЙСТВЕННО-ПИТЬЕВОЙ, ПРОИЗВОДСТВЕННЫЙ И ПРОТИВОПОЖАРНЫЙ ТОННЕЛЬНЫЙ ВОДОПРОВОД В1Т</v>
      </c>
    </row>
    <row r="98" spans="1:38" hidden="1" x14ac:dyDescent="0.2">
      <c r="A98" s="671" t="s">
        <v>139</v>
      </c>
      <c r="J98" s="671">
        <f>SUM(AC43:AC97)</f>
        <v>0</v>
      </c>
      <c r="K98" s="671">
        <f>SUM(AD43:AD97)</f>
        <v>0</v>
      </c>
    </row>
    <row r="99" spans="1:38" hidden="1" x14ac:dyDescent="0.2">
      <c r="A99" s="671" t="s">
        <v>140</v>
      </c>
      <c r="J99" s="671">
        <f>SUM(AE43:AE98)</f>
        <v>0</v>
      </c>
      <c r="K99" s="671">
        <f>SUM(AF43:AF98)</f>
        <v>0</v>
      </c>
    </row>
    <row r="101" spans="1:38" hidden="1" x14ac:dyDescent="0.2">
      <c r="A101" s="671" t="s">
        <v>139</v>
      </c>
      <c r="J101" s="671" t="e">
        <f>SUM(#REF!)</f>
        <v>#REF!</v>
      </c>
      <c r="K101" s="671" t="e">
        <f>SUM(#REF!)</f>
        <v>#REF!</v>
      </c>
    </row>
    <row r="102" spans="1:38" hidden="1" x14ac:dyDescent="0.2">
      <c r="A102" s="671" t="s">
        <v>140</v>
      </c>
      <c r="J102" s="671">
        <f>SUM(AE101:AE101)</f>
        <v>0</v>
      </c>
      <c r="K102" s="671">
        <f>SUM(AF101:AF101)</f>
        <v>0</v>
      </c>
    </row>
    <row r="103" spans="1:38" ht="15" customHeight="1" x14ac:dyDescent="0.2">
      <c r="A103" s="1068" t="s">
        <v>691</v>
      </c>
      <c r="B103" s="1068"/>
      <c r="C103" s="1068"/>
      <c r="D103" s="1068"/>
      <c r="E103" s="1068"/>
      <c r="F103" s="1068"/>
      <c r="G103" s="1068"/>
      <c r="H103" s="1068"/>
      <c r="I103" s="1069">
        <f>SUM(O43:O102)</f>
        <v>3141.58</v>
      </c>
      <c r="J103" s="1070"/>
      <c r="K103" s="1069">
        <f>SUM(P43:P102)</f>
        <v>16654.71</v>
      </c>
      <c r="L103" s="1070"/>
    </row>
    <row r="104" spans="1:38" hidden="1" x14ac:dyDescent="0.2">
      <c r="A104" s="671" t="s">
        <v>139</v>
      </c>
      <c r="J104" s="671">
        <f>SUM(AC43:AC103)</f>
        <v>0</v>
      </c>
      <c r="K104" s="671">
        <f>SUM(AD43:AD103)</f>
        <v>0</v>
      </c>
    </row>
    <row r="105" spans="1:38" hidden="1" x14ac:dyDescent="0.2">
      <c r="A105" s="671" t="s">
        <v>140</v>
      </c>
      <c r="J105" s="671">
        <f>SUM(AE43:AE104)</f>
        <v>0</v>
      </c>
      <c r="K105" s="671">
        <f>SUM(AF43:AF104)</f>
        <v>0</v>
      </c>
    </row>
    <row r="106" spans="1:38" ht="15" hidden="1" x14ac:dyDescent="0.25">
      <c r="D106" s="713"/>
      <c r="E106" s="713"/>
      <c r="F106" s="713"/>
      <c r="G106" s="713"/>
      <c r="H106" s="713"/>
      <c r="I106" s="1071"/>
      <c r="J106" s="1072"/>
      <c r="K106" s="1073"/>
      <c r="L106" s="1073"/>
    </row>
    <row r="107" spans="1:38" ht="15" x14ac:dyDescent="0.25">
      <c r="D107" s="714" t="s">
        <v>114</v>
      </c>
      <c r="E107" s="712"/>
      <c r="F107" s="712"/>
      <c r="G107" s="712"/>
      <c r="H107" s="712"/>
      <c r="I107" s="1073">
        <f>J94+J92+J90+J88+J75+J69+J67+J65+J52+J46+J44</f>
        <v>3098.33</v>
      </c>
      <c r="J107" s="1073"/>
      <c r="K107" s="1073">
        <f>L94+L92+L90+L88+L75+L69+L67+L65+L52+L46+L44</f>
        <v>15857.12</v>
      </c>
      <c r="L107" s="1073"/>
    </row>
    <row r="108" spans="1:38" ht="15" x14ac:dyDescent="0.25">
      <c r="D108" s="714" t="s">
        <v>115</v>
      </c>
      <c r="E108" s="712"/>
      <c r="F108" s="712"/>
      <c r="G108" s="712"/>
      <c r="H108" s="712"/>
      <c r="I108" s="715"/>
      <c r="J108" s="697">
        <f>J83+J74+J60+J51</f>
        <v>0.54</v>
      </c>
      <c r="K108" s="715"/>
      <c r="L108" s="697">
        <f>L83+L74+L60+L51</f>
        <v>13.08</v>
      </c>
    </row>
    <row r="109" spans="1:38" ht="15" x14ac:dyDescent="0.25">
      <c r="D109" s="714" t="s">
        <v>116</v>
      </c>
      <c r="E109" s="712"/>
      <c r="F109" s="712"/>
      <c r="G109" s="712"/>
      <c r="H109" s="712"/>
      <c r="I109" s="715"/>
      <c r="J109" s="697">
        <f>J72+J49</f>
        <v>12.78</v>
      </c>
      <c r="K109" s="715"/>
      <c r="L109" s="697">
        <f>L72+L49</f>
        <v>309.66000000000003</v>
      </c>
    </row>
    <row r="110" spans="1:38" ht="15" hidden="1" x14ac:dyDescent="0.25">
      <c r="D110" s="714" t="s">
        <v>117</v>
      </c>
      <c r="E110" s="712"/>
      <c r="F110" s="712"/>
      <c r="G110" s="712"/>
      <c r="H110" s="712"/>
      <c r="I110" s="715"/>
      <c r="J110" s="697">
        <f>J76+J53</f>
        <v>15.98</v>
      </c>
      <c r="K110" s="715"/>
      <c r="L110" s="697">
        <f>L76+L53</f>
        <v>309.66000000000003</v>
      </c>
    </row>
    <row r="111" spans="1:38" ht="15" hidden="1" x14ac:dyDescent="0.25">
      <c r="D111" s="714" t="s">
        <v>118</v>
      </c>
      <c r="E111" s="712"/>
      <c r="F111" s="712"/>
      <c r="G111" s="712"/>
      <c r="H111" s="712"/>
      <c r="I111" s="715"/>
      <c r="J111" s="697">
        <f>J77+J54</f>
        <v>12.01</v>
      </c>
      <c r="K111" s="715"/>
      <c r="L111" s="697">
        <f>L77+L54</f>
        <v>139.35</v>
      </c>
    </row>
    <row r="112" spans="1:38" ht="14.25" x14ac:dyDescent="0.2">
      <c r="D112" s="712"/>
      <c r="E112" s="712"/>
      <c r="F112" s="712"/>
      <c r="G112" s="712"/>
      <c r="H112" s="712"/>
      <c r="I112" s="715"/>
      <c r="J112" s="715"/>
      <c r="K112" s="716"/>
      <c r="L112" s="716"/>
    </row>
    <row r="113" spans="1:256" ht="15" x14ac:dyDescent="0.25">
      <c r="D113" s="717" t="s">
        <v>268</v>
      </c>
      <c r="E113" s="718"/>
      <c r="F113" s="718"/>
      <c r="G113" s="718"/>
      <c r="H113" s="718"/>
      <c r="I113" s="718"/>
      <c r="J113" s="719">
        <f>I103</f>
        <v>3141.58</v>
      </c>
      <c r="K113" s="719"/>
      <c r="L113" s="719">
        <f t="shared" ref="L113" si="2">K103</f>
        <v>16654.71</v>
      </c>
    </row>
    <row r="114" spans="1:256" ht="15" x14ac:dyDescent="0.25">
      <c r="D114" s="717" t="s">
        <v>3</v>
      </c>
      <c r="E114" s="718"/>
      <c r="F114" s="718"/>
      <c r="G114" s="718"/>
      <c r="H114" s="718"/>
      <c r="I114" s="718"/>
      <c r="J114" s="719">
        <f>J113</f>
        <v>3141.58</v>
      </c>
      <c r="K114" s="719"/>
      <c r="L114" s="719">
        <f t="shared" ref="L114" si="3">L113</f>
        <v>16654.71</v>
      </c>
    </row>
    <row r="115" spans="1:256" ht="15" x14ac:dyDescent="0.25">
      <c r="D115" s="717" t="s">
        <v>269</v>
      </c>
      <c r="E115" s="718"/>
      <c r="F115" s="718"/>
      <c r="G115" s="718"/>
      <c r="H115" s="718"/>
      <c r="I115" s="718"/>
      <c r="J115" s="719">
        <f>J109+J108</f>
        <v>13.32</v>
      </c>
      <c r="K115" s="719"/>
      <c r="L115" s="719">
        <f t="shared" ref="L115" si="4">L109+L108</f>
        <v>322.74</v>
      </c>
    </row>
    <row r="116" spans="1:256" ht="15" x14ac:dyDescent="0.25">
      <c r="D116" s="717" t="s">
        <v>270</v>
      </c>
      <c r="E116" s="718"/>
      <c r="F116" s="718"/>
      <c r="G116" s="718"/>
      <c r="H116" s="718"/>
      <c r="I116" s="718"/>
      <c r="J116" s="719">
        <f>I107</f>
        <v>3098.33</v>
      </c>
      <c r="K116" s="719"/>
      <c r="L116" s="719">
        <f t="shared" ref="L116" si="5">K107</f>
        <v>15857.12</v>
      </c>
    </row>
    <row r="117" spans="1:256" ht="15" x14ac:dyDescent="0.25">
      <c r="D117" s="1074" t="s">
        <v>323</v>
      </c>
      <c r="E117" s="1074"/>
      <c r="F117" s="1074"/>
      <c r="G117" s="1074"/>
      <c r="H117" s="1074"/>
      <c r="I117" s="720"/>
      <c r="J117" s="720">
        <v>0</v>
      </c>
      <c r="K117" s="720"/>
      <c r="L117" s="720">
        <v>0</v>
      </c>
    </row>
    <row r="118" spans="1:256" ht="15" x14ac:dyDescent="0.25">
      <c r="D118" s="1076" t="s">
        <v>584</v>
      </c>
      <c r="E118" s="1076"/>
      <c r="F118" s="1076"/>
      <c r="G118" s="1076"/>
      <c r="H118" s="1076"/>
      <c r="J118" s="721">
        <f>J115*0.15</f>
        <v>2</v>
      </c>
      <c r="K118" s="721"/>
      <c r="L118" s="721">
        <f t="shared" ref="L118" si="6">L115*0.15</f>
        <v>48.41</v>
      </c>
    </row>
    <row r="119" spans="1:256" ht="14.25" x14ac:dyDescent="0.2">
      <c r="D119" s="1068" t="s">
        <v>688</v>
      </c>
      <c r="E119" s="1068"/>
      <c r="F119" s="1068"/>
      <c r="G119" s="1068"/>
      <c r="H119" s="1068"/>
      <c r="J119" s="650">
        <f>J114+J118</f>
        <v>3143.58</v>
      </c>
      <c r="K119" s="650"/>
      <c r="L119" s="650">
        <f>L114+L118</f>
        <v>16703.12</v>
      </c>
    </row>
    <row r="120" spans="1:256" ht="15" x14ac:dyDescent="0.25">
      <c r="D120" s="1074"/>
      <c r="E120" s="1074"/>
      <c r="F120" s="1074"/>
      <c r="G120" s="1074"/>
      <c r="H120" s="1074"/>
      <c r="I120" s="1075"/>
      <c r="J120" s="1075"/>
      <c r="K120" s="1075"/>
      <c r="L120" s="1075"/>
    </row>
    <row r="121" spans="1:256" s="675" customFormat="1" ht="15" x14ac:dyDescent="0.25">
      <c r="A121" s="398"/>
      <c r="B121" s="398"/>
      <c r="C121" s="398"/>
      <c r="D121" s="651" t="s">
        <v>596</v>
      </c>
      <c r="E121" s="652"/>
      <c r="F121" s="652"/>
      <c r="G121" s="652"/>
      <c r="H121" s="652"/>
      <c r="I121" s="652"/>
      <c r="J121" s="653"/>
      <c r="K121" s="653"/>
      <c r="L121" s="653">
        <f>L113*0.925</f>
        <v>15405.61</v>
      </c>
      <c r="M121" s="399"/>
      <c r="N121" s="400"/>
      <c r="O121" s="400"/>
      <c r="P121" s="400"/>
      <c r="Q121" s="400"/>
      <c r="R121" s="400"/>
      <c r="S121" s="400"/>
      <c r="T121" s="400"/>
      <c r="U121" s="400"/>
      <c r="V121" s="400"/>
      <c r="W121" s="400"/>
      <c r="X121" s="400"/>
      <c r="Y121" s="400"/>
      <c r="Z121" s="400"/>
      <c r="AA121" s="400"/>
      <c r="AB121" s="400"/>
      <c r="AC121" s="400"/>
      <c r="AD121" s="400"/>
      <c r="AE121" s="400"/>
      <c r="AF121" s="400"/>
      <c r="AG121" s="400"/>
      <c r="AH121" s="400"/>
      <c r="AI121" s="400"/>
      <c r="AJ121" s="400"/>
      <c r="AK121" s="400"/>
      <c r="AL121" s="400"/>
      <c r="AM121" s="400"/>
      <c r="AN121" s="400"/>
      <c r="AO121" s="400"/>
      <c r="AP121" s="400"/>
      <c r="AQ121" s="400"/>
      <c r="AR121" s="400"/>
      <c r="AS121" s="400"/>
      <c r="AT121" s="400"/>
      <c r="AU121" s="400"/>
      <c r="AV121" s="400"/>
      <c r="AW121" s="400"/>
      <c r="AX121" s="400"/>
      <c r="AY121" s="400"/>
      <c r="AZ121" s="400"/>
      <c r="BA121" s="400"/>
      <c r="BB121" s="400"/>
      <c r="BC121" s="400"/>
      <c r="BD121" s="400"/>
      <c r="BE121" s="400"/>
      <c r="BF121" s="400"/>
      <c r="BG121" s="400"/>
      <c r="BH121" s="400"/>
      <c r="BI121" s="400"/>
      <c r="BJ121" s="400"/>
      <c r="BK121" s="400"/>
      <c r="BL121" s="400"/>
      <c r="BM121" s="400"/>
      <c r="BN121" s="400"/>
      <c r="BO121" s="400"/>
      <c r="BP121" s="400"/>
      <c r="BQ121" s="400"/>
      <c r="BR121" s="400"/>
      <c r="BS121" s="400"/>
      <c r="BT121" s="400"/>
      <c r="BU121" s="400"/>
      <c r="BV121" s="400"/>
      <c r="BW121" s="400"/>
      <c r="BX121" s="400"/>
      <c r="BY121" s="400"/>
      <c r="BZ121" s="400"/>
      <c r="CA121" s="400"/>
      <c r="CB121" s="400"/>
      <c r="CC121" s="400"/>
      <c r="CD121" s="400"/>
      <c r="CE121" s="400"/>
      <c r="CF121" s="400"/>
      <c r="CG121" s="400"/>
      <c r="CH121" s="400"/>
      <c r="CI121" s="400"/>
      <c r="CJ121" s="400"/>
      <c r="CK121" s="400"/>
      <c r="CL121" s="400"/>
      <c r="CM121" s="400"/>
      <c r="CN121" s="400"/>
      <c r="CO121" s="400"/>
      <c r="CP121" s="400"/>
      <c r="CQ121" s="400"/>
      <c r="CR121" s="400"/>
      <c r="CS121" s="400"/>
      <c r="CT121" s="400"/>
      <c r="CU121" s="400"/>
      <c r="CV121" s="400"/>
      <c r="CW121" s="400"/>
      <c r="CX121" s="400"/>
      <c r="CY121" s="400"/>
      <c r="CZ121" s="400"/>
      <c r="DA121" s="400"/>
      <c r="DB121" s="400"/>
      <c r="DC121" s="400"/>
      <c r="DD121" s="400"/>
      <c r="DE121" s="400"/>
      <c r="DF121" s="400"/>
      <c r="DG121" s="400"/>
      <c r="DH121" s="400"/>
      <c r="DI121" s="400"/>
      <c r="DJ121" s="400"/>
      <c r="DK121" s="400"/>
      <c r="DL121" s="400"/>
      <c r="DM121" s="400"/>
      <c r="DN121" s="400"/>
      <c r="DO121" s="400"/>
      <c r="DP121" s="400"/>
      <c r="DQ121" s="400"/>
      <c r="DR121" s="400"/>
      <c r="DS121" s="400"/>
      <c r="DT121" s="400"/>
      <c r="DU121" s="400"/>
      <c r="DV121" s="400"/>
      <c r="DW121" s="400"/>
      <c r="DX121" s="400"/>
      <c r="DY121" s="400"/>
      <c r="DZ121" s="400"/>
      <c r="EA121" s="400"/>
      <c r="EB121" s="400"/>
      <c r="EC121" s="400"/>
      <c r="ED121" s="400"/>
      <c r="EE121" s="400"/>
      <c r="EF121" s="400"/>
      <c r="EG121" s="400"/>
      <c r="EH121" s="400"/>
      <c r="EI121" s="400"/>
      <c r="EJ121" s="400"/>
      <c r="EK121" s="400"/>
      <c r="EL121" s="400"/>
      <c r="EM121" s="400"/>
      <c r="EN121" s="400"/>
      <c r="EO121" s="400"/>
      <c r="EP121" s="400"/>
      <c r="EQ121" s="400"/>
      <c r="ER121" s="400"/>
      <c r="ES121" s="400"/>
      <c r="ET121" s="400"/>
      <c r="EU121" s="400"/>
      <c r="EV121" s="400"/>
      <c r="EW121" s="400"/>
      <c r="EX121" s="400"/>
      <c r="EY121" s="400"/>
      <c r="EZ121" s="400"/>
      <c r="FA121" s="400"/>
      <c r="FB121" s="400"/>
      <c r="FC121" s="400"/>
      <c r="FD121" s="400"/>
      <c r="FE121" s="400"/>
      <c r="FF121" s="400"/>
      <c r="FG121" s="400"/>
      <c r="FH121" s="400"/>
      <c r="FI121" s="400"/>
      <c r="FJ121" s="400"/>
      <c r="FK121" s="400"/>
      <c r="FL121" s="400"/>
      <c r="FM121" s="400"/>
      <c r="FN121" s="400"/>
      <c r="FO121" s="400"/>
      <c r="FP121" s="400"/>
      <c r="FQ121" s="400"/>
      <c r="FR121" s="400"/>
      <c r="FS121" s="400"/>
      <c r="FT121" s="400"/>
      <c r="FU121" s="400"/>
      <c r="FV121" s="400"/>
      <c r="FW121" s="400"/>
      <c r="FX121" s="400"/>
      <c r="FY121" s="400"/>
      <c r="FZ121" s="400"/>
      <c r="GA121" s="400"/>
      <c r="GB121" s="400"/>
      <c r="GC121" s="400"/>
      <c r="GD121" s="400"/>
      <c r="GE121" s="400"/>
      <c r="GF121" s="400"/>
      <c r="GG121" s="400"/>
      <c r="GH121" s="400"/>
      <c r="GI121" s="400"/>
      <c r="GJ121" s="400"/>
      <c r="GK121" s="400"/>
      <c r="GL121" s="400"/>
      <c r="GM121" s="400"/>
      <c r="GN121" s="400"/>
      <c r="GO121" s="400"/>
      <c r="GP121" s="400"/>
      <c r="GQ121" s="400"/>
      <c r="GR121" s="400"/>
      <c r="GS121" s="400"/>
      <c r="GT121" s="400"/>
      <c r="GU121" s="400"/>
      <c r="GV121" s="400"/>
      <c r="GW121" s="400"/>
      <c r="GX121" s="400"/>
      <c r="GY121" s="400"/>
      <c r="GZ121" s="400"/>
      <c r="HA121" s="400"/>
      <c r="HB121" s="400"/>
      <c r="HC121" s="400"/>
      <c r="HD121" s="400"/>
      <c r="HE121" s="400"/>
      <c r="HF121" s="400"/>
      <c r="HG121" s="400"/>
      <c r="HH121" s="400"/>
      <c r="HI121" s="400"/>
      <c r="HJ121" s="400"/>
      <c r="HK121" s="400"/>
      <c r="HL121" s="400"/>
      <c r="HM121" s="400"/>
      <c r="HN121" s="400"/>
      <c r="HO121" s="400"/>
      <c r="HP121" s="400"/>
      <c r="HQ121" s="400"/>
      <c r="HR121" s="400"/>
      <c r="HS121" s="400"/>
      <c r="HT121" s="400"/>
      <c r="HU121" s="400"/>
      <c r="HV121" s="400"/>
      <c r="HW121" s="400"/>
      <c r="HX121" s="400"/>
      <c r="HY121" s="400"/>
      <c r="HZ121" s="400"/>
      <c r="IA121" s="400"/>
      <c r="IB121" s="400"/>
      <c r="IC121" s="400"/>
      <c r="ID121" s="400"/>
      <c r="IE121" s="400"/>
      <c r="IF121" s="400"/>
      <c r="IG121" s="400"/>
      <c r="IH121" s="400"/>
      <c r="II121" s="400"/>
      <c r="IJ121" s="400"/>
      <c r="IK121" s="400"/>
      <c r="IL121" s="400"/>
      <c r="IM121" s="400"/>
      <c r="IN121" s="400"/>
      <c r="IO121" s="400"/>
      <c r="IP121" s="400"/>
      <c r="IQ121" s="400"/>
      <c r="IR121" s="400"/>
      <c r="IS121" s="400"/>
      <c r="IT121" s="400"/>
      <c r="IU121" s="400"/>
      <c r="IV121" s="400"/>
    </row>
    <row r="122" spans="1:256" s="675" customFormat="1" ht="15" x14ac:dyDescent="0.25">
      <c r="A122" s="398"/>
      <c r="B122" s="398"/>
      <c r="C122" s="398"/>
      <c r="D122" s="652" t="s">
        <v>3</v>
      </c>
      <c r="E122" s="652"/>
      <c r="F122" s="652"/>
      <c r="G122" s="652"/>
      <c r="H122" s="652"/>
      <c r="I122" s="652"/>
      <c r="J122" s="654"/>
      <c r="K122" s="654"/>
      <c r="L122" s="654">
        <f>L121</f>
        <v>15405.61</v>
      </c>
      <c r="M122" s="399"/>
      <c r="N122" s="400"/>
      <c r="O122" s="400"/>
      <c r="P122" s="400"/>
      <c r="Q122" s="400"/>
      <c r="R122" s="400"/>
      <c r="S122" s="400"/>
      <c r="T122" s="400"/>
      <c r="U122" s="400"/>
      <c r="V122" s="400"/>
      <c r="W122" s="400"/>
      <c r="X122" s="400"/>
      <c r="Y122" s="400"/>
      <c r="Z122" s="400"/>
      <c r="AA122" s="400"/>
      <c r="AB122" s="400"/>
      <c r="AC122" s="400"/>
      <c r="AD122" s="400"/>
      <c r="AE122" s="400"/>
      <c r="AF122" s="400"/>
      <c r="AG122" s="400"/>
      <c r="AH122" s="400"/>
      <c r="AI122" s="400"/>
      <c r="AJ122" s="400"/>
      <c r="AK122" s="400"/>
      <c r="AL122" s="400"/>
      <c r="AM122" s="400"/>
      <c r="AN122" s="400"/>
      <c r="AO122" s="400"/>
      <c r="AP122" s="400"/>
      <c r="AQ122" s="400"/>
      <c r="AR122" s="400"/>
      <c r="AS122" s="400"/>
      <c r="AT122" s="400"/>
      <c r="AU122" s="400"/>
      <c r="AV122" s="400"/>
      <c r="AW122" s="400"/>
      <c r="AX122" s="400"/>
      <c r="AY122" s="400"/>
      <c r="AZ122" s="400"/>
      <c r="BA122" s="400"/>
      <c r="BB122" s="400"/>
      <c r="BC122" s="400"/>
      <c r="BD122" s="400"/>
      <c r="BE122" s="400"/>
      <c r="BF122" s="400"/>
      <c r="BG122" s="400"/>
      <c r="BH122" s="400"/>
      <c r="BI122" s="400"/>
      <c r="BJ122" s="400"/>
      <c r="BK122" s="400"/>
      <c r="BL122" s="400"/>
      <c r="BM122" s="400"/>
      <c r="BN122" s="400"/>
      <c r="BO122" s="400"/>
      <c r="BP122" s="400"/>
      <c r="BQ122" s="400"/>
      <c r="BR122" s="400"/>
      <c r="BS122" s="400"/>
      <c r="BT122" s="400"/>
      <c r="BU122" s="400"/>
      <c r="BV122" s="400"/>
      <c r="BW122" s="400"/>
      <c r="BX122" s="400"/>
      <c r="BY122" s="400"/>
      <c r="BZ122" s="400"/>
      <c r="CA122" s="400"/>
      <c r="CB122" s="400"/>
      <c r="CC122" s="400"/>
      <c r="CD122" s="400"/>
      <c r="CE122" s="400"/>
      <c r="CF122" s="400"/>
      <c r="CG122" s="400"/>
      <c r="CH122" s="400"/>
      <c r="CI122" s="400"/>
      <c r="CJ122" s="400"/>
      <c r="CK122" s="400"/>
      <c r="CL122" s="400"/>
      <c r="CM122" s="400"/>
      <c r="CN122" s="400"/>
      <c r="CO122" s="400"/>
      <c r="CP122" s="400"/>
      <c r="CQ122" s="400"/>
      <c r="CR122" s="400"/>
      <c r="CS122" s="400"/>
      <c r="CT122" s="400"/>
      <c r="CU122" s="400"/>
      <c r="CV122" s="400"/>
      <c r="CW122" s="400"/>
      <c r="CX122" s="400"/>
      <c r="CY122" s="400"/>
      <c r="CZ122" s="400"/>
      <c r="DA122" s="400"/>
      <c r="DB122" s="400"/>
      <c r="DC122" s="400"/>
      <c r="DD122" s="400"/>
      <c r="DE122" s="400"/>
      <c r="DF122" s="400"/>
      <c r="DG122" s="400"/>
      <c r="DH122" s="400"/>
      <c r="DI122" s="400"/>
      <c r="DJ122" s="400"/>
      <c r="DK122" s="400"/>
      <c r="DL122" s="400"/>
      <c r="DM122" s="400"/>
      <c r="DN122" s="400"/>
      <c r="DO122" s="400"/>
      <c r="DP122" s="400"/>
      <c r="DQ122" s="400"/>
      <c r="DR122" s="400"/>
      <c r="DS122" s="400"/>
      <c r="DT122" s="400"/>
      <c r="DU122" s="400"/>
      <c r="DV122" s="400"/>
      <c r="DW122" s="400"/>
      <c r="DX122" s="400"/>
      <c r="DY122" s="400"/>
      <c r="DZ122" s="400"/>
      <c r="EA122" s="400"/>
      <c r="EB122" s="400"/>
      <c r="EC122" s="400"/>
      <c r="ED122" s="400"/>
      <c r="EE122" s="400"/>
      <c r="EF122" s="400"/>
      <c r="EG122" s="400"/>
      <c r="EH122" s="400"/>
      <c r="EI122" s="400"/>
      <c r="EJ122" s="400"/>
      <c r="EK122" s="400"/>
      <c r="EL122" s="400"/>
      <c r="EM122" s="400"/>
      <c r="EN122" s="400"/>
      <c r="EO122" s="400"/>
      <c r="EP122" s="400"/>
      <c r="EQ122" s="400"/>
      <c r="ER122" s="400"/>
      <c r="ES122" s="400"/>
      <c r="ET122" s="400"/>
      <c r="EU122" s="400"/>
      <c r="EV122" s="400"/>
      <c r="EW122" s="400"/>
      <c r="EX122" s="400"/>
      <c r="EY122" s="400"/>
      <c r="EZ122" s="400"/>
      <c r="FA122" s="400"/>
      <c r="FB122" s="400"/>
      <c r="FC122" s="400"/>
      <c r="FD122" s="400"/>
      <c r="FE122" s="400"/>
      <c r="FF122" s="400"/>
      <c r="FG122" s="400"/>
      <c r="FH122" s="400"/>
      <c r="FI122" s="400"/>
      <c r="FJ122" s="400"/>
      <c r="FK122" s="400"/>
      <c r="FL122" s="400"/>
      <c r="FM122" s="400"/>
      <c r="FN122" s="400"/>
      <c r="FO122" s="400"/>
      <c r="FP122" s="400"/>
      <c r="FQ122" s="400"/>
      <c r="FR122" s="400"/>
      <c r="FS122" s="400"/>
      <c r="FT122" s="400"/>
      <c r="FU122" s="400"/>
      <c r="FV122" s="400"/>
      <c r="FW122" s="400"/>
      <c r="FX122" s="400"/>
      <c r="FY122" s="400"/>
      <c r="FZ122" s="400"/>
      <c r="GA122" s="400"/>
      <c r="GB122" s="400"/>
      <c r="GC122" s="400"/>
      <c r="GD122" s="400"/>
      <c r="GE122" s="400"/>
      <c r="GF122" s="400"/>
      <c r="GG122" s="400"/>
      <c r="GH122" s="400"/>
      <c r="GI122" s="400"/>
      <c r="GJ122" s="400"/>
      <c r="GK122" s="400"/>
      <c r="GL122" s="400"/>
      <c r="GM122" s="400"/>
      <c r="GN122" s="400"/>
      <c r="GO122" s="400"/>
      <c r="GP122" s="400"/>
      <c r="GQ122" s="400"/>
      <c r="GR122" s="400"/>
      <c r="GS122" s="400"/>
      <c r="GT122" s="400"/>
      <c r="GU122" s="400"/>
      <c r="GV122" s="400"/>
      <c r="GW122" s="400"/>
      <c r="GX122" s="400"/>
      <c r="GY122" s="400"/>
      <c r="GZ122" s="400"/>
      <c r="HA122" s="400"/>
      <c r="HB122" s="400"/>
      <c r="HC122" s="400"/>
      <c r="HD122" s="400"/>
      <c r="HE122" s="400"/>
      <c r="HF122" s="400"/>
      <c r="HG122" s="400"/>
      <c r="HH122" s="400"/>
      <c r="HI122" s="400"/>
      <c r="HJ122" s="400"/>
      <c r="HK122" s="400"/>
      <c r="HL122" s="400"/>
      <c r="HM122" s="400"/>
      <c r="HN122" s="400"/>
      <c r="HO122" s="400"/>
      <c r="HP122" s="400"/>
      <c r="HQ122" s="400"/>
      <c r="HR122" s="400"/>
      <c r="HS122" s="400"/>
      <c r="HT122" s="400"/>
      <c r="HU122" s="400"/>
      <c r="HV122" s="400"/>
      <c r="HW122" s="400"/>
      <c r="HX122" s="400"/>
      <c r="HY122" s="400"/>
      <c r="HZ122" s="400"/>
      <c r="IA122" s="400"/>
      <c r="IB122" s="400"/>
      <c r="IC122" s="400"/>
      <c r="ID122" s="400"/>
      <c r="IE122" s="400"/>
      <c r="IF122" s="400"/>
      <c r="IG122" s="400"/>
      <c r="IH122" s="400"/>
      <c r="II122" s="400"/>
      <c r="IJ122" s="400"/>
      <c r="IK122" s="400"/>
      <c r="IL122" s="400"/>
      <c r="IM122" s="400"/>
      <c r="IN122" s="400"/>
      <c r="IO122" s="400"/>
      <c r="IP122" s="400"/>
      <c r="IQ122" s="400"/>
      <c r="IR122" s="400"/>
      <c r="IS122" s="400"/>
      <c r="IT122" s="400"/>
      <c r="IU122" s="400"/>
      <c r="IV122" s="400"/>
    </row>
    <row r="123" spans="1:256" s="675" customFormat="1" ht="15" x14ac:dyDescent="0.25">
      <c r="A123" s="398"/>
      <c r="B123" s="398"/>
      <c r="C123" s="398"/>
      <c r="D123" s="652" t="s">
        <v>269</v>
      </c>
      <c r="E123" s="652"/>
      <c r="F123" s="652"/>
      <c r="G123" s="652"/>
      <c r="H123" s="652"/>
      <c r="I123" s="652"/>
      <c r="J123" s="654"/>
      <c r="K123" s="654"/>
      <c r="L123" s="654">
        <f>L115*0.925</f>
        <v>298.52999999999997</v>
      </c>
      <c r="M123" s="399"/>
      <c r="N123" s="400"/>
      <c r="O123" s="400"/>
      <c r="P123" s="400"/>
      <c r="Q123" s="400"/>
      <c r="R123" s="400"/>
      <c r="S123" s="400"/>
      <c r="T123" s="400"/>
      <c r="U123" s="400"/>
      <c r="V123" s="400"/>
      <c r="W123" s="400"/>
      <c r="X123" s="400"/>
      <c r="Y123" s="400"/>
      <c r="Z123" s="400"/>
      <c r="AA123" s="400"/>
      <c r="AB123" s="400"/>
      <c r="AC123" s="400"/>
      <c r="AD123" s="400"/>
      <c r="AE123" s="400"/>
      <c r="AF123" s="400"/>
      <c r="AG123" s="400"/>
      <c r="AH123" s="400"/>
      <c r="AI123" s="400"/>
      <c r="AJ123" s="400"/>
      <c r="AK123" s="400"/>
      <c r="AL123" s="400"/>
      <c r="AM123" s="400"/>
      <c r="AN123" s="400"/>
      <c r="AO123" s="400"/>
      <c r="AP123" s="400"/>
      <c r="AQ123" s="400"/>
      <c r="AR123" s="400"/>
      <c r="AS123" s="400"/>
      <c r="AT123" s="400"/>
      <c r="AU123" s="400"/>
      <c r="AV123" s="400"/>
      <c r="AW123" s="400"/>
      <c r="AX123" s="400"/>
      <c r="AY123" s="400"/>
      <c r="AZ123" s="400"/>
      <c r="BA123" s="400"/>
      <c r="BB123" s="400"/>
      <c r="BC123" s="400"/>
      <c r="BD123" s="400"/>
      <c r="BE123" s="400"/>
      <c r="BF123" s="400"/>
      <c r="BG123" s="400"/>
      <c r="BH123" s="400"/>
      <c r="BI123" s="400"/>
      <c r="BJ123" s="400"/>
      <c r="BK123" s="400"/>
      <c r="BL123" s="400"/>
      <c r="BM123" s="400"/>
      <c r="BN123" s="400"/>
      <c r="BO123" s="400"/>
      <c r="BP123" s="400"/>
      <c r="BQ123" s="400"/>
      <c r="BR123" s="400"/>
      <c r="BS123" s="400"/>
      <c r="BT123" s="400"/>
      <c r="BU123" s="400"/>
      <c r="BV123" s="400"/>
      <c r="BW123" s="400"/>
      <c r="BX123" s="400"/>
      <c r="BY123" s="400"/>
      <c r="BZ123" s="400"/>
      <c r="CA123" s="400"/>
      <c r="CB123" s="400"/>
      <c r="CC123" s="400"/>
      <c r="CD123" s="400"/>
      <c r="CE123" s="400"/>
      <c r="CF123" s="400"/>
      <c r="CG123" s="400"/>
      <c r="CH123" s="400"/>
      <c r="CI123" s="400"/>
      <c r="CJ123" s="400"/>
      <c r="CK123" s="400"/>
      <c r="CL123" s="400"/>
      <c r="CM123" s="400"/>
      <c r="CN123" s="400"/>
      <c r="CO123" s="400"/>
      <c r="CP123" s="400"/>
      <c r="CQ123" s="400"/>
      <c r="CR123" s="400"/>
      <c r="CS123" s="400"/>
      <c r="CT123" s="400"/>
      <c r="CU123" s="400"/>
      <c r="CV123" s="400"/>
      <c r="CW123" s="400"/>
      <c r="CX123" s="400"/>
      <c r="CY123" s="400"/>
      <c r="CZ123" s="400"/>
      <c r="DA123" s="400"/>
      <c r="DB123" s="400"/>
      <c r="DC123" s="400"/>
      <c r="DD123" s="400"/>
      <c r="DE123" s="400"/>
      <c r="DF123" s="400"/>
      <c r="DG123" s="400"/>
      <c r="DH123" s="400"/>
      <c r="DI123" s="400"/>
      <c r="DJ123" s="400"/>
      <c r="DK123" s="400"/>
      <c r="DL123" s="400"/>
      <c r="DM123" s="400"/>
      <c r="DN123" s="400"/>
      <c r="DO123" s="400"/>
      <c r="DP123" s="400"/>
      <c r="DQ123" s="400"/>
      <c r="DR123" s="400"/>
      <c r="DS123" s="400"/>
      <c r="DT123" s="400"/>
      <c r="DU123" s="400"/>
      <c r="DV123" s="400"/>
      <c r="DW123" s="400"/>
      <c r="DX123" s="400"/>
      <c r="DY123" s="400"/>
      <c r="DZ123" s="400"/>
      <c r="EA123" s="400"/>
      <c r="EB123" s="400"/>
      <c r="EC123" s="400"/>
      <c r="ED123" s="400"/>
      <c r="EE123" s="400"/>
      <c r="EF123" s="400"/>
      <c r="EG123" s="400"/>
      <c r="EH123" s="400"/>
      <c r="EI123" s="400"/>
      <c r="EJ123" s="400"/>
      <c r="EK123" s="400"/>
      <c r="EL123" s="400"/>
      <c r="EM123" s="400"/>
      <c r="EN123" s="400"/>
      <c r="EO123" s="400"/>
      <c r="EP123" s="400"/>
      <c r="EQ123" s="400"/>
      <c r="ER123" s="400"/>
      <c r="ES123" s="400"/>
      <c r="ET123" s="400"/>
      <c r="EU123" s="400"/>
      <c r="EV123" s="400"/>
      <c r="EW123" s="400"/>
      <c r="EX123" s="400"/>
      <c r="EY123" s="400"/>
      <c r="EZ123" s="400"/>
      <c r="FA123" s="400"/>
      <c r="FB123" s="400"/>
      <c r="FC123" s="400"/>
      <c r="FD123" s="400"/>
      <c r="FE123" s="400"/>
      <c r="FF123" s="400"/>
      <c r="FG123" s="400"/>
      <c r="FH123" s="400"/>
      <c r="FI123" s="400"/>
      <c r="FJ123" s="400"/>
      <c r="FK123" s="400"/>
      <c r="FL123" s="400"/>
      <c r="FM123" s="400"/>
      <c r="FN123" s="400"/>
      <c r="FO123" s="400"/>
      <c r="FP123" s="400"/>
      <c r="FQ123" s="400"/>
      <c r="FR123" s="400"/>
      <c r="FS123" s="400"/>
      <c r="FT123" s="400"/>
      <c r="FU123" s="400"/>
      <c r="FV123" s="400"/>
      <c r="FW123" s="400"/>
      <c r="FX123" s="400"/>
      <c r="FY123" s="400"/>
      <c r="FZ123" s="400"/>
      <c r="GA123" s="400"/>
      <c r="GB123" s="400"/>
      <c r="GC123" s="400"/>
      <c r="GD123" s="400"/>
      <c r="GE123" s="400"/>
      <c r="GF123" s="400"/>
      <c r="GG123" s="400"/>
      <c r="GH123" s="400"/>
      <c r="GI123" s="400"/>
      <c r="GJ123" s="400"/>
      <c r="GK123" s="400"/>
      <c r="GL123" s="400"/>
      <c r="GM123" s="400"/>
      <c r="GN123" s="400"/>
      <c r="GO123" s="400"/>
      <c r="GP123" s="400"/>
      <c r="GQ123" s="400"/>
      <c r="GR123" s="400"/>
      <c r="GS123" s="400"/>
      <c r="GT123" s="400"/>
      <c r="GU123" s="400"/>
      <c r="GV123" s="400"/>
      <c r="GW123" s="400"/>
      <c r="GX123" s="400"/>
      <c r="GY123" s="400"/>
      <c r="GZ123" s="400"/>
      <c r="HA123" s="400"/>
      <c r="HB123" s="400"/>
      <c r="HC123" s="400"/>
      <c r="HD123" s="400"/>
      <c r="HE123" s="400"/>
      <c r="HF123" s="400"/>
      <c r="HG123" s="400"/>
      <c r="HH123" s="400"/>
      <c r="HI123" s="400"/>
      <c r="HJ123" s="400"/>
      <c r="HK123" s="400"/>
      <c r="HL123" s="400"/>
      <c r="HM123" s="400"/>
      <c r="HN123" s="400"/>
      <c r="HO123" s="400"/>
      <c r="HP123" s="400"/>
      <c r="HQ123" s="400"/>
      <c r="HR123" s="400"/>
      <c r="HS123" s="400"/>
      <c r="HT123" s="400"/>
      <c r="HU123" s="400"/>
      <c r="HV123" s="400"/>
      <c r="HW123" s="400"/>
      <c r="HX123" s="400"/>
      <c r="HY123" s="400"/>
      <c r="HZ123" s="400"/>
      <c r="IA123" s="400"/>
      <c r="IB123" s="400"/>
      <c r="IC123" s="400"/>
      <c r="ID123" s="400"/>
      <c r="IE123" s="400"/>
      <c r="IF123" s="400"/>
      <c r="IG123" s="400"/>
      <c r="IH123" s="400"/>
      <c r="II123" s="400"/>
      <c r="IJ123" s="400"/>
      <c r="IK123" s="400"/>
      <c r="IL123" s="400"/>
      <c r="IM123" s="400"/>
      <c r="IN123" s="400"/>
      <c r="IO123" s="400"/>
      <c r="IP123" s="400"/>
      <c r="IQ123" s="400"/>
      <c r="IR123" s="400"/>
      <c r="IS123" s="400"/>
      <c r="IT123" s="400"/>
      <c r="IU123" s="400"/>
      <c r="IV123" s="400"/>
    </row>
    <row r="124" spans="1:256" s="675" customFormat="1" ht="15" x14ac:dyDescent="0.25">
      <c r="A124" s="398"/>
      <c r="B124" s="398"/>
      <c r="C124" s="398"/>
      <c r="D124" s="652" t="s">
        <v>597</v>
      </c>
      <c r="E124" s="652"/>
      <c r="F124" s="652"/>
      <c r="G124" s="652"/>
      <c r="H124" s="652"/>
      <c r="I124" s="652"/>
      <c r="J124" s="654"/>
      <c r="K124" s="654"/>
      <c r="L124" s="654">
        <f>L116*0.925</f>
        <v>14667.84</v>
      </c>
      <c r="M124" s="399"/>
    </row>
    <row r="125" spans="1:256" s="675" customFormat="1" ht="15" x14ac:dyDescent="0.25">
      <c r="A125" s="398"/>
      <c r="B125" s="398"/>
      <c r="C125" s="398"/>
      <c r="D125" s="655" t="s">
        <v>323</v>
      </c>
      <c r="E125" s="652"/>
      <c r="F125" s="652"/>
      <c r="G125" s="652"/>
      <c r="H125" s="652"/>
      <c r="I125" s="652"/>
      <c r="J125" s="656"/>
      <c r="K125" s="654"/>
      <c r="L125" s="656">
        <v>0</v>
      </c>
      <c r="M125" s="399"/>
    </row>
    <row r="126" spans="1:256" s="675" customFormat="1" ht="15" x14ac:dyDescent="0.25">
      <c r="A126" s="398"/>
      <c r="B126" s="398"/>
      <c r="C126" s="398"/>
      <c r="D126" s="652" t="s">
        <v>598</v>
      </c>
      <c r="E126" s="652"/>
      <c r="F126" s="652"/>
      <c r="G126" s="652"/>
      <c r="H126" s="652"/>
      <c r="I126" s="652"/>
      <c r="J126" s="654"/>
      <c r="K126" s="654"/>
      <c r="L126" s="654">
        <f>L123*0.15</f>
        <v>44.78</v>
      </c>
      <c r="M126" s="399"/>
    </row>
    <row r="127" spans="1:256" s="675" customFormat="1" ht="14.25" x14ac:dyDescent="0.2">
      <c r="A127" s="398"/>
      <c r="B127" s="398"/>
      <c r="C127" s="398"/>
      <c r="D127" s="651" t="s">
        <v>599</v>
      </c>
      <c r="E127" s="657"/>
      <c r="F127" s="657"/>
      <c r="G127" s="657"/>
      <c r="H127" s="657"/>
      <c r="I127" s="657"/>
      <c r="J127" s="653"/>
      <c r="K127" s="657"/>
      <c r="L127" s="653">
        <f>L126+L121</f>
        <v>15450.39</v>
      </c>
      <c r="M127" s="399"/>
    </row>
    <row r="128" spans="1:256" s="675" customFormat="1" ht="15" x14ac:dyDescent="0.25">
      <c r="A128" s="398"/>
      <c r="B128" s="398"/>
      <c r="C128" s="398"/>
      <c r="D128" s="658"/>
      <c r="E128" s="658"/>
      <c r="F128" s="658"/>
      <c r="G128" s="658"/>
      <c r="H128" s="658"/>
      <c r="I128" s="658"/>
      <c r="J128" s="658"/>
      <c r="K128" s="658"/>
      <c r="L128" s="658"/>
      <c r="M128" s="399"/>
    </row>
    <row r="129" spans="1:13" s="675" customFormat="1" ht="15" x14ac:dyDescent="0.25">
      <c r="A129" s="398"/>
      <c r="B129" s="398"/>
      <c r="C129" s="398"/>
      <c r="D129" s="658"/>
      <c r="E129" s="658"/>
      <c r="F129" s="658"/>
      <c r="G129" s="658"/>
      <c r="H129" s="658"/>
      <c r="I129" s="658"/>
      <c r="J129" s="658"/>
      <c r="K129" s="658"/>
      <c r="L129" s="658"/>
      <c r="M129" s="399"/>
    </row>
    <row r="130" spans="1:13" s="675" customFormat="1" ht="14.25" x14ac:dyDescent="0.2">
      <c r="A130" s="398"/>
      <c r="B130" s="398"/>
      <c r="C130" s="398"/>
      <c r="D130" s="659"/>
      <c r="E130" s="660"/>
      <c r="F130" s="660"/>
      <c r="G130" s="660"/>
      <c r="H130" s="660"/>
      <c r="I130" s="661"/>
      <c r="J130" s="662"/>
      <c r="K130" s="663"/>
      <c r="L130" s="662"/>
      <c r="M130" s="399"/>
    </row>
    <row r="131" spans="1:13" s="675" customFormat="1" ht="15" x14ac:dyDescent="0.25">
      <c r="A131" s="398"/>
      <c r="B131" s="398"/>
      <c r="C131" s="398"/>
      <c r="D131" s="664"/>
      <c r="E131" s="665"/>
      <c r="F131" s="665"/>
      <c r="G131" s="665"/>
      <c r="H131" s="665"/>
      <c r="I131" s="666"/>
      <c r="J131" s="667"/>
      <c r="K131" s="668"/>
      <c r="L131" s="667"/>
      <c r="M131" s="399"/>
    </row>
    <row r="132" spans="1:13" s="675" customFormat="1" ht="15" x14ac:dyDescent="0.25">
      <c r="A132" s="398"/>
      <c r="B132" s="398"/>
      <c r="C132" s="398"/>
      <c r="D132" s="664"/>
      <c r="E132" s="665"/>
      <c r="F132" s="665"/>
      <c r="G132" s="665"/>
      <c r="H132" s="665"/>
      <c r="I132" s="666"/>
      <c r="J132" s="667"/>
      <c r="K132" s="669"/>
      <c r="L132" s="667"/>
      <c r="M132" s="399"/>
    </row>
    <row r="133" spans="1:13" s="675" customFormat="1" ht="15" x14ac:dyDescent="0.25">
      <c r="A133" s="398"/>
      <c r="B133" s="398"/>
      <c r="C133" s="398"/>
      <c r="D133" s="664"/>
      <c r="E133" s="665"/>
      <c r="F133" s="665"/>
      <c r="G133" s="665"/>
      <c r="H133" s="665"/>
      <c r="I133" s="666"/>
      <c r="J133" s="667"/>
      <c r="K133" s="667"/>
      <c r="L133" s="667"/>
      <c r="M133" s="399"/>
    </row>
    <row r="134" spans="1:13" s="675" customFormat="1" ht="15" x14ac:dyDescent="0.25">
      <c r="A134" s="398"/>
      <c r="B134" s="398"/>
      <c r="C134" s="398"/>
      <c r="D134" s="664"/>
      <c r="E134" s="665"/>
      <c r="F134" s="665"/>
      <c r="G134" s="665"/>
      <c r="H134" s="665"/>
      <c r="I134" s="666"/>
      <c r="J134" s="670"/>
      <c r="K134" s="670"/>
      <c r="L134" s="670"/>
      <c r="M134" s="399"/>
    </row>
  </sheetData>
  <mergeCells count="100">
    <mergeCell ref="K120:L120"/>
    <mergeCell ref="D118:H118"/>
    <mergeCell ref="D119:H119"/>
    <mergeCell ref="D120:H120"/>
    <mergeCell ref="I120:J120"/>
    <mergeCell ref="I106:J106"/>
    <mergeCell ref="K106:L106"/>
    <mergeCell ref="I107:J107"/>
    <mergeCell ref="K107:L107"/>
    <mergeCell ref="D117:H117"/>
    <mergeCell ref="I91:J91"/>
    <mergeCell ref="K91:L91"/>
    <mergeCell ref="I93:J93"/>
    <mergeCell ref="K93:L93"/>
    <mergeCell ref="I95:J95"/>
    <mergeCell ref="K95:L95"/>
    <mergeCell ref="A97:H97"/>
    <mergeCell ref="I97:J97"/>
    <mergeCell ref="K97:L97"/>
    <mergeCell ref="A103:H103"/>
    <mergeCell ref="I103:J103"/>
    <mergeCell ref="K103:L103"/>
    <mergeCell ref="I89:J89"/>
    <mergeCell ref="K89:L89"/>
    <mergeCell ref="I68:J68"/>
    <mergeCell ref="K68:L68"/>
    <mergeCell ref="I70:J70"/>
    <mergeCell ref="K70:L70"/>
    <mergeCell ref="I80:J80"/>
    <mergeCell ref="K80:L80"/>
    <mergeCell ref="I57:J57"/>
    <mergeCell ref="K57:L57"/>
    <mergeCell ref="I85:J85"/>
    <mergeCell ref="K85:L85"/>
    <mergeCell ref="I87:J87"/>
    <mergeCell ref="K87:L87"/>
    <mergeCell ref="I62:J62"/>
    <mergeCell ref="K62:L62"/>
    <mergeCell ref="I64:J64"/>
    <mergeCell ref="K64:L64"/>
    <mergeCell ref="I66:J66"/>
    <mergeCell ref="K66:L66"/>
    <mergeCell ref="A43:L43"/>
    <mergeCell ref="I45:J45"/>
    <mergeCell ref="K45:L45"/>
    <mergeCell ref="I47:J47"/>
    <mergeCell ref="K47:L47"/>
    <mergeCell ref="C13:H13"/>
    <mergeCell ref="C34:K34"/>
    <mergeCell ref="A35:L35"/>
    <mergeCell ref="A37:A40"/>
    <mergeCell ref="B37:B40"/>
    <mergeCell ref="A36:B36"/>
    <mergeCell ref="C36:C40"/>
    <mergeCell ref="D36:D40"/>
    <mergeCell ref="E36:E40"/>
    <mergeCell ref="F36:F40"/>
    <mergeCell ref="G36:G40"/>
    <mergeCell ref="H36:H40"/>
    <mergeCell ref="I36:I40"/>
    <mergeCell ref="J36:J40"/>
    <mergeCell ref="K36:K40"/>
    <mergeCell ref="L36:L40"/>
    <mergeCell ref="J19:L19"/>
    <mergeCell ref="A30:L30"/>
    <mergeCell ref="I1:L1"/>
    <mergeCell ref="I2:L2"/>
    <mergeCell ref="I3:L3"/>
    <mergeCell ref="J4:L4"/>
    <mergeCell ref="J5:L5"/>
    <mergeCell ref="J6:L7"/>
    <mergeCell ref="C14:H14"/>
    <mergeCell ref="J14:L15"/>
    <mergeCell ref="C15:H15"/>
    <mergeCell ref="C10:H10"/>
    <mergeCell ref="J10:L11"/>
    <mergeCell ref="C11:H11"/>
    <mergeCell ref="C12:H12"/>
    <mergeCell ref="J12:L13"/>
    <mergeCell ref="I24:I25"/>
    <mergeCell ref="J24:J25"/>
    <mergeCell ref="K24:L24"/>
    <mergeCell ref="A27:L27"/>
    <mergeCell ref="A28:L28"/>
    <mergeCell ref="A31:L31"/>
    <mergeCell ref="A7:B7"/>
    <mergeCell ref="C7:H7"/>
    <mergeCell ref="C8:H8"/>
    <mergeCell ref="J8:L9"/>
    <mergeCell ref="A9:B9"/>
    <mergeCell ref="C9:H9"/>
    <mergeCell ref="C16:H16"/>
    <mergeCell ref="J16:L17"/>
    <mergeCell ref="C17:H17"/>
    <mergeCell ref="C18:H18"/>
    <mergeCell ref="G19:I19"/>
    <mergeCell ref="G20:H20"/>
    <mergeCell ref="J20:L20"/>
    <mergeCell ref="J21:L21"/>
    <mergeCell ref="J22:L22"/>
  </mergeCells>
  <pageMargins left="0.78740157480314965" right="0" top="0.39370078740157483" bottom="0.39370078740157483" header="0.31496062992125984" footer="0.31496062992125984"/>
  <pageSetup paperSize="9" scale="56" fitToHeight="0" orientation="portrait" blackAndWhite="1" useFirstPageNumber="1" r:id="rId1"/>
  <headerFooter>
    <oddFooter>&amp;R&amp;P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IV215"/>
  <sheetViews>
    <sheetView view="pageBreakPreview" topLeftCell="A30" zoomScale="70" zoomScaleNormal="70" zoomScaleSheetLayoutView="70" workbookViewId="0">
      <selection activeCell="AO53" sqref="AO53"/>
    </sheetView>
  </sheetViews>
  <sheetFormatPr defaultRowHeight="11.25" x14ac:dyDescent="0.2"/>
  <cols>
    <col min="1" max="1" width="6.6640625" style="718" customWidth="1"/>
    <col min="2" max="2" width="8.33203125" style="718" customWidth="1"/>
    <col min="3" max="3" width="13.6640625" style="718" customWidth="1"/>
    <col min="4" max="4" width="47.5" style="718" customWidth="1"/>
    <col min="5" max="5" width="13.6640625" style="718" customWidth="1"/>
    <col min="6" max="6" width="12.6640625" style="718" customWidth="1"/>
    <col min="7" max="7" width="14.1640625" style="718" customWidth="1"/>
    <col min="8" max="8" width="13.1640625" style="718" bestFit="1" customWidth="1"/>
    <col min="9" max="9" width="12.6640625" style="718" bestFit="1" customWidth="1"/>
    <col min="10" max="10" width="16.5" style="718" customWidth="1"/>
    <col min="11" max="11" width="12.6640625" style="718" bestFit="1" customWidth="1"/>
    <col min="12" max="12" width="17.1640625" style="718" customWidth="1"/>
    <col min="13" max="15" width="11.83203125" style="718" customWidth="1"/>
    <col min="16" max="16" width="9.33203125" style="718"/>
    <col min="17" max="17" width="0" style="718" hidden="1" customWidth="1"/>
    <col min="18" max="18" width="9.5" style="718" hidden="1" customWidth="1"/>
    <col min="19" max="19" width="10.6640625" style="718" hidden="1" customWidth="1"/>
    <col min="20" max="20" width="8.1640625" style="718" hidden="1" customWidth="1"/>
    <col min="21" max="21" width="9.33203125" style="718" hidden="1" customWidth="1"/>
    <col min="22" max="22" width="8.1640625" style="718" hidden="1" customWidth="1"/>
    <col min="23" max="23" width="9.33203125" style="718" hidden="1" customWidth="1"/>
    <col min="24" max="24" width="5.83203125" style="718" hidden="1" customWidth="1"/>
    <col min="25" max="26" width="8.1640625" style="718" hidden="1" customWidth="1"/>
    <col min="27" max="27" width="9.33203125" style="718" hidden="1" customWidth="1"/>
    <col min="28" max="30" width="2.33203125" style="718" hidden="1" customWidth="1"/>
    <col min="31" max="39" width="0" style="718" hidden="1" customWidth="1"/>
    <col min="40" max="40" width="157.1640625" style="718" hidden="1" customWidth="1"/>
    <col min="41" max="41" width="116.83203125" style="718" bestFit="1" customWidth="1"/>
    <col min="42" max="45" width="0" style="718" hidden="1" customWidth="1"/>
    <col min="46" max="16384" width="9.33203125" style="718"/>
  </cols>
  <sheetData>
    <row r="1" spans="13:15" hidden="1" x14ac:dyDescent="0.2"/>
    <row r="2" spans="13:15" ht="12.75" hidden="1" x14ac:dyDescent="0.2">
      <c r="M2" s="726"/>
      <c r="N2" s="726"/>
      <c r="O2" s="726"/>
    </row>
    <row r="3" spans="13:15" ht="12.75" hidden="1" x14ac:dyDescent="0.2">
      <c r="M3" s="726"/>
      <c r="N3" s="726"/>
      <c r="O3" s="726"/>
    </row>
    <row r="4" spans="13:15" ht="12.75" hidden="1" x14ac:dyDescent="0.2">
      <c r="M4" s="726"/>
      <c r="N4" s="726"/>
      <c r="O4" s="726"/>
    </row>
    <row r="5" spans="13:15" ht="15" hidden="1" x14ac:dyDescent="0.25">
      <c r="M5" s="727"/>
      <c r="N5" s="727"/>
      <c r="O5" s="727"/>
    </row>
    <row r="6" spans="13:15" ht="15" hidden="1" x14ac:dyDescent="0.25">
      <c r="M6" s="728"/>
      <c r="N6" s="728"/>
      <c r="O6" s="728"/>
    </row>
    <row r="7" spans="13:15" ht="15" hidden="1" x14ac:dyDescent="0.25">
      <c r="M7" s="729"/>
      <c r="N7" s="729"/>
      <c r="O7" s="729"/>
    </row>
    <row r="8" spans="13:15" ht="15" hidden="1" x14ac:dyDescent="0.25">
      <c r="M8" s="728"/>
      <c r="N8" s="728"/>
      <c r="O8" s="728"/>
    </row>
    <row r="9" spans="13:15" ht="15" hidden="1" x14ac:dyDescent="0.25">
      <c r="M9" s="728"/>
      <c r="N9" s="728"/>
      <c r="O9" s="728"/>
    </row>
    <row r="10" spans="13:15" ht="15" hidden="1" x14ac:dyDescent="0.25">
      <c r="M10" s="728"/>
      <c r="N10" s="728"/>
      <c r="O10" s="728"/>
    </row>
    <row r="11" spans="13:15" ht="15" hidden="1" x14ac:dyDescent="0.25">
      <c r="M11" s="728"/>
      <c r="N11" s="728"/>
      <c r="O11" s="728"/>
    </row>
    <row r="12" spans="13:15" ht="15" hidden="1" x14ac:dyDescent="0.25">
      <c r="M12" s="728"/>
      <c r="N12" s="728"/>
      <c r="O12" s="728"/>
    </row>
    <row r="13" spans="13:15" ht="15" hidden="1" x14ac:dyDescent="0.25">
      <c r="M13" s="728"/>
      <c r="N13" s="728"/>
      <c r="O13" s="728"/>
    </row>
    <row r="14" spans="13:15" ht="15" hidden="1" x14ac:dyDescent="0.25">
      <c r="M14" s="728"/>
      <c r="N14" s="728"/>
      <c r="O14" s="728"/>
    </row>
    <row r="15" spans="13:15" ht="15" hidden="1" x14ac:dyDescent="0.25">
      <c r="M15" s="728"/>
      <c r="N15" s="728"/>
      <c r="O15" s="728"/>
    </row>
    <row r="16" spans="13:15" ht="15" hidden="1" x14ac:dyDescent="0.25">
      <c r="M16" s="728"/>
      <c r="N16" s="728"/>
      <c r="O16" s="728"/>
    </row>
    <row r="17" spans="1:15" ht="15" hidden="1" x14ac:dyDescent="0.25">
      <c r="M17" s="728"/>
      <c r="N17" s="728"/>
      <c r="O17" s="728"/>
    </row>
    <row r="18" spans="1:15" ht="15" hidden="1" x14ac:dyDescent="0.25">
      <c r="M18" s="727"/>
      <c r="N18" s="727"/>
      <c r="O18" s="727"/>
    </row>
    <row r="19" spans="1:15" ht="15" hidden="1" x14ac:dyDescent="0.25">
      <c r="M19" s="728"/>
      <c r="N19" s="728"/>
      <c r="O19" s="728"/>
    </row>
    <row r="20" spans="1:15" ht="15" hidden="1" x14ac:dyDescent="0.25">
      <c r="M20" s="728"/>
      <c r="N20" s="728"/>
      <c r="O20" s="728"/>
    </row>
    <row r="21" spans="1:15" ht="15" hidden="1" x14ac:dyDescent="0.25">
      <c r="M21" s="730"/>
      <c r="N21" s="730"/>
      <c r="O21" s="730"/>
    </row>
    <row r="22" spans="1:15" ht="15" hidden="1" x14ac:dyDescent="0.25">
      <c r="M22" s="728"/>
      <c r="N22" s="728"/>
      <c r="O22" s="728"/>
    </row>
    <row r="23" spans="1:15" ht="15" hidden="1" x14ac:dyDescent="0.25">
      <c r="M23" s="727"/>
      <c r="N23" s="727"/>
      <c r="O23" s="727"/>
    </row>
    <row r="24" spans="1:15" ht="15" hidden="1" x14ac:dyDescent="0.25">
      <c r="M24" s="727"/>
      <c r="N24" s="727"/>
      <c r="O24" s="727"/>
    </row>
    <row r="25" spans="1:15" ht="15" hidden="1" x14ac:dyDescent="0.25">
      <c r="M25" s="727"/>
      <c r="N25" s="727"/>
      <c r="O25" s="727"/>
    </row>
    <row r="26" spans="1:15" ht="15" hidden="1" x14ac:dyDescent="0.25">
      <c r="M26" s="727"/>
      <c r="N26" s="727"/>
      <c r="O26" s="727"/>
    </row>
    <row r="27" spans="1:15" ht="15" hidden="1" x14ac:dyDescent="0.25">
      <c r="M27" s="727"/>
      <c r="N27" s="727"/>
      <c r="O27" s="727"/>
    </row>
    <row r="28" spans="1:15" ht="15" hidden="1" x14ac:dyDescent="0.25">
      <c r="M28" s="727"/>
      <c r="N28" s="727"/>
      <c r="O28" s="727"/>
    </row>
    <row r="29" spans="1:15" ht="18.75" hidden="1" x14ac:dyDescent="0.3">
      <c r="M29" s="686"/>
      <c r="N29" s="686"/>
      <c r="O29" s="686"/>
    </row>
    <row r="30" spans="1:15" ht="18.75" x14ac:dyDescent="0.3">
      <c r="M30" s="686"/>
      <c r="N30" s="686"/>
      <c r="O30" s="686"/>
    </row>
    <row r="31" spans="1:15" ht="18.75" x14ac:dyDescent="0.3">
      <c r="A31" s="1052" t="s">
        <v>690</v>
      </c>
      <c r="B31" s="1052"/>
      <c r="C31" s="1052"/>
      <c r="D31" s="1052"/>
      <c r="E31" s="1052"/>
      <c r="F31" s="1052"/>
      <c r="G31" s="1052"/>
      <c r="H31" s="1052"/>
      <c r="I31" s="1052"/>
      <c r="J31" s="1052"/>
      <c r="K31" s="1052"/>
      <c r="L31" s="1052"/>
      <c r="M31" s="727"/>
      <c r="N31" s="727"/>
      <c r="O31" s="727"/>
    </row>
    <row r="32" spans="1:15" ht="15.75" x14ac:dyDescent="0.25">
      <c r="A32" s="1077" t="s">
        <v>452</v>
      </c>
      <c r="B32" s="1077"/>
      <c r="C32" s="1077"/>
      <c r="D32" s="1077"/>
      <c r="E32" s="1077"/>
      <c r="F32" s="1077"/>
      <c r="G32" s="1077"/>
      <c r="H32" s="1077"/>
      <c r="I32" s="1077"/>
      <c r="J32" s="1077"/>
      <c r="K32" s="1077"/>
      <c r="L32" s="1077"/>
      <c r="M32" s="727"/>
      <c r="N32" s="727"/>
      <c r="O32" s="727"/>
    </row>
    <row r="33" spans="1:15" ht="15" x14ac:dyDescent="0.25">
      <c r="A33" s="727"/>
      <c r="B33" s="727"/>
      <c r="C33" s="731" t="s">
        <v>453</v>
      </c>
      <c r="D33" s="727"/>
      <c r="E33" s="727"/>
      <c r="F33" s="727"/>
      <c r="G33" s="727"/>
      <c r="H33" s="727"/>
      <c r="I33" s="727"/>
      <c r="J33" s="727"/>
      <c r="K33" s="727"/>
      <c r="L33" s="727"/>
      <c r="M33" s="727"/>
      <c r="N33" s="727"/>
      <c r="O33" s="727"/>
    </row>
    <row r="34" spans="1:15" ht="15" x14ac:dyDescent="0.25">
      <c r="A34" s="727"/>
      <c r="B34" s="727"/>
      <c r="C34" s="731" t="s">
        <v>454</v>
      </c>
      <c r="D34" s="727"/>
      <c r="E34" s="727"/>
      <c r="F34" s="727"/>
      <c r="G34" s="727"/>
      <c r="H34" s="727"/>
      <c r="I34" s="727"/>
      <c r="J34" s="727"/>
      <c r="K34" s="727"/>
      <c r="L34" s="727"/>
      <c r="M34" s="727"/>
      <c r="N34" s="727"/>
      <c r="O34" s="727"/>
    </row>
    <row r="35" spans="1:15" ht="48" customHeight="1" x14ac:dyDescent="0.25">
      <c r="A35" s="727"/>
      <c r="B35" s="727"/>
      <c r="C35" s="1078" t="s">
        <v>455</v>
      </c>
      <c r="D35" s="1078"/>
      <c r="E35" s="1078"/>
      <c r="F35" s="1078"/>
      <c r="G35" s="1078"/>
      <c r="H35" s="727"/>
      <c r="I35" s="727"/>
      <c r="J35" s="727"/>
      <c r="K35" s="727"/>
      <c r="L35" s="727"/>
      <c r="M35" s="727"/>
      <c r="N35" s="727"/>
      <c r="O35" s="727"/>
    </row>
    <row r="36" spans="1:15" ht="15" x14ac:dyDescent="0.25">
      <c r="A36" s="1061" t="s">
        <v>456</v>
      </c>
      <c r="B36" s="1061"/>
      <c r="C36" s="1061"/>
      <c r="D36" s="1061"/>
      <c r="E36" s="1061"/>
      <c r="F36" s="1061"/>
      <c r="G36" s="1061"/>
      <c r="H36" s="1061"/>
      <c r="I36" s="1061"/>
      <c r="J36" s="1061"/>
      <c r="K36" s="1061"/>
      <c r="L36" s="1061"/>
      <c r="M36" s="732"/>
      <c r="N36" s="732"/>
      <c r="O36" s="732"/>
    </row>
    <row r="37" spans="1:15" ht="15" x14ac:dyDescent="0.2">
      <c r="A37" s="1065" t="s">
        <v>67</v>
      </c>
      <c r="B37" s="1065"/>
      <c r="C37" s="1065" t="s">
        <v>68</v>
      </c>
      <c r="D37" s="1065" t="s">
        <v>69</v>
      </c>
      <c r="E37" s="1065" t="s">
        <v>70</v>
      </c>
      <c r="F37" s="1065" t="s">
        <v>457</v>
      </c>
      <c r="G37" s="1065" t="s">
        <v>458</v>
      </c>
      <c r="H37" s="1062" t="s">
        <v>459</v>
      </c>
      <c r="I37" s="1062" t="s">
        <v>460</v>
      </c>
      <c r="J37" s="1065" t="s">
        <v>461</v>
      </c>
      <c r="K37" s="1065" t="s">
        <v>462</v>
      </c>
      <c r="L37" s="1065" t="s">
        <v>463</v>
      </c>
      <c r="M37" s="733"/>
      <c r="N37" s="733"/>
      <c r="O37" s="733"/>
    </row>
    <row r="38" spans="1:15" ht="15" x14ac:dyDescent="0.2">
      <c r="A38" s="1062" t="s">
        <v>78</v>
      </c>
      <c r="B38" s="1062" t="s">
        <v>79</v>
      </c>
      <c r="C38" s="1065"/>
      <c r="D38" s="1065"/>
      <c r="E38" s="1065"/>
      <c r="F38" s="1065"/>
      <c r="G38" s="1065"/>
      <c r="H38" s="1063"/>
      <c r="I38" s="1063"/>
      <c r="J38" s="1065"/>
      <c r="K38" s="1065"/>
      <c r="L38" s="1065"/>
      <c r="M38" s="733"/>
      <c r="N38" s="733"/>
      <c r="O38" s="733"/>
    </row>
    <row r="39" spans="1:15" ht="15" x14ac:dyDescent="0.2">
      <c r="A39" s="1063"/>
      <c r="B39" s="1063"/>
      <c r="C39" s="1065"/>
      <c r="D39" s="1065"/>
      <c r="E39" s="1065"/>
      <c r="F39" s="1065"/>
      <c r="G39" s="1065"/>
      <c r="H39" s="1063"/>
      <c r="I39" s="1063"/>
      <c r="J39" s="1065"/>
      <c r="K39" s="1065"/>
      <c r="L39" s="1065"/>
      <c r="M39" s="733"/>
      <c r="N39" s="733"/>
      <c r="O39" s="733"/>
    </row>
    <row r="40" spans="1:15" ht="15" x14ac:dyDescent="0.2">
      <c r="A40" s="1063"/>
      <c r="B40" s="1063"/>
      <c r="C40" s="1065"/>
      <c r="D40" s="1065"/>
      <c r="E40" s="1065"/>
      <c r="F40" s="1065"/>
      <c r="G40" s="1065"/>
      <c r="H40" s="1063"/>
      <c r="I40" s="1063"/>
      <c r="J40" s="1065"/>
      <c r="K40" s="1065"/>
      <c r="L40" s="1065"/>
      <c r="M40" s="733"/>
      <c r="N40" s="733"/>
      <c r="O40" s="733"/>
    </row>
    <row r="41" spans="1:15" ht="15" x14ac:dyDescent="0.2">
      <c r="A41" s="1063"/>
      <c r="B41" s="1063"/>
      <c r="C41" s="1065"/>
      <c r="D41" s="1065"/>
      <c r="E41" s="1065"/>
      <c r="F41" s="1065"/>
      <c r="G41" s="1065"/>
      <c r="H41" s="1063"/>
      <c r="I41" s="1063"/>
      <c r="J41" s="1065"/>
      <c r="K41" s="1065"/>
      <c r="L41" s="1065"/>
      <c r="M41" s="733"/>
      <c r="N41" s="733"/>
      <c r="O41" s="733"/>
    </row>
    <row r="42" spans="1:15" ht="15" x14ac:dyDescent="0.2">
      <c r="A42" s="1064"/>
      <c r="B42" s="1064"/>
      <c r="C42" s="1065"/>
      <c r="D42" s="1065"/>
      <c r="E42" s="1065"/>
      <c r="F42" s="1065"/>
      <c r="G42" s="1065"/>
      <c r="H42" s="1064"/>
      <c r="I42" s="1064"/>
      <c r="J42" s="1065"/>
      <c r="K42" s="1065"/>
      <c r="L42" s="1065"/>
      <c r="M42" s="733"/>
      <c r="N42" s="733"/>
      <c r="O42" s="733"/>
    </row>
    <row r="43" spans="1:15" ht="15" x14ac:dyDescent="0.2">
      <c r="A43" s="689">
        <v>1</v>
      </c>
      <c r="B43" s="689">
        <v>2</v>
      </c>
      <c r="C43" s="689">
        <v>3</v>
      </c>
      <c r="D43" s="689">
        <v>4</v>
      </c>
      <c r="E43" s="689">
        <v>5</v>
      </c>
      <c r="F43" s="689">
        <v>6</v>
      </c>
      <c r="G43" s="689">
        <v>7</v>
      </c>
      <c r="H43" s="689">
        <v>8</v>
      </c>
      <c r="I43" s="689">
        <v>9</v>
      </c>
      <c r="J43" s="689">
        <v>10</v>
      </c>
      <c r="K43" s="689">
        <v>11</v>
      </c>
      <c r="L43" s="689">
        <v>12</v>
      </c>
      <c r="M43" s="733"/>
      <c r="N43" s="733"/>
      <c r="O43" s="733"/>
    </row>
    <row r="45" spans="1:15" hidden="1" x14ac:dyDescent="0.2">
      <c r="A45" s="718" t="s">
        <v>139</v>
      </c>
      <c r="I45" s="718" t="e">
        <f>SUM(#REF!)</f>
        <v>#REF!</v>
      </c>
      <c r="K45" s="718" t="e">
        <f>SUM(#REF!)</f>
        <v>#REF!</v>
      </c>
    </row>
    <row r="46" spans="1:15" hidden="1" x14ac:dyDescent="0.2">
      <c r="A46" s="718" t="s">
        <v>140</v>
      </c>
      <c r="I46" s="718">
        <f>SUM(AH45:AH45)</f>
        <v>0</v>
      </c>
      <c r="K46" s="718">
        <f>SUM(AI45:AI45)</f>
        <v>0</v>
      </c>
    </row>
    <row r="47" spans="1:15" hidden="1" x14ac:dyDescent="0.2"/>
    <row r="48" spans="1:15" ht="16.5" x14ac:dyDescent="0.25">
      <c r="A48" s="1066" t="str">
        <f>CONCATENATE("Подраздел: ",IF([94]Source!G2454&lt;&gt;"Новый подраздел", [94]Source!G2454, ""))</f>
        <v>Подраздел: Дополнительные материалы и оборудование</v>
      </c>
      <c r="B48" s="1066"/>
      <c r="C48" s="1066"/>
      <c r="D48" s="1066"/>
      <c r="E48" s="1066"/>
      <c r="F48" s="1066"/>
      <c r="G48" s="1066"/>
      <c r="H48" s="1066"/>
      <c r="I48" s="1066"/>
      <c r="J48" s="1066"/>
      <c r="K48" s="1066"/>
      <c r="L48" s="1066"/>
      <c r="M48" s="690"/>
      <c r="N48" s="690"/>
      <c r="O48" s="690"/>
    </row>
    <row r="49" spans="1:30" ht="75" x14ac:dyDescent="0.25">
      <c r="A49" s="691">
        <v>1</v>
      </c>
      <c r="B49" s="691" t="str">
        <f>[94]Source!E2707</f>
        <v>432</v>
      </c>
      <c r="C49" s="692" t="str">
        <f>[94]Source!F2707</f>
        <v>3.20-1-4</v>
      </c>
      <c r="D49" s="692" t="s">
        <v>464</v>
      </c>
      <c r="E49" s="693" t="str">
        <f>[94]Source!H2707</f>
        <v>100 м2 поверхности воздуховодов</v>
      </c>
      <c r="F49" s="694">
        <f>[94]Source!I2707</f>
        <v>6.1100000000000002E-2</v>
      </c>
      <c r="G49" s="695"/>
      <c r="H49" s="696"/>
      <c r="I49" s="694"/>
      <c r="J49" s="697"/>
      <c r="K49" s="694"/>
      <c r="L49" s="697"/>
      <c r="M49" s="697"/>
      <c r="N49" s="697"/>
      <c r="O49" s="697"/>
      <c r="T49" s="718">
        <f>ROUND(([94]Source!DN2707/100)*ROUND((ROUND(([94]Source!AF2707*[94]Source!AV2707*[94]Source!I2707),2)),2), 2)</f>
        <v>237.25</v>
      </c>
      <c r="U49" s="718">
        <f>[94]Source!X2707</f>
        <v>4598.8500000000004</v>
      </c>
      <c r="V49" s="718">
        <f>ROUND(([94]Source!DO2707/100)*ROUND((ROUND(([94]Source!AF2707*[94]Source!AV2707*[94]Source!I2707),2)),2), 2)</f>
        <v>178.41</v>
      </c>
      <c r="W49" s="718">
        <f>[94]Source!Y2707</f>
        <v>2069.48</v>
      </c>
      <c r="X49" s="718">
        <f>ROUND((175/100)*ROUND((ROUND(([94]Source!AE2707*[94]Source!AV2707*[94]Source!I2707),2)),2), 2)</f>
        <v>3.76</v>
      </c>
      <c r="Y49" s="718">
        <f>ROUND((157/100)*ROUND(ROUND((ROUND(([94]Source!AE2707*[94]Source!AV2707*[94]Source!I2707),2)*[94]Source!BS2707),2), 2), 2)</f>
        <v>81.78</v>
      </c>
    </row>
    <row r="50" spans="1:30" ht="15" x14ac:dyDescent="0.25">
      <c r="A50" s="691"/>
      <c r="B50" s="691"/>
      <c r="C50" s="692"/>
      <c r="D50" s="692" t="s">
        <v>84</v>
      </c>
      <c r="E50" s="693"/>
      <c r="F50" s="694"/>
      <c r="G50" s="695">
        <f>[94]Source!AO2707</f>
        <v>1743.28</v>
      </c>
      <c r="H50" s="696" t="str">
        <f>[94]Source!DG2707</f>
        <v>)*1,67</v>
      </c>
      <c r="I50" s="694">
        <f>[94]Source!AV2707</f>
        <v>1.0669999999999999</v>
      </c>
      <c r="J50" s="697">
        <f>ROUND((ROUND(([94]Source!AF2707*[94]Source!AV2707*[94]Source!I2707),2)),2)</f>
        <v>189.8</v>
      </c>
      <c r="K50" s="694">
        <f>IF([94]Source!BA2707&lt;&gt; 0, [94]Source!BA2707, 1)</f>
        <v>24.23</v>
      </c>
      <c r="L50" s="697">
        <f>[94]Source!S2707</f>
        <v>4598.8500000000004</v>
      </c>
      <c r="M50" s="697"/>
      <c r="N50" s="697"/>
      <c r="O50" s="697"/>
      <c r="Z50" s="718">
        <f>J50</f>
        <v>189.8</v>
      </c>
    </row>
    <row r="51" spans="1:30" ht="15" x14ac:dyDescent="0.25">
      <c r="A51" s="691"/>
      <c r="B51" s="691"/>
      <c r="C51" s="692"/>
      <c r="D51" s="692" t="s">
        <v>85</v>
      </c>
      <c r="E51" s="693"/>
      <c r="F51" s="694"/>
      <c r="G51" s="695">
        <f>[94]Source!AM2707</f>
        <v>158.94999999999999</v>
      </c>
      <c r="H51" s="696" t="str">
        <f>[94]Source!DE2707</f>
        <v/>
      </c>
      <c r="I51" s="694">
        <f>[94]Source!AV2707</f>
        <v>1.0669999999999999</v>
      </c>
      <c r="J51" s="697">
        <f>(ROUND((ROUND((([94]Source!ET2707)*[94]Source!AV2707*[94]Source!I2707),2)),2)+ROUND((ROUND((([94]Source!AE2707-([94]Source!EU2707))*[94]Source!AV2707*[94]Source!I2707),2)),2))-J61</f>
        <v>10.36</v>
      </c>
      <c r="K51" s="694">
        <f>IF([94]Source!BB2707&lt;&gt; 0, [94]Source!BB2707, 1)</f>
        <v>8.6</v>
      </c>
      <c r="L51" s="697">
        <f>[94]Source!Q2707-L61</f>
        <v>89.06</v>
      </c>
      <c r="M51" s="697"/>
      <c r="N51" s="697"/>
      <c r="O51" s="697"/>
    </row>
    <row r="52" spans="1:30" ht="15" x14ac:dyDescent="0.25">
      <c r="A52" s="691"/>
      <c r="B52" s="691"/>
      <c r="C52" s="692"/>
      <c r="D52" s="692" t="s">
        <v>86</v>
      </c>
      <c r="E52" s="693"/>
      <c r="F52" s="694"/>
      <c r="G52" s="695">
        <f>[94]Source!AN2707</f>
        <v>19.73</v>
      </c>
      <c r="H52" s="696" t="str">
        <f>[94]Source!DE2707</f>
        <v/>
      </c>
      <c r="I52" s="694">
        <f>[94]Source!AV2707</f>
        <v>1.0669999999999999</v>
      </c>
      <c r="J52" s="700">
        <f>ROUND((ROUND(([94]Source!AE2707*[94]Source!AV2707*[94]Source!I2707),2)),2)-J62</f>
        <v>1.29</v>
      </c>
      <c r="K52" s="694">
        <f>IF([94]Source!BS2707&lt;&gt; 0, [94]Source!BS2707, 1)</f>
        <v>24.23</v>
      </c>
      <c r="L52" s="700">
        <f>[94]Source!R2707-L62</f>
        <v>31.21</v>
      </c>
      <c r="M52" s="700"/>
      <c r="N52" s="700"/>
      <c r="O52" s="700"/>
      <c r="Z52" s="718">
        <f>J52</f>
        <v>1.29</v>
      </c>
    </row>
    <row r="53" spans="1:30" ht="15" x14ac:dyDescent="0.25">
      <c r="A53" s="691"/>
      <c r="B53" s="691"/>
      <c r="C53" s="692"/>
      <c r="D53" s="692" t="s">
        <v>87</v>
      </c>
      <c r="E53" s="693"/>
      <c r="F53" s="694"/>
      <c r="G53" s="695">
        <f>[94]Source!AL2707</f>
        <v>499.52</v>
      </c>
      <c r="H53" s="696" t="str">
        <f>[94]Source!DD2707</f>
        <v/>
      </c>
      <c r="I53" s="694">
        <f>[94]Source!AW2707</f>
        <v>1</v>
      </c>
      <c r="J53" s="697">
        <f>ROUND((ROUND(([94]Source!AC2707*[94]Source!AW2707*[94]Source!I2707),2)),2)</f>
        <v>30.52</v>
      </c>
      <c r="K53" s="694">
        <f>IF([94]Source!BC2707&lt;&gt; 0, [94]Source!BC2707, 1)</f>
        <v>3.66</v>
      </c>
      <c r="L53" s="697">
        <f>[94]Source!P2707</f>
        <v>111.7</v>
      </c>
      <c r="M53" s="697"/>
      <c r="N53" s="697"/>
      <c r="O53" s="697"/>
    </row>
    <row r="54" spans="1:30" ht="45" x14ac:dyDescent="0.25">
      <c r="A54" s="691">
        <v>2</v>
      </c>
      <c r="B54" s="691" t="str">
        <f>[94]Source!E2709</f>
        <v>432,1</v>
      </c>
      <c r="C54" s="692" t="str">
        <f>[94]Source!F2709</f>
        <v>1.19-3-6</v>
      </c>
      <c r="D54" s="692" t="s">
        <v>465</v>
      </c>
      <c r="E54" s="693" t="str">
        <f>[94]Source!H2709</f>
        <v>м2</v>
      </c>
      <c r="F54" s="694">
        <f>[94]Source!I2709</f>
        <v>6.11</v>
      </c>
      <c r="G54" s="695">
        <f>[94]Source!AK2709</f>
        <v>156.05000000000001</v>
      </c>
      <c r="H54" s="734" t="s">
        <v>42</v>
      </c>
      <c r="I54" s="694">
        <f>[94]Source!AW2709</f>
        <v>1</v>
      </c>
      <c r="J54" s="697">
        <f>ROUND((ROUND(([94]Source!AC2709*[94]Source!AW2709*[94]Source!I2709),2)),2)+(ROUND((ROUND((([94]Source!ET2709)*[94]Source!AV2709*[94]Source!I2709),2)),2)+ROUND((ROUND((([94]Source!AE2709-([94]Source!EU2709))*[94]Source!AV2709*[94]Source!I2709),2)),2))+ROUND((ROUND(([94]Source!AF2709*[94]Source!AV2709*[94]Source!I2709),2)),2)</f>
        <v>953.47</v>
      </c>
      <c r="K54" s="694">
        <f>IF([94]Source!BC2709&lt;&gt; 0, [94]Source!BC2709, 1)</f>
        <v>2.4900000000000002</v>
      </c>
      <c r="L54" s="697">
        <f>[94]Source!O2709</f>
        <v>2374.14</v>
      </c>
      <c r="M54" s="697"/>
      <c r="N54" s="697"/>
      <c r="O54" s="697"/>
      <c r="T54" s="718">
        <f>ROUND(([94]Source!DN2709/100)*ROUND((ROUND(([94]Source!AF2709*[94]Source!AV2709*[94]Source!I2709),2)),2), 2)</f>
        <v>0</v>
      </c>
      <c r="U54" s="718">
        <f>[94]Source!X2709</f>
        <v>0</v>
      </c>
      <c r="V54" s="718">
        <f>ROUND(([94]Source!DO2709/100)*ROUND((ROUND(([94]Source!AF2709*[94]Source!AV2709*[94]Source!I2709),2)),2), 2)</f>
        <v>0</v>
      </c>
      <c r="W54" s="718">
        <f>[94]Source!Y2709</f>
        <v>0</v>
      </c>
      <c r="X54" s="718">
        <f>ROUND((175/100)*ROUND((ROUND(([94]Source!AE2709*[94]Source!AV2709*[94]Source!I2709),2)),2), 2)</f>
        <v>0</v>
      </c>
      <c r="Y54" s="718">
        <f>ROUND((157/100)*ROUND(ROUND((ROUND(([94]Source!AE2709*[94]Source!AV2709*[94]Source!I2709),2)*[94]Source!BS2709),2), 2), 2)</f>
        <v>0</v>
      </c>
      <c r="AA54" s="718">
        <f>IF([94]Source!BI2709&lt;=1,J54, 0)</f>
        <v>953.47</v>
      </c>
      <c r="AB54" s="718">
        <f>IF([94]Source!BI2709=2,J54, 0)</f>
        <v>0</v>
      </c>
      <c r="AC54" s="718">
        <f>IF([94]Source!BI2709=3,J54, 0)</f>
        <v>0</v>
      </c>
      <c r="AD54" s="718">
        <f>IF([94]Source!BI2709=4,J54, 0)</f>
        <v>0</v>
      </c>
    </row>
    <row r="55" spans="1:30" ht="15" x14ac:dyDescent="0.25">
      <c r="A55" s="691"/>
      <c r="B55" s="691"/>
      <c r="C55" s="692"/>
      <c r="D55" s="692" t="s">
        <v>88</v>
      </c>
      <c r="E55" s="693" t="s">
        <v>89</v>
      </c>
      <c r="F55" s="694">
        <f>[94]Source!DN2707</f>
        <v>125</v>
      </c>
      <c r="G55" s="695"/>
      <c r="H55" s="696"/>
      <c r="I55" s="694"/>
      <c r="J55" s="697">
        <f>SUM(T49:T54)</f>
        <v>237.25</v>
      </c>
      <c r="K55" s="694">
        <f>[94]Source!BZ2707</f>
        <v>100</v>
      </c>
      <c r="L55" s="697">
        <f>SUM(U49:U54)</f>
        <v>4598.8500000000004</v>
      </c>
      <c r="M55" s="697"/>
      <c r="N55" s="697"/>
      <c r="O55" s="697"/>
    </row>
    <row r="56" spans="1:30" ht="15" x14ac:dyDescent="0.25">
      <c r="A56" s="691"/>
      <c r="B56" s="691"/>
      <c r="C56" s="692"/>
      <c r="D56" s="692" t="s">
        <v>90</v>
      </c>
      <c r="E56" s="693" t="s">
        <v>89</v>
      </c>
      <c r="F56" s="694">
        <f>[94]Source!DO2707</f>
        <v>94</v>
      </c>
      <c r="G56" s="695"/>
      <c r="H56" s="696"/>
      <c r="I56" s="694"/>
      <c r="J56" s="697">
        <f>SUM(V49:V55)</f>
        <v>178.41</v>
      </c>
      <c r="K56" s="694">
        <f>[94]Source!CA2707</f>
        <v>45</v>
      </c>
      <c r="L56" s="697">
        <f>SUM(W49:W55)</f>
        <v>2069.48</v>
      </c>
      <c r="M56" s="697"/>
      <c r="N56" s="697"/>
      <c r="O56" s="697"/>
    </row>
    <row r="57" spans="1:30" ht="15" x14ac:dyDescent="0.25">
      <c r="A57" s="691"/>
      <c r="B57" s="691"/>
      <c r="C57" s="692"/>
      <c r="D57" s="692" t="s">
        <v>91</v>
      </c>
      <c r="E57" s="693" t="s">
        <v>89</v>
      </c>
      <c r="F57" s="694">
        <f>175</f>
        <v>175</v>
      </c>
      <c r="G57" s="695"/>
      <c r="H57" s="696"/>
      <c r="I57" s="694"/>
      <c r="J57" s="697">
        <f>SUM(X49:X56)-J63</f>
        <v>2.25</v>
      </c>
      <c r="K57" s="694">
        <f>157</f>
        <v>157</v>
      </c>
      <c r="L57" s="697">
        <f>SUM(Y49:Y56)-L63</f>
        <v>49</v>
      </c>
      <c r="M57" s="697"/>
      <c r="N57" s="697"/>
      <c r="O57" s="697"/>
    </row>
    <row r="58" spans="1:30" ht="15" x14ac:dyDescent="0.25">
      <c r="A58" s="691"/>
      <c r="B58" s="691"/>
      <c r="C58" s="692"/>
      <c r="D58" s="692" t="s">
        <v>92</v>
      </c>
      <c r="E58" s="693" t="s">
        <v>93</v>
      </c>
      <c r="F58" s="694">
        <f>[94]Source!AQ2707</f>
        <v>154</v>
      </c>
      <c r="G58" s="695"/>
      <c r="H58" s="696" t="str">
        <f>[94]Source!DI2707</f>
        <v/>
      </c>
      <c r="I58" s="694">
        <f>[94]Source!AV2707</f>
        <v>1.0669999999999999</v>
      </c>
      <c r="J58" s="697">
        <f>[94]Source!U2707</f>
        <v>10.039999999999999</v>
      </c>
      <c r="K58" s="694"/>
      <c r="L58" s="697"/>
      <c r="M58" s="697"/>
      <c r="N58" s="697"/>
      <c r="O58" s="697"/>
    </row>
    <row r="59" spans="1:30" ht="14.25" x14ac:dyDescent="0.2">
      <c r="I59" s="1067">
        <f>J50+J51+J53+J55+J56+J57+SUM(J54:J54)</f>
        <v>1602.06</v>
      </c>
      <c r="J59" s="1067"/>
      <c r="K59" s="1067">
        <f>L50+L51+L53+L55+L56+L57+SUM(L54:L54)</f>
        <v>13891.08</v>
      </c>
      <c r="L59" s="1067"/>
      <c r="M59" s="735"/>
      <c r="N59" s="735"/>
      <c r="O59" s="735"/>
      <c r="R59" s="736">
        <f>J50+J51+J53+J55+J56+J57+SUM(J54:J54)</f>
        <v>1602.06</v>
      </c>
      <c r="S59" s="736">
        <f>L50+L51+L53+L55+L56+L57+SUM(L54:L54)</f>
        <v>13891.08</v>
      </c>
      <c r="AA59" s="718">
        <f>IF([94]Source!BI2707&lt;=1,J50+J51+J53+J55+J56+J57-0, 0)</f>
        <v>648.59</v>
      </c>
      <c r="AB59" s="718">
        <f>IF([94]Source!BI2707=2,J50+J51+J53+J55+J56+J57-0, 0)</f>
        <v>0</v>
      </c>
      <c r="AC59" s="718">
        <f>IF([94]Source!BI2707=3,J50+J51+J53+J55+J56+J57-0, 0)</f>
        <v>0</v>
      </c>
      <c r="AD59" s="718">
        <f>IF([94]Source!BI2707=4,J50+J51+J53+J55+J56+J57,0)</f>
        <v>0</v>
      </c>
    </row>
    <row r="60" spans="1:30" ht="30" x14ac:dyDescent="0.25">
      <c r="A60" s="701"/>
      <c r="B60" s="701"/>
      <c r="C60" s="702"/>
      <c r="D60" s="702" t="s">
        <v>94</v>
      </c>
      <c r="E60" s="693"/>
      <c r="F60" s="703"/>
      <c r="G60" s="704"/>
      <c r="H60" s="693"/>
      <c r="I60" s="703"/>
      <c r="J60" s="700"/>
      <c r="K60" s="703"/>
      <c r="L60" s="700"/>
      <c r="M60" s="700"/>
      <c r="N60" s="700"/>
      <c r="O60" s="700"/>
    </row>
    <row r="61" spans="1:30" ht="15" x14ac:dyDescent="0.25">
      <c r="A61" s="701"/>
      <c r="B61" s="701"/>
      <c r="C61" s="702"/>
      <c r="D61" s="702" t="s">
        <v>85</v>
      </c>
      <c r="E61" s="693"/>
      <c r="F61" s="703"/>
      <c r="G61" s="704">
        <f t="shared" ref="G61:L61" si="0">G62</f>
        <v>19.73</v>
      </c>
      <c r="H61" s="705" t="str">
        <f t="shared" si="0"/>
        <v>)*(1.67-1)</v>
      </c>
      <c r="I61" s="703">
        <f t="shared" si="0"/>
        <v>1.0669999999999999</v>
      </c>
      <c r="J61" s="700">
        <f t="shared" si="0"/>
        <v>0.86</v>
      </c>
      <c r="K61" s="703">
        <f t="shared" si="0"/>
        <v>24.23</v>
      </c>
      <c r="L61" s="700">
        <f t="shared" si="0"/>
        <v>20.88</v>
      </c>
      <c r="M61" s="700"/>
      <c r="N61" s="700"/>
      <c r="O61" s="700"/>
    </row>
    <row r="62" spans="1:30" ht="15" x14ac:dyDescent="0.25">
      <c r="A62" s="701"/>
      <c r="B62" s="701"/>
      <c r="C62" s="702"/>
      <c r="D62" s="702" t="s">
        <v>86</v>
      </c>
      <c r="E62" s="693"/>
      <c r="F62" s="703"/>
      <c r="G62" s="704">
        <f>[94]Source!AN2707</f>
        <v>19.73</v>
      </c>
      <c r="H62" s="705" t="s">
        <v>95</v>
      </c>
      <c r="I62" s="703">
        <f>[94]Source!AV2707</f>
        <v>1.0669999999999999</v>
      </c>
      <c r="J62" s="700">
        <f>ROUND(F49*G62*I62*(1.67-1), 2)</f>
        <v>0.86</v>
      </c>
      <c r="K62" s="703">
        <f>IF([94]Source!BS2707&lt;&gt; 0, [94]Source!BS2707, 1)</f>
        <v>24.23</v>
      </c>
      <c r="L62" s="700">
        <f>ROUND(F49*G62*I62*(1.67-1)*K62, 2)</f>
        <v>20.88</v>
      </c>
      <c r="M62" s="700"/>
      <c r="N62" s="700"/>
      <c r="O62" s="700"/>
      <c r="Z62" s="718">
        <f>J62</f>
        <v>0.86</v>
      </c>
    </row>
    <row r="63" spans="1:30" ht="15" x14ac:dyDescent="0.25">
      <c r="A63" s="701"/>
      <c r="B63" s="701"/>
      <c r="C63" s="702"/>
      <c r="D63" s="702" t="s">
        <v>91</v>
      </c>
      <c r="E63" s="693" t="s">
        <v>89</v>
      </c>
      <c r="F63" s="703">
        <f>175</f>
        <v>175</v>
      </c>
      <c r="G63" s="704"/>
      <c r="H63" s="693"/>
      <c r="I63" s="703"/>
      <c r="J63" s="700">
        <f>ROUND(J62*(F63/100), 2)</f>
        <v>1.51</v>
      </c>
      <c r="K63" s="703">
        <f>157</f>
        <v>157</v>
      </c>
      <c r="L63" s="700">
        <f>ROUND(L62*(K63/100), 2)</f>
        <v>32.78</v>
      </c>
      <c r="M63" s="700"/>
      <c r="N63" s="700"/>
      <c r="O63" s="700"/>
    </row>
    <row r="64" spans="1:30" ht="14.25" x14ac:dyDescent="0.2">
      <c r="I64" s="1067">
        <f>J63+J62</f>
        <v>2.37</v>
      </c>
      <c r="J64" s="1067"/>
      <c r="K64" s="1067">
        <f>L63+L62</f>
        <v>53.66</v>
      </c>
      <c r="L64" s="1067"/>
      <c r="M64" s="735"/>
      <c r="N64" s="735"/>
      <c r="O64" s="735"/>
      <c r="R64" s="736">
        <f>I64</f>
        <v>2.37</v>
      </c>
      <c r="S64" s="736">
        <f>K64</f>
        <v>53.66</v>
      </c>
      <c r="AA64" s="718">
        <f>IF([94]Source!BI2707&lt;=1,I64, 0)</f>
        <v>2.37</v>
      </c>
      <c r="AB64" s="718">
        <f>IF([94]Source!BI2707=2,I64, 0)</f>
        <v>0</v>
      </c>
      <c r="AC64" s="718">
        <f>IF([94]Source!BI2707=3,I64, 0)</f>
        <v>0</v>
      </c>
      <c r="AD64" s="718">
        <f>IF([94]Source!BI2707=4,I64, 0)</f>
        <v>0</v>
      </c>
    </row>
    <row r="66" spans="1:30" ht="15" x14ac:dyDescent="0.25">
      <c r="A66" s="706"/>
      <c r="B66" s="706"/>
      <c r="C66" s="707"/>
      <c r="D66" s="707" t="s">
        <v>96</v>
      </c>
      <c r="E66" s="708"/>
      <c r="F66" s="709"/>
      <c r="G66" s="710"/>
      <c r="H66" s="711"/>
      <c r="I66" s="1067">
        <f>I59+I64</f>
        <v>1604.43</v>
      </c>
      <c r="J66" s="1067"/>
      <c r="K66" s="1067">
        <f>K59+K64</f>
        <v>13944.74</v>
      </c>
      <c r="L66" s="1067"/>
      <c r="M66" s="735"/>
      <c r="N66" s="735"/>
      <c r="O66" s="735"/>
    </row>
    <row r="67" spans="1:30" ht="75" x14ac:dyDescent="0.25">
      <c r="A67" s="691">
        <v>3</v>
      </c>
      <c r="B67" s="691" t="str">
        <f>[94]Source!E2711</f>
        <v>433</v>
      </c>
      <c r="C67" s="692" t="str">
        <f>[94]Source!F2711</f>
        <v>3.20-1-2</v>
      </c>
      <c r="D67" s="692" t="s">
        <v>466</v>
      </c>
      <c r="E67" s="693" t="str">
        <f>[94]Source!H2711</f>
        <v>100 м2 поверхности воздуховодов</v>
      </c>
      <c r="F67" s="694">
        <f>[94]Source!I2711</f>
        <v>6.4000000000000003E-3</v>
      </c>
      <c r="G67" s="695"/>
      <c r="H67" s="696"/>
      <c r="I67" s="694"/>
      <c r="J67" s="697"/>
      <c r="K67" s="694"/>
      <c r="L67" s="697"/>
      <c r="M67" s="697"/>
      <c r="N67" s="697"/>
      <c r="O67" s="697"/>
      <c r="T67" s="718">
        <f>ROUND(([94]Source!DN2711/100)*ROUND((ROUND(([94]Source!AF2711*[94]Source!AV2711*[94]Source!I2711),2)),2), 2)</f>
        <v>24.85</v>
      </c>
      <c r="U67" s="718">
        <f>[94]Source!X2711</f>
        <v>481.69</v>
      </c>
      <c r="V67" s="718">
        <f>ROUND(([94]Source!DO2711/100)*ROUND((ROUND(([94]Source!AF2711*[94]Source!AV2711*[94]Source!I2711),2)),2), 2)</f>
        <v>18.690000000000001</v>
      </c>
      <c r="W67" s="718">
        <f>[94]Source!Y2711</f>
        <v>216.76</v>
      </c>
      <c r="X67" s="718">
        <f>ROUND((175/100)*ROUND((ROUND(([94]Source!AE2711*[94]Source!AV2711*[94]Source!I2711),2)),2), 2)</f>
        <v>0.39</v>
      </c>
      <c r="Y67" s="718">
        <f>ROUND((157/100)*ROUND(ROUND((ROUND(([94]Source!AE2711*[94]Source!AV2711*[94]Source!I2711),2)*[94]Source!BS2711),2), 2), 2)</f>
        <v>8.3699999999999992</v>
      </c>
    </row>
    <row r="68" spans="1:30" ht="15" x14ac:dyDescent="0.25">
      <c r="A68" s="691"/>
      <c r="B68" s="691"/>
      <c r="C68" s="692"/>
      <c r="D68" s="692" t="s">
        <v>84</v>
      </c>
      <c r="E68" s="693"/>
      <c r="F68" s="694"/>
      <c r="G68" s="695">
        <f>[94]Source!AO2711</f>
        <v>1743.28</v>
      </c>
      <c r="H68" s="696" t="str">
        <f>[94]Source!DG2711</f>
        <v>)*1,67</v>
      </c>
      <c r="I68" s="694">
        <f>[94]Source!AV2711</f>
        <v>1.0669999999999999</v>
      </c>
      <c r="J68" s="697">
        <f>ROUND((ROUND(([94]Source!AF2711*[94]Source!AV2711*[94]Source!I2711),2)),2)</f>
        <v>19.88</v>
      </c>
      <c r="K68" s="694">
        <f>IF([94]Source!BA2711&lt;&gt; 0, [94]Source!BA2711, 1)</f>
        <v>24.23</v>
      </c>
      <c r="L68" s="697">
        <f>[94]Source!S2711</f>
        <v>481.69</v>
      </c>
      <c r="M68" s="697"/>
      <c r="N68" s="697"/>
      <c r="O68" s="697"/>
      <c r="Z68" s="718">
        <f>J68</f>
        <v>19.88</v>
      </c>
    </row>
    <row r="69" spans="1:30" ht="15" x14ac:dyDescent="0.25">
      <c r="A69" s="691"/>
      <c r="B69" s="691"/>
      <c r="C69" s="692"/>
      <c r="D69" s="692" t="s">
        <v>85</v>
      </c>
      <c r="E69" s="693"/>
      <c r="F69" s="694"/>
      <c r="G69" s="695">
        <f>[94]Source!AM2711</f>
        <v>158.18</v>
      </c>
      <c r="H69" s="696" t="str">
        <f>[94]Source!DE2711</f>
        <v/>
      </c>
      <c r="I69" s="694">
        <f>[94]Source!AV2711</f>
        <v>1.0669999999999999</v>
      </c>
      <c r="J69" s="697">
        <f>(ROUND((ROUND((([94]Source!ET2711)*[94]Source!AV2711*[94]Source!I2711),2)),2)+ROUND((ROUND((([94]Source!AE2711-([94]Source!EU2711))*[94]Source!AV2711*[94]Source!I2711),2)),2))-J79</f>
        <v>1.08</v>
      </c>
      <c r="K69" s="694">
        <f>IF([94]Source!BB2711&lt;&gt; 0, [94]Source!BB2711, 1)</f>
        <v>8.6</v>
      </c>
      <c r="L69" s="697">
        <f>[94]Source!Q2711-L79</f>
        <v>9.3000000000000007</v>
      </c>
      <c r="M69" s="697"/>
      <c r="N69" s="697"/>
      <c r="O69" s="697"/>
    </row>
    <row r="70" spans="1:30" ht="15" x14ac:dyDescent="0.25">
      <c r="A70" s="691"/>
      <c r="B70" s="691"/>
      <c r="C70" s="692"/>
      <c r="D70" s="692" t="s">
        <v>86</v>
      </c>
      <c r="E70" s="693"/>
      <c r="F70" s="694"/>
      <c r="G70" s="695">
        <f>[94]Source!AN2711</f>
        <v>19.579999999999998</v>
      </c>
      <c r="H70" s="696" t="str">
        <f>[94]Source!DE2711</f>
        <v/>
      </c>
      <c r="I70" s="694">
        <f>[94]Source!AV2711</f>
        <v>1.0669999999999999</v>
      </c>
      <c r="J70" s="700">
        <f>ROUND((ROUND(([94]Source!AE2711*[94]Source!AV2711*[94]Source!I2711),2)),2)-J80</f>
        <v>0.13</v>
      </c>
      <c r="K70" s="694">
        <f>IF([94]Source!BS2711&lt;&gt; 0, [94]Source!BS2711, 1)</f>
        <v>24.23</v>
      </c>
      <c r="L70" s="700">
        <f>[94]Source!R2711-L80</f>
        <v>3.16</v>
      </c>
      <c r="M70" s="700"/>
      <c r="N70" s="700"/>
      <c r="O70" s="700"/>
      <c r="Z70" s="718">
        <f>J70</f>
        <v>0.13</v>
      </c>
    </row>
    <row r="71" spans="1:30" ht="15" x14ac:dyDescent="0.25">
      <c r="A71" s="691"/>
      <c r="B71" s="691"/>
      <c r="C71" s="692"/>
      <c r="D71" s="692" t="s">
        <v>87</v>
      </c>
      <c r="E71" s="693"/>
      <c r="F71" s="694"/>
      <c r="G71" s="695">
        <f>[94]Source!AL2711</f>
        <v>499.52</v>
      </c>
      <c r="H71" s="696" t="str">
        <f>[94]Source!DD2711</f>
        <v/>
      </c>
      <c r="I71" s="694">
        <f>[94]Source!AW2711</f>
        <v>1</v>
      </c>
      <c r="J71" s="697">
        <f>ROUND((ROUND(([94]Source!AC2711*[94]Source!AW2711*[94]Source!I2711),2)),2)</f>
        <v>3.2</v>
      </c>
      <c r="K71" s="694">
        <f>IF([94]Source!BC2711&lt;&gt; 0, [94]Source!BC2711, 1)</f>
        <v>3.66</v>
      </c>
      <c r="L71" s="697">
        <f>[94]Source!P2711</f>
        <v>11.71</v>
      </c>
      <c r="M71" s="697"/>
      <c r="N71" s="697"/>
      <c r="O71" s="697"/>
    </row>
    <row r="72" spans="1:30" ht="45" x14ac:dyDescent="0.25">
      <c r="A72" s="691">
        <v>4</v>
      </c>
      <c r="B72" s="691" t="str">
        <f>[94]Source!E2713</f>
        <v>433,1</v>
      </c>
      <c r="C72" s="692" t="str">
        <f>[94]Source!F2713</f>
        <v>1.19-3-12</v>
      </c>
      <c r="D72" s="692" t="s">
        <v>467</v>
      </c>
      <c r="E72" s="693" t="str">
        <f>[94]Source!H2713</f>
        <v>м2</v>
      </c>
      <c r="F72" s="694">
        <f>[94]Source!I2713</f>
        <v>0.64</v>
      </c>
      <c r="G72" s="695">
        <f>[94]Source!AK2713</f>
        <v>125.64</v>
      </c>
      <c r="H72" s="734" t="s">
        <v>42</v>
      </c>
      <c r="I72" s="694">
        <f>[94]Source!AW2713</f>
        <v>1</v>
      </c>
      <c r="J72" s="697">
        <f>ROUND((ROUND(([94]Source!AC2713*[94]Source!AW2713*[94]Source!I2713),2)),2)+(ROUND((ROUND((([94]Source!ET2713)*[94]Source!AV2713*[94]Source!I2713),2)),2)+ROUND((ROUND((([94]Source!AE2713-([94]Source!EU2713))*[94]Source!AV2713*[94]Source!I2713),2)),2))+ROUND((ROUND(([94]Source!AF2713*[94]Source!AV2713*[94]Source!I2713),2)),2)</f>
        <v>80.41</v>
      </c>
      <c r="K72" s="694">
        <f>IF([94]Source!BC2713&lt;&gt; 0, [94]Source!BC2713, 1)</f>
        <v>3.84</v>
      </c>
      <c r="L72" s="697">
        <f>[94]Source!O2713</f>
        <v>308.77</v>
      </c>
      <c r="M72" s="697"/>
      <c r="N72" s="697"/>
      <c r="O72" s="697"/>
      <c r="T72" s="718">
        <f>ROUND(([94]Source!DN2713/100)*ROUND((ROUND(([94]Source!AF2713*[94]Source!AV2713*[94]Source!I2713),2)),2), 2)</f>
        <v>0</v>
      </c>
      <c r="U72" s="718">
        <f>[94]Source!X2713</f>
        <v>0</v>
      </c>
      <c r="V72" s="718">
        <f>ROUND(([94]Source!DO2713/100)*ROUND((ROUND(([94]Source!AF2713*[94]Source!AV2713*[94]Source!I2713),2)),2), 2)</f>
        <v>0</v>
      </c>
      <c r="W72" s="718">
        <f>[94]Source!Y2713</f>
        <v>0</v>
      </c>
      <c r="X72" s="718">
        <f>ROUND((175/100)*ROUND((ROUND(([94]Source!AE2713*[94]Source!AV2713*[94]Source!I2713),2)),2), 2)</f>
        <v>0</v>
      </c>
      <c r="Y72" s="718">
        <f>ROUND((157/100)*ROUND(ROUND((ROUND(([94]Source!AE2713*[94]Source!AV2713*[94]Source!I2713),2)*[94]Source!BS2713),2), 2), 2)</f>
        <v>0</v>
      </c>
      <c r="AA72" s="718">
        <f>IF([94]Source!BI2713&lt;=1,J72, 0)</f>
        <v>80.41</v>
      </c>
      <c r="AB72" s="718">
        <f>IF([94]Source!BI2713=2,J72, 0)</f>
        <v>0</v>
      </c>
      <c r="AC72" s="718">
        <f>IF([94]Source!BI2713=3,J72, 0)</f>
        <v>0</v>
      </c>
      <c r="AD72" s="718">
        <f>IF([94]Source!BI2713=4,J72, 0)</f>
        <v>0</v>
      </c>
    </row>
    <row r="73" spans="1:30" ht="15" x14ac:dyDescent="0.25">
      <c r="A73" s="691"/>
      <c r="B73" s="691"/>
      <c r="C73" s="692"/>
      <c r="D73" s="692" t="s">
        <v>88</v>
      </c>
      <c r="E73" s="693" t="s">
        <v>89</v>
      </c>
      <c r="F73" s="694">
        <f>[94]Source!DN2711</f>
        <v>125</v>
      </c>
      <c r="G73" s="695"/>
      <c r="H73" s="696"/>
      <c r="I73" s="694"/>
      <c r="J73" s="697">
        <f>SUM(T67:T72)</f>
        <v>24.85</v>
      </c>
      <c r="K73" s="694">
        <f>[94]Source!BZ2711</f>
        <v>100</v>
      </c>
      <c r="L73" s="697">
        <f>SUM(U67:U72)</f>
        <v>481.69</v>
      </c>
      <c r="M73" s="697"/>
      <c r="N73" s="697"/>
      <c r="O73" s="697"/>
    </row>
    <row r="74" spans="1:30" ht="15" x14ac:dyDescent="0.25">
      <c r="A74" s="691"/>
      <c r="B74" s="691"/>
      <c r="C74" s="692"/>
      <c r="D74" s="692" t="s">
        <v>90</v>
      </c>
      <c r="E74" s="693" t="s">
        <v>89</v>
      </c>
      <c r="F74" s="694">
        <f>[94]Source!DO2711</f>
        <v>94</v>
      </c>
      <c r="G74" s="695"/>
      <c r="H74" s="696"/>
      <c r="I74" s="694"/>
      <c r="J74" s="697">
        <f>SUM(V67:V73)</f>
        <v>18.690000000000001</v>
      </c>
      <c r="K74" s="694">
        <f>[94]Source!CA2711</f>
        <v>45</v>
      </c>
      <c r="L74" s="697">
        <f>SUM(W67:W73)</f>
        <v>216.76</v>
      </c>
      <c r="M74" s="697"/>
      <c r="N74" s="697"/>
      <c r="O74" s="697"/>
    </row>
    <row r="75" spans="1:30" ht="15" x14ac:dyDescent="0.25">
      <c r="A75" s="691"/>
      <c r="B75" s="691"/>
      <c r="C75" s="692"/>
      <c r="D75" s="692" t="s">
        <v>91</v>
      </c>
      <c r="E75" s="693" t="s">
        <v>89</v>
      </c>
      <c r="F75" s="694">
        <f>175</f>
        <v>175</v>
      </c>
      <c r="G75" s="695"/>
      <c r="H75" s="696"/>
      <c r="I75" s="694"/>
      <c r="J75" s="697">
        <f>SUM(X67:X74)-J81</f>
        <v>0.23</v>
      </c>
      <c r="K75" s="694">
        <f>157</f>
        <v>157</v>
      </c>
      <c r="L75" s="697">
        <f>SUM(Y67:Y74)-L81</f>
        <v>4.96</v>
      </c>
      <c r="M75" s="697"/>
      <c r="N75" s="697"/>
      <c r="O75" s="697"/>
    </row>
    <row r="76" spans="1:30" ht="15" x14ac:dyDescent="0.25">
      <c r="A76" s="691"/>
      <c r="B76" s="691"/>
      <c r="C76" s="692"/>
      <c r="D76" s="692" t="s">
        <v>92</v>
      </c>
      <c r="E76" s="693" t="s">
        <v>93</v>
      </c>
      <c r="F76" s="694">
        <f>[94]Source!AQ2711</f>
        <v>154</v>
      </c>
      <c r="G76" s="695"/>
      <c r="H76" s="696" t="str">
        <f>[94]Source!DI2711</f>
        <v/>
      </c>
      <c r="I76" s="694">
        <f>[94]Source!AV2711</f>
        <v>1.0669999999999999</v>
      </c>
      <c r="J76" s="697">
        <f>[94]Source!U2711</f>
        <v>1.05</v>
      </c>
      <c r="K76" s="694"/>
      <c r="L76" s="697"/>
      <c r="M76" s="697"/>
      <c r="N76" s="697"/>
      <c r="O76" s="697"/>
    </row>
    <row r="77" spans="1:30" ht="14.25" x14ac:dyDescent="0.2">
      <c r="I77" s="1067">
        <f>J68+J69+J71+J73+J74+J75+SUM(J72:J72)</f>
        <v>148.34</v>
      </c>
      <c r="J77" s="1067"/>
      <c r="K77" s="1067">
        <f>L68+L69+L71+L73+L74+L75+SUM(L72:L72)</f>
        <v>1514.88</v>
      </c>
      <c r="L77" s="1067"/>
      <c r="M77" s="735"/>
      <c r="N77" s="735"/>
      <c r="O77" s="735"/>
      <c r="R77" s="736">
        <f>J68+J69+J71+J73+J74+J75+SUM(J72:J72)</f>
        <v>148.34</v>
      </c>
      <c r="S77" s="736">
        <f>L68+L69+L71+L73+L74+L75+SUM(L72:L72)</f>
        <v>1514.88</v>
      </c>
      <c r="AA77" s="718">
        <f>IF([94]Source!BI2711&lt;=1,J68+J69+J71+J73+J74+J75-0, 0)</f>
        <v>67.930000000000007</v>
      </c>
      <c r="AB77" s="718">
        <f>IF([94]Source!BI2711=2,J68+J69+J71+J73+J74+J75-0, 0)</f>
        <v>0</v>
      </c>
      <c r="AC77" s="718">
        <f>IF([94]Source!BI2711=3,J68+J69+J71+J73+J74+J75-0, 0)</f>
        <v>0</v>
      </c>
      <c r="AD77" s="718">
        <f>IF([94]Source!BI2711=4,J68+J69+J71+J73+J74+J75,0)</f>
        <v>0</v>
      </c>
    </row>
    <row r="78" spans="1:30" ht="30" x14ac:dyDescent="0.25">
      <c r="A78" s="701"/>
      <c r="B78" s="701"/>
      <c r="C78" s="702"/>
      <c r="D78" s="702" t="s">
        <v>94</v>
      </c>
      <c r="E78" s="693"/>
      <c r="F78" s="703"/>
      <c r="G78" s="704"/>
      <c r="H78" s="693"/>
      <c r="I78" s="703"/>
      <c r="J78" s="700"/>
      <c r="K78" s="703"/>
      <c r="L78" s="700"/>
      <c r="M78" s="700"/>
      <c r="N78" s="700"/>
      <c r="O78" s="700"/>
    </row>
    <row r="79" spans="1:30" ht="15" x14ac:dyDescent="0.25">
      <c r="A79" s="701"/>
      <c r="B79" s="701"/>
      <c r="C79" s="702"/>
      <c r="D79" s="702" t="s">
        <v>85</v>
      </c>
      <c r="E79" s="693"/>
      <c r="F79" s="703"/>
      <c r="G79" s="704">
        <f t="shared" ref="G79:L79" si="1">G80</f>
        <v>19.579999999999998</v>
      </c>
      <c r="H79" s="705" t="str">
        <f t="shared" si="1"/>
        <v>)*(1.67-1)</v>
      </c>
      <c r="I79" s="703">
        <f t="shared" si="1"/>
        <v>1.0669999999999999</v>
      </c>
      <c r="J79" s="700">
        <f t="shared" si="1"/>
        <v>0.09</v>
      </c>
      <c r="K79" s="703">
        <f t="shared" si="1"/>
        <v>24.23</v>
      </c>
      <c r="L79" s="700">
        <f t="shared" si="1"/>
        <v>2.17</v>
      </c>
      <c r="M79" s="700"/>
      <c r="N79" s="700"/>
      <c r="O79" s="700"/>
    </row>
    <row r="80" spans="1:30" ht="15" x14ac:dyDescent="0.25">
      <c r="A80" s="701"/>
      <c r="B80" s="701"/>
      <c r="C80" s="702"/>
      <c r="D80" s="702" t="s">
        <v>86</v>
      </c>
      <c r="E80" s="693"/>
      <c r="F80" s="703"/>
      <c r="G80" s="704">
        <f>[94]Source!AN2711</f>
        <v>19.579999999999998</v>
      </c>
      <c r="H80" s="705" t="s">
        <v>95</v>
      </c>
      <c r="I80" s="703">
        <f>[94]Source!AV2711</f>
        <v>1.0669999999999999</v>
      </c>
      <c r="J80" s="700">
        <f>ROUND(F67*G80*I80*(1.67-1), 2)</f>
        <v>0.09</v>
      </c>
      <c r="K80" s="703">
        <f>IF([94]Source!BS2711&lt;&gt; 0, [94]Source!BS2711, 1)</f>
        <v>24.23</v>
      </c>
      <c r="L80" s="700">
        <f>ROUND(F67*G80*I80*(1.67-1)*K80, 2)</f>
        <v>2.17</v>
      </c>
      <c r="M80" s="700"/>
      <c r="N80" s="700"/>
      <c r="O80" s="700"/>
      <c r="Z80" s="718">
        <f>J80</f>
        <v>0.09</v>
      </c>
    </row>
    <row r="81" spans="1:30" ht="15" x14ac:dyDescent="0.25">
      <c r="A81" s="701"/>
      <c r="B81" s="701"/>
      <c r="C81" s="702"/>
      <c r="D81" s="702" t="s">
        <v>91</v>
      </c>
      <c r="E81" s="693" t="s">
        <v>89</v>
      </c>
      <c r="F81" s="703">
        <f>175</f>
        <v>175</v>
      </c>
      <c r="G81" s="704"/>
      <c r="H81" s="693"/>
      <c r="I81" s="703"/>
      <c r="J81" s="700">
        <f>ROUND(J80*(F81/100), 2)</f>
        <v>0.16</v>
      </c>
      <c r="K81" s="703">
        <f>157</f>
        <v>157</v>
      </c>
      <c r="L81" s="700">
        <f>ROUND(L80*(K81/100), 2)</f>
        <v>3.41</v>
      </c>
      <c r="M81" s="700"/>
      <c r="N81" s="700"/>
      <c r="O81" s="700"/>
    </row>
    <row r="82" spans="1:30" ht="14.25" x14ac:dyDescent="0.2">
      <c r="I82" s="1067">
        <f>J81+J80</f>
        <v>0.25</v>
      </c>
      <c r="J82" s="1067"/>
      <c r="K82" s="1067">
        <f>L81+L80</f>
        <v>5.58</v>
      </c>
      <c r="L82" s="1067"/>
      <c r="M82" s="735"/>
      <c r="N82" s="735"/>
      <c r="O82" s="735"/>
      <c r="R82" s="736">
        <f>I82</f>
        <v>0.25</v>
      </c>
      <c r="S82" s="736">
        <f>K82</f>
        <v>5.58</v>
      </c>
      <c r="AA82" s="718">
        <f>IF([94]Source!BI2711&lt;=1,I82, 0)</f>
        <v>0.25</v>
      </c>
      <c r="AB82" s="718">
        <f>IF([94]Source!BI2711=2,I82, 0)</f>
        <v>0</v>
      </c>
      <c r="AC82" s="718">
        <f>IF([94]Source!BI2711=3,I82, 0)</f>
        <v>0</v>
      </c>
      <c r="AD82" s="718">
        <f>IF([94]Source!BI2711=4,I82, 0)</f>
        <v>0</v>
      </c>
    </row>
    <row r="84" spans="1:30" ht="15" x14ac:dyDescent="0.25">
      <c r="A84" s="706"/>
      <c r="B84" s="706"/>
      <c r="C84" s="707"/>
      <c r="D84" s="707" t="s">
        <v>96</v>
      </c>
      <c r="E84" s="708"/>
      <c r="F84" s="709"/>
      <c r="G84" s="710"/>
      <c r="H84" s="711"/>
      <c r="I84" s="1067">
        <f>I77+I82</f>
        <v>148.59</v>
      </c>
      <c r="J84" s="1067"/>
      <c r="K84" s="1067">
        <f>K77+K82</f>
        <v>1520.46</v>
      </c>
      <c r="L84" s="1067"/>
      <c r="M84" s="735"/>
      <c r="N84" s="735"/>
      <c r="O84" s="735"/>
    </row>
    <row r="85" spans="1:30" ht="75" x14ac:dyDescent="0.25">
      <c r="A85" s="691">
        <v>5</v>
      </c>
      <c r="B85" s="691" t="str">
        <f>[94]Source!E2735</f>
        <v>439</v>
      </c>
      <c r="C85" s="692" t="str">
        <f>[94]Source!F2735</f>
        <v>3.20-1-10</v>
      </c>
      <c r="D85" s="692" t="s">
        <v>468</v>
      </c>
      <c r="E85" s="693" t="str">
        <f>[94]Source!H2735</f>
        <v>100 м2 поверхности воздуховодов</v>
      </c>
      <c r="F85" s="694">
        <f>[94]Source!I2735</f>
        <v>8.8400000000000006E-2</v>
      </c>
      <c r="G85" s="695"/>
      <c r="H85" s="696"/>
      <c r="I85" s="694"/>
      <c r="J85" s="697"/>
      <c r="K85" s="694"/>
      <c r="L85" s="697"/>
      <c r="M85" s="697"/>
      <c r="N85" s="697"/>
      <c r="O85" s="697"/>
      <c r="T85" s="718">
        <f>ROUND(([94]Source!DN2735/100)*ROUND((ROUND(([94]Source!AF2735*[94]Source!AV2735*[94]Source!I2735),2)),2), 2)</f>
        <v>271.93</v>
      </c>
      <c r="U85" s="718">
        <f>[94]Source!X2735</f>
        <v>5270.99</v>
      </c>
      <c r="V85" s="718">
        <f>ROUND(([94]Source!DO2735/100)*ROUND((ROUND(([94]Source!AF2735*[94]Source!AV2735*[94]Source!I2735),2)),2), 2)</f>
        <v>204.49</v>
      </c>
      <c r="W85" s="718">
        <f>[94]Source!Y2735</f>
        <v>2371.9499999999998</v>
      </c>
      <c r="X85" s="718">
        <f>ROUND((175/100)*ROUND((ROUND(([94]Source!AE2735*[94]Source!AV2735*[94]Source!I2735),2)),2), 2)</f>
        <v>3.94</v>
      </c>
      <c r="Y85" s="718">
        <f>ROUND((157/100)*ROUND(ROUND((ROUND(([94]Source!AE2735*[94]Source!AV2735*[94]Source!I2735),2)*[94]Source!BS2735),2), 2), 2)</f>
        <v>85.6</v>
      </c>
    </row>
    <row r="86" spans="1:30" ht="15" x14ac:dyDescent="0.25">
      <c r="A86" s="691"/>
      <c r="B86" s="691"/>
      <c r="C86" s="692"/>
      <c r="D86" s="692" t="s">
        <v>84</v>
      </c>
      <c r="E86" s="693"/>
      <c r="F86" s="694"/>
      <c r="G86" s="695">
        <f>[94]Source!AO2735</f>
        <v>1381.04</v>
      </c>
      <c r="H86" s="696" t="str">
        <f>[94]Source!DG2735</f>
        <v>)*1,67</v>
      </c>
      <c r="I86" s="694">
        <f>[94]Source!AV2735</f>
        <v>1.0669999999999999</v>
      </c>
      <c r="J86" s="697">
        <f>ROUND((ROUND(([94]Source!AF2735*[94]Source!AV2735*[94]Source!I2735),2)),2)</f>
        <v>217.54</v>
      </c>
      <c r="K86" s="694">
        <f>IF([94]Source!BA2735&lt;&gt; 0, [94]Source!BA2735, 1)</f>
        <v>24.23</v>
      </c>
      <c r="L86" s="697">
        <f>[94]Source!S2735</f>
        <v>5270.99</v>
      </c>
      <c r="M86" s="697"/>
      <c r="N86" s="697"/>
      <c r="O86" s="697"/>
      <c r="Z86" s="718">
        <f>J86</f>
        <v>217.54</v>
      </c>
    </row>
    <row r="87" spans="1:30" ht="15" x14ac:dyDescent="0.25">
      <c r="A87" s="691"/>
      <c r="B87" s="691"/>
      <c r="C87" s="692"/>
      <c r="D87" s="692" t="s">
        <v>85</v>
      </c>
      <c r="E87" s="693"/>
      <c r="F87" s="694"/>
      <c r="G87" s="695">
        <f>[94]Source!AM2735</f>
        <v>116.7</v>
      </c>
      <c r="H87" s="696" t="str">
        <f>[94]Source!DE2735</f>
        <v/>
      </c>
      <c r="I87" s="694">
        <f>[94]Source!AV2735</f>
        <v>1.0669999999999999</v>
      </c>
      <c r="J87" s="697">
        <f>(ROUND((ROUND((([94]Source!ET2735)*[94]Source!AV2735*[94]Source!I2735),2)),2)+ROUND((ROUND((([94]Source!AE2735-([94]Source!EU2735))*[94]Source!AV2735*[94]Source!I2735),2)),2))-J96</f>
        <v>11.01</v>
      </c>
      <c r="K87" s="694">
        <f>IF([94]Source!BB2735&lt;&gt; 0, [94]Source!BB2735, 1)</f>
        <v>8.59</v>
      </c>
      <c r="L87" s="697">
        <f>[94]Source!Q2735-L96</f>
        <v>94.51</v>
      </c>
      <c r="M87" s="697"/>
      <c r="N87" s="697"/>
      <c r="O87" s="697"/>
    </row>
    <row r="88" spans="1:30" ht="15" x14ac:dyDescent="0.25">
      <c r="A88" s="691"/>
      <c r="B88" s="691"/>
      <c r="C88" s="692"/>
      <c r="D88" s="692" t="s">
        <v>86</v>
      </c>
      <c r="E88" s="693"/>
      <c r="F88" s="694"/>
      <c r="G88" s="695">
        <f>[94]Source!AN2735</f>
        <v>14.29</v>
      </c>
      <c r="H88" s="696" t="str">
        <f>[94]Source!DE2735</f>
        <v/>
      </c>
      <c r="I88" s="694">
        <f>[94]Source!AV2735</f>
        <v>1.0669999999999999</v>
      </c>
      <c r="J88" s="700">
        <f>ROUND((ROUND(([94]Source!AE2735*[94]Source!AV2735*[94]Source!I2735),2)),2)-J97</f>
        <v>1.35</v>
      </c>
      <c r="K88" s="694">
        <f>IF([94]Source!BS2735&lt;&gt; 0, [94]Source!BS2735, 1)</f>
        <v>24.23</v>
      </c>
      <c r="L88" s="700">
        <f>[94]Source!R2735-L97</f>
        <v>32.64</v>
      </c>
      <c r="M88" s="700"/>
      <c r="N88" s="700"/>
      <c r="O88" s="700"/>
      <c r="Z88" s="718">
        <f>J88</f>
        <v>1.35</v>
      </c>
    </row>
    <row r="89" spans="1:30" ht="15" x14ac:dyDescent="0.25">
      <c r="A89" s="691"/>
      <c r="B89" s="691"/>
      <c r="C89" s="692"/>
      <c r="D89" s="692" t="s">
        <v>87</v>
      </c>
      <c r="E89" s="693"/>
      <c r="F89" s="694"/>
      <c r="G89" s="695">
        <f>[94]Source!AL2735</f>
        <v>599.72</v>
      </c>
      <c r="H89" s="696" t="str">
        <f>[94]Source!DD2735</f>
        <v/>
      </c>
      <c r="I89" s="694">
        <f>[94]Source!AW2735</f>
        <v>1</v>
      </c>
      <c r="J89" s="697">
        <f>ROUND((ROUND(([94]Source!AC2735*[94]Source!AW2735*[94]Source!I2735),2)),2)</f>
        <v>53.02</v>
      </c>
      <c r="K89" s="694">
        <f>IF([94]Source!BC2735&lt;&gt; 0, [94]Source!BC2735, 1)</f>
        <v>4.18</v>
      </c>
      <c r="L89" s="697">
        <f>[94]Source!P2735</f>
        <v>221.62</v>
      </c>
      <c r="M89" s="697"/>
      <c r="N89" s="697"/>
      <c r="O89" s="697"/>
    </row>
    <row r="90" spans="1:30" ht="15" x14ac:dyDescent="0.25">
      <c r="A90" s="691"/>
      <c r="B90" s="691"/>
      <c r="C90" s="692"/>
      <c r="D90" s="692" t="s">
        <v>88</v>
      </c>
      <c r="E90" s="693" t="s">
        <v>89</v>
      </c>
      <c r="F90" s="694">
        <f>[94]Source!DN2735</f>
        <v>125</v>
      </c>
      <c r="G90" s="695"/>
      <c r="H90" s="696"/>
      <c r="I90" s="694"/>
      <c r="J90" s="697">
        <f>SUM(T85:T89)</f>
        <v>271.93</v>
      </c>
      <c r="K90" s="694">
        <f>[94]Source!BZ2735</f>
        <v>100</v>
      </c>
      <c r="L90" s="697">
        <f>SUM(U85:U89)</f>
        <v>5270.99</v>
      </c>
      <c r="M90" s="697"/>
      <c r="N90" s="697"/>
      <c r="O90" s="697"/>
    </row>
    <row r="91" spans="1:30" ht="15" x14ac:dyDescent="0.25">
      <c r="A91" s="691"/>
      <c r="B91" s="691"/>
      <c r="C91" s="692"/>
      <c r="D91" s="692" t="s">
        <v>90</v>
      </c>
      <c r="E91" s="693" t="s">
        <v>89</v>
      </c>
      <c r="F91" s="694">
        <f>[94]Source!DO2735</f>
        <v>94</v>
      </c>
      <c r="G91" s="695"/>
      <c r="H91" s="696"/>
      <c r="I91" s="694"/>
      <c r="J91" s="697">
        <f>SUM(V85:V90)</f>
        <v>204.49</v>
      </c>
      <c r="K91" s="694">
        <f>[94]Source!CA2735</f>
        <v>45</v>
      </c>
      <c r="L91" s="697">
        <f>SUM(W85:W90)</f>
        <v>2371.9499999999998</v>
      </c>
      <c r="M91" s="697"/>
      <c r="N91" s="697"/>
      <c r="O91" s="697"/>
    </row>
    <row r="92" spans="1:30" ht="15" x14ac:dyDescent="0.25">
      <c r="A92" s="691"/>
      <c r="B92" s="691"/>
      <c r="C92" s="692"/>
      <c r="D92" s="692" t="s">
        <v>91</v>
      </c>
      <c r="E92" s="693" t="s">
        <v>89</v>
      </c>
      <c r="F92" s="694">
        <f>175</f>
        <v>175</v>
      </c>
      <c r="G92" s="695"/>
      <c r="H92" s="696"/>
      <c r="I92" s="694"/>
      <c r="J92" s="697">
        <f>SUM(X85:X91)-J98</f>
        <v>2.36</v>
      </c>
      <c r="K92" s="694">
        <f>157</f>
        <v>157</v>
      </c>
      <c r="L92" s="697">
        <f>SUM(Y85:Y91)-L98</f>
        <v>51.25</v>
      </c>
      <c r="M92" s="697"/>
      <c r="N92" s="697"/>
      <c r="O92" s="697"/>
    </row>
    <row r="93" spans="1:30" ht="15" x14ac:dyDescent="0.25">
      <c r="A93" s="691"/>
      <c r="B93" s="691"/>
      <c r="C93" s="692"/>
      <c r="D93" s="692" t="s">
        <v>92</v>
      </c>
      <c r="E93" s="693" t="s">
        <v>93</v>
      </c>
      <c r="F93" s="694">
        <f>[94]Source!AQ2735</f>
        <v>122</v>
      </c>
      <c r="G93" s="695"/>
      <c r="H93" s="696" t="str">
        <f>[94]Source!DI2735</f>
        <v/>
      </c>
      <c r="I93" s="694">
        <f>[94]Source!AV2735</f>
        <v>1.0669999999999999</v>
      </c>
      <c r="J93" s="697">
        <f>[94]Source!U2735</f>
        <v>11.51</v>
      </c>
      <c r="K93" s="694"/>
      <c r="L93" s="697"/>
      <c r="M93" s="697"/>
      <c r="N93" s="697"/>
      <c r="O93" s="697"/>
    </row>
    <row r="94" spans="1:30" ht="14.25" x14ac:dyDescent="0.2">
      <c r="I94" s="1067">
        <f>J86+J87+J89+J90+J91+J92</f>
        <v>760.35</v>
      </c>
      <c r="J94" s="1067"/>
      <c r="K94" s="1067">
        <f>L86+L87+L89+L90+L91+L92</f>
        <v>13281.31</v>
      </c>
      <c r="L94" s="1067"/>
      <c r="M94" s="735"/>
      <c r="N94" s="735"/>
      <c r="O94" s="735"/>
      <c r="R94" s="736">
        <f>J86+J87+J89+J90+J91+J92</f>
        <v>760.35</v>
      </c>
      <c r="S94" s="736">
        <f>L86+L87+L89+L90+L91+L92</f>
        <v>13281.31</v>
      </c>
      <c r="AA94" s="718">
        <f>IF([94]Source!BI2735&lt;=1,J86+J87+J89+J90+J91+J92-0, 0)</f>
        <v>760.35</v>
      </c>
      <c r="AB94" s="718">
        <f>IF([94]Source!BI2735=2,J86+J87+J89+J90+J91+J92-0, 0)</f>
        <v>0</v>
      </c>
      <c r="AC94" s="718">
        <f>IF([94]Source!BI2735=3,J86+J87+J89+J90+J91+J92-0, 0)</f>
        <v>0</v>
      </c>
      <c r="AD94" s="718">
        <f>IF([94]Source!BI2735=4,J86+J87+J89+J90+J91+J92,0)</f>
        <v>0</v>
      </c>
    </row>
    <row r="95" spans="1:30" ht="30" x14ac:dyDescent="0.25">
      <c r="A95" s="701"/>
      <c r="B95" s="701"/>
      <c r="C95" s="702"/>
      <c r="D95" s="702" t="s">
        <v>94</v>
      </c>
      <c r="E95" s="693"/>
      <c r="F95" s="703"/>
      <c r="G95" s="704"/>
      <c r="H95" s="693"/>
      <c r="I95" s="703"/>
      <c r="J95" s="700"/>
      <c r="K95" s="703"/>
      <c r="L95" s="700"/>
      <c r="M95" s="700"/>
      <c r="N95" s="700"/>
      <c r="O95" s="700"/>
    </row>
    <row r="96" spans="1:30" ht="15" x14ac:dyDescent="0.25">
      <c r="A96" s="701"/>
      <c r="B96" s="701"/>
      <c r="C96" s="702"/>
      <c r="D96" s="702" t="s">
        <v>85</v>
      </c>
      <c r="E96" s="693"/>
      <c r="F96" s="703"/>
      <c r="G96" s="704">
        <f t="shared" ref="G96:L96" si="2">G97</f>
        <v>14.29</v>
      </c>
      <c r="H96" s="705" t="str">
        <f t="shared" si="2"/>
        <v>)*(1.67-1)</v>
      </c>
      <c r="I96" s="703">
        <f t="shared" si="2"/>
        <v>1.0669999999999999</v>
      </c>
      <c r="J96" s="700">
        <f t="shared" si="2"/>
        <v>0.9</v>
      </c>
      <c r="K96" s="703">
        <f t="shared" si="2"/>
        <v>24.23</v>
      </c>
      <c r="L96" s="700">
        <f t="shared" si="2"/>
        <v>21.88</v>
      </c>
      <c r="M96" s="700"/>
      <c r="N96" s="700"/>
      <c r="O96" s="700"/>
    </row>
    <row r="97" spans="1:30" ht="15" x14ac:dyDescent="0.25">
      <c r="A97" s="701"/>
      <c r="B97" s="701"/>
      <c r="C97" s="702"/>
      <c r="D97" s="702" t="s">
        <v>86</v>
      </c>
      <c r="E97" s="693"/>
      <c r="F97" s="703"/>
      <c r="G97" s="704">
        <f>[94]Source!AN2735</f>
        <v>14.29</v>
      </c>
      <c r="H97" s="705" t="s">
        <v>95</v>
      </c>
      <c r="I97" s="703">
        <f>[94]Source!AV2735</f>
        <v>1.0669999999999999</v>
      </c>
      <c r="J97" s="700">
        <f>ROUND(F85*G97*I97*(1.67-1), 2)</f>
        <v>0.9</v>
      </c>
      <c r="K97" s="703">
        <f>IF([94]Source!BS2735&lt;&gt; 0, [94]Source!BS2735, 1)</f>
        <v>24.23</v>
      </c>
      <c r="L97" s="700">
        <f>ROUND(F85*G97*I97*(1.67-1)*K97, 2)</f>
        <v>21.88</v>
      </c>
      <c r="M97" s="700"/>
      <c r="N97" s="700"/>
      <c r="O97" s="700"/>
      <c r="Z97" s="718">
        <f>J97</f>
        <v>0.9</v>
      </c>
    </row>
    <row r="98" spans="1:30" ht="15" x14ac:dyDescent="0.25">
      <c r="A98" s="701"/>
      <c r="B98" s="701"/>
      <c r="C98" s="702"/>
      <c r="D98" s="702" t="s">
        <v>91</v>
      </c>
      <c r="E98" s="693" t="s">
        <v>89</v>
      </c>
      <c r="F98" s="703">
        <f>175</f>
        <v>175</v>
      </c>
      <c r="G98" s="704"/>
      <c r="H98" s="693"/>
      <c r="I98" s="703"/>
      <c r="J98" s="700">
        <f>ROUND(J97*(F98/100), 2)</f>
        <v>1.58</v>
      </c>
      <c r="K98" s="703">
        <f>157</f>
        <v>157</v>
      </c>
      <c r="L98" s="700">
        <f>ROUND(L97*(K98/100), 2)</f>
        <v>34.35</v>
      </c>
      <c r="M98" s="700"/>
      <c r="N98" s="700"/>
      <c r="O98" s="700"/>
    </row>
    <row r="99" spans="1:30" ht="14.25" x14ac:dyDescent="0.2">
      <c r="I99" s="1067">
        <f>J98+J97</f>
        <v>2.48</v>
      </c>
      <c r="J99" s="1067"/>
      <c r="K99" s="1067">
        <f>L98+L97</f>
        <v>56.23</v>
      </c>
      <c r="L99" s="1067"/>
      <c r="M99" s="735"/>
      <c r="N99" s="735"/>
      <c r="O99" s="735"/>
      <c r="R99" s="736">
        <f>I99</f>
        <v>2.48</v>
      </c>
      <c r="S99" s="736">
        <f>K99</f>
        <v>56.23</v>
      </c>
      <c r="AA99" s="718">
        <f>IF([94]Source!BI2735&lt;=1,I99, 0)</f>
        <v>2.48</v>
      </c>
      <c r="AB99" s="718">
        <f>IF([94]Source!BI2735=2,I99, 0)</f>
        <v>0</v>
      </c>
      <c r="AC99" s="718">
        <f>IF([94]Source!BI2735=3,I99, 0)</f>
        <v>0</v>
      </c>
      <c r="AD99" s="718">
        <f>IF([94]Source!BI2735=4,I99, 0)</f>
        <v>0</v>
      </c>
    </row>
    <row r="101" spans="1:30" ht="15" x14ac:dyDescent="0.25">
      <c r="A101" s="706"/>
      <c r="B101" s="706"/>
      <c r="C101" s="707"/>
      <c r="D101" s="707" t="s">
        <v>96</v>
      </c>
      <c r="E101" s="708"/>
      <c r="F101" s="709"/>
      <c r="G101" s="710"/>
      <c r="H101" s="711"/>
      <c r="I101" s="1067">
        <f>I94+I99</f>
        <v>762.83</v>
      </c>
      <c r="J101" s="1067"/>
      <c r="K101" s="1067">
        <f>K94+K99</f>
        <v>13337.54</v>
      </c>
      <c r="L101" s="1067"/>
      <c r="M101" s="735"/>
      <c r="N101" s="735"/>
      <c r="O101" s="735"/>
    </row>
    <row r="102" spans="1:30" ht="45" x14ac:dyDescent="0.25">
      <c r="A102" s="691">
        <v>6</v>
      </c>
      <c r="B102" s="691" t="str">
        <f>[94]Source!E2737</f>
        <v>440</v>
      </c>
      <c r="C102" s="692" t="str">
        <f>[94]Source!F2737</f>
        <v>1.19-3-12</v>
      </c>
      <c r="D102" s="692" t="s">
        <v>467</v>
      </c>
      <c r="E102" s="693" t="str">
        <f>[94]Source!H2737</f>
        <v>м2</v>
      </c>
      <c r="F102" s="694">
        <f>[94]Source!I2737</f>
        <v>1.28</v>
      </c>
      <c r="G102" s="695">
        <f>[94]Source!AL2737</f>
        <v>125.64</v>
      </c>
      <c r="H102" s="696" t="str">
        <f>[94]Source!DD2737</f>
        <v/>
      </c>
      <c r="I102" s="694">
        <f>[94]Source!AW2737</f>
        <v>1</v>
      </c>
      <c r="J102" s="697">
        <f>ROUND((ROUND(([94]Source!AC2737*[94]Source!AW2737*[94]Source!I2737),2)),2)</f>
        <v>160.82</v>
      </c>
      <c r="K102" s="694">
        <f>IF([94]Source!BC2737&lt;&gt; 0, [94]Source!BC2737, 1)</f>
        <v>3.84</v>
      </c>
      <c r="L102" s="697">
        <f>[94]Source!P2737</f>
        <v>617.54999999999995</v>
      </c>
      <c r="M102" s="697"/>
      <c r="N102" s="697"/>
      <c r="O102" s="697"/>
      <c r="T102" s="718">
        <f>ROUND(([94]Source!DN2737/100)*ROUND((ROUND(([94]Source!AF2737*[94]Source!AV2737*[94]Source!I2737),2)),2), 2)</f>
        <v>0</v>
      </c>
      <c r="U102" s="718">
        <f>[94]Source!X2737</f>
        <v>0</v>
      </c>
      <c r="V102" s="718">
        <f>ROUND(([94]Source!DO2737/100)*ROUND((ROUND(([94]Source!AF2737*[94]Source!AV2737*[94]Source!I2737),2)),2), 2)</f>
        <v>0</v>
      </c>
      <c r="W102" s="718">
        <f>[94]Source!Y2737</f>
        <v>0</v>
      </c>
      <c r="X102" s="718">
        <f>ROUND((175/100)*ROUND((ROUND(([94]Source!AE2737*[94]Source!AV2737*[94]Source!I2737),2)),2), 2)</f>
        <v>0</v>
      </c>
      <c r="Y102" s="718">
        <f>ROUND((157/100)*ROUND(ROUND((ROUND(([94]Source!AE2737*[94]Source!AV2737*[94]Source!I2737),2)*[94]Source!BS2737),2), 2), 2)</f>
        <v>0</v>
      </c>
    </row>
    <row r="103" spans="1:30" ht="14.25" x14ac:dyDescent="0.2">
      <c r="A103" s="737"/>
      <c r="B103" s="737"/>
      <c r="C103" s="737"/>
      <c r="D103" s="737"/>
      <c r="E103" s="737"/>
      <c r="F103" s="737"/>
      <c r="G103" s="737"/>
      <c r="H103" s="737"/>
      <c r="I103" s="1067">
        <f>J102</f>
        <v>160.82</v>
      </c>
      <c r="J103" s="1067"/>
      <c r="K103" s="1067">
        <f>L102</f>
        <v>617.54999999999995</v>
      </c>
      <c r="L103" s="1067"/>
      <c r="M103" s="735"/>
      <c r="N103" s="735"/>
      <c r="O103" s="735"/>
      <c r="R103" s="736">
        <f>J102</f>
        <v>160.82</v>
      </c>
      <c r="S103" s="736">
        <f>L102</f>
        <v>617.54999999999995</v>
      </c>
      <c r="AA103" s="718">
        <f>IF([94]Source!BI2737&lt;=1,J102-0, 0)</f>
        <v>160.82</v>
      </c>
      <c r="AB103" s="718">
        <f>IF([94]Source!BI2737=2,J102-0, 0)</f>
        <v>0</v>
      </c>
      <c r="AC103" s="718">
        <f>IF([94]Source!BI2737=3,J102-0, 0)</f>
        <v>0</v>
      </c>
      <c r="AD103" s="718">
        <f>IF([94]Source!BI2737=4,J102,0)</f>
        <v>0</v>
      </c>
    </row>
    <row r="104" spans="1:30" ht="45" x14ac:dyDescent="0.25">
      <c r="A104" s="691">
        <v>7</v>
      </c>
      <c r="B104" s="691" t="str">
        <f>[94]Source!E2739</f>
        <v>441</v>
      </c>
      <c r="C104" s="692" t="str">
        <f>[94]Source!F2739</f>
        <v>1.19-3-13</v>
      </c>
      <c r="D104" s="692" t="s">
        <v>469</v>
      </c>
      <c r="E104" s="693" t="str">
        <f>[94]Source!H2739</f>
        <v>м2</v>
      </c>
      <c r="F104" s="694">
        <v>7.56</v>
      </c>
      <c r="G104" s="695">
        <f>[94]Source!AL2739</f>
        <v>157.54</v>
      </c>
      <c r="H104" s="696" t="str">
        <f>[94]Source!DD2739</f>
        <v/>
      </c>
      <c r="I104" s="694">
        <f>[94]Source!AW2739</f>
        <v>1</v>
      </c>
      <c r="J104" s="697">
        <f>F104*G104</f>
        <v>1191</v>
      </c>
      <c r="K104" s="694">
        <f>IF([94]Source!BC2739&lt;&gt; 0, [94]Source!BC2739, 1)</f>
        <v>3.07</v>
      </c>
      <c r="L104" s="697">
        <f>J104*K104</f>
        <v>3656.37</v>
      </c>
      <c r="M104" s="697"/>
      <c r="N104" s="697"/>
      <c r="O104" s="697"/>
      <c r="T104" s="718">
        <f>ROUND(([94]Source!DN2739/100)*ROUND((ROUND(([94]Source!AF2739*[94]Source!AV2739*[94]Source!I2739),2)),2), 2)</f>
        <v>0</v>
      </c>
      <c r="U104" s="718">
        <f>[94]Source!X2739</f>
        <v>0</v>
      </c>
      <c r="V104" s="718">
        <f>ROUND(([94]Source!DO2739/100)*ROUND((ROUND(([94]Source!AF2739*[94]Source!AV2739*[94]Source!I2739),2)),2), 2)</f>
        <v>0</v>
      </c>
      <c r="W104" s="718">
        <f>[94]Source!Y2739</f>
        <v>0</v>
      </c>
      <c r="X104" s="718">
        <f>ROUND((175/100)*ROUND((ROUND(([94]Source!AE2739*[94]Source!AV2739*[94]Source!I2739),2)),2), 2)</f>
        <v>0</v>
      </c>
      <c r="Y104" s="718">
        <f>ROUND((157/100)*ROUND(ROUND((ROUND(([94]Source!AE2739*[94]Source!AV2739*[94]Source!I2739),2)*[94]Source!BS2739),2), 2), 2)</f>
        <v>0</v>
      </c>
    </row>
    <row r="105" spans="1:30" ht="14.25" x14ac:dyDescent="0.2">
      <c r="A105" s="737"/>
      <c r="B105" s="737"/>
      <c r="C105" s="737"/>
      <c r="D105" s="737"/>
      <c r="E105" s="737"/>
      <c r="F105" s="737"/>
      <c r="G105" s="737"/>
      <c r="H105" s="737"/>
      <c r="I105" s="1067">
        <f>J104</f>
        <v>1191</v>
      </c>
      <c r="J105" s="1067"/>
      <c r="K105" s="1067">
        <f>L104</f>
        <v>3656.37</v>
      </c>
      <c r="L105" s="1067"/>
      <c r="M105" s="735"/>
      <c r="N105" s="735"/>
      <c r="O105" s="735"/>
      <c r="R105" s="736">
        <f>J104</f>
        <v>1191</v>
      </c>
      <c r="S105" s="736">
        <f>L104</f>
        <v>3656.37</v>
      </c>
      <c r="AA105" s="718">
        <f>IF([94]Source!BI2739&lt;=1,J104-0, 0)</f>
        <v>1191</v>
      </c>
      <c r="AB105" s="718">
        <f>IF([94]Source!BI2739=2,J104-0, 0)</f>
        <v>0</v>
      </c>
      <c r="AC105" s="718">
        <f>IF([94]Source!BI2739=3,J104-0, 0)</f>
        <v>0</v>
      </c>
      <c r="AD105" s="718">
        <f>IF([94]Source!BI2739=4,J104,0)</f>
        <v>0</v>
      </c>
    </row>
    <row r="106" spans="1:30" ht="75" x14ac:dyDescent="0.25">
      <c r="A106" s="691">
        <v>8</v>
      </c>
      <c r="B106" s="691" t="str">
        <f>[94]Source!E2741</f>
        <v>442</v>
      </c>
      <c r="C106" s="692" t="str">
        <f>[94]Source!F2741</f>
        <v>3.20-1-11</v>
      </c>
      <c r="D106" s="692" t="s">
        <v>470</v>
      </c>
      <c r="E106" s="693" t="str">
        <f>[94]Source!H2741</f>
        <v>100 м2 поверхности воздуховодов</v>
      </c>
      <c r="F106" s="694">
        <f>[94]Source!I2741</f>
        <v>0.18459999999999999</v>
      </c>
      <c r="G106" s="695"/>
      <c r="H106" s="696"/>
      <c r="I106" s="694"/>
      <c r="J106" s="697"/>
      <c r="K106" s="694"/>
      <c r="L106" s="697"/>
      <c r="M106" s="697"/>
      <c r="N106" s="697"/>
      <c r="O106" s="697"/>
      <c r="T106" s="718">
        <f>ROUND(([94]Source!DN2741/100)*ROUND((ROUND(([94]Source!AF2741*[94]Source!AV2741*[94]Source!I2741),2)),2), 2)</f>
        <v>427.28</v>
      </c>
      <c r="U106" s="718">
        <f>[94]Source!X2741</f>
        <v>8282.2999999999993</v>
      </c>
      <c r="V106" s="718">
        <f>ROUND(([94]Source!DO2741/100)*ROUND((ROUND(([94]Source!AF2741*[94]Source!AV2741*[94]Source!I2741),2)),2), 2)</f>
        <v>321.31</v>
      </c>
      <c r="W106" s="718">
        <f>[94]Source!Y2741</f>
        <v>3727.04</v>
      </c>
      <c r="X106" s="718">
        <f>ROUND((175/100)*ROUND((ROUND(([94]Source!AE2741*[94]Source!AV2741*[94]Source!I2741),2)),2), 2)</f>
        <v>6.16</v>
      </c>
      <c r="Y106" s="718">
        <f>ROUND((157/100)*ROUND(ROUND((ROUND(([94]Source!AE2741*[94]Source!AV2741*[94]Source!I2741),2)*[94]Source!BS2741),2), 2), 2)</f>
        <v>133.91</v>
      </c>
    </row>
    <row r="107" spans="1:30" ht="15" x14ac:dyDescent="0.25">
      <c r="A107" s="691"/>
      <c r="B107" s="691"/>
      <c r="C107" s="692"/>
      <c r="D107" s="692" t="s">
        <v>84</v>
      </c>
      <c r="E107" s="693"/>
      <c r="F107" s="694"/>
      <c r="G107" s="695">
        <f>[94]Source!AO2741</f>
        <v>1039.18</v>
      </c>
      <c r="H107" s="696" t="str">
        <f>[94]Source!DG2741</f>
        <v>)*1,67</v>
      </c>
      <c r="I107" s="694">
        <f>[94]Source!AV2741</f>
        <v>1.0669999999999999</v>
      </c>
      <c r="J107" s="697">
        <f>ROUND((ROUND(([94]Source!AF2741*[94]Source!AV2741*[94]Source!I2741),2)),2)</f>
        <v>341.82</v>
      </c>
      <c r="K107" s="694">
        <f>IF([94]Source!BA2741&lt;&gt; 0, [94]Source!BA2741, 1)</f>
        <v>24.23</v>
      </c>
      <c r="L107" s="697">
        <f>[94]Source!S2741</f>
        <v>8282.2999999999993</v>
      </c>
      <c r="M107" s="697"/>
      <c r="N107" s="697"/>
      <c r="O107" s="697"/>
      <c r="Z107" s="718">
        <f>J107</f>
        <v>341.82</v>
      </c>
    </row>
    <row r="108" spans="1:30" ht="15" x14ac:dyDescent="0.25">
      <c r="A108" s="691"/>
      <c r="B108" s="691"/>
      <c r="C108" s="692"/>
      <c r="D108" s="692" t="s">
        <v>85</v>
      </c>
      <c r="E108" s="693"/>
      <c r="F108" s="694"/>
      <c r="G108" s="695">
        <f>[94]Source!AM2741</f>
        <v>87.46</v>
      </c>
      <c r="H108" s="696" t="str">
        <f>[94]Source!DE2741</f>
        <v/>
      </c>
      <c r="I108" s="694">
        <f>[94]Source!AV2741</f>
        <v>1.0669999999999999</v>
      </c>
      <c r="J108" s="697">
        <f>(ROUND((ROUND((([94]Source!ET2741)*[94]Source!AV2741*[94]Source!I2741),2)),2)+ROUND((ROUND((([94]Source!AE2741-([94]Source!EU2741))*[94]Source!AV2741*[94]Source!I2741),2)),2))-J118</f>
        <v>17.23</v>
      </c>
      <c r="K108" s="694">
        <f>IF([94]Source!BB2741&lt;&gt; 0, [94]Source!BB2741, 1)</f>
        <v>8.6</v>
      </c>
      <c r="L108" s="697">
        <f>[94]Source!Q2741-L118</f>
        <v>148.16</v>
      </c>
      <c r="M108" s="697"/>
      <c r="N108" s="697"/>
      <c r="O108" s="697"/>
    </row>
    <row r="109" spans="1:30" ht="15" x14ac:dyDescent="0.25">
      <c r="A109" s="691"/>
      <c r="B109" s="691"/>
      <c r="C109" s="692"/>
      <c r="D109" s="692" t="s">
        <v>86</v>
      </c>
      <c r="E109" s="693"/>
      <c r="F109" s="694"/>
      <c r="G109" s="695">
        <f>[94]Source!AN2741</f>
        <v>10.69</v>
      </c>
      <c r="H109" s="696" t="str">
        <f>[94]Source!DE2741</f>
        <v/>
      </c>
      <c r="I109" s="694">
        <f>[94]Source!AV2741</f>
        <v>1.0669999999999999</v>
      </c>
      <c r="J109" s="700">
        <f>ROUND((ROUND(([94]Source!AE2741*[94]Source!AV2741*[94]Source!I2741),2)),2)-J119</f>
        <v>2.11</v>
      </c>
      <c r="K109" s="694">
        <f>IF([94]Source!BS2741&lt;&gt; 0, [94]Source!BS2741, 1)</f>
        <v>24.23</v>
      </c>
      <c r="L109" s="700">
        <f>[94]Source!R2741-L119</f>
        <v>51.11</v>
      </c>
      <c r="M109" s="700"/>
      <c r="N109" s="700"/>
      <c r="O109" s="700"/>
      <c r="Z109" s="718">
        <f>J109</f>
        <v>2.11</v>
      </c>
    </row>
    <row r="110" spans="1:30" ht="15" x14ac:dyDescent="0.25">
      <c r="A110" s="691"/>
      <c r="B110" s="691"/>
      <c r="C110" s="692"/>
      <c r="D110" s="692" t="s">
        <v>87</v>
      </c>
      <c r="E110" s="693"/>
      <c r="F110" s="694"/>
      <c r="G110" s="695">
        <f>[94]Source!AL2741</f>
        <v>409.71</v>
      </c>
      <c r="H110" s="696" t="str">
        <f>[94]Source!DD2741</f>
        <v/>
      </c>
      <c r="I110" s="694">
        <f>[94]Source!AW2741</f>
        <v>1</v>
      </c>
      <c r="J110" s="697">
        <f>ROUND((ROUND(([94]Source!AC2741*[94]Source!AW2741*[94]Source!I2741),2)),2)</f>
        <v>75.63</v>
      </c>
      <c r="K110" s="694">
        <f>IF([94]Source!BC2741&lt;&gt; 0, [94]Source!BC2741, 1)</f>
        <v>3.31</v>
      </c>
      <c r="L110" s="697">
        <f>[94]Source!P2741</f>
        <v>250.34</v>
      </c>
      <c r="M110" s="697"/>
      <c r="N110" s="697"/>
      <c r="O110" s="697"/>
    </row>
    <row r="111" spans="1:30" ht="45" x14ac:dyDescent="0.25">
      <c r="A111" s="691">
        <v>9</v>
      </c>
      <c r="B111" s="691" t="str">
        <f>[94]Source!E2743</f>
        <v>442,1</v>
      </c>
      <c r="C111" s="692" t="str">
        <f>[94]Source!F2743</f>
        <v>1.19-3-13</v>
      </c>
      <c r="D111" s="692" t="s">
        <v>469</v>
      </c>
      <c r="E111" s="693" t="str">
        <f>[94]Source!H2743</f>
        <v>м2</v>
      </c>
      <c r="F111" s="694">
        <f>[94]Source!I2743</f>
        <v>18.46</v>
      </c>
      <c r="G111" s="695">
        <f>[94]Source!AK2743</f>
        <v>157.54</v>
      </c>
      <c r="H111" s="734" t="s">
        <v>42</v>
      </c>
      <c r="I111" s="694">
        <f>[94]Source!AW2743</f>
        <v>1</v>
      </c>
      <c r="J111" s="697">
        <f>ROUND((ROUND(([94]Source!AC2743*[94]Source!AW2743*[94]Source!I2743),2)),2)+(ROUND((ROUND((([94]Source!ET2743)*[94]Source!AV2743*[94]Source!I2743),2)),2)+ROUND((ROUND((([94]Source!AE2743-([94]Source!EU2743))*[94]Source!AV2743*[94]Source!I2743),2)),2))+ROUND((ROUND(([94]Source!AF2743*[94]Source!AV2743*[94]Source!I2743),2)),2)</f>
        <v>2908.19</v>
      </c>
      <c r="K111" s="694">
        <f>IF([94]Source!BC2743&lt;&gt; 0, [94]Source!BC2743, 1)</f>
        <v>3.07</v>
      </c>
      <c r="L111" s="697">
        <f>[94]Source!O2743</f>
        <v>8928.14</v>
      </c>
      <c r="M111" s="697"/>
      <c r="N111" s="697"/>
      <c r="O111" s="697"/>
      <c r="T111" s="718">
        <f>ROUND(([94]Source!DN2743/100)*ROUND((ROUND(([94]Source!AF2743*[94]Source!AV2743*[94]Source!I2743),2)),2), 2)</f>
        <v>0</v>
      </c>
      <c r="U111" s="718">
        <f>[94]Source!X2743</f>
        <v>0</v>
      </c>
      <c r="V111" s="718">
        <f>ROUND(([94]Source!DO2743/100)*ROUND((ROUND(([94]Source!AF2743*[94]Source!AV2743*[94]Source!I2743),2)),2), 2)</f>
        <v>0</v>
      </c>
      <c r="W111" s="718">
        <f>[94]Source!Y2743</f>
        <v>0</v>
      </c>
      <c r="X111" s="718">
        <f>ROUND((175/100)*ROUND((ROUND(([94]Source!AE2743*[94]Source!AV2743*[94]Source!I2743),2)),2), 2)</f>
        <v>0</v>
      </c>
      <c r="Y111" s="718">
        <f>ROUND((157/100)*ROUND(ROUND((ROUND(([94]Source!AE2743*[94]Source!AV2743*[94]Source!I2743),2)*[94]Source!BS2743),2), 2), 2)</f>
        <v>0</v>
      </c>
      <c r="AA111" s="718">
        <f>IF([94]Source!BI2743&lt;=1,J111, 0)</f>
        <v>2908.19</v>
      </c>
      <c r="AB111" s="718">
        <f>IF([94]Source!BI2743=2,J111, 0)</f>
        <v>0</v>
      </c>
      <c r="AC111" s="718">
        <f>IF([94]Source!BI2743=3,J111, 0)</f>
        <v>0</v>
      </c>
      <c r="AD111" s="718">
        <f>IF([94]Source!BI2743=4,J111, 0)</f>
        <v>0</v>
      </c>
    </row>
    <row r="112" spans="1:30" ht="15" x14ac:dyDescent="0.25">
      <c r="A112" s="691"/>
      <c r="B112" s="691"/>
      <c r="C112" s="692"/>
      <c r="D112" s="692" t="s">
        <v>88</v>
      </c>
      <c r="E112" s="693" t="s">
        <v>89</v>
      </c>
      <c r="F112" s="694">
        <f>[94]Source!DN2741</f>
        <v>125</v>
      </c>
      <c r="G112" s="695"/>
      <c r="H112" s="696"/>
      <c r="I112" s="694"/>
      <c r="J112" s="697">
        <f>SUM(T106:T111)</f>
        <v>427.28</v>
      </c>
      <c r="K112" s="694">
        <f>[94]Source!BZ2741</f>
        <v>100</v>
      </c>
      <c r="L112" s="697">
        <f>SUM(U106:U111)</f>
        <v>8282.2999999999993</v>
      </c>
      <c r="M112" s="697"/>
      <c r="N112" s="697"/>
      <c r="O112" s="697"/>
    </row>
    <row r="113" spans="1:30" ht="15" x14ac:dyDescent="0.25">
      <c r="A113" s="691"/>
      <c r="B113" s="691"/>
      <c r="C113" s="692"/>
      <c r="D113" s="692" t="s">
        <v>90</v>
      </c>
      <c r="E113" s="693" t="s">
        <v>89</v>
      </c>
      <c r="F113" s="694">
        <f>[94]Source!DO2741</f>
        <v>94</v>
      </c>
      <c r="G113" s="695"/>
      <c r="H113" s="696"/>
      <c r="I113" s="694"/>
      <c r="J113" s="697">
        <f>SUM(V106:V112)</f>
        <v>321.31</v>
      </c>
      <c r="K113" s="694">
        <f>[94]Source!CA2741</f>
        <v>45</v>
      </c>
      <c r="L113" s="697">
        <f>SUM(W106:W112)</f>
        <v>3727.04</v>
      </c>
      <c r="M113" s="697"/>
      <c r="N113" s="697"/>
      <c r="O113" s="697"/>
    </row>
    <row r="114" spans="1:30" ht="15" x14ac:dyDescent="0.25">
      <c r="A114" s="691"/>
      <c r="B114" s="691"/>
      <c r="C114" s="692"/>
      <c r="D114" s="692" t="s">
        <v>91</v>
      </c>
      <c r="E114" s="693" t="s">
        <v>89</v>
      </c>
      <c r="F114" s="694">
        <f>175</f>
        <v>175</v>
      </c>
      <c r="G114" s="695"/>
      <c r="H114" s="696"/>
      <c r="I114" s="694"/>
      <c r="J114" s="697">
        <f>SUM(X106:X113)-J120</f>
        <v>3.69</v>
      </c>
      <c r="K114" s="694">
        <f>157</f>
        <v>157</v>
      </c>
      <c r="L114" s="697">
        <f>SUM(Y106:Y113)-L120</f>
        <v>80.25</v>
      </c>
      <c r="M114" s="697"/>
      <c r="N114" s="697"/>
      <c r="O114" s="697"/>
    </row>
    <row r="115" spans="1:30" ht="15" x14ac:dyDescent="0.25">
      <c r="A115" s="691"/>
      <c r="B115" s="691"/>
      <c r="C115" s="692"/>
      <c r="D115" s="692" t="s">
        <v>92</v>
      </c>
      <c r="E115" s="693" t="s">
        <v>93</v>
      </c>
      <c r="F115" s="694">
        <f>[94]Source!AQ2741</f>
        <v>91.8</v>
      </c>
      <c r="G115" s="695"/>
      <c r="H115" s="696" t="str">
        <f>[94]Source!DI2741</f>
        <v/>
      </c>
      <c r="I115" s="694">
        <f>[94]Source!AV2741</f>
        <v>1.0669999999999999</v>
      </c>
      <c r="J115" s="697">
        <f>[94]Source!U2741</f>
        <v>18.079999999999998</v>
      </c>
      <c r="K115" s="694"/>
      <c r="L115" s="697"/>
      <c r="M115" s="697"/>
      <c r="N115" s="697"/>
      <c r="O115" s="697"/>
    </row>
    <row r="116" spans="1:30" ht="14.25" x14ac:dyDescent="0.2">
      <c r="I116" s="1067">
        <f>J107+J108+J110+J112+J113+J114+SUM(J111:J111)</f>
        <v>4095.15</v>
      </c>
      <c r="J116" s="1067"/>
      <c r="K116" s="1067">
        <f>L107+L108+L110+L112+L113+L114+SUM(L111:L111)</f>
        <v>29698.53</v>
      </c>
      <c r="L116" s="1067"/>
      <c r="M116" s="735"/>
      <c r="N116" s="735"/>
      <c r="O116" s="735"/>
      <c r="R116" s="736">
        <f>J107+J108+J110+J112+J113+J114+SUM(J111:J111)</f>
        <v>4095.15</v>
      </c>
      <c r="S116" s="736">
        <f>L107+L108+L110+L112+L113+L114+SUM(L111:L111)</f>
        <v>29698.53</v>
      </c>
      <c r="AA116" s="718">
        <f>IF([94]Source!BI2741&lt;=1,J107+J108+J110+J112+J113+J114-0, 0)</f>
        <v>1186.96</v>
      </c>
      <c r="AB116" s="718">
        <f>IF([94]Source!BI2741=2,J107+J108+J110+J112+J113+J114-0, 0)</f>
        <v>0</v>
      </c>
      <c r="AC116" s="718">
        <f>IF([94]Source!BI2741=3,J107+J108+J110+J112+J113+J114-0, 0)</f>
        <v>0</v>
      </c>
      <c r="AD116" s="718">
        <f>IF([94]Source!BI2741=4,J107+J108+J110+J112+J113+J114,0)</f>
        <v>0</v>
      </c>
    </row>
    <row r="117" spans="1:30" ht="30" x14ac:dyDescent="0.25">
      <c r="A117" s="701"/>
      <c r="B117" s="701"/>
      <c r="C117" s="702"/>
      <c r="D117" s="702" t="s">
        <v>94</v>
      </c>
      <c r="E117" s="693"/>
      <c r="F117" s="703"/>
      <c r="G117" s="704"/>
      <c r="H117" s="693"/>
      <c r="I117" s="703"/>
      <c r="J117" s="700"/>
      <c r="K117" s="703"/>
      <c r="L117" s="700"/>
      <c r="M117" s="700"/>
      <c r="N117" s="700"/>
      <c r="O117" s="700"/>
    </row>
    <row r="118" spans="1:30" ht="15" x14ac:dyDescent="0.25">
      <c r="A118" s="701"/>
      <c r="B118" s="701"/>
      <c r="C118" s="702"/>
      <c r="D118" s="702" t="s">
        <v>85</v>
      </c>
      <c r="E118" s="693"/>
      <c r="F118" s="703"/>
      <c r="G118" s="704">
        <f t="shared" ref="G118:L118" si="3">G119</f>
        <v>10.69</v>
      </c>
      <c r="H118" s="705" t="str">
        <f t="shared" si="3"/>
        <v>)*(1.67-1)</v>
      </c>
      <c r="I118" s="703">
        <f t="shared" si="3"/>
        <v>1.0669999999999999</v>
      </c>
      <c r="J118" s="700">
        <f t="shared" si="3"/>
        <v>1.41</v>
      </c>
      <c r="K118" s="703">
        <f t="shared" si="3"/>
        <v>24.23</v>
      </c>
      <c r="L118" s="700">
        <f t="shared" si="3"/>
        <v>34.18</v>
      </c>
      <c r="M118" s="700"/>
      <c r="N118" s="700"/>
      <c r="O118" s="700"/>
    </row>
    <row r="119" spans="1:30" ht="15" x14ac:dyDescent="0.25">
      <c r="A119" s="701"/>
      <c r="B119" s="701"/>
      <c r="C119" s="702"/>
      <c r="D119" s="702" t="s">
        <v>86</v>
      </c>
      <c r="E119" s="693"/>
      <c r="F119" s="703"/>
      <c r="G119" s="704">
        <f>[94]Source!AN2741</f>
        <v>10.69</v>
      </c>
      <c r="H119" s="705" t="s">
        <v>95</v>
      </c>
      <c r="I119" s="703">
        <f>[94]Source!AV2741</f>
        <v>1.0669999999999999</v>
      </c>
      <c r="J119" s="700">
        <f>ROUND(F106*G119*I119*(1.67-1), 2)</f>
        <v>1.41</v>
      </c>
      <c r="K119" s="703">
        <f>IF([94]Source!BS2741&lt;&gt; 0, [94]Source!BS2741, 1)</f>
        <v>24.23</v>
      </c>
      <c r="L119" s="700">
        <f>ROUND(F106*G119*I119*(1.67-1)*K119, 2)</f>
        <v>34.18</v>
      </c>
      <c r="M119" s="700"/>
      <c r="N119" s="700"/>
      <c r="O119" s="700"/>
      <c r="Z119" s="718">
        <f>J119</f>
        <v>1.41</v>
      </c>
    </row>
    <row r="120" spans="1:30" ht="15" x14ac:dyDescent="0.25">
      <c r="A120" s="701"/>
      <c r="B120" s="701"/>
      <c r="C120" s="702"/>
      <c r="D120" s="702" t="s">
        <v>91</v>
      </c>
      <c r="E120" s="693" t="s">
        <v>89</v>
      </c>
      <c r="F120" s="703">
        <f>175</f>
        <v>175</v>
      </c>
      <c r="G120" s="704"/>
      <c r="H120" s="693"/>
      <c r="I120" s="703"/>
      <c r="J120" s="700">
        <f>ROUND(J119*(F120/100), 2)</f>
        <v>2.4700000000000002</v>
      </c>
      <c r="K120" s="703">
        <f>157</f>
        <v>157</v>
      </c>
      <c r="L120" s="700">
        <f>ROUND(L119*(K120/100), 2)</f>
        <v>53.66</v>
      </c>
      <c r="M120" s="700"/>
      <c r="N120" s="700"/>
      <c r="O120" s="700"/>
    </row>
    <row r="121" spans="1:30" ht="14.25" x14ac:dyDescent="0.2">
      <c r="I121" s="1067">
        <f>J120+J119</f>
        <v>3.88</v>
      </c>
      <c r="J121" s="1067"/>
      <c r="K121" s="1067">
        <f>L120+L119</f>
        <v>87.84</v>
      </c>
      <c r="L121" s="1067"/>
      <c r="M121" s="735"/>
      <c r="N121" s="735"/>
      <c r="O121" s="735"/>
      <c r="R121" s="736">
        <f>I121</f>
        <v>3.88</v>
      </c>
      <c r="S121" s="736">
        <f>K121</f>
        <v>87.84</v>
      </c>
      <c r="AA121" s="718">
        <f>IF([94]Source!BI2741&lt;=1,I121, 0)</f>
        <v>3.88</v>
      </c>
      <c r="AB121" s="718">
        <f>IF([94]Source!BI2741=2,I121, 0)</f>
        <v>0</v>
      </c>
      <c r="AC121" s="718">
        <f>IF([94]Source!BI2741=3,I121, 0)</f>
        <v>0</v>
      </c>
      <c r="AD121" s="718">
        <f>IF([94]Source!BI2741=4,I121, 0)</f>
        <v>0</v>
      </c>
    </row>
    <row r="123" spans="1:30" ht="15" x14ac:dyDescent="0.25">
      <c r="A123" s="706"/>
      <c r="B123" s="706"/>
      <c r="C123" s="707"/>
      <c r="D123" s="707" t="s">
        <v>96</v>
      </c>
      <c r="E123" s="708"/>
      <c r="F123" s="709"/>
      <c r="G123" s="710"/>
      <c r="H123" s="711"/>
      <c r="I123" s="1067">
        <f>I116+I121</f>
        <v>4099.03</v>
      </c>
      <c r="J123" s="1067"/>
      <c r="K123" s="1067">
        <f>K116+K121</f>
        <v>29786.37</v>
      </c>
      <c r="L123" s="1067"/>
      <c r="M123" s="735"/>
      <c r="N123" s="735"/>
      <c r="O123" s="735"/>
    </row>
    <row r="124" spans="1:30" ht="75" x14ac:dyDescent="0.25">
      <c r="A124" s="691">
        <v>10</v>
      </c>
      <c r="B124" s="691" t="str">
        <f>[94]Source!E2745</f>
        <v>443</v>
      </c>
      <c r="C124" s="692" t="str">
        <f>[94]Source!F2745</f>
        <v>3.20-1-12</v>
      </c>
      <c r="D124" s="692" t="s">
        <v>471</v>
      </c>
      <c r="E124" s="693" t="str">
        <f>[94]Source!H2745</f>
        <v>100 м2 поверхности воздуховодов</v>
      </c>
      <c r="F124" s="694">
        <f>[94]Source!I2745</f>
        <v>1.34E-2</v>
      </c>
      <c r="G124" s="695"/>
      <c r="H124" s="696"/>
      <c r="I124" s="694"/>
      <c r="J124" s="697"/>
      <c r="K124" s="694"/>
      <c r="L124" s="697"/>
      <c r="M124" s="697"/>
      <c r="N124" s="697"/>
      <c r="O124" s="697"/>
      <c r="T124" s="718">
        <f>ROUND(([94]Source!DN2745/100)*ROUND((ROUND(([94]Source!AF2745*[94]Source!AV2745*[94]Source!I2745),2)),2), 2)</f>
        <v>25.08</v>
      </c>
      <c r="U124" s="718">
        <f>[94]Source!X2745</f>
        <v>486.05</v>
      </c>
      <c r="V124" s="718">
        <f>ROUND(([94]Source!DO2745/100)*ROUND((ROUND(([94]Source!AF2745*[94]Source!AV2745*[94]Source!I2745),2)),2), 2)</f>
        <v>18.86</v>
      </c>
      <c r="W124" s="718">
        <f>[94]Source!Y2745</f>
        <v>218.72</v>
      </c>
      <c r="X124" s="718">
        <f>ROUND((175/100)*ROUND((ROUND(([94]Source!AE2745*[94]Source!AV2745*[94]Source!I2745),2)),2), 2)</f>
        <v>0.47</v>
      </c>
      <c r="Y124" s="718">
        <f>ROUND((157/100)*ROUND(ROUND((ROUND(([94]Source!AE2745*[94]Source!AV2745*[94]Source!I2745),2)*[94]Source!BS2745),2), 2), 2)</f>
        <v>10.27</v>
      </c>
    </row>
    <row r="125" spans="1:30" ht="15" x14ac:dyDescent="0.25">
      <c r="A125" s="691"/>
      <c r="B125" s="691"/>
      <c r="C125" s="692"/>
      <c r="D125" s="692" t="s">
        <v>84</v>
      </c>
      <c r="E125" s="693"/>
      <c r="F125" s="694"/>
      <c r="G125" s="695">
        <f>[94]Source!AO2745</f>
        <v>839.94</v>
      </c>
      <c r="H125" s="696" t="str">
        <f>[94]Source!DG2745</f>
        <v>)*1,67</v>
      </c>
      <c r="I125" s="694">
        <f>[94]Source!AV2745</f>
        <v>1.0669999999999999</v>
      </c>
      <c r="J125" s="697">
        <f>ROUND((ROUND(([94]Source!AF2745*[94]Source!AV2745*[94]Source!I2745),2)),2)</f>
        <v>20.059999999999999</v>
      </c>
      <c r="K125" s="694">
        <f>IF([94]Source!BA2745&lt;&gt; 0, [94]Source!BA2745, 1)</f>
        <v>24.23</v>
      </c>
      <c r="L125" s="697">
        <f>[94]Source!S2745</f>
        <v>486.05</v>
      </c>
      <c r="M125" s="697"/>
      <c r="N125" s="697"/>
      <c r="O125" s="697"/>
      <c r="Z125" s="718">
        <f>J125</f>
        <v>20.059999999999999</v>
      </c>
    </row>
    <row r="126" spans="1:30" ht="15" x14ac:dyDescent="0.25">
      <c r="A126" s="691"/>
      <c r="B126" s="691"/>
      <c r="C126" s="692"/>
      <c r="D126" s="692" t="s">
        <v>85</v>
      </c>
      <c r="E126" s="693"/>
      <c r="F126" s="694"/>
      <c r="G126" s="695">
        <f>[94]Source!AM2745</f>
        <v>92.82</v>
      </c>
      <c r="H126" s="696" t="str">
        <f>[94]Source!DE2745</f>
        <v/>
      </c>
      <c r="I126" s="694">
        <f>[94]Source!AV2745</f>
        <v>1.0669999999999999</v>
      </c>
      <c r="J126" s="697">
        <f>(ROUND((ROUND((([94]Source!ET2745)*[94]Source!AV2745*[94]Source!I2745),2)),2)+ROUND((ROUND((([94]Source!AE2745-([94]Source!EU2745))*[94]Source!AV2745*[94]Source!I2745),2)),2))-J136</f>
        <v>1.33</v>
      </c>
      <c r="K126" s="694">
        <f>IF([94]Source!BB2745&lt;&gt; 0, [94]Source!BB2745, 1)</f>
        <v>8.6</v>
      </c>
      <c r="L126" s="697">
        <f>[94]Source!Q2745-L136</f>
        <v>11.48</v>
      </c>
      <c r="M126" s="697"/>
      <c r="N126" s="697"/>
      <c r="O126" s="697"/>
    </row>
    <row r="127" spans="1:30" ht="15" x14ac:dyDescent="0.25">
      <c r="A127" s="691"/>
      <c r="B127" s="691"/>
      <c r="C127" s="692"/>
      <c r="D127" s="692" t="s">
        <v>86</v>
      </c>
      <c r="E127" s="693"/>
      <c r="F127" s="694"/>
      <c r="G127" s="695">
        <f>[94]Source!AN2745</f>
        <v>11.34</v>
      </c>
      <c r="H127" s="696" t="str">
        <f>[94]Source!DE2745</f>
        <v/>
      </c>
      <c r="I127" s="694">
        <f>[94]Source!AV2745</f>
        <v>1.0669999999999999</v>
      </c>
      <c r="J127" s="700">
        <f>ROUND((ROUND(([94]Source!AE2745*[94]Source!AV2745*[94]Source!I2745),2)),2)-J137</f>
        <v>0.16</v>
      </c>
      <c r="K127" s="694">
        <f>IF([94]Source!BS2745&lt;&gt; 0, [94]Source!BS2745, 1)</f>
        <v>24.23</v>
      </c>
      <c r="L127" s="700">
        <f>[94]Source!R2745-L137</f>
        <v>3.91</v>
      </c>
      <c r="M127" s="700"/>
      <c r="N127" s="700"/>
      <c r="O127" s="700"/>
      <c r="Z127" s="718">
        <f>J127</f>
        <v>0.16</v>
      </c>
    </row>
    <row r="128" spans="1:30" ht="15" x14ac:dyDescent="0.25">
      <c r="A128" s="691"/>
      <c r="B128" s="691"/>
      <c r="C128" s="692"/>
      <c r="D128" s="692" t="s">
        <v>87</v>
      </c>
      <c r="E128" s="693"/>
      <c r="F128" s="694"/>
      <c r="G128" s="695">
        <f>[94]Source!AL2745</f>
        <v>490.65</v>
      </c>
      <c r="H128" s="696" t="str">
        <f>[94]Source!DD2745</f>
        <v/>
      </c>
      <c r="I128" s="694">
        <f>[94]Source!AW2745</f>
        <v>1</v>
      </c>
      <c r="J128" s="697">
        <f>ROUND((ROUND(([94]Source!AC2745*[94]Source!AW2745*[94]Source!I2745),2)),2)</f>
        <v>6.57</v>
      </c>
      <c r="K128" s="694">
        <f>IF([94]Source!BC2745&lt;&gt; 0, [94]Source!BC2745, 1)</f>
        <v>3.92</v>
      </c>
      <c r="L128" s="697">
        <f>[94]Source!P2745</f>
        <v>25.75</v>
      </c>
      <c r="M128" s="697"/>
      <c r="N128" s="697"/>
      <c r="O128" s="697"/>
    </row>
    <row r="129" spans="1:30" ht="45" x14ac:dyDescent="0.25">
      <c r="A129" s="691">
        <v>11</v>
      </c>
      <c r="B129" s="691" t="str">
        <f>[94]Source!E2747</f>
        <v>443,1</v>
      </c>
      <c r="C129" s="692" t="str">
        <f>[94]Source!F2747</f>
        <v>1.19-3-13</v>
      </c>
      <c r="D129" s="692" t="s">
        <v>469</v>
      </c>
      <c r="E129" s="693" t="str">
        <f>[94]Source!H2747</f>
        <v>м2</v>
      </c>
      <c r="F129" s="694">
        <f>[94]Source!I2747</f>
        <v>1.34</v>
      </c>
      <c r="G129" s="695">
        <f>[94]Source!AK2747</f>
        <v>157.54</v>
      </c>
      <c r="H129" s="734" t="s">
        <v>42</v>
      </c>
      <c r="I129" s="694">
        <f>[94]Source!AW2747</f>
        <v>1</v>
      </c>
      <c r="J129" s="697">
        <f>ROUND((ROUND(([94]Source!AC2747*[94]Source!AW2747*[94]Source!I2747),2)),2)+(ROUND((ROUND((([94]Source!ET2747)*[94]Source!AV2747*[94]Source!I2747),2)),2)+ROUND((ROUND((([94]Source!AE2747-([94]Source!EU2747))*[94]Source!AV2747*[94]Source!I2747),2)),2))+ROUND((ROUND(([94]Source!AF2747*[94]Source!AV2747*[94]Source!I2747),2)),2)</f>
        <v>211.1</v>
      </c>
      <c r="K129" s="694">
        <f>IF([94]Source!BC2747&lt;&gt; 0, [94]Source!BC2747, 1)</f>
        <v>3.07</v>
      </c>
      <c r="L129" s="697">
        <f>[94]Source!O2747</f>
        <v>648.08000000000004</v>
      </c>
      <c r="M129" s="697"/>
      <c r="N129" s="697"/>
      <c r="O129" s="697"/>
      <c r="T129" s="718">
        <f>ROUND(([94]Source!DN2747/100)*ROUND((ROUND(([94]Source!AF2747*[94]Source!AV2747*[94]Source!I2747),2)),2), 2)</f>
        <v>0</v>
      </c>
      <c r="U129" s="718">
        <f>[94]Source!X2747</f>
        <v>0</v>
      </c>
      <c r="V129" s="718">
        <f>ROUND(([94]Source!DO2747/100)*ROUND((ROUND(([94]Source!AF2747*[94]Source!AV2747*[94]Source!I2747),2)),2), 2)</f>
        <v>0</v>
      </c>
      <c r="W129" s="718">
        <f>[94]Source!Y2747</f>
        <v>0</v>
      </c>
      <c r="X129" s="718">
        <f>ROUND((175/100)*ROUND((ROUND(([94]Source!AE2747*[94]Source!AV2747*[94]Source!I2747),2)),2), 2)</f>
        <v>0</v>
      </c>
      <c r="Y129" s="718">
        <f>ROUND((157/100)*ROUND(ROUND((ROUND(([94]Source!AE2747*[94]Source!AV2747*[94]Source!I2747),2)*[94]Source!BS2747),2), 2), 2)</f>
        <v>0</v>
      </c>
      <c r="AA129" s="718">
        <f>IF([94]Source!BI2747&lt;=1,J129, 0)</f>
        <v>211.1</v>
      </c>
      <c r="AB129" s="718">
        <f>IF([94]Source!BI2747=2,J129, 0)</f>
        <v>0</v>
      </c>
      <c r="AC129" s="718">
        <f>IF([94]Source!BI2747=3,J129, 0)</f>
        <v>0</v>
      </c>
      <c r="AD129" s="718">
        <f>IF([94]Source!BI2747=4,J129, 0)</f>
        <v>0</v>
      </c>
    </row>
    <row r="130" spans="1:30" ht="15" x14ac:dyDescent="0.25">
      <c r="A130" s="691"/>
      <c r="B130" s="691"/>
      <c r="C130" s="692"/>
      <c r="D130" s="692" t="s">
        <v>88</v>
      </c>
      <c r="E130" s="693" t="s">
        <v>89</v>
      </c>
      <c r="F130" s="694">
        <f>[94]Source!DN2745</f>
        <v>125</v>
      </c>
      <c r="G130" s="695"/>
      <c r="H130" s="696"/>
      <c r="I130" s="694"/>
      <c r="J130" s="697">
        <f>SUM(T124:T129)</f>
        <v>25.08</v>
      </c>
      <c r="K130" s="694">
        <f>[94]Source!BZ2745</f>
        <v>100</v>
      </c>
      <c r="L130" s="697">
        <f>SUM(U124:U129)</f>
        <v>486.05</v>
      </c>
      <c r="M130" s="697"/>
      <c r="N130" s="697"/>
      <c r="O130" s="697"/>
    </row>
    <row r="131" spans="1:30" ht="15" x14ac:dyDescent="0.25">
      <c r="A131" s="691"/>
      <c r="B131" s="691"/>
      <c r="C131" s="692"/>
      <c r="D131" s="692" t="s">
        <v>90</v>
      </c>
      <c r="E131" s="693" t="s">
        <v>89</v>
      </c>
      <c r="F131" s="694">
        <f>[94]Source!DO2745</f>
        <v>94</v>
      </c>
      <c r="G131" s="695"/>
      <c r="H131" s="696"/>
      <c r="I131" s="694"/>
      <c r="J131" s="697">
        <f>SUM(V124:V130)</f>
        <v>18.86</v>
      </c>
      <c r="K131" s="694">
        <f>[94]Source!CA2745</f>
        <v>45</v>
      </c>
      <c r="L131" s="697">
        <f>SUM(W124:W130)</f>
        <v>218.72</v>
      </c>
      <c r="M131" s="697"/>
      <c r="N131" s="697"/>
      <c r="O131" s="697"/>
    </row>
    <row r="132" spans="1:30" ht="15" x14ac:dyDescent="0.25">
      <c r="A132" s="691"/>
      <c r="B132" s="691"/>
      <c r="C132" s="692"/>
      <c r="D132" s="692" t="s">
        <v>91</v>
      </c>
      <c r="E132" s="693" t="s">
        <v>89</v>
      </c>
      <c r="F132" s="694">
        <f>175</f>
        <v>175</v>
      </c>
      <c r="G132" s="695"/>
      <c r="H132" s="696"/>
      <c r="I132" s="694"/>
      <c r="J132" s="697">
        <f>SUM(X124:X131)-J138</f>
        <v>0.28000000000000003</v>
      </c>
      <c r="K132" s="694">
        <f>157</f>
        <v>157</v>
      </c>
      <c r="L132" s="697">
        <f>SUM(Y124:Y131)-L138</f>
        <v>6.14</v>
      </c>
      <c r="M132" s="697"/>
      <c r="N132" s="697"/>
      <c r="O132" s="697"/>
    </row>
    <row r="133" spans="1:30" ht="15" x14ac:dyDescent="0.25">
      <c r="A133" s="691"/>
      <c r="B133" s="691"/>
      <c r="C133" s="692"/>
      <c r="D133" s="692" t="s">
        <v>92</v>
      </c>
      <c r="E133" s="693" t="s">
        <v>93</v>
      </c>
      <c r="F133" s="694">
        <f>[94]Source!AQ2745</f>
        <v>74.2</v>
      </c>
      <c r="G133" s="695"/>
      <c r="H133" s="696" t="str">
        <f>[94]Source!DI2745</f>
        <v/>
      </c>
      <c r="I133" s="694">
        <f>[94]Source!AV2745</f>
        <v>1.0669999999999999</v>
      </c>
      <c r="J133" s="697">
        <f>[94]Source!U2745</f>
        <v>1.06</v>
      </c>
      <c r="K133" s="694"/>
      <c r="L133" s="697"/>
      <c r="M133" s="697"/>
      <c r="N133" s="697"/>
      <c r="O133" s="697"/>
    </row>
    <row r="134" spans="1:30" ht="14.25" x14ac:dyDescent="0.2">
      <c r="I134" s="1067">
        <f>J125+J126+J128+J130+J131+J132+SUM(J129:J129)</f>
        <v>283.27999999999997</v>
      </c>
      <c r="J134" s="1067"/>
      <c r="K134" s="1067">
        <f>L125+L126+L128+L130+L131+L132+SUM(L129:L129)</f>
        <v>1882.27</v>
      </c>
      <c r="L134" s="1067"/>
      <c r="M134" s="735"/>
      <c r="N134" s="735"/>
      <c r="O134" s="735"/>
      <c r="R134" s="736">
        <f>J125+J126+J128+J130+J131+J132+SUM(J129:J129)</f>
        <v>283.27999999999997</v>
      </c>
      <c r="S134" s="736">
        <f>L125+L126+L128+L130+L131+L132+SUM(L129:L129)</f>
        <v>1882.27</v>
      </c>
      <c r="AA134" s="718">
        <f>IF([94]Source!BI2745&lt;=1,J125+J126+J128+J130+J131+J132-0, 0)</f>
        <v>72.180000000000007</v>
      </c>
      <c r="AB134" s="718">
        <f>IF([94]Source!BI2745=2,J125+J126+J128+J130+J131+J132-0, 0)</f>
        <v>0</v>
      </c>
      <c r="AC134" s="718">
        <f>IF([94]Source!BI2745=3,J125+J126+J128+J130+J131+J132-0, 0)</f>
        <v>0</v>
      </c>
      <c r="AD134" s="718">
        <f>IF([94]Source!BI2745=4,J125+J126+J128+J130+J131+J132,0)</f>
        <v>0</v>
      </c>
    </row>
    <row r="135" spans="1:30" ht="30" x14ac:dyDescent="0.25">
      <c r="A135" s="701"/>
      <c r="B135" s="701"/>
      <c r="C135" s="702"/>
      <c r="D135" s="702" t="s">
        <v>94</v>
      </c>
      <c r="E135" s="693"/>
      <c r="F135" s="703"/>
      <c r="G135" s="704"/>
      <c r="H135" s="693"/>
      <c r="I135" s="703"/>
      <c r="J135" s="700"/>
      <c r="K135" s="703"/>
      <c r="L135" s="700"/>
      <c r="M135" s="700"/>
      <c r="N135" s="700"/>
      <c r="O135" s="700"/>
    </row>
    <row r="136" spans="1:30" ht="15" x14ac:dyDescent="0.25">
      <c r="A136" s="701"/>
      <c r="B136" s="701"/>
      <c r="C136" s="702"/>
      <c r="D136" s="702" t="s">
        <v>85</v>
      </c>
      <c r="E136" s="693"/>
      <c r="F136" s="703"/>
      <c r="G136" s="704">
        <f t="shared" ref="G136:L136" si="4">G137</f>
        <v>11.34</v>
      </c>
      <c r="H136" s="705" t="str">
        <f t="shared" si="4"/>
        <v>)*(1.67-1)</v>
      </c>
      <c r="I136" s="703">
        <f t="shared" si="4"/>
        <v>1.0669999999999999</v>
      </c>
      <c r="J136" s="700">
        <f t="shared" si="4"/>
        <v>0.11</v>
      </c>
      <c r="K136" s="703">
        <f t="shared" si="4"/>
        <v>24.23</v>
      </c>
      <c r="L136" s="700">
        <f t="shared" si="4"/>
        <v>2.63</v>
      </c>
      <c r="M136" s="700"/>
      <c r="N136" s="700"/>
      <c r="O136" s="700"/>
    </row>
    <row r="137" spans="1:30" ht="15" x14ac:dyDescent="0.25">
      <c r="A137" s="701"/>
      <c r="B137" s="701"/>
      <c r="C137" s="702"/>
      <c r="D137" s="702" t="s">
        <v>86</v>
      </c>
      <c r="E137" s="693"/>
      <c r="F137" s="703"/>
      <c r="G137" s="704">
        <f>[94]Source!AN2745</f>
        <v>11.34</v>
      </c>
      <c r="H137" s="705" t="s">
        <v>95</v>
      </c>
      <c r="I137" s="703">
        <f>[94]Source!AV2745</f>
        <v>1.0669999999999999</v>
      </c>
      <c r="J137" s="700">
        <f>ROUND(F124*G137*I137*(1.67-1), 2)</f>
        <v>0.11</v>
      </c>
      <c r="K137" s="703">
        <f>IF([94]Source!BS2745&lt;&gt; 0, [94]Source!BS2745, 1)</f>
        <v>24.23</v>
      </c>
      <c r="L137" s="700">
        <f>ROUND(F124*G137*I137*(1.67-1)*K137, 2)</f>
        <v>2.63</v>
      </c>
      <c r="M137" s="700"/>
      <c r="N137" s="700"/>
      <c r="O137" s="700"/>
      <c r="Z137" s="718">
        <f>J137</f>
        <v>0.11</v>
      </c>
    </row>
    <row r="138" spans="1:30" ht="15" x14ac:dyDescent="0.25">
      <c r="A138" s="701"/>
      <c r="B138" s="701"/>
      <c r="C138" s="702"/>
      <c r="D138" s="702" t="s">
        <v>91</v>
      </c>
      <c r="E138" s="693" t="s">
        <v>89</v>
      </c>
      <c r="F138" s="703">
        <f>175</f>
        <v>175</v>
      </c>
      <c r="G138" s="704"/>
      <c r="H138" s="693"/>
      <c r="I138" s="703"/>
      <c r="J138" s="700">
        <f>ROUND(J137*(F138/100), 2)</f>
        <v>0.19</v>
      </c>
      <c r="K138" s="703">
        <f>157</f>
        <v>157</v>
      </c>
      <c r="L138" s="700">
        <f>ROUND(L137*(K138/100), 2)</f>
        <v>4.13</v>
      </c>
      <c r="M138" s="700"/>
      <c r="N138" s="700"/>
      <c r="O138" s="700"/>
    </row>
    <row r="139" spans="1:30" ht="14.25" x14ac:dyDescent="0.2">
      <c r="I139" s="1067">
        <f>J138+J137</f>
        <v>0.3</v>
      </c>
      <c r="J139" s="1067"/>
      <c r="K139" s="1067">
        <f>L138+L137</f>
        <v>6.76</v>
      </c>
      <c r="L139" s="1067"/>
      <c r="M139" s="735"/>
      <c r="N139" s="735"/>
      <c r="O139" s="735"/>
      <c r="R139" s="736">
        <f>I139</f>
        <v>0.3</v>
      </c>
      <c r="S139" s="736">
        <f>K139</f>
        <v>6.76</v>
      </c>
      <c r="AA139" s="718">
        <f>IF([94]Source!BI2745&lt;=1,I139, 0)</f>
        <v>0.3</v>
      </c>
      <c r="AB139" s="718">
        <f>IF([94]Source!BI2745=2,I139, 0)</f>
        <v>0</v>
      </c>
      <c r="AC139" s="718">
        <f>IF([94]Source!BI2745=3,I139, 0)</f>
        <v>0</v>
      </c>
      <c r="AD139" s="718">
        <f>IF([94]Source!BI2745=4,I139, 0)</f>
        <v>0</v>
      </c>
    </row>
    <row r="141" spans="1:30" ht="15" x14ac:dyDescent="0.25">
      <c r="A141" s="706"/>
      <c r="B141" s="706"/>
      <c r="C141" s="707"/>
      <c r="D141" s="707" t="s">
        <v>96</v>
      </c>
      <c r="E141" s="708"/>
      <c r="F141" s="709"/>
      <c r="G141" s="710"/>
      <c r="H141" s="711"/>
      <c r="I141" s="1067">
        <f>I134+I139</f>
        <v>283.58</v>
      </c>
      <c r="J141" s="1067"/>
      <c r="K141" s="1067">
        <f>K134+K139</f>
        <v>1889.03</v>
      </c>
      <c r="L141" s="1067"/>
      <c r="M141" s="735"/>
      <c r="N141" s="735"/>
      <c r="O141" s="735"/>
    </row>
    <row r="142" spans="1:30" ht="75" x14ac:dyDescent="0.25">
      <c r="A142" s="691">
        <v>12</v>
      </c>
      <c r="B142" s="691" t="str">
        <f>[94]Source!E2761</f>
        <v>447</v>
      </c>
      <c r="C142" s="692" t="str">
        <f>[94]Source!F2761</f>
        <v>3.20-1-7</v>
      </c>
      <c r="D142" s="692" t="s">
        <v>472</v>
      </c>
      <c r="E142" s="693" t="str">
        <f>[94]Source!H2761</f>
        <v>100 м2 поверхности воздуховодов</v>
      </c>
      <c r="F142" s="694">
        <f>[94]Source!I2761</f>
        <v>3.0999999999999999E-3</v>
      </c>
      <c r="G142" s="695"/>
      <c r="H142" s="696"/>
      <c r="I142" s="694"/>
      <c r="J142" s="697"/>
      <c r="K142" s="694"/>
      <c r="L142" s="697"/>
      <c r="M142" s="697"/>
      <c r="N142" s="697"/>
      <c r="O142" s="697"/>
      <c r="T142" s="718">
        <f>ROUND(([94]Source!DN2761/100)*ROUND((ROUND(([94]Source!AF2761*[94]Source!AV2761*[94]Source!I2761),2)),2), 2)</f>
        <v>9.5399999999999991</v>
      </c>
      <c r="U142" s="718">
        <f>[94]Source!X2761</f>
        <v>184.87</v>
      </c>
      <c r="V142" s="718">
        <f>ROUND(([94]Source!DO2761/100)*ROUND((ROUND(([94]Source!AF2761*[94]Source!AV2761*[94]Source!I2761),2)),2), 2)</f>
        <v>7.17</v>
      </c>
      <c r="W142" s="718">
        <f>[94]Source!Y2761</f>
        <v>83.19</v>
      </c>
      <c r="X142" s="718">
        <f>ROUND((175/100)*ROUND((ROUND(([94]Source!AE2761*[94]Source!AV2761*[94]Source!I2761),2)),2), 2)</f>
        <v>0.11</v>
      </c>
      <c r="Y142" s="718">
        <f>ROUND((157/100)*ROUND(ROUND((ROUND(([94]Source!AE2761*[94]Source!AV2761*[94]Source!I2761),2)*[94]Source!BS2761),2), 2), 2)</f>
        <v>2.2799999999999998</v>
      </c>
    </row>
    <row r="143" spans="1:30" ht="15" x14ac:dyDescent="0.25">
      <c r="A143" s="691"/>
      <c r="B143" s="691"/>
      <c r="C143" s="692"/>
      <c r="D143" s="692" t="s">
        <v>84</v>
      </c>
      <c r="E143" s="693"/>
      <c r="F143" s="694"/>
      <c r="G143" s="695">
        <f>[94]Source!AO2761</f>
        <v>1381.04</v>
      </c>
      <c r="H143" s="696" t="str">
        <f>[94]Source!DG2761</f>
        <v>)*1,67</v>
      </c>
      <c r="I143" s="694">
        <f>[94]Source!AV2761</f>
        <v>1.0669999999999999</v>
      </c>
      <c r="J143" s="697">
        <f>ROUND((ROUND(([94]Source!AF2761*[94]Source!AV2761*[94]Source!I2761),2)),2)</f>
        <v>7.63</v>
      </c>
      <c r="K143" s="694">
        <f>IF([94]Source!BA2761&lt;&gt; 0, [94]Source!BA2761, 1)</f>
        <v>24.23</v>
      </c>
      <c r="L143" s="697">
        <f>[94]Source!S2761</f>
        <v>184.87</v>
      </c>
      <c r="M143" s="697"/>
      <c r="N143" s="697"/>
      <c r="O143" s="697"/>
      <c r="Z143" s="718">
        <f>J143</f>
        <v>7.63</v>
      </c>
    </row>
    <row r="144" spans="1:30" ht="15" x14ac:dyDescent="0.25">
      <c r="A144" s="691"/>
      <c r="B144" s="691"/>
      <c r="C144" s="692"/>
      <c r="D144" s="692" t="s">
        <v>85</v>
      </c>
      <c r="E144" s="693"/>
      <c r="F144" s="694"/>
      <c r="G144" s="695">
        <f>[94]Source!AM2761</f>
        <v>87.08</v>
      </c>
      <c r="H144" s="696" t="str">
        <f>[94]Source!DE2761</f>
        <v/>
      </c>
      <c r="I144" s="694">
        <f>[94]Source!AV2761</f>
        <v>1.0669999999999999</v>
      </c>
      <c r="J144" s="697">
        <f>(ROUND((ROUND((([94]Source!ET2761)*[94]Source!AV2761*[94]Source!I2761),2)),2)+ROUND((ROUND((([94]Source!AE2761-([94]Source!EU2761))*[94]Source!AV2761*[94]Source!I2761),2)),2))-J154</f>
        <v>0.28999999999999998</v>
      </c>
      <c r="K144" s="694">
        <f>IF([94]Source!BB2761&lt;&gt; 0, [94]Source!BB2761, 1)</f>
        <v>8.61</v>
      </c>
      <c r="L144" s="697">
        <f>[94]Source!Q2761-L154</f>
        <v>2.41</v>
      </c>
      <c r="M144" s="697"/>
      <c r="N144" s="697"/>
      <c r="O144" s="697"/>
    </row>
    <row r="145" spans="1:30" ht="15" x14ac:dyDescent="0.25">
      <c r="A145" s="691"/>
      <c r="B145" s="691"/>
      <c r="C145" s="692"/>
      <c r="D145" s="692" t="s">
        <v>86</v>
      </c>
      <c r="E145" s="693"/>
      <c r="F145" s="694"/>
      <c r="G145" s="695">
        <f>[94]Source!AN2761</f>
        <v>10.58</v>
      </c>
      <c r="H145" s="696" t="str">
        <f>[94]Source!DE2761</f>
        <v/>
      </c>
      <c r="I145" s="694">
        <f>[94]Source!AV2761</f>
        <v>1.0669999999999999</v>
      </c>
      <c r="J145" s="700">
        <f>ROUND((ROUND(([94]Source!AE2761*[94]Source!AV2761*[94]Source!I2761),2)),2)-J155</f>
        <v>0.04</v>
      </c>
      <c r="K145" s="694">
        <f>IF([94]Source!BS2761&lt;&gt; 0, [94]Source!BS2761, 1)</f>
        <v>24.23</v>
      </c>
      <c r="L145" s="700">
        <f>[94]Source!R2761-L155</f>
        <v>0.88</v>
      </c>
      <c r="M145" s="700"/>
      <c r="N145" s="700"/>
      <c r="O145" s="700"/>
      <c r="Z145" s="718">
        <f>J145</f>
        <v>0.04</v>
      </c>
    </row>
    <row r="146" spans="1:30" ht="15" x14ac:dyDescent="0.25">
      <c r="A146" s="691"/>
      <c r="B146" s="691"/>
      <c r="C146" s="692"/>
      <c r="D146" s="692" t="s">
        <v>87</v>
      </c>
      <c r="E146" s="693"/>
      <c r="F146" s="694"/>
      <c r="G146" s="695">
        <f>[94]Source!AL2761</f>
        <v>417.44</v>
      </c>
      <c r="H146" s="696" t="str">
        <f>[94]Source!DD2761</f>
        <v/>
      </c>
      <c r="I146" s="694">
        <f>[94]Source!AW2761</f>
        <v>1</v>
      </c>
      <c r="J146" s="697">
        <f>ROUND((ROUND(([94]Source!AC2761*[94]Source!AW2761*[94]Source!I2761),2)),2)</f>
        <v>1.29</v>
      </c>
      <c r="K146" s="694">
        <f>IF([94]Source!BC2761&lt;&gt; 0, [94]Source!BC2761, 1)</f>
        <v>3.57</v>
      </c>
      <c r="L146" s="697">
        <f>[94]Source!P2761</f>
        <v>4.6100000000000003</v>
      </c>
      <c r="M146" s="697"/>
      <c r="N146" s="697"/>
      <c r="O146" s="697"/>
    </row>
    <row r="147" spans="1:30" ht="45" x14ac:dyDescent="0.25">
      <c r="A147" s="691">
        <v>13</v>
      </c>
      <c r="B147" s="691" t="str">
        <f>[94]Source!E2763</f>
        <v>447,1</v>
      </c>
      <c r="C147" s="692" t="str">
        <f>[94]Source!F2763</f>
        <v>1.19-3-7</v>
      </c>
      <c r="D147" s="692" t="s">
        <v>473</v>
      </c>
      <c r="E147" s="693" t="str">
        <f>[94]Source!H2763</f>
        <v>м2</v>
      </c>
      <c r="F147" s="694">
        <f>[94]Source!I2763</f>
        <v>0.31</v>
      </c>
      <c r="G147" s="695">
        <f>[94]Source!AK2763</f>
        <v>153.88999999999999</v>
      </c>
      <c r="H147" s="734" t="s">
        <v>42</v>
      </c>
      <c r="I147" s="694">
        <f>[94]Source!AW2763</f>
        <v>1</v>
      </c>
      <c r="J147" s="697">
        <f>ROUND((ROUND(([94]Source!AC2763*[94]Source!AW2763*[94]Source!I2763),2)),2)+(ROUND((ROUND((([94]Source!ET2763)*[94]Source!AV2763*[94]Source!I2763),2)),2)+ROUND((ROUND((([94]Source!AE2763-([94]Source!EU2763))*[94]Source!AV2763*[94]Source!I2763),2)),2))+ROUND((ROUND(([94]Source!AF2763*[94]Source!AV2763*[94]Source!I2763),2)),2)</f>
        <v>47.71</v>
      </c>
      <c r="K147" s="694">
        <f>IF([94]Source!BC2763&lt;&gt; 0, [94]Source!BC2763, 1)</f>
        <v>2.63</v>
      </c>
      <c r="L147" s="697">
        <f>[94]Source!O2763</f>
        <v>125.48</v>
      </c>
      <c r="M147" s="697"/>
      <c r="N147" s="697"/>
      <c r="O147" s="697"/>
      <c r="T147" s="718">
        <f>ROUND(([94]Source!DN2763/100)*ROUND((ROUND(([94]Source!AF2763*[94]Source!AV2763*[94]Source!I2763),2)),2), 2)</f>
        <v>0</v>
      </c>
      <c r="U147" s="718">
        <f>[94]Source!X2763</f>
        <v>0</v>
      </c>
      <c r="V147" s="718">
        <f>ROUND(([94]Source!DO2763/100)*ROUND((ROUND(([94]Source!AF2763*[94]Source!AV2763*[94]Source!I2763),2)),2), 2)</f>
        <v>0</v>
      </c>
      <c r="W147" s="718">
        <f>[94]Source!Y2763</f>
        <v>0</v>
      </c>
      <c r="X147" s="718">
        <f>ROUND((175/100)*ROUND((ROUND(([94]Source!AE2763*[94]Source!AV2763*[94]Source!I2763),2)),2), 2)</f>
        <v>0</v>
      </c>
      <c r="Y147" s="718">
        <f>ROUND((157/100)*ROUND(ROUND((ROUND(([94]Source!AE2763*[94]Source!AV2763*[94]Source!I2763),2)*[94]Source!BS2763),2), 2), 2)</f>
        <v>0</v>
      </c>
      <c r="AA147" s="718">
        <f>IF([94]Source!BI2763&lt;=1,J147, 0)</f>
        <v>47.71</v>
      </c>
      <c r="AB147" s="718">
        <f>IF([94]Source!BI2763=2,J147, 0)</f>
        <v>0</v>
      </c>
      <c r="AC147" s="718">
        <f>IF([94]Source!BI2763=3,J147, 0)</f>
        <v>0</v>
      </c>
      <c r="AD147" s="718">
        <f>IF([94]Source!BI2763=4,J147, 0)</f>
        <v>0</v>
      </c>
    </row>
    <row r="148" spans="1:30" ht="15" x14ac:dyDescent="0.25">
      <c r="A148" s="691"/>
      <c r="B148" s="691"/>
      <c r="C148" s="692"/>
      <c r="D148" s="692" t="s">
        <v>88</v>
      </c>
      <c r="E148" s="693" t="s">
        <v>89</v>
      </c>
      <c r="F148" s="694">
        <f>[94]Source!DN2761</f>
        <v>125</v>
      </c>
      <c r="G148" s="695"/>
      <c r="H148" s="696"/>
      <c r="I148" s="694"/>
      <c r="J148" s="697">
        <f>SUM(T142:T147)</f>
        <v>9.5399999999999991</v>
      </c>
      <c r="K148" s="694">
        <f>[94]Source!BZ2761</f>
        <v>100</v>
      </c>
      <c r="L148" s="697">
        <f>SUM(U142:U147)</f>
        <v>184.87</v>
      </c>
      <c r="M148" s="697"/>
      <c r="N148" s="697"/>
      <c r="O148" s="697"/>
    </row>
    <row r="149" spans="1:30" ht="15" x14ac:dyDescent="0.25">
      <c r="A149" s="691"/>
      <c r="B149" s="691"/>
      <c r="C149" s="692"/>
      <c r="D149" s="692" t="s">
        <v>90</v>
      </c>
      <c r="E149" s="693" t="s">
        <v>89</v>
      </c>
      <c r="F149" s="694">
        <f>[94]Source!DO2761</f>
        <v>94</v>
      </c>
      <c r="G149" s="695"/>
      <c r="H149" s="696"/>
      <c r="I149" s="694"/>
      <c r="J149" s="697">
        <f>SUM(V142:V148)</f>
        <v>7.17</v>
      </c>
      <c r="K149" s="694">
        <f>[94]Source!CA2761</f>
        <v>45</v>
      </c>
      <c r="L149" s="697">
        <f>SUM(W142:W148)</f>
        <v>83.19</v>
      </c>
      <c r="M149" s="697"/>
      <c r="N149" s="697"/>
      <c r="O149" s="697"/>
    </row>
    <row r="150" spans="1:30" ht="15" x14ac:dyDescent="0.25">
      <c r="A150" s="691"/>
      <c r="B150" s="691"/>
      <c r="C150" s="692"/>
      <c r="D150" s="692" t="s">
        <v>91</v>
      </c>
      <c r="E150" s="693" t="s">
        <v>89</v>
      </c>
      <c r="F150" s="694">
        <f>175</f>
        <v>175</v>
      </c>
      <c r="G150" s="695"/>
      <c r="H150" s="696"/>
      <c r="I150" s="694"/>
      <c r="J150" s="697">
        <f>SUM(X142:X149)-J156</f>
        <v>7.0000000000000007E-2</v>
      </c>
      <c r="K150" s="694">
        <f>157</f>
        <v>157</v>
      </c>
      <c r="L150" s="697">
        <f>SUM(Y142:Y149)-L156</f>
        <v>1.39</v>
      </c>
      <c r="M150" s="697"/>
      <c r="N150" s="697"/>
      <c r="O150" s="697"/>
    </row>
    <row r="151" spans="1:30" ht="15" x14ac:dyDescent="0.25">
      <c r="A151" s="691"/>
      <c r="B151" s="691"/>
      <c r="C151" s="692"/>
      <c r="D151" s="692" t="s">
        <v>92</v>
      </c>
      <c r="E151" s="693" t="s">
        <v>93</v>
      </c>
      <c r="F151" s="694">
        <f>[94]Source!AQ2761</f>
        <v>122</v>
      </c>
      <c r="G151" s="695"/>
      <c r="H151" s="696" t="str">
        <f>[94]Source!DI2761</f>
        <v/>
      </c>
      <c r="I151" s="694">
        <f>[94]Source!AV2761</f>
        <v>1.0669999999999999</v>
      </c>
      <c r="J151" s="697">
        <f>[94]Source!U2761</f>
        <v>0.4</v>
      </c>
      <c r="K151" s="694"/>
      <c r="L151" s="697"/>
      <c r="M151" s="697"/>
      <c r="N151" s="697"/>
      <c r="O151" s="697"/>
    </row>
    <row r="152" spans="1:30" ht="14.25" x14ac:dyDescent="0.2">
      <c r="I152" s="1067">
        <f>J143+J144+J146+J148+J149+J150+SUM(J147:J147)</f>
        <v>73.7</v>
      </c>
      <c r="J152" s="1067"/>
      <c r="K152" s="1067">
        <f>L143+L144+L146+L148+L149+L150+SUM(L147:L147)</f>
        <v>586.82000000000005</v>
      </c>
      <c r="L152" s="1067"/>
      <c r="M152" s="735"/>
      <c r="N152" s="735"/>
      <c r="O152" s="735"/>
      <c r="R152" s="736">
        <f>J143+J144+J146+J148+J149+J150+SUM(J147:J147)</f>
        <v>73.7</v>
      </c>
      <c r="S152" s="736">
        <f>L143+L144+L146+L148+L149+L150+SUM(L147:L147)</f>
        <v>586.82000000000005</v>
      </c>
      <c r="AA152" s="718">
        <f>IF([94]Source!BI2761&lt;=1,J143+J144+J146+J148+J149+J150-0, 0)</f>
        <v>25.99</v>
      </c>
      <c r="AB152" s="718">
        <f>IF([94]Source!BI2761=2,J143+J144+J146+J148+J149+J150-0, 0)</f>
        <v>0</v>
      </c>
      <c r="AC152" s="718">
        <f>IF([94]Source!BI2761=3,J143+J144+J146+J148+J149+J150-0, 0)</f>
        <v>0</v>
      </c>
      <c r="AD152" s="718">
        <f>IF([94]Source!BI2761=4,J143+J144+J146+J148+J149+J150,0)</f>
        <v>0</v>
      </c>
    </row>
    <row r="153" spans="1:30" ht="30" x14ac:dyDescent="0.25">
      <c r="A153" s="701"/>
      <c r="B153" s="701"/>
      <c r="C153" s="702"/>
      <c r="D153" s="702" t="s">
        <v>94</v>
      </c>
      <c r="E153" s="693"/>
      <c r="F153" s="703"/>
      <c r="G153" s="704"/>
      <c r="H153" s="693"/>
      <c r="I153" s="703"/>
      <c r="J153" s="700"/>
      <c r="K153" s="703"/>
      <c r="L153" s="700"/>
      <c r="M153" s="700"/>
      <c r="N153" s="700"/>
      <c r="O153" s="700"/>
    </row>
    <row r="154" spans="1:30" ht="15" x14ac:dyDescent="0.25">
      <c r="A154" s="701"/>
      <c r="B154" s="701"/>
      <c r="C154" s="702"/>
      <c r="D154" s="702" t="s">
        <v>85</v>
      </c>
      <c r="E154" s="693"/>
      <c r="F154" s="703"/>
      <c r="G154" s="704">
        <f t="shared" ref="G154:L154" si="5">G155</f>
        <v>10.58</v>
      </c>
      <c r="H154" s="705" t="str">
        <f t="shared" si="5"/>
        <v>)*(1.67-1)</v>
      </c>
      <c r="I154" s="703">
        <f t="shared" si="5"/>
        <v>1.0669999999999999</v>
      </c>
      <c r="J154" s="700">
        <f t="shared" si="5"/>
        <v>0.02</v>
      </c>
      <c r="K154" s="703">
        <f t="shared" si="5"/>
        <v>24.23</v>
      </c>
      <c r="L154" s="700">
        <f t="shared" si="5"/>
        <v>0.56999999999999995</v>
      </c>
      <c r="M154" s="700"/>
      <c r="N154" s="700"/>
      <c r="O154" s="700"/>
    </row>
    <row r="155" spans="1:30" ht="15" x14ac:dyDescent="0.25">
      <c r="A155" s="701"/>
      <c r="B155" s="701"/>
      <c r="C155" s="702"/>
      <c r="D155" s="702" t="s">
        <v>86</v>
      </c>
      <c r="E155" s="693"/>
      <c r="F155" s="703"/>
      <c r="G155" s="704">
        <f>[94]Source!AN2761</f>
        <v>10.58</v>
      </c>
      <c r="H155" s="705" t="s">
        <v>95</v>
      </c>
      <c r="I155" s="703">
        <f>[94]Source!AV2761</f>
        <v>1.0669999999999999</v>
      </c>
      <c r="J155" s="700">
        <f>ROUND(F142*G155*I155*(1.67-1), 2)</f>
        <v>0.02</v>
      </c>
      <c r="K155" s="703">
        <f>IF([94]Source!BS2761&lt;&gt; 0, [94]Source!BS2761, 1)</f>
        <v>24.23</v>
      </c>
      <c r="L155" s="700">
        <f>ROUND(F142*G155*I155*(1.67-1)*K155, 2)</f>
        <v>0.56999999999999995</v>
      </c>
      <c r="M155" s="700"/>
      <c r="N155" s="700"/>
      <c r="O155" s="700"/>
      <c r="Z155" s="718">
        <f>J155</f>
        <v>0.02</v>
      </c>
    </row>
    <row r="156" spans="1:30" ht="15" x14ac:dyDescent="0.25">
      <c r="A156" s="701"/>
      <c r="B156" s="701"/>
      <c r="C156" s="702"/>
      <c r="D156" s="702" t="s">
        <v>91</v>
      </c>
      <c r="E156" s="693" t="s">
        <v>89</v>
      </c>
      <c r="F156" s="703">
        <f>175</f>
        <v>175</v>
      </c>
      <c r="G156" s="704"/>
      <c r="H156" s="693"/>
      <c r="I156" s="703"/>
      <c r="J156" s="700">
        <f>ROUND(J155*(F156/100), 2)</f>
        <v>0.04</v>
      </c>
      <c r="K156" s="703">
        <f>157</f>
        <v>157</v>
      </c>
      <c r="L156" s="700">
        <f>ROUND(L155*(K156/100), 2)</f>
        <v>0.89</v>
      </c>
      <c r="M156" s="700"/>
      <c r="N156" s="700"/>
      <c r="O156" s="700"/>
    </row>
    <row r="157" spans="1:30" ht="14.25" x14ac:dyDescent="0.2">
      <c r="I157" s="1067">
        <f>J156+J155</f>
        <v>0.06</v>
      </c>
      <c r="J157" s="1067"/>
      <c r="K157" s="1067">
        <f>L156+L155</f>
        <v>1.46</v>
      </c>
      <c r="L157" s="1067"/>
      <c r="M157" s="735"/>
      <c r="N157" s="735"/>
      <c r="O157" s="735"/>
      <c r="R157" s="736">
        <f>I157</f>
        <v>0.06</v>
      </c>
      <c r="S157" s="736">
        <f>K157</f>
        <v>1.46</v>
      </c>
      <c r="AA157" s="718">
        <f>IF([94]Source!BI2761&lt;=1,I157, 0)</f>
        <v>0.06</v>
      </c>
      <c r="AB157" s="718">
        <f>IF([94]Source!BI2761=2,I157, 0)</f>
        <v>0</v>
      </c>
      <c r="AC157" s="718">
        <f>IF([94]Source!BI2761=3,I157, 0)</f>
        <v>0</v>
      </c>
      <c r="AD157" s="718">
        <f>IF([94]Source!BI2761=4,I157, 0)</f>
        <v>0</v>
      </c>
    </row>
    <row r="159" spans="1:30" ht="15" x14ac:dyDescent="0.25">
      <c r="A159" s="706"/>
      <c r="B159" s="706"/>
      <c r="C159" s="707"/>
      <c r="D159" s="707" t="s">
        <v>96</v>
      </c>
      <c r="E159" s="708"/>
      <c r="F159" s="709"/>
      <c r="G159" s="710"/>
      <c r="H159" s="711"/>
      <c r="I159" s="1067">
        <f>I152+I157</f>
        <v>73.760000000000005</v>
      </c>
      <c r="J159" s="1067"/>
      <c r="K159" s="1067">
        <f>K152+K157</f>
        <v>588.28</v>
      </c>
      <c r="L159" s="1067"/>
      <c r="M159" s="735"/>
      <c r="N159" s="735"/>
      <c r="O159" s="735"/>
    </row>
    <row r="160" spans="1:30" ht="75" x14ac:dyDescent="0.25">
      <c r="A160" s="691">
        <v>14</v>
      </c>
      <c r="B160" s="691" t="str">
        <f>[94]Source!E2771</f>
        <v>451</v>
      </c>
      <c r="C160" s="692" t="str">
        <f>[94]Source!F2771</f>
        <v>3.20-1-11</v>
      </c>
      <c r="D160" s="692" t="s">
        <v>470</v>
      </c>
      <c r="E160" s="693" t="str">
        <f>[94]Source!H2771</f>
        <v>100 м2 поверхности воздуховодов</v>
      </c>
      <c r="F160" s="694">
        <f>[94]Source!I2771</f>
        <v>0.11119999999999999</v>
      </c>
      <c r="G160" s="695"/>
      <c r="H160" s="696"/>
      <c r="I160" s="694"/>
      <c r="J160" s="697"/>
      <c r="K160" s="694"/>
      <c r="L160" s="697"/>
      <c r="M160" s="697"/>
      <c r="N160" s="697"/>
      <c r="O160" s="697"/>
      <c r="T160" s="718">
        <f>ROUND(([94]Source!DN2771/100)*ROUND((ROUND(([94]Source!AF2771*[94]Source!AV2771*[94]Source!I2771),2)),2), 2)</f>
        <v>257.39</v>
      </c>
      <c r="U160" s="718">
        <f>[94]Source!X2771</f>
        <v>4989.2</v>
      </c>
      <c r="V160" s="718">
        <f>ROUND(([94]Source!DO2771/100)*ROUND((ROUND(([94]Source!AF2771*[94]Source!AV2771*[94]Source!I2771),2)),2), 2)</f>
        <v>193.56</v>
      </c>
      <c r="W160" s="718">
        <f>[94]Source!Y2771</f>
        <v>2245.14</v>
      </c>
      <c r="X160" s="718">
        <f>ROUND((175/100)*ROUND((ROUND(([94]Source!AE2771*[94]Source!AV2771*[94]Source!I2771),2)),2), 2)</f>
        <v>3.71</v>
      </c>
      <c r="Y160" s="718">
        <f>ROUND((157/100)*ROUND(ROUND((ROUND(([94]Source!AE2771*[94]Source!AV2771*[94]Source!I2771),2)*[94]Source!BS2771),2), 2), 2)</f>
        <v>80.650000000000006</v>
      </c>
    </row>
    <row r="161" spans="1:30" ht="15" x14ac:dyDescent="0.25">
      <c r="A161" s="691"/>
      <c r="B161" s="691"/>
      <c r="C161" s="692"/>
      <c r="D161" s="692" t="s">
        <v>84</v>
      </c>
      <c r="E161" s="693"/>
      <c r="F161" s="694"/>
      <c r="G161" s="695">
        <f>[94]Source!AO2771</f>
        <v>1039.18</v>
      </c>
      <c r="H161" s="696" t="str">
        <f>[94]Source!DG2771</f>
        <v>)*1,67</v>
      </c>
      <c r="I161" s="694">
        <f>[94]Source!AV2771</f>
        <v>1.0669999999999999</v>
      </c>
      <c r="J161" s="697">
        <f>ROUND((ROUND(([94]Source!AF2771*[94]Source!AV2771*[94]Source!I2771),2)),2)</f>
        <v>205.91</v>
      </c>
      <c r="K161" s="694">
        <f>IF([94]Source!BA2771&lt;&gt; 0, [94]Source!BA2771, 1)</f>
        <v>24.23</v>
      </c>
      <c r="L161" s="697">
        <f>[94]Source!S2771</f>
        <v>4989.2</v>
      </c>
      <c r="M161" s="697"/>
      <c r="N161" s="697"/>
      <c r="O161" s="697"/>
      <c r="Z161" s="718">
        <f>J161</f>
        <v>205.91</v>
      </c>
    </row>
    <row r="162" spans="1:30" ht="15" x14ac:dyDescent="0.25">
      <c r="A162" s="691"/>
      <c r="B162" s="691"/>
      <c r="C162" s="692"/>
      <c r="D162" s="692" t="s">
        <v>85</v>
      </c>
      <c r="E162" s="693"/>
      <c r="F162" s="694"/>
      <c r="G162" s="695">
        <f>[94]Source!AM2771</f>
        <v>87.46</v>
      </c>
      <c r="H162" s="696" t="str">
        <f>[94]Source!DE2771</f>
        <v/>
      </c>
      <c r="I162" s="694">
        <f>[94]Source!AV2771</f>
        <v>1.0669999999999999</v>
      </c>
      <c r="J162" s="697">
        <f>(ROUND((ROUND((([94]Source!ET2771)*[94]Source!AV2771*[94]Source!I2771),2)),2)+ROUND((ROUND((([94]Source!AE2771-([94]Source!EU2771))*[94]Source!AV2771*[94]Source!I2771),2)),2))-J172</f>
        <v>10.38</v>
      </c>
      <c r="K162" s="694">
        <f>IF([94]Source!BB2771&lt;&gt; 0, [94]Source!BB2771, 1)</f>
        <v>8.6</v>
      </c>
      <c r="L162" s="697">
        <f>[94]Source!Q2771-L172</f>
        <v>89.28</v>
      </c>
      <c r="M162" s="697"/>
      <c r="N162" s="697"/>
      <c r="O162" s="697"/>
    </row>
    <row r="163" spans="1:30" ht="15" x14ac:dyDescent="0.25">
      <c r="A163" s="691"/>
      <c r="B163" s="691"/>
      <c r="C163" s="692"/>
      <c r="D163" s="692" t="s">
        <v>86</v>
      </c>
      <c r="E163" s="693"/>
      <c r="F163" s="694"/>
      <c r="G163" s="695">
        <f>[94]Source!AN2771</f>
        <v>10.69</v>
      </c>
      <c r="H163" s="696" t="str">
        <f>[94]Source!DE2771</f>
        <v/>
      </c>
      <c r="I163" s="694">
        <f>[94]Source!AV2771</f>
        <v>1.0669999999999999</v>
      </c>
      <c r="J163" s="700">
        <f>ROUND((ROUND(([94]Source!AE2771*[94]Source!AV2771*[94]Source!I2771),2)),2)-J173</f>
        <v>1.27</v>
      </c>
      <c r="K163" s="694">
        <f>IF([94]Source!BS2771&lt;&gt; 0, [94]Source!BS2771, 1)</f>
        <v>24.23</v>
      </c>
      <c r="L163" s="700">
        <f>[94]Source!R2771-L173</f>
        <v>30.78</v>
      </c>
      <c r="M163" s="700"/>
      <c r="N163" s="700"/>
      <c r="O163" s="700"/>
      <c r="Z163" s="718">
        <f>J163</f>
        <v>1.27</v>
      </c>
    </row>
    <row r="164" spans="1:30" ht="15" x14ac:dyDescent="0.25">
      <c r="A164" s="691"/>
      <c r="B164" s="691"/>
      <c r="C164" s="692"/>
      <c r="D164" s="692" t="s">
        <v>87</v>
      </c>
      <c r="E164" s="693"/>
      <c r="F164" s="694"/>
      <c r="G164" s="695">
        <f>[94]Source!AL2771</f>
        <v>409.71</v>
      </c>
      <c r="H164" s="696" t="str">
        <f>[94]Source!DD2771</f>
        <v/>
      </c>
      <c r="I164" s="694">
        <f>[94]Source!AW2771</f>
        <v>1</v>
      </c>
      <c r="J164" s="697">
        <f>ROUND((ROUND(([94]Source!AC2771*[94]Source!AW2771*[94]Source!I2771),2)),2)</f>
        <v>45.56</v>
      </c>
      <c r="K164" s="694">
        <f>IF([94]Source!BC2771&lt;&gt; 0, [94]Source!BC2771, 1)</f>
        <v>3.31</v>
      </c>
      <c r="L164" s="697">
        <f>[94]Source!P2771</f>
        <v>150.80000000000001</v>
      </c>
      <c r="M164" s="697"/>
      <c r="N164" s="697"/>
      <c r="O164" s="697"/>
    </row>
    <row r="165" spans="1:30" ht="45" x14ac:dyDescent="0.25">
      <c r="A165" s="691">
        <v>15</v>
      </c>
      <c r="B165" s="691" t="str">
        <f>[94]Source!E2773</f>
        <v>451,1</v>
      </c>
      <c r="C165" s="692" t="str">
        <f>[94]Source!F2773</f>
        <v>1.19-3-13</v>
      </c>
      <c r="D165" s="692" t="s">
        <v>469</v>
      </c>
      <c r="E165" s="693" t="str">
        <f>[94]Source!H2773</f>
        <v>м2</v>
      </c>
      <c r="F165" s="694">
        <f>[94]Source!I2773</f>
        <v>11.12</v>
      </c>
      <c r="G165" s="695">
        <f>[94]Source!AK2773</f>
        <v>157.54</v>
      </c>
      <c r="H165" s="734" t="s">
        <v>42</v>
      </c>
      <c r="I165" s="694">
        <f>[94]Source!AW2773</f>
        <v>1</v>
      </c>
      <c r="J165" s="697">
        <f>ROUND((ROUND(([94]Source!AC2773*[94]Source!AW2773*[94]Source!I2773),2)),2)+(ROUND((ROUND((([94]Source!ET2773)*[94]Source!AV2773*[94]Source!I2773),2)),2)+ROUND((ROUND((([94]Source!AE2773-([94]Source!EU2773))*[94]Source!AV2773*[94]Source!I2773),2)),2))+ROUND((ROUND(([94]Source!AF2773*[94]Source!AV2773*[94]Source!I2773),2)),2)</f>
        <v>1751.84</v>
      </c>
      <c r="K165" s="694">
        <f>IF([94]Source!BC2773&lt;&gt; 0, [94]Source!BC2773, 1)</f>
        <v>3.07</v>
      </c>
      <c r="L165" s="697">
        <f>[94]Source!O2773</f>
        <v>5378.15</v>
      </c>
      <c r="M165" s="697"/>
      <c r="N165" s="697"/>
      <c r="O165" s="697"/>
      <c r="T165" s="718">
        <f>ROUND(([94]Source!DN2773/100)*ROUND((ROUND(([94]Source!AF2773*[94]Source!AV2773*[94]Source!I2773),2)),2), 2)</f>
        <v>0</v>
      </c>
      <c r="U165" s="718">
        <f>[94]Source!X2773</f>
        <v>0</v>
      </c>
      <c r="V165" s="718">
        <f>ROUND(([94]Source!DO2773/100)*ROUND((ROUND(([94]Source!AF2773*[94]Source!AV2773*[94]Source!I2773),2)),2), 2)</f>
        <v>0</v>
      </c>
      <c r="W165" s="718">
        <f>[94]Source!Y2773</f>
        <v>0</v>
      </c>
      <c r="X165" s="718">
        <f>ROUND((175/100)*ROUND((ROUND(([94]Source!AE2773*[94]Source!AV2773*[94]Source!I2773),2)),2), 2)</f>
        <v>0</v>
      </c>
      <c r="Y165" s="718">
        <f>ROUND((157/100)*ROUND(ROUND((ROUND(([94]Source!AE2773*[94]Source!AV2773*[94]Source!I2773),2)*[94]Source!BS2773),2), 2), 2)</f>
        <v>0</v>
      </c>
      <c r="AA165" s="718">
        <f>IF([94]Source!BI2773&lt;=1,J165, 0)</f>
        <v>1751.84</v>
      </c>
      <c r="AB165" s="718">
        <f>IF([94]Source!BI2773=2,J165, 0)</f>
        <v>0</v>
      </c>
      <c r="AC165" s="718">
        <f>IF([94]Source!BI2773=3,J165, 0)</f>
        <v>0</v>
      </c>
      <c r="AD165" s="718">
        <f>IF([94]Source!BI2773=4,J165, 0)</f>
        <v>0</v>
      </c>
    </row>
    <row r="166" spans="1:30" ht="15" x14ac:dyDescent="0.25">
      <c r="A166" s="691"/>
      <c r="B166" s="691"/>
      <c r="C166" s="692"/>
      <c r="D166" s="692" t="s">
        <v>88</v>
      </c>
      <c r="E166" s="693" t="s">
        <v>89</v>
      </c>
      <c r="F166" s="694">
        <f>[94]Source!DN2771</f>
        <v>125</v>
      </c>
      <c r="G166" s="695"/>
      <c r="H166" s="696"/>
      <c r="I166" s="694"/>
      <c r="J166" s="697">
        <f>SUM(T160:T165)</f>
        <v>257.39</v>
      </c>
      <c r="K166" s="694">
        <f>[94]Source!BZ2771</f>
        <v>100</v>
      </c>
      <c r="L166" s="697">
        <f>SUM(U160:U165)</f>
        <v>4989.2</v>
      </c>
      <c r="M166" s="697"/>
      <c r="N166" s="697"/>
      <c r="O166" s="697"/>
    </row>
    <row r="167" spans="1:30" ht="15" x14ac:dyDescent="0.25">
      <c r="A167" s="691"/>
      <c r="B167" s="691"/>
      <c r="C167" s="692"/>
      <c r="D167" s="692" t="s">
        <v>90</v>
      </c>
      <c r="E167" s="693" t="s">
        <v>89</v>
      </c>
      <c r="F167" s="694">
        <f>[94]Source!DO2771</f>
        <v>94</v>
      </c>
      <c r="G167" s="695"/>
      <c r="H167" s="696"/>
      <c r="I167" s="694"/>
      <c r="J167" s="697">
        <f>SUM(V160:V166)</f>
        <v>193.56</v>
      </c>
      <c r="K167" s="694">
        <f>[94]Source!CA2771</f>
        <v>45</v>
      </c>
      <c r="L167" s="697">
        <f>SUM(W160:W166)</f>
        <v>2245.14</v>
      </c>
      <c r="M167" s="697"/>
      <c r="N167" s="697"/>
      <c r="O167" s="697"/>
    </row>
    <row r="168" spans="1:30" ht="15" x14ac:dyDescent="0.25">
      <c r="A168" s="691"/>
      <c r="B168" s="691"/>
      <c r="C168" s="692"/>
      <c r="D168" s="692" t="s">
        <v>91</v>
      </c>
      <c r="E168" s="693" t="s">
        <v>89</v>
      </c>
      <c r="F168" s="694">
        <f>175</f>
        <v>175</v>
      </c>
      <c r="G168" s="695"/>
      <c r="H168" s="696"/>
      <c r="I168" s="694"/>
      <c r="J168" s="697">
        <f>SUM(X160:X167)-J174</f>
        <v>2.2200000000000002</v>
      </c>
      <c r="K168" s="694">
        <f>157</f>
        <v>157</v>
      </c>
      <c r="L168" s="697">
        <f>SUM(Y160:Y167)-L174</f>
        <v>48.32</v>
      </c>
      <c r="M168" s="697"/>
      <c r="N168" s="697"/>
      <c r="O168" s="697"/>
    </row>
    <row r="169" spans="1:30" ht="15" x14ac:dyDescent="0.25">
      <c r="A169" s="691"/>
      <c r="B169" s="691"/>
      <c r="C169" s="692"/>
      <c r="D169" s="692" t="s">
        <v>92</v>
      </c>
      <c r="E169" s="693" t="s">
        <v>93</v>
      </c>
      <c r="F169" s="694">
        <f>[94]Source!AQ2771</f>
        <v>91.8</v>
      </c>
      <c r="G169" s="695"/>
      <c r="H169" s="696" t="str">
        <f>[94]Source!DI2771</f>
        <v/>
      </c>
      <c r="I169" s="694">
        <f>[94]Source!AV2771</f>
        <v>1.0669999999999999</v>
      </c>
      <c r="J169" s="697">
        <f>[94]Source!U2771</f>
        <v>10.89</v>
      </c>
      <c r="K169" s="694"/>
      <c r="L169" s="697"/>
      <c r="M169" s="697"/>
      <c r="N169" s="697"/>
      <c r="O169" s="697"/>
    </row>
    <row r="170" spans="1:30" ht="14.25" x14ac:dyDescent="0.2">
      <c r="I170" s="1067">
        <f>J161+J162+J164+J166+J167+J168+SUM(J165:J165)</f>
        <v>2466.86</v>
      </c>
      <c r="J170" s="1067"/>
      <c r="K170" s="1067">
        <f>L161+L162+L164+L166+L167+L168+SUM(L165:L165)</f>
        <v>17890.09</v>
      </c>
      <c r="L170" s="1067"/>
      <c r="M170" s="735"/>
      <c r="N170" s="735"/>
      <c r="O170" s="735"/>
      <c r="R170" s="736">
        <f>J161+J162+J164+J166+J167+J168+SUM(J165:J165)</f>
        <v>2466.86</v>
      </c>
      <c r="S170" s="736">
        <f>L161+L162+L164+L166+L167+L168+SUM(L165:L165)</f>
        <v>17890.09</v>
      </c>
      <c r="AA170" s="718">
        <f>IF([94]Source!BI2771&lt;=1,J161+J162+J164+J166+J167+J168-0, 0)</f>
        <v>715.02</v>
      </c>
      <c r="AB170" s="718">
        <f>IF([94]Source!BI2771=2,J161+J162+J164+J166+J167+J168-0, 0)</f>
        <v>0</v>
      </c>
      <c r="AC170" s="718">
        <f>IF([94]Source!BI2771=3,J161+J162+J164+J166+J167+J168-0, 0)</f>
        <v>0</v>
      </c>
      <c r="AD170" s="718">
        <f>IF([94]Source!BI2771=4,J161+J162+J164+J166+J167+J168,0)</f>
        <v>0</v>
      </c>
    </row>
    <row r="171" spans="1:30" ht="30" x14ac:dyDescent="0.25">
      <c r="A171" s="701"/>
      <c r="B171" s="701"/>
      <c r="C171" s="702"/>
      <c r="D171" s="702" t="s">
        <v>94</v>
      </c>
      <c r="E171" s="693"/>
      <c r="F171" s="703"/>
      <c r="G171" s="704"/>
      <c r="H171" s="693"/>
      <c r="I171" s="703"/>
      <c r="J171" s="700"/>
      <c r="K171" s="703"/>
      <c r="L171" s="700"/>
      <c r="M171" s="700"/>
      <c r="N171" s="700"/>
      <c r="O171" s="700"/>
    </row>
    <row r="172" spans="1:30" ht="15" x14ac:dyDescent="0.25">
      <c r="A172" s="701"/>
      <c r="B172" s="701"/>
      <c r="C172" s="702"/>
      <c r="D172" s="702" t="s">
        <v>85</v>
      </c>
      <c r="E172" s="693"/>
      <c r="F172" s="703"/>
      <c r="G172" s="704">
        <f t="shared" ref="G172:L172" si="6">G173</f>
        <v>10.69</v>
      </c>
      <c r="H172" s="705" t="str">
        <f t="shared" si="6"/>
        <v>)*(1.67-1)</v>
      </c>
      <c r="I172" s="703">
        <f t="shared" si="6"/>
        <v>1.0669999999999999</v>
      </c>
      <c r="J172" s="700">
        <f t="shared" si="6"/>
        <v>0.85</v>
      </c>
      <c r="K172" s="703">
        <f t="shared" si="6"/>
        <v>24.23</v>
      </c>
      <c r="L172" s="700">
        <f t="shared" si="6"/>
        <v>20.59</v>
      </c>
      <c r="M172" s="700"/>
      <c r="N172" s="700"/>
      <c r="O172" s="700"/>
    </row>
    <row r="173" spans="1:30" ht="15" x14ac:dyDescent="0.25">
      <c r="A173" s="701"/>
      <c r="B173" s="701"/>
      <c r="C173" s="702"/>
      <c r="D173" s="702" t="s">
        <v>86</v>
      </c>
      <c r="E173" s="693"/>
      <c r="F173" s="703"/>
      <c r="G173" s="704">
        <f>[94]Source!AN2771</f>
        <v>10.69</v>
      </c>
      <c r="H173" s="705" t="s">
        <v>95</v>
      </c>
      <c r="I173" s="703">
        <f>[94]Source!AV2771</f>
        <v>1.0669999999999999</v>
      </c>
      <c r="J173" s="700">
        <f>ROUND(F160*G173*I173*(1.67-1), 2)</f>
        <v>0.85</v>
      </c>
      <c r="K173" s="703">
        <f>IF([94]Source!BS2771&lt;&gt; 0, [94]Source!BS2771, 1)</f>
        <v>24.23</v>
      </c>
      <c r="L173" s="700">
        <f>ROUND(F160*G173*I173*(1.67-1)*K173, 2)</f>
        <v>20.59</v>
      </c>
      <c r="M173" s="700"/>
      <c r="N173" s="700"/>
      <c r="O173" s="700"/>
      <c r="Z173" s="718">
        <f>J173</f>
        <v>0.85</v>
      </c>
    </row>
    <row r="174" spans="1:30" ht="15" x14ac:dyDescent="0.25">
      <c r="A174" s="701"/>
      <c r="B174" s="701"/>
      <c r="C174" s="702"/>
      <c r="D174" s="702" t="s">
        <v>91</v>
      </c>
      <c r="E174" s="693" t="s">
        <v>89</v>
      </c>
      <c r="F174" s="703">
        <f>175</f>
        <v>175</v>
      </c>
      <c r="G174" s="704"/>
      <c r="H174" s="693"/>
      <c r="I174" s="703"/>
      <c r="J174" s="700">
        <f>ROUND(J173*(F174/100), 2)</f>
        <v>1.49</v>
      </c>
      <c r="K174" s="703">
        <f>157</f>
        <v>157</v>
      </c>
      <c r="L174" s="700">
        <f>ROUND(L173*(K174/100), 2)</f>
        <v>32.33</v>
      </c>
      <c r="M174" s="700"/>
      <c r="N174" s="700"/>
      <c r="O174" s="700"/>
    </row>
    <row r="175" spans="1:30" ht="14.25" x14ac:dyDescent="0.2">
      <c r="I175" s="1067">
        <f>J174+J173</f>
        <v>2.34</v>
      </c>
      <c r="J175" s="1067"/>
      <c r="K175" s="1067">
        <f>L174+L173</f>
        <v>52.92</v>
      </c>
      <c r="L175" s="1067"/>
      <c r="M175" s="735"/>
      <c r="N175" s="735"/>
      <c r="O175" s="735"/>
      <c r="R175" s="736">
        <f>I175</f>
        <v>2.34</v>
      </c>
      <c r="S175" s="736">
        <f>K175</f>
        <v>52.92</v>
      </c>
      <c r="AA175" s="718">
        <f>IF([94]Source!BI2771&lt;=1,I175, 0)</f>
        <v>2.34</v>
      </c>
      <c r="AB175" s="718">
        <f>IF([94]Source!BI2771=2,I175, 0)</f>
        <v>0</v>
      </c>
      <c r="AC175" s="718">
        <f>IF([94]Source!BI2771=3,I175, 0)</f>
        <v>0</v>
      </c>
      <c r="AD175" s="718">
        <f>IF([94]Source!BI2771=4,I175, 0)</f>
        <v>0</v>
      </c>
    </row>
    <row r="177" spans="1:15" ht="15" x14ac:dyDescent="0.25">
      <c r="A177" s="706"/>
      <c r="B177" s="706"/>
      <c r="C177" s="707"/>
      <c r="D177" s="707" t="s">
        <v>96</v>
      </c>
      <c r="E177" s="708"/>
      <c r="F177" s="709"/>
      <c r="G177" s="710"/>
      <c r="H177" s="711"/>
      <c r="I177" s="1067">
        <f>I170+I175</f>
        <v>2469.1999999999998</v>
      </c>
      <c r="J177" s="1067"/>
      <c r="K177" s="1067">
        <f>K170+K175</f>
        <v>17943.009999999998</v>
      </c>
      <c r="L177" s="1067"/>
      <c r="M177" s="735"/>
      <c r="N177" s="735"/>
      <c r="O177" s="735"/>
    </row>
    <row r="179" spans="1:15" ht="14.25" x14ac:dyDescent="0.2">
      <c r="A179" s="1068" t="str">
        <f>CONCATENATE("Итого по подразделу: ",IF([94]Source!G2891&lt;&gt;"Новый подраздел", [94]Source!G2891, ""))</f>
        <v>Итого по подразделу: Дополнительные материалы и оборудование</v>
      </c>
      <c r="B179" s="1068"/>
      <c r="C179" s="1068"/>
      <c r="D179" s="1068"/>
      <c r="E179" s="1068"/>
      <c r="F179" s="1068"/>
      <c r="G179" s="1068"/>
      <c r="H179" s="1068"/>
      <c r="I179" s="1069">
        <f>SUM(R48:R178)</f>
        <v>10793.24</v>
      </c>
      <c r="J179" s="1070"/>
      <c r="K179" s="1069">
        <f>SUM(S48:S178)</f>
        <v>83283.350000000006</v>
      </c>
      <c r="L179" s="1070"/>
      <c r="M179" s="738"/>
      <c r="N179" s="738"/>
      <c r="O179" s="738"/>
    </row>
    <row r="180" spans="1:15" hidden="1" x14ac:dyDescent="0.2">
      <c r="A180" s="718" t="s">
        <v>139</v>
      </c>
      <c r="I180" s="718">
        <f>SUM(AF48:AF179)</f>
        <v>0</v>
      </c>
      <c r="K180" s="718">
        <f>SUM(AG48:AG179)</f>
        <v>0</v>
      </c>
    </row>
    <row r="181" spans="1:15" hidden="1" x14ac:dyDescent="0.2">
      <c r="A181" s="718" t="s">
        <v>140</v>
      </c>
      <c r="I181" s="718">
        <f>SUM(AH48:AH180)</f>
        <v>0</v>
      </c>
      <c r="K181" s="718">
        <f>SUM(AI48:AI180)</f>
        <v>0</v>
      </c>
    </row>
    <row r="183" spans="1:15" ht="14.25" x14ac:dyDescent="0.2">
      <c r="A183" s="1068" t="str">
        <f>CONCATENATE("Итого по разделу: ",IF([94]Source!G2921&lt;&gt;"Новый раздел", [94]Source!G2921, ""))</f>
        <v>Итого по разделу: Вентиляция</v>
      </c>
      <c r="B183" s="1068"/>
      <c r="C183" s="1068"/>
      <c r="D183" s="1068"/>
      <c r="E183" s="1068"/>
      <c r="F183" s="1068"/>
      <c r="G183" s="1068"/>
      <c r="H183" s="1068"/>
      <c r="I183" s="1069">
        <f>SUM(R45:R182)</f>
        <v>10793.24</v>
      </c>
      <c r="J183" s="1070"/>
      <c r="K183" s="1069">
        <f>SUM(S45:S182)</f>
        <v>83283.350000000006</v>
      </c>
      <c r="L183" s="1070"/>
      <c r="M183" s="738"/>
      <c r="N183" s="738"/>
      <c r="O183" s="738"/>
    </row>
    <row r="184" spans="1:15" hidden="1" x14ac:dyDescent="0.2">
      <c r="A184" s="718" t="s">
        <v>139</v>
      </c>
      <c r="I184" s="718">
        <f>SUM(AF45:AF183)</f>
        <v>0</v>
      </c>
      <c r="K184" s="718">
        <f>SUM(AG45:AG183)</f>
        <v>0</v>
      </c>
    </row>
    <row r="185" spans="1:15" hidden="1" x14ac:dyDescent="0.2">
      <c r="A185" s="718" t="s">
        <v>140</v>
      </c>
      <c r="I185" s="718">
        <f>SUM(AH45:AH184)</f>
        <v>0</v>
      </c>
      <c r="K185" s="718">
        <f>SUM(AI45:AI184)</f>
        <v>0</v>
      </c>
    </row>
    <row r="187" spans="1:15" ht="14.25" x14ac:dyDescent="0.2">
      <c r="A187" s="1068" t="s">
        <v>692</v>
      </c>
      <c r="B187" s="1068"/>
      <c r="C187" s="1068"/>
      <c r="D187" s="1068"/>
      <c r="E187" s="1068"/>
      <c r="F187" s="1068"/>
      <c r="G187" s="1068"/>
      <c r="H187" s="1068"/>
      <c r="I187" s="1069">
        <f>SUM(R1:R186)</f>
        <v>10793.24</v>
      </c>
      <c r="J187" s="1070"/>
      <c r="K187" s="1069">
        <f>SUM(S1:S186)</f>
        <v>83283.350000000006</v>
      </c>
      <c r="L187" s="1070"/>
      <c r="M187" s="738"/>
      <c r="N187" s="738"/>
      <c r="O187" s="738"/>
    </row>
    <row r="188" spans="1:15" hidden="1" x14ac:dyDescent="0.2">
      <c r="A188" s="718" t="s">
        <v>139</v>
      </c>
      <c r="I188" s="718">
        <f>SUM(AF1:AF187)</f>
        <v>0</v>
      </c>
      <c r="K188" s="718">
        <f>SUM(AG1:AG187)</f>
        <v>0</v>
      </c>
    </row>
    <row r="189" spans="1:15" hidden="1" x14ac:dyDescent="0.2">
      <c r="A189" s="718" t="s">
        <v>140</v>
      </c>
      <c r="I189" s="718">
        <f>SUM(AH1:AH188)</f>
        <v>0</v>
      </c>
      <c r="K189" s="718">
        <f>SUM(AI1:AI188)</f>
        <v>0</v>
      </c>
    </row>
    <row r="190" spans="1:15" ht="15" x14ac:dyDescent="0.25">
      <c r="D190" s="714" t="s">
        <v>114</v>
      </c>
      <c r="I190" s="1079">
        <f>SUMIF($D$49:$D$181,"МР",J49:J181)+J165+J147+J129+J111+J104+J102+J72+J54</f>
        <v>7520.33</v>
      </c>
      <c r="J190" s="1080"/>
      <c r="K190" s="1079">
        <f>SUMIF($D$49:$D$181,"МР",L49:L181)+L165+L147+L129+L111+L104+L102+L72+L54</f>
        <v>22813.21</v>
      </c>
      <c r="L190" s="1080"/>
    </row>
    <row r="191" spans="1:15" ht="15" x14ac:dyDescent="0.25">
      <c r="D191" s="714" t="s">
        <v>115</v>
      </c>
      <c r="I191" s="1079">
        <f>SUMIF($D$50:$D$182,"в т.ч. ЗПМ",J50:J182)</f>
        <v>10.59</v>
      </c>
      <c r="J191" s="1080"/>
      <c r="K191" s="1079">
        <f>SUMIF($D$50:$D$182,"в т.ч. ЗПМ",L50:L182)</f>
        <v>256.58999999999997</v>
      </c>
      <c r="L191" s="1080"/>
    </row>
    <row r="192" spans="1:15" ht="15" x14ac:dyDescent="0.25">
      <c r="D192" s="714" t="s">
        <v>116</v>
      </c>
      <c r="I192" s="1079">
        <f>SUMIF($D$51:$D$183,"ЗП",J51:J183)</f>
        <v>812.84</v>
      </c>
      <c r="J192" s="1080"/>
      <c r="K192" s="1079">
        <f>SUMIF($D$51:$D$183,"ЗП",L51:L183)</f>
        <v>19695.099999999999</v>
      </c>
      <c r="L192" s="1080"/>
    </row>
    <row r="193" spans="1:256" ht="14.25" x14ac:dyDescent="0.2">
      <c r="A193" s="671"/>
      <c r="B193" s="671"/>
      <c r="C193" s="671"/>
      <c r="D193" s="712"/>
      <c r="E193" s="712"/>
      <c r="F193" s="712"/>
      <c r="G193" s="712"/>
      <c r="H193" s="712"/>
      <c r="I193" s="715"/>
      <c r="J193" s="715"/>
      <c r="K193" s="716"/>
      <c r="L193" s="716"/>
    </row>
    <row r="194" spans="1:256" ht="15" x14ac:dyDescent="0.25">
      <c r="A194" s="671"/>
      <c r="B194" s="671"/>
      <c r="C194" s="671"/>
      <c r="D194" s="717" t="s">
        <v>268</v>
      </c>
      <c r="J194" s="719">
        <f>I183</f>
        <v>10793.24</v>
      </c>
      <c r="K194" s="719"/>
      <c r="L194" s="719">
        <f>K183</f>
        <v>83283.350000000006</v>
      </c>
    </row>
    <row r="195" spans="1:256" ht="15" x14ac:dyDescent="0.25">
      <c r="A195" s="671"/>
      <c r="B195" s="671"/>
      <c r="C195" s="671"/>
      <c r="D195" s="717" t="s">
        <v>3</v>
      </c>
      <c r="J195" s="719">
        <f>J194</f>
        <v>10793.24</v>
      </c>
      <c r="K195" s="719"/>
      <c r="L195" s="719">
        <f>L194</f>
        <v>83283.350000000006</v>
      </c>
    </row>
    <row r="196" spans="1:256" ht="15" x14ac:dyDescent="0.25">
      <c r="A196" s="671"/>
      <c r="B196" s="671"/>
      <c r="C196" s="671"/>
      <c r="D196" s="717" t="s">
        <v>269</v>
      </c>
      <c r="J196" s="719">
        <f>I192+I191</f>
        <v>823.43</v>
      </c>
      <c r="K196" s="719"/>
      <c r="L196" s="719">
        <f>K192+K191</f>
        <v>19951.689999999999</v>
      </c>
    </row>
    <row r="197" spans="1:256" ht="15" customHeight="1" x14ac:dyDescent="0.25">
      <c r="A197" s="671"/>
      <c r="B197" s="671"/>
      <c r="C197" s="671"/>
      <c r="D197" s="717" t="s">
        <v>270</v>
      </c>
      <c r="J197" s="719">
        <f>I190</f>
        <v>7520.33</v>
      </c>
      <c r="K197" s="719"/>
      <c r="L197" s="719">
        <f>K190</f>
        <v>22813.21</v>
      </c>
    </row>
    <row r="198" spans="1:256" ht="15" x14ac:dyDescent="0.25">
      <c r="A198" s="671"/>
      <c r="B198" s="671"/>
      <c r="C198" s="671"/>
      <c r="D198" s="1074" t="s">
        <v>323</v>
      </c>
      <c r="E198" s="1074"/>
      <c r="F198" s="1074"/>
      <c r="G198" s="1074"/>
      <c r="H198" s="1074"/>
      <c r="I198" s="671"/>
      <c r="J198" s="721">
        <v>0</v>
      </c>
      <c r="K198" s="721"/>
      <c r="L198" s="721">
        <v>0</v>
      </c>
    </row>
    <row r="199" spans="1:256" ht="15" x14ac:dyDescent="0.25">
      <c r="A199" s="671"/>
      <c r="B199" s="671"/>
      <c r="C199" s="671"/>
      <c r="D199" s="1081" t="s">
        <v>584</v>
      </c>
      <c r="E199" s="1081"/>
      <c r="F199" s="1081"/>
      <c r="G199" s="1081"/>
      <c r="H199" s="1081"/>
      <c r="I199" s="671"/>
      <c r="J199" s="721">
        <f>J196*0.15</f>
        <v>123.51</v>
      </c>
      <c r="K199" s="721"/>
      <c r="L199" s="721">
        <f>L196*0.15</f>
        <v>2992.75</v>
      </c>
    </row>
    <row r="200" spans="1:256" ht="14.25" x14ac:dyDescent="0.2">
      <c r="A200" s="671"/>
      <c r="B200" s="671"/>
      <c r="C200" s="671"/>
      <c r="D200" s="1068" t="s">
        <v>688</v>
      </c>
      <c r="E200" s="1068"/>
      <c r="F200" s="1068"/>
      <c r="G200" s="1068"/>
      <c r="H200" s="1068"/>
      <c r="I200" s="671"/>
      <c r="J200" s="650">
        <f>J195+J199</f>
        <v>10916.75</v>
      </c>
      <c r="K200" s="650"/>
      <c r="L200" s="650">
        <f>L195+L199</f>
        <v>86276.1</v>
      </c>
      <c r="M200" s="736">
        <f>L200*0.975*0.998999999999673</f>
        <v>84035.08</v>
      </c>
    </row>
    <row r="201" spans="1:256" s="671" customFormat="1" ht="15" x14ac:dyDescent="0.25">
      <c r="D201" s="1074"/>
      <c r="E201" s="1074"/>
      <c r="F201" s="1074"/>
      <c r="G201" s="1074"/>
      <c r="H201" s="1074"/>
      <c r="I201" s="1075"/>
      <c r="J201" s="1075"/>
      <c r="K201" s="1075"/>
      <c r="L201" s="1075"/>
    </row>
    <row r="202" spans="1:256" s="675" customFormat="1" ht="15" x14ac:dyDescent="0.25">
      <c r="A202" s="398"/>
      <c r="B202" s="398"/>
      <c r="C202" s="398"/>
      <c r="D202" s="651" t="s">
        <v>596</v>
      </c>
      <c r="E202" s="652"/>
      <c r="F202" s="652"/>
      <c r="G202" s="652"/>
      <c r="H202" s="652"/>
      <c r="I202" s="652"/>
      <c r="J202" s="653"/>
      <c r="K202" s="653"/>
      <c r="L202" s="653">
        <f>L194*0.925</f>
        <v>77037.100000000006</v>
      </c>
      <c r="M202" s="399"/>
      <c r="N202" s="400"/>
      <c r="O202" s="400"/>
      <c r="P202" s="400"/>
      <c r="Q202" s="400"/>
      <c r="R202" s="400"/>
      <c r="S202" s="400"/>
      <c r="T202" s="400"/>
      <c r="U202" s="400"/>
      <c r="V202" s="400"/>
      <c r="W202" s="400"/>
      <c r="X202" s="400"/>
      <c r="Y202" s="400"/>
      <c r="Z202" s="400"/>
      <c r="AA202" s="400"/>
      <c r="AB202" s="400"/>
      <c r="AC202" s="400"/>
      <c r="AD202" s="400"/>
      <c r="AE202" s="400"/>
      <c r="AF202" s="400"/>
      <c r="AG202" s="400"/>
      <c r="AH202" s="400"/>
      <c r="AI202" s="400"/>
      <c r="AJ202" s="400"/>
      <c r="AK202" s="400"/>
      <c r="AL202" s="400"/>
      <c r="AM202" s="400"/>
      <c r="AN202" s="400"/>
      <c r="AO202" s="400"/>
      <c r="AP202" s="400"/>
      <c r="AQ202" s="400"/>
      <c r="AR202" s="400"/>
      <c r="AS202" s="400"/>
      <c r="AT202" s="400"/>
      <c r="AU202" s="400"/>
      <c r="AV202" s="400"/>
      <c r="AW202" s="400"/>
      <c r="AX202" s="400"/>
      <c r="AY202" s="400"/>
      <c r="AZ202" s="400"/>
      <c r="BA202" s="400"/>
      <c r="BB202" s="400"/>
      <c r="BC202" s="400"/>
      <c r="BD202" s="400"/>
      <c r="BE202" s="400"/>
      <c r="BF202" s="400"/>
      <c r="BG202" s="400"/>
      <c r="BH202" s="400"/>
      <c r="BI202" s="400"/>
      <c r="BJ202" s="400"/>
      <c r="BK202" s="400"/>
      <c r="BL202" s="400"/>
      <c r="BM202" s="400"/>
      <c r="BN202" s="400"/>
      <c r="BO202" s="400"/>
      <c r="BP202" s="400"/>
      <c r="BQ202" s="400"/>
      <c r="BR202" s="400"/>
      <c r="BS202" s="400"/>
      <c r="BT202" s="400"/>
      <c r="BU202" s="400"/>
      <c r="BV202" s="400"/>
      <c r="BW202" s="400"/>
      <c r="BX202" s="400"/>
      <c r="BY202" s="400"/>
      <c r="BZ202" s="400"/>
      <c r="CA202" s="400"/>
      <c r="CB202" s="400"/>
      <c r="CC202" s="400"/>
      <c r="CD202" s="400"/>
      <c r="CE202" s="400"/>
      <c r="CF202" s="400"/>
      <c r="CG202" s="400"/>
      <c r="CH202" s="400"/>
      <c r="CI202" s="400"/>
      <c r="CJ202" s="400"/>
      <c r="CK202" s="400"/>
      <c r="CL202" s="400"/>
      <c r="CM202" s="400"/>
      <c r="CN202" s="400"/>
      <c r="CO202" s="400"/>
      <c r="CP202" s="400"/>
      <c r="CQ202" s="400"/>
      <c r="CR202" s="400"/>
      <c r="CS202" s="400"/>
      <c r="CT202" s="400"/>
      <c r="CU202" s="400"/>
      <c r="CV202" s="400"/>
      <c r="CW202" s="400"/>
      <c r="CX202" s="400"/>
      <c r="CY202" s="400"/>
      <c r="CZ202" s="400"/>
      <c r="DA202" s="400"/>
      <c r="DB202" s="400"/>
      <c r="DC202" s="400"/>
      <c r="DD202" s="400"/>
      <c r="DE202" s="400"/>
      <c r="DF202" s="400"/>
      <c r="DG202" s="400"/>
      <c r="DH202" s="400"/>
      <c r="DI202" s="400"/>
      <c r="DJ202" s="400"/>
      <c r="DK202" s="400"/>
      <c r="DL202" s="400"/>
      <c r="DM202" s="400"/>
      <c r="DN202" s="400"/>
      <c r="DO202" s="400"/>
      <c r="DP202" s="400"/>
      <c r="DQ202" s="400"/>
      <c r="DR202" s="400"/>
      <c r="DS202" s="400"/>
      <c r="DT202" s="400"/>
      <c r="DU202" s="400"/>
      <c r="DV202" s="400"/>
      <c r="DW202" s="400"/>
      <c r="DX202" s="400"/>
      <c r="DY202" s="400"/>
      <c r="DZ202" s="400"/>
      <c r="EA202" s="400"/>
      <c r="EB202" s="400"/>
      <c r="EC202" s="400"/>
      <c r="ED202" s="400"/>
      <c r="EE202" s="400"/>
      <c r="EF202" s="400"/>
      <c r="EG202" s="400"/>
      <c r="EH202" s="400"/>
      <c r="EI202" s="400"/>
      <c r="EJ202" s="400"/>
      <c r="EK202" s="400"/>
      <c r="EL202" s="400"/>
      <c r="EM202" s="400"/>
      <c r="EN202" s="400"/>
      <c r="EO202" s="400"/>
      <c r="EP202" s="400"/>
      <c r="EQ202" s="400"/>
      <c r="ER202" s="400"/>
      <c r="ES202" s="400"/>
      <c r="ET202" s="400"/>
      <c r="EU202" s="400"/>
      <c r="EV202" s="400"/>
      <c r="EW202" s="400"/>
      <c r="EX202" s="400"/>
      <c r="EY202" s="400"/>
      <c r="EZ202" s="400"/>
      <c r="FA202" s="400"/>
      <c r="FB202" s="400"/>
      <c r="FC202" s="400"/>
      <c r="FD202" s="400"/>
      <c r="FE202" s="400"/>
      <c r="FF202" s="400"/>
      <c r="FG202" s="400"/>
      <c r="FH202" s="400"/>
      <c r="FI202" s="400"/>
      <c r="FJ202" s="400"/>
      <c r="FK202" s="400"/>
      <c r="FL202" s="400"/>
      <c r="FM202" s="400"/>
      <c r="FN202" s="400"/>
      <c r="FO202" s="400"/>
      <c r="FP202" s="400"/>
      <c r="FQ202" s="400"/>
      <c r="FR202" s="400"/>
      <c r="FS202" s="400"/>
      <c r="FT202" s="400"/>
      <c r="FU202" s="400"/>
      <c r="FV202" s="400"/>
      <c r="FW202" s="400"/>
      <c r="FX202" s="400"/>
      <c r="FY202" s="400"/>
      <c r="FZ202" s="400"/>
      <c r="GA202" s="400"/>
      <c r="GB202" s="400"/>
      <c r="GC202" s="400"/>
      <c r="GD202" s="400"/>
      <c r="GE202" s="400"/>
      <c r="GF202" s="400"/>
      <c r="GG202" s="400"/>
      <c r="GH202" s="400"/>
      <c r="GI202" s="400"/>
      <c r="GJ202" s="400"/>
      <c r="GK202" s="400"/>
      <c r="GL202" s="400"/>
      <c r="GM202" s="400"/>
      <c r="GN202" s="400"/>
      <c r="GO202" s="400"/>
      <c r="GP202" s="400"/>
      <c r="GQ202" s="400"/>
      <c r="GR202" s="400"/>
      <c r="GS202" s="400"/>
      <c r="GT202" s="400"/>
      <c r="GU202" s="400"/>
      <c r="GV202" s="400"/>
      <c r="GW202" s="400"/>
      <c r="GX202" s="400"/>
      <c r="GY202" s="400"/>
      <c r="GZ202" s="400"/>
      <c r="HA202" s="400"/>
      <c r="HB202" s="400"/>
      <c r="HC202" s="400"/>
      <c r="HD202" s="400"/>
      <c r="HE202" s="400"/>
      <c r="HF202" s="400"/>
      <c r="HG202" s="400"/>
      <c r="HH202" s="400"/>
      <c r="HI202" s="400"/>
      <c r="HJ202" s="400"/>
      <c r="HK202" s="400"/>
      <c r="HL202" s="400"/>
      <c r="HM202" s="400"/>
      <c r="HN202" s="400"/>
      <c r="HO202" s="400"/>
      <c r="HP202" s="400"/>
      <c r="HQ202" s="400"/>
      <c r="HR202" s="400"/>
      <c r="HS202" s="400"/>
      <c r="HT202" s="400"/>
      <c r="HU202" s="400"/>
      <c r="HV202" s="400"/>
      <c r="HW202" s="400"/>
      <c r="HX202" s="400"/>
      <c r="HY202" s="400"/>
      <c r="HZ202" s="400"/>
      <c r="IA202" s="400"/>
      <c r="IB202" s="400"/>
      <c r="IC202" s="400"/>
      <c r="ID202" s="400"/>
      <c r="IE202" s="400"/>
      <c r="IF202" s="400"/>
      <c r="IG202" s="400"/>
      <c r="IH202" s="400"/>
      <c r="II202" s="400"/>
      <c r="IJ202" s="400"/>
      <c r="IK202" s="400"/>
      <c r="IL202" s="400"/>
      <c r="IM202" s="400"/>
      <c r="IN202" s="400"/>
      <c r="IO202" s="400"/>
      <c r="IP202" s="400"/>
      <c r="IQ202" s="400"/>
      <c r="IR202" s="400"/>
      <c r="IS202" s="400"/>
      <c r="IT202" s="400"/>
      <c r="IU202" s="400"/>
      <c r="IV202" s="400"/>
    </row>
    <row r="203" spans="1:256" s="675" customFormat="1" ht="15" x14ac:dyDescent="0.25">
      <c r="A203" s="398"/>
      <c r="B203" s="398"/>
      <c r="C203" s="398"/>
      <c r="D203" s="652" t="s">
        <v>3</v>
      </c>
      <c r="E203" s="652"/>
      <c r="F203" s="652"/>
      <c r="G203" s="652"/>
      <c r="H203" s="652"/>
      <c r="I203" s="652"/>
      <c r="J203" s="654"/>
      <c r="K203" s="654"/>
      <c r="L203" s="654">
        <f>L202</f>
        <v>77037.100000000006</v>
      </c>
      <c r="M203" s="399"/>
      <c r="N203" s="400"/>
      <c r="O203" s="400"/>
      <c r="P203" s="400"/>
      <c r="Q203" s="400"/>
      <c r="R203" s="400"/>
      <c r="S203" s="400"/>
      <c r="T203" s="400"/>
      <c r="U203" s="400"/>
      <c r="V203" s="400"/>
      <c r="W203" s="400"/>
      <c r="X203" s="400"/>
      <c r="Y203" s="400"/>
      <c r="Z203" s="400"/>
      <c r="AA203" s="400"/>
      <c r="AB203" s="400"/>
      <c r="AC203" s="400"/>
      <c r="AD203" s="400"/>
      <c r="AE203" s="400"/>
      <c r="AF203" s="400"/>
      <c r="AG203" s="400"/>
      <c r="AH203" s="400"/>
      <c r="AI203" s="400"/>
      <c r="AJ203" s="400"/>
      <c r="AK203" s="400"/>
      <c r="AL203" s="400"/>
      <c r="AM203" s="400"/>
      <c r="AN203" s="400"/>
      <c r="AO203" s="400"/>
      <c r="AP203" s="400"/>
      <c r="AQ203" s="400"/>
      <c r="AR203" s="400"/>
      <c r="AS203" s="400"/>
      <c r="AT203" s="400"/>
      <c r="AU203" s="400"/>
      <c r="AV203" s="400"/>
      <c r="AW203" s="400"/>
      <c r="AX203" s="400"/>
      <c r="AY203" s="400"/>
      <c r="AZ203" s="400"/>
      <c r="BA203" s="400"/>
      <c r="BB203" s="400"/>
      <c r="BC203" s="400"/>
      <c r="BD203" s="400"/>
      <c r="BE203" s="400"/>
      <c r="BF203" s="400"/>
      <c r="BG203" s="400"/>
      <c r="BH203" s="400"/>
      <c r="BI203" s="400"/>
      <c r="BJ203" s="400"/>
      <c r="BK203" s="400"/>
      <c r="BL203" s="400"/>
      <c r="BM203" s="400"/>
      <c r="BN203" s="400"/>
      <c r="BO203" s="400"/>
      <c r="BP203" s="400"/>
      <c r="BQ203" s="400"/>
      <c r="BR203" s="400"/>
      <c r="BS203" s="400"/>
      <c r="BT203" s="400"/>
      <c r="BU203" s="400"/>
      <c r="BV203" s="400"/>
      <c r="BW203" s="400"/>
      <c r="BX203" s="400"/>
      <c r="BY203" s="400"/>
      <c r="BZ203" s="400"/>
      <c r="CA203" s="400"/>
      <c r="CB203" s="400"/>
      <c r="CC203" s="400"/>
      <c r="CD203" s="400"/>
      <c r="CE203" s="400"/>
      <c r="CF203" s="400"/>
      <c r="CG203" s="400"/>
      <c r="CH203" s="400"/>
      <c r="CI203" s="400"/>
      <c r="CJ203" s="400"/>
      <c r="CK203" s="400"/>
      <c r="CL203" s="400"/>
      <c r="CM203" s="400"/>
      <c r="CN203" s="400"/>
      <c r="CO203" s="400"/>
      <c r="CP203" s="400"/>
      <c r="CQ203" s="400"/>
      <c r="CR203" s="400"/>
      <c r="CS203" s="400"/>
      <c r="CT203" s="400"/>
      <c r="CU203" s="400"/>
      <c r="CV203" s="400"/>
      <c r="CW203" s="400"/>
      <c r="CX203" s="400"/>
      <c r="CY203" s="400"/>
      <c r="CZ203" s="400"/>
      <c r="DA203" s="400"/>
      <c r="DB203" s="400"/>
      <c r="DC203" s="400"/>
      <c r="DD203" s="400"/>
      <c r="DE203" s="400"/>
      <c r="DF203" s="400"/>
      <c r="DG203" s="400"/>
      <c r="DH203" s="400"/>
      <c r="DI203" s="400"/>
      <c r="DJ203" s="400"/>
      <c r="DK203" s="400"/>
      <c r="DL203" s="400"/>
      <c r="DM203" s="400"/>
      <c r="DN203" s="400"/>
      <c r="DO203" s="400"/>
      <c r="DP203" s="400"/>
      <c r="DQ203" s="400"/>
      <c r="DR203" s="400"/>
      <c r="DS203" s="400"/>
      <c r="DT203" s="400"/>
      <c r="DU203" s="400"/>
      <c r="DV203" s="400"/>
      <c r="DW203" s="400"/>
      <c r="DX203" s="400"/>
      <c r="DY203" s="400"/>
      <c r="DZ203" s="400"/>
      <c r="EA203" s="400"/>
      <c r="EB203" s="400"/>
      <c r="EC203" s="400"/>
      <c r="ED203" s="400"/>
      <c r="EE203" s="400"/>
      <c r="EF203" s="400"/>
      <c r="EG203" s="400"/>
      <c r="EH203" s="400"/>
      <c r="EI203" s="400"/>
      <c r="EJ203" s="400"/>
      <c r="EK203" s="400"/>
      <c r="EL203" s="400"/>
      <c r="EM203" s="400"/>
      <c r="EN203" s="400"/>
      <c r="EO203" s="400"/>
      <c r="EP203" s="400"/>
      <c r="EQ203" s="400"/>
      <c r="ER203" s="400"/>
      <c r="ES203" s="400"/>
      <c r="ET203" s="400"/>
      <c r="EU203" s="400"/>
      <c r="EV203" s="400"/>
      <c r="EW203" s="400"/>
      <c r="EX203" s="400"/>
      <c r="EY203" s="400"/>
      <c r="EZ203" s="400"/>
      <c r="FA203" s="400"/>
      <c r="FB203" s="400"/>
      <c r="FC203" s="400"/>
      <c r="FD203" s="400"/>
      <c r="FE203" s="400"/>
      <c r="FF203" s="400"/>
      <c r="FG203" s="400"/>
      <c r="FH203" s="400"/>
      <c r="FI203" s="400"/>
      <c r="FJ203" s="400"/>
      <c r="FK203" s="400"/>
      <c r="FL203" s="400"/>
      <c r="FM203" s="400"/>
      <c r="FN203" s="400"/>
      <c r="FO203" s="400"/>
      <c r="FP203" s="400"/>
      <c r="FQ203" s="400"/>
      <c r="FR203" s="400"/>
      <c r="FS203" s="400"/>
      <c r="FT203" s="400"/>
      <c r="FU203" s="400"/>
      <c r="FV203" s="400"/>
      <c r="FW203" s="400"/>
      <c r="FX203" s="400"/>
      <c r="FY203" s="400"/>
      <c r="FZ203" s="400"/>
      <c r="GA203" s="400"/>
      <c r="GB203" s="400"/>
      <c r="GC203" s="400"/>
      <c r="GD203" s="400"/>
      <c r="GE203" s="400"/>
      <c r="GF203" s="400"/>
      <c r="GG203" s="400"/>
      <c r="GH203" s="400"/>
      <c r="GI203" s="400"/>
      <c r="GJ203" s="400"/>
      <c r="GK203" s="400"/>
      <c r="GL203" s="400"/>
      <c r="GM203" s="400"/>
      <c r="GN203" s="400"/>
      <c r="GO203" s="400"/>
      <c r="GP203" s="400"/>
      <c r="GQ203" s="400"/>
      <c r="GR203" s="400"/>
      <c r="GS203" s="400"/>
      <c r="GT203" s="400"/>
      <c r="GU203" s="400"/>
      <c r="GV203" s="400"/>
      <c r="GW203" s="400"/>
      <c r="GX203" s="400"/>
      <c r="GY203" s="400"/>
      <c r="GZ203" s="400"/>
      <c r="HA203" s="400"/>
      <c r="HB203" s="400"/>
      <c r="HC203" s="400"/>
      <c r="HD203" s="400"/>
      <c r="HE203" s="400"/>
      <c r="HF203" s="400"/>
      <c r="HG203" s="400"/>
      <c r="HH203" s="400"/>
      <c r="HI203" s="400"/>
      <c r="HJ203" s="400"/>
      <c r="HK203" s="400"/>
      <c r="HL203" s="400"/>
      <c r="HM203" s="400"/>
      <c r="HN203" s="400"/>
      <c r="HO203" s="400"/>
      <c r="HP203" s="400"/>
      <c r="HQ203" s="400"/>
      <c r="HR203" s="400"/>
      <c r="HS203" s="400"/>
      <c r="HT203" s="400"/>
      <c r="HU203" s="400"/>
      <c r="HV203" s="400"/>
      <c r="HW203" s="400"/>
      <c r="HX203" s="400"/>
      <c r="HY203" s="400"/>
      <c r="HZ203" s="400"/>
      <c r="IA203" s="400"/>
      <c r="IB203" s="400"/>
      <c r="IC203" s="400"/>
      <c r="ID203" s="400"/>
      <c r="IE203" s="400"/>
      <c r="IF203" s="400"/>
      <c r="IG203" s="400"/>
      <c r="IH203" s="400"/>
      <c r="II203" s="400"/>
      <c r="IJ203" s="400"/>
      <c r="IK203" s="400"/>
      <c r="IL203" s="400"/>
      <c r="IM203" s="400"/>
      <c r="IN203" s="400"/>
      <c r="IO203" s="400"/>
      <c r="IP203" s="400"/>
      <c r="IQ203" s="400"/>
      <c r="IR203" s="400"/>
      <c r="IS203" s="400"/>
      <c r="IT203" s="400"/>
      <c r="IU203" s="400"/>
      <c r="IV203" s="400"/>
    </row>
    <row r="204" spans="1:256" s="675" customFormat="1" ht="15" x14ac:dyDescent="0.25">
      <c r="A204" s="398"/>
      <c r="B204" s="398"/>
      <c r="C204" s="398"/>
      <c r="D204" s="652" t="s">
        <v>269</v>
      </c>
      <c r="E204" s="652"/>
      <c r="F204" s="652"/>
      <c r="G204" s="652"/>
      <c r="H204" s="652"/>
      <c r="I204" s="652"/>
      <c r="J204" s="654"/>
      <c r="K204" s="654"/>
      <c r="L204" s="654">
        <f>L196*0.925</f>
        <v>18455.310000000001</v>
      </c>
      <c r="M204" s="399"/>
      <c r="N204" s="400"/>
      <c r="O204" s="400"/>
      <c r="P204" s="400"/>
      <c r="Q204" s="400"/>
      <c r="R204" s="400"/>
      <c r="S204" s="400"/>
      <c r="T204" s="400"/>
      <c r="U204" s="400"/>
      <c r="V204" s="400"/>
      <c r="W204" s="400"/>
      <c r="X204" s="400"/>
      <c r="Y204" s="400"/>
      <c r="Z204" s="400"/>
      <c r="AA204" s="400"/>
      <c r="AB204" s="400"/>
      <c r="AC204" s="400"/>
      <c r="AD204" s="400"/>
      <c r="AE204" s="400"/>
      <c r="AF204" s="400"/>
      <c r="AG204" s="400"/>
      <c r="AH204" s="400"/>
      <c r="AI204" s="400"/>
      <c r="AJ204" s="400"/>
      <c r="AK204" s="400"/>
      <c r="AL204" s="400"/>
      <c r="AM204" s="400"/>
      <c r="AN204" s="400"/>
      <c r="AO204" s="400"/>
      <c r="AP204" s="400"/>
      <c r="AQ204" s="400"/>
      <c r="AR204" s="400"/>
      <c r="AS204" s="400"/>
      <c r="AT204" s="400"/>
      <c r="AU204" s="400"/>
      <c r="AV204" s="400"/>
      <c r="AW204" s="400"/>
      <c r="AX204" s="400"/>
      <c r="AY204" s="400"/>
      <c r="AZ204" s="400"/>
      <c r="BA204" s="400"/>
      <c r="BB204" s="400"/>
      <c r="BC204" s="400"/>
      <c r="BD204" s="400"/>
      <c r="BE204" s="400"/>
      <c r="BF204" s="400"/>
      <c r="BG204" s="400"/>
      <c r="BH204" s="400"/>
      <c r="BI204" s="400"/>
      <c r="BJ204" s="400"/>
      <c r="BK204" s="400"/>
      <c r="BL204" s="400"/>
      <c r="BM204" s="400"/>
      <c r="BN204" s="400"/>
      <c r="BO204" s="400"/>
      <c r="BP204" s="400"/>
      <c r="BQ204" s="400"/>
      <c r="BR204" s="400"/>
      <c r="BS204" s="400"/>
      <c r="BT204" s="400"/>
      <c r="BU204" s="400"/>
      <c r="BV204" s="400"/>
      <c r="BW204" s="400"/>
      <c r="BX204" s="400"/>
      <c r="BY204" s="400"/>
      <c r="BZ204" s="400"/>
      <c r="CA204" s="400"/>
      <c r="CB204" s="400"/>
      <c r="CC204" s="400"/>
      <c r="CD204" s="400"/>
      <c r="CE204" s="400"/>
      <c r="CF204" s="400"/>
      <c r="CG204" s="400"/>
      <c r="CH204" s="400"/>
      <c r="CI204" s="400"/>
      <c r="CJ204" s="400"/>
      <c r="CK204" s="400"/>
      <c r="CL204" s="400"/>
      <c r="CM204" s="400"/>
      <c r="CN204" s="400"/>
      <c r="CO204" s="400"/>
      <c r="CP204" s="400"/>
      <c r="CQ204" s="400"/>
      <c r="CR204" s="400"/>
      <c r="CS204" s="400"/>
      <c r="CT204" s="400"/>
      <c r="CU204" s="400"/>
      <c r="CV204" s="400"/>
      <c r="CW204" s="400"/>
      <c r="CX204" s="400"/>
      <c r="CY204" s="400"/>
      <c r="CZ204" s="400"/>
      <c r="DA204" s="400"/>
      <c r="DB204" s="400"/>
      <c r="DC204" s="400"/>
      <c r="DD204" s="400"/>
      <c r="DE204" s="400"/>
      <c r="DF204" s="400"/>
      <c r="DG204" s="400"/>
      <c r="DH204" s="400"/>
      <c r="DI204" s="400"/>
      <c r="DJ204" s="400"/>
      <c r="DK204" s="400"/>
      <c r="DL204" s="400"/>
      <c r="DM204" s="400"/>
      <c r="DN204" s="400"/>
      <c r="DO204" s="400"/>
      <c r="DP204" s="400"/>
      <c r="DQ204" s="400"/>
      <c r="DR204" s="400"/>
      <c r="DS204" s="400"/>
      <c r="DT204" s="400"/>
      <c r="DU204" s="400"/>
      <c r="DV204" s="400"/>
      <c r="DW204" s="400"/>
      <c r="DX204" s="400"/>
      <c r="DY204" s="400"/>
      <c r="DZ204" s="400"/>
      <c r="EA204" s="400"/>
      <c r="EB204" s="400"/>
      <c r="EC204" s="400"/>
      <c r="ED204" s="400"/>
      <c r="EE204" s="400"/>
      <c r="EF204" s="400"/>
      <c r="EG204" s="400"/>
      <c r="EH204" s="400"/>
      <c r="EI204" s="400"/>
      <c r="EJ204" s="400"/>
      <c r="EK204" s="400"/>
      <c r="EL204" s="400"/>
      <c r="EM204" s="400"/>
      <c r="EN204" s="400"/>
      <c r="EO204" s="400"/>
      <c r="EP204" s="400"/>
      <c r="EQ204" s="400"/>
      <c r="ER204" s="400"/>
      <c r="ES204" s="400"/>
      <c r="ET204" s="400"/>
      <c r="EU204" s="400"/>
      <c r="EV204" s="400"/>
      <c r="EW204" s="400"/>
      <c r="EX204" s="400"/>
      <c r="EY204" s="400"/>
      <c r="EZ204" s="400"/>
      <c r="FA204" s="400"/>
      <c r="FB204" s="400"/>
      <c r="FC204" s="400"/>
      <c r="FD204" s="400"/>
      <c r="FE204" s="400"/>
      <c r="FF204" s="400"/>
      <c r="FG204" s="400"/>
      <c r="FH204" s="400"/>
      <c r="FI204" s="400"/>
      <c r="FJ204" s="400"/>
      <c r="FK204" s="400"/>
      <c r="FL204" s="400"/>
      <c r="FM204" s="400"/>
      <c r="FN204" s="400"/>
      <c r="FO204" s="400"/>
      <c r="FP204" s="400"/>
      <c r="FQ204" s="400"/>
      <c r="FR204" s="400"/>
      <c r="FS204" s="400"/>
      <c r="FT204" s="400"/>
      <c r="FU204" s="400"/>
      <c r="FV204" s="400"/>
      <c r="FW204" s="400"/>
      <c r="FX204" s="400"/>
      <c r="FY204" s="400"/>
      <c r="FZ204" s="400"/>
      <c r="GA204" s="400"/>
      <c r="GB204" s="400"/>
      <c r="GC204" s="400"/>
      <c r="GD204" s="400"/>
      <c r="GE204" s="400"/>
      <c r="GF204" s="400"/>
      <c r="GG204" s="400"/>
      <c r="GH204" s="400"/>
      <c r="GI204" s="400"/>
      <c r="GJ204" s="400"/>
      <c r="GK204" s="400"/>
      <c r="GL204" s="400"/>
      <c r="GM204" s="400"/>
      <c r="GN204" s="400"/>
      <c r="GO204" s="400"/>
      <c r="GP204" s="400"/>
      <c r="GQ204" s="400"/>
      <c r="GR204" s="400"/>
      <c r="GS204" s="400"/>
      <c r="GT204" s="400"/>
      <c r="GU204" s="400"/>
      <c r="GV204" s="400"/>
      <c r="GW204" s="400"/>
      <c r="GX204" s="400"/>
      <c r="GY204" s="400"/>
      <c r="GZ204" s="400"/>
      <c r="HA204" s="400"/>
      <c r="HB204" s="400"/>
      <c r="HC204" s="400"/>
      <c r="HD204" s="400"/>
      <c r="HE204" s="400"/>
      <c r="HF204" s="400"/>
      <c r="HG204" s="400"/>
      <c r="HH204" s="400"/>
      <c r="HI204" s="400"/>
      <c r="HJ204" s="400"/>
      <c r="HK204" s="400"/>
      <c r="HL204" s="400"/>
      <c r="HM204" s="400"/>
      <c r="HN204" s="400"/>
      <c r="HO204" s="400"/>
      <c r="HP204" s="400"/>
      <c r="HQ204" s="400"/>
      <c r="HR204" s="400"/>
      <c r="HS204" s="400"/>
      <c r="HT204" s="400"/>
      <c r="HU204" s="400"/>
      <c r="HV204" s="400"/>
      <c r="HW204" s="400"/>
      <c r="HX204" s="400"/>
      <c r="HY204" s="400"/>
      <c r="HZ204" s="400"/>
      <c r="IA204" s="400"/>
      <c r="IB204" s="400"/>
      <c r="IC204" s="400"/>
      <c r="ID204" s="400"/>
      <c r="IE204" s="400"/>
      <c r="IF204" s="400"/>
      <c r="IG204" s="400"/>
      <c r="IH204" s="400"/>
      <c r="II204" s="400"/>
      <c r="IJ204" s="400"/>
      <c r="IK204" s="400"/>
      <c r="IL204" s="400"/>
      <c r="IM204" s="400"/>
      <c r="IN204" s="400"/>
      <c r="IO204" s="400"/>
      <c r="IP204" s="400"/>
      <c r="IQ204" s="400"/>
      <c r="IR204" s="400"/>
      <c r="IS204" s="400"/>
      <c r="IT204" s="400"/>
      <c r="IU204" s="400"/>
      <c r="IV204" s="400"/>
    </row>
    <row r="205" spans="1:256" s="675" customFormat="1" ht="15" x14ac:dyDescent="0.25">
      <c r="A205" s="398"/>
      <c r="B205" s="398"/>
      <c r="C205" s="398"/>
      <c r="D205" s="652" t="s">
        <v>597</v>
      </c>
      <c r="E205" s="652"/>
      <c r="F205" s="652"/>
      <c r="G205" s="652"/>
      <c r="H205" s="652"/>
      <c r="I205" s="652"/>
      <c r="J205" s="654"/>
      <c r="K205" s="654"/>
      <c r="L205" s="654">
        <f>L197*0.925</f>
        <v>21102.22</v>
      </c>
      <c r="M205" s="399"/>
    </row>
    <row r="206" spans="1:256" s="675" customFormat="1" ht="15" x14ac:dyDescent="0.25">
      <c r="A206" s="398"/>
      <c r="B206" s="398"/>
      <c r="C206" s="398"/>
      <c r="D206" s="655" t="s">
        <v>323</v>
      </c>
      <c r="E206" s="652"/>
      <c r="F206" s="652"/>
      <c r="G206" s="652"/>
      <c r="H206" s="652"/>
      <c r="I206" s="652"/>
      <c r="J206" s="656"/>
      <c r="K206" s="654"/>
      <c r="L206" s="656">
        <v>0</v>
      </c>
      <c r="M206" s="399"/>
    </row>
    <row r="207" spans="1:256" s="675" customFormat="1" ht="15" x14ac:dyDescent="0.25">
      <c r="A207" s="398"/>
      <c r="B207" s="398"/>
      <c r="C207" s="398"/>
      <c r="D207" s="652" t="s">
        <v>598</v>
      </c>
      <c r="E207" s="652"/>
      <c r="F207" s="652"/>
      <c r="G207" s="652"/>
      <c r="H207" s="652"/>
      <c r="I207" s="652"/>
      <c r="J207" s="654"/>
      <c r="K207" s="654"/>
      <c r="L207" s="654">
        <f>L204*0.15</f>
        <v>2768.3</v>
      </c>
      <c r="M207" s="399"/>
    </row>
    <row r="208" spans="1:256" s="675" customFormat="1" ht="14.25" x14ac:dyDescent="0.2">
      <c r="A208" s="398"/>
      <c r="B208" s="398"/>
      <c r="C208" s="398"/>
      <c r="D208" s="651" t="s">
        <v>599</v>
      </c>
      <c r="E208" s="657"/>
      <c r="F208" s="657"/>
      <c r="G208" s="657"/>
      <c r="H208" s="657"/>
      <c r="I208" s="657"/>
      <c r="J208" s="653"/>
      <c r="K208" s="657"/>
      <c r="L208" s="653">
        <f>L207+L202</f>
        <v>79805.399999999994</v>
      </c>
      <c r="M208" s="399"/>
    </row>
    <row r="209" spans="1:13" s="675" customFormat="1" ht="15" x14ac:dyDescent="0.25">
      <c r="A209" s="398"/>
      <c r="B209" s="398"/>
      <c r="C209" s="398"/>
      <c r="D209" s="658"/>
      <c r="E209" s="658"/>
      <c r="F209" s="658"/>
      <c r="G209" s="658"/>
      <c r="H209" s="658"/>
      <c r="I209" s="658"/>
      <c r="J209" s="658"/>
      <c r="K209" s="658"/>
      <c r="L209" s="658"/>
      <c r="M209" s="399"/>
    </row>
    <row r="210" spans="1:13" s="675" customFormat="1" ht="15" x14ac:dyDescent="0.25">
      <c r="A210" s="398"/>
      <c r="B210" s="398"/>
      <c r="C210" s="398"/>
      <c r="D210" s="658"/>
      <c r="E210" s="658"/>
      <c r="F210" s="658"/>
      <c r="G210" s="658"/>
      <c r="H210" s="658"/>
      <c r="I210" s="658"/>
      <c r="J210" s="658"/>
      <c r="K210" s="658"/>
      <c r="L210" s="658"/>
      <c r="M210" s="399"/>
    </row>
    <row r="211" spans="1:13" s="675" customFormat="1" ht="14.25" x14ac:dyDescent="0.2">
      <c r="A211" s="398"/>
      <c r="B211" s="398"/>
      <c r="C211" s="398"/>
      <c r="D211" s="659"/>
      <c r="E211" s="660"/>
      <c r="F211" s="660"/>
      <c r="G211" s="660"/>
      <c r="H211" s="660"/>
      <c r="I211" s="661"/>
      <c r="J211" s="662"/>
      <c r="K211" s="663"/>
      <c r="L211" s="662"/>
      <c r="M211" s="399"/>
    </row>
    <row r="212" spans="1:13" s="675" customFormat="1" ht="15" x14ac:dyDescent="0.25">
      <c r="A212" s="398"/>
      <c r="B212" s="398"/>
      <c r="C212" s="398"/>
      <c r="D212" s="664"/>
      <c r="E212" s="665"/>
      <c r="F212" s="665"/>
      <c r="G212" s="665"/>
      <c r="H212" s="665"/>
      <c r="I212" s="666"/>
      <c r="J212" s="667"/>
      <c r="K212" s="668"/>
      <c r="L212" s="667"/>
      <c r="M212" s="399"/>
    </row>
    <row r="213" spans="1:13" s="675" customFormat="1" ht="15" x14ac:dyDescent="0.25">
      <c r="A213" s="398"/>
      <c r="B213" s="398"/>
      <c r="C213" s="398"/>
      <c r="D213" s="664"/>
      <c r="E213" s="665"/>
      <c r="F213" s="665"/>
      <c r="G213" s="665"/>
      <c r="H213" s="665"/>
      <c r="I213" s="666"/>
      <c r="J213" s="667"/>
      <c r="K213" s="669"/>
      <c r="L213" s="667"/>
      <c r="M213" s="399"/>
    </row>
    <row r="214" spans="1:13" s="675" customFormat="1" ht="15" x14ac:dyDescent="0.25">
      <c r="A214" s="398"/>
      <c r="B214" s="398"/>
      <c r="C214" s="398"/>
      <c r="D214" s="664"/>
      <c r="E214" s="665"/>
      <c r="F214" s="665"/>
      <c r="G214" s="665"/>
      <c r="H214" s="665"/>
      <c r="I214" s="666"/>
      <c r="J214" s="667"/>
      <c r="K214" s="667"/>
      <c r="L214" s="667"/>
      <c r="M214" s="399"/>
    </row>
    <row r="215" spans="1:13" s="675" customFormat="1" ht="15" x14ac:dyDescent="0.25">
      <c r="A215" s="398"/>
      <c r="B215" s="398"/>
      <c r="C215" s="398"/>
      <c r="D215" s="664"/>
      <c r="E215" s="665"/>
      <c r="F215" s="665"/>
      <c r="G215" s="665"/>
      <c r="H215" s="665"/>
      <c r="I215" s="666"/>
      <c r="J215" s="670"/>
      <c r="K215" s="670"/>
      <c r="L215" s="670"/>
      <c r="M215" s="399"/>
    </row>
  </sheetData>
  <mergeCells count="85">
    <mergeCell ref="K201:L201"/>
    <mergeCell ref="D198:H198"/>
    <mergeCell ref="D199:H199"/>
    <mergeCell ref="D200:H200"/>
    <mergeCell ref="D201:H201"/>
    <mergeCell ref="I201:J201"/>
    <mergeCell ref="I190:J190"/>
    <mergeCell ref="K190:L190"/>
    <mergeCell ref="I191:J191"/>
    <mergeCell ref="I192:J192"/>
    <mergeCell ref="K191:L191"/>
    <mergeCell ref="K192:L192"/>
    <mergeCell ref="A183:H183"/>
    <mergeCell ref="I183:J183"/>
    <mergeCell ref="K183:L183"/>
    <mergeCell ref="A187:H187"/>
    <mergeCell ref="I187:J187"/>
    <mergeCell ref="K187:L187"/>
    <mergeCell ref="I157:J157"/>
    <mergeCell ref="K157:L157"/>
    <mergeCell ref="I159:J159"/>
    <mergeCell ref="K159:L159"/>
    <mergeCell ref="I170:J170"/>
    <mergeCell ref="K170:L170"/>
    <mergeCell ref="I175:J175"/>
    <mergeCell ref="K175:L175"/>
    <mergeCell ref="I177:J177"/>
    <mergeCell ref="K177:L177"/>
    <mergeCell ref="A179:H179"/>
    <mergeCell ref="I179:J179"/>
    <mergeCell ref="K179:L179"/>
    <mergeCell ref="I121:J121"/>
    <mergeCell ref="K121:L121"/>
    <mergeCell ref="I123:J123"/>
    <mergeCell ref="K123:L123"/>
    <mergeCell ref="I134:J134"/>
    <mergeCell ref="K134:L134"/>
    <mergeCell ref="I139:J139"/>
    <mergeCell ref="K139:L139"/>
    <mergeCell ref="I141:J141"/>
    <mergeCell ref="K141:L141"/>
    <mergeCell ref="I152:J152"/>
    <mergeCell ref="K152:L152"/>
    <mergeCell ref="I116:J116"/>
    <mergeCell ref="K116:L116"/>
    <mergeCell ref="I94:J94"/>
    <mergeCell ref="K94:L94"/>
    <mergeCell ref="I99:J99"/>
    <mergeCell ref="K99:L99"/>
    <mergeCell ref="I101:J101"/>
    <mergeCell ref="K101:L101"/>
    <mergeCell ref="I103:J103"/>
    <mergeCell ref="K103:L103"/>
    <mergeCell ref="I105:J105"/>
    <mergeCell ref="K105:L105"/>
    <mergeCell ref="A31:L31"/>
    <mergeCell ref="A32:L32"/>
    <mergeCell ref="A36:L36"/>
    <mergeCell ref="A37:B37"/>
    <mergeCell ref="C37:C42"/>
    <mergeCell ref="D37:D42"/>
    <mergeCell ref="E37:E42"/>
    <mergeCell ref="F37:F42"/>
    <mergeCell ref="G37:G42"/>
    <mergeCell ref="C35:G35"/>
    <mergeCell ref="K37:K42"/>
    <mergeCell ref="L37:L42"/>
    <mergeCell ref="H37:H42"/>
    <mergeCell ref="I37:I42"/>
    <mergeCell ref="J37:J42"/>
    <mergeCell ref="K77:L77"/>
    <mergeCell ref="I82:J82"/>
    <mergeCell ref="I84:J84"/>
    <mergeCell ref="K84:L84"/>
    <mergeCell ref="I77:J77"/>
    <mergeCell ref="K82:L82"/>
    <mergeCell ref="I66:J66"/>
    <mergeCell ref="K66:L66"/>
    <mergeCell ref="A38:A42"/>
    <mergeCell ref="B38:B42"/>
    <mergeCell ref="A48:L48"/>
    <mergeCell ref="I59:J59"/>
    <mergeCell ref="K59:L59"/>
    <mergeCell ref="I64:J64"/>
    <mergeCell ref="K64:L64"/>
  </mergeCells>
  <pageMargins left="0.78740157480314965" right="0" top="0.39370078740157483" bottom="0.39370078740157483" header="0.31496062992125984" footer="0.31496062992125984"/>
  <pageSetup paperSize="9" scale="62" firstPageNumber="3" fitToHeight="0" orientation="portrait" blackAndWhite="1" useFirstPageNumber="1" r:id="rId1"/>
  <headerFooter>
    <oddFooter>&amp;R&amp;P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2:IV609"/>
  <sheetViews>
    <sheetView view="pageBreakPreview" topLeftCell="A588" zoomScale="60" zoomScaleNormal="55" workbookViewId="0">
      <selection activeCell="G20" sqref="G20"/>
    </sheetView>
  </sheetViews>
  <sheetFormatPr defaultRowHeight="11.25" x14ac:dyDescent="0.2"/>
  <cols>
    <col min="1" max="1" width="9.5" style="718" customWidth="1"/>
    <col min="2" max="2" width="9.83203125" style="718" customWidth="1"/>
    <col min="3" max="3" width="13.6640625" style="718" customWidth="1"/>
    <col min="4" max="4" width="47.5" style="718" customWidth="1"/>
    <col min="5" max="5" width="13.6640625" style="718" customWidth="1"/>
    <col min="6" max="6" width="10.1640625" style="718" bestFit="1" customWidth="1"/>
    <col min="7" max="7" width="16.6640625" style="718" customWidth="1"/>
    <col min="8" max="8" width="19.6640625" style="718" bestFit="1" customWidth="1"/>
    <col min="9" max="9" width="16.1640625" style="718" customWidth="1"/>
    <col min="10" max="10" width="16.33203125" style="718" customWidth="1"/>
    <col min="11" max="11" width="10.6640625" style="718" bestFit="1" customWidth="1"/>
    <col min="12" max="12" width="20.6640625" style="718" customWidth="1"/>
    <col min="13" max="13" width="16.6640625" style="718" customWidth="1"/>
    <col min="14" max="14" width="10.6640625" style="718" customWidth="1"/>
    <col min="15" max="28" width="10.6640625" style="718" hidden="1" customWidth="1"/>
    <col min="29" max="36" width="10.6640625" style="718" customWidth="1"/>
    <col min="37" max="37" width="157.1640625" style="718" customWidth="1"/>
    <col min="38" max="38" width="117.83203125" style="718" customWidth="1"/>
    <col min="39" max="42" width="10.6640625" style="718" customWidth="1"/>
    <col min="43" max="16384" width="9.33203125" style="718"/>
  </cols>
  <sheetData>
    <row r="2" spans="1:12" ht="18.75" x14ac:dyDescent="0.3">
      <c r="A2" s="1052" t="s">
        <v>697</v>
      </c>
      <c r="B2" s="1052"/>
      <c r="C2" s="1052"/>
      <c r="D2" s="1052"/>
      <c r="E2" s="1052"/>
      <c r="F2" s="1052"/>
      <c r="G2" s="1052"/>
      <c r="H2" s="1052"/>
      <c r="I2" s="1052"/>
      <c r="J2" s="1052"/>
      <c r="K2" s="1052"/>
      <c r="L2" s="1052"/>
    </row>
    <row r="4" spans="1:12" ht="15.75" x14ac:dyDescent="0.25">
      <c r="C4" s="741" t="s">
        <v>589</v>
      </c>
      <c r="D4" s="741"/>
      <c r="E4" s="741"/>
      <c r="F4" s="741"/>
      <c r="G4" s="741"/>
      <c r="H4" s="741"/>
      <c r="I4" s="741"/>
    </row>
    <row r="5" spans="1:12" ht="15.75" x14ac:dyDescent="0.25">
      <c r="C5" s="741" t="s">
        <v>588</v>
      </c>
      <c r="D5" s="741"/>
      <c r="E5" s="741"/>
      <c r="F5" s="741"/>
      <c r="G5" s="741"/>
      <c r="H5" s="741"/>
      <c r="I5" s="741"/>
    </row>
    <row r="6" spans="1:12" ht="15.75" x14ac:dyDescent="0.25">
      <c r="C6" s="741"/>
      <c r="D6" s="741"/>
      <c r="E6" s="741"/>
      <c r="F6" s="741"/>
      <c r="G6" s="741"/>
      <c r="H6" s="741"/>
      <c r="I6" s="741"/>
    </row>
    <row r="7" spans="1:12" ht="47.45" customHeight="1" x14ac:dyDescent="0.2">
      <c r="C7" s="1082" t="s">
        <v>455</v>
      </c>
      <c r="D7" s="1082"/>
      <c r="E7" s="1082"/>
      <c r="F7" s="1082"/>
      <c r="G7" s="1082"/>
      <c r="H7" s="1082"/>
      <c r="I7" s="1082"/>
    </row>
    <row r="8" spans="1:12" ht="15" x14ac:dyDescent="0.25">
      <c r="A8" s="1061" t="s">
        <v>456</v>
      </c>
      <c r="B8" s="1061"/>
      <c r="C8" s="1061"/>
      <c r="D8" s="1061"/>
      <c r="E8" s="1061"/>
      <c r="F8" s="1061"/>
      <c r="G8" s="1061"/>
      <c r="H8" s="1061"/>
      <c r="I8" s="1061"/>
      <c r="J8" s="1061"/>
      <c r="K8" s="1061"/>
      <c r="L8" s="1061"/>
    </row>
    <row r="9" spans="1:12" ht="15" x14ac:dyDescent="0.2">
      <c r="A9" s="1065" t="s">
        <v>67</v>
      </c>
      <c r="B9" s="1065"/>
      <c r="C9" s="1065" t="s">
        <v>68</v>
      </c>
      <c r="D9" s="1065" t="s">
        <v>69</v>
      </c>
      <c r="E9" s="1065" t="s">
        <v>70</v>
      </c>
      <c r="F9" s="1065" t="s">
        <v>457</v>
      </c>
      <c r="G9" s="1065" t="s">
        <v>458</v>
      </c>
      <c r="H9" s="1062" t="s">
        <v>459</v>
      </c>
      <c r="I9" s="1062" t="s">
        <v>460</v>
      </c>
      <c r="J9" s="1065" t="s">
        <v>461</v>
      </c>
      <c r="K9" s="1065" t="s">
        <v>462</v>
      </c>
      <c r="L9" s="1065" t="s">
        <v>463</v>
      </c>
    </row>
    <row r="10" spans="1:12" x14ac:dyDescent="0.2">
      <c r="A10" s="1062" t="s">
        <v>78</v>
      </c>
      <c r="B10" s="1062" t="s">
        <v>79</v>
      </c>
      <c r="C10" s="1065"/>
      <c r="D10" s="1065"/>
      <c r="E10" s="1065"/>
      <c r="F10" s="1065"/>
      <c r="G10" s="1065"/>
      <c r="H10" s="1063"/>
      <c r="I10" s="1063"/>
      <c r="J10" s="1065"/>
      <c r="K10" s="1065"/>
      <c r="L10" s="1065"/>
    </row>
    <row r="11" spans="1:12" x14ac:dyDescent="0.2">
      <c r="A11" s="1063"/>
      <c r="B11" s="1063"/>
      <c r="C11" s="1065"/>
      <c r="D11" s="1065"/>
      <c r="E11" s="1065"/>
      <c r="F11" s="1065"/>
      <c r="G11" s="1065"/>
      <c r="H11" s="1063"/>
      <c r="I11" s="1063"/>
      <c r="J11" s="1065"/>
      <c r="K11" s="1065"/>
      <c r="L11" s="1065"/>
    </row>
    <row r="12" spans="1:12" x14ac:dyDescent="0.2">
      <c r="A12" s="1063"/>
      <c r="B12" s="1063"/>
      <c r="C12" s="1065"/>
      <c r="D12" s="1065"/>
      <c r="E12" s="1065"/>
      <c r="F12" s="1065"/>
      <c r="G12" s="1065"/>
      <c r="H12" s="1063"/>
      <c r="I12" s="1063"/>
      <c r="J12" s="1065"/>
      <c r="K12" s="1065"/>
      <c r="L12" s="1065"/>
    </row>
    <row r="13" spans="1:12" x14ac:dyDescent="0.2">
      <c r="A13" s="1063"/>
      <c r="B13" s="1063"/>
      <c r="C13" s="1065"/>
      <c r="D13" s="1065"/>
      <c r="E13" s="1065"/>
      <c r="F13" s="1065"/>
      <c r="G13" s="1065"/>
      <c r="H13" s="1063"/>
      <c r="I13" s="1063"/>
      <c r="J13" s="1065"/>
      <c r="K13" s="1065"/>
      <c r="L13" s="1065"/>
    </row>
    <row r="14" spans="1:12" x14ac:dyDescent="0.2">
      <c r="A14" s="1064"/>
      <c r="B14" s="1064"/>
      <c r="C14" s="1065"/>
      <c r="D14" s="1065"/>
      <c r="E14" s="1065"/>
      <c r="F14" s="1065"/>
      <c r="G14" s="1065"/>
      <c r="H14" s="1064"/>
      <c r="I14" s="1064"/>
      <c r="J14" s="1065"/>
      <c r="K14" s="1065"/>
      <c r="L14" s="1065"/>
    </row>
    <row r="15" spans="1:12" ht="15" x14ac:dyDescent="0.2">
      <c r="A15" s="689">
        <v>1</v>
      </c>
      <c r="B15" s="689">
        <v>2</v>
      </c>
      <c r="C15" s="689">
        <v>3</v>
      </c>
      <c r="D15" s="689">
        <v>4</v>
      </c>
      <c r="E15" s="689">
        <v>5</v>
      </c>
      <c r="F15" s="689">
        <v>6</v>
      </c>
      <c r="G15" s="689">
        <v>7</v>
      </c>
      <c r="H15" s="689">
        <v>8</v>
      </c>
      <c r="I15" s="689">
        <v>9</v>
      </c>
      <c r="J15" s="689">
        <v>10</v>
      </c>
      <c r="K15" s="689">
        <v>11</v>
      </c>
      <c r="L15" s="689">
        <v>12</v>
      </c>
    </row>
    <row r="17" spans="1:27" ht="16.5" x14ac:dyDescent="0.25">
      <c r="A17" s="1066" t="str">
        <f>CONCATENATE("Подраздел: ",IF([95]Source!G114&lt;&gt;"Новый подраздел", [95]Source!G114, ""))</f>
        <v>Подраздел: П2-11, П2-11р</v>
      </c>
      <c r="B17" s="1066"/>
      <c r="C17" s="1066"/>
      <c r="D17" s="1066"/>
      <c r="E17" s="1066"/>
      <c r="F17" s="1066"/>
      <c r="G17" s="1066"/>
      <c r="H17" s="1066"/>
      <c r="I17" s="1066"/>
      <c r="J17" s="1066"/>
      <c r="K17" s="1066"/>
      <c r="L17" s="1066"/>
    </row>
    <row r="18" spans="1:27" ht="51" customHeight="1" x14ac:dyDescent="0.25">
      <c r="A18" s="691">
        <v>1</v>
      </c>
      <c r="B18" s="691" t="str">
        <f>[95]Source!E127</f>
        <v>9</v>
      </c>
      <c r="C18" s="692" t="str">
        <f>[95]Source!F127</f>
        <v>3.20-24-3</v>
      </c>
      <c r="D18" s="692" t="s">
        <v>475</v>
      </c>
      <c r="E18" s="693" t="str">
        <f>[95]Source!H127</f>
        <v>1  ШТ.</v>
      </c>
      <c r="F18" s="694">
        <f>[95]Source!I127</f>
        <v>1</v>
      </c>
      <c r="G18" s="695"/>
      <c r="H18" s="696"/>
      <c r="I18" s="694"/>
      <c r="J18" s="697"/>
      <c r="K18" s="694"/>
      <c r="L18" s="697"/>
      <c r="Q18" s="718">
        <f>ROUND(([95]Source!DN127/100)*ROUND((ROUND(([95]Source!AF127*[95]Source!AV127*[95]Source!I127),2)),2), 2)</f>
        <v>47.06</v>
      </c>
      <c r="R18" s="718">
        <f>[95]Source!X127</f>
        <v>912.26</v>
      </c>
      <c r="S18" s="718">
        <f>ROUND(([95]Source!DO127/100)*ROUND((ROUND(([95]Source!AF127*[95]Source!AV127*[95]Source!I127),2)),2), 2)</f>
        <v>35.39</v>
      </c>
      <c r="T18" s="718">
        <f>[95]Source!Y127</f>
        <v>410.52</v>
      </c>
      <c r="U18" s="718">
        <f>ROUND((175/100)*ROUND((ROUND(([95]Source!AE127*[95]Source!AV127*[95]Source!I127),2)),2), 2)</f>
        <v>1.65</v>
      </c>
      <c r="V18" s="718">
        <f>ROUND((157/100)*ROUND(ROUND((ROUND(([95]Source!AE127*[95]Source!AV127*[95]Source!I127),2)*[95]Source!BS127),2), 2), 2)</f>
        <v>35.76</v>
      </c>
    </row>
    <row r="19" spans="1:27" ht="15" x14ac:dyDescent="0.25">
      <c r="A19" s="691"/>
      <c r="B19" s="691"/>
      <c r="C19" s="692"/>
      <c r="D19" s="692" t="s">
        <v>84</v>
      </c>
      <c r="E19" s="693"/>
      <c r="F19" s="694"/>
      <c r="G19" s="695">
        <f>[95]Source!AO127</f>
        <v>21.13</v>
      </c>
      <c r="H19" s="696" t="str">
        <f>[95]Source!DG127</f>
        <v>)*1,67</v>
      </c>
      <c r="I19" s="694">
        <f>[95]Source!AV127</f>
        <v>1.0669999999999999</v>
      </c>
      <c r="J19" s="697">
        <f>ROUND((ROUND(([95]Source!AF127*[95]Source!AV127*[95]Source!I127),2)),2)</f>
        <v>37.65</v>
      </c>
      <c r="K19" s="694">
        <f>IF([95]Source!BA127&lt;&gt; 0, [95]Source!BA127, 1)</f>
        <v>24.23</v>
      </c>
      <c r="L19" s="697">
        <f>[95]Source!S127</f>
        <v>912.26</v>
      </c>
      <c r="W19" s="718">
        <f>J19</f>
        <v>37.65</v>
      </c>
    </row>
    <row r="20" spans="1:27" ht="15" x14ac:dyDescent="0.25">
      <c r="A20" s="691"/>
      <c r="B20" s="691"/>
      <c r="C20" s="692"/>
      <c r="D20" s="692" t="s">
        <v>85</v>
      </c>
      <c r="E20" s="693"/>
      <c r="F20" s="694"/>
      <c r="G20" s="695">
        <f>[95]Source!AM127</f>
        <v>2.23</v>
      </c>
      <c r="H20" s="696" t="str">
        <f>[95]Source!DE127</f>
        <v/>
      </c>
      <c r="I20" s="694">
        <f>[95]Source!AV127</f>
        <v>1.0669999999999999</v>
      </c>
      <c r="J20" s="697">
        <f>(ROUND((ROUND((([95]Source!ET127)*[95]Source!AV127*[95]Source!I127),2)),2)+ROUND((ROUND((([95]Source!AE127-([95]Source!EU127))*[95]Source!AV127*[95]Source!I127),2)),2))-J30</f>
        <v>2.38</v>
      </c>
      <c r="K20" s="694">
        <f>IF([95]Source!BB127&lt;&gt; 0, [95]Source!BB127, 1)</f>
        <v>10</v>
      </c>
      <c r="L20" s="697">
        <f>[95]Source!Q127-L30</f>
        <v>23.83</v>
      </c>
    </row>
    <row r="21" spans="1:27" ht="15" x14ac:dyDescent="0.25">
      <c r="A21" s="691"/>
      <c r="B21" s="691"/>
      <c r="C21" s="692"/>
      <c r="D21" s="692" t="s">
        <v>86</v>
      </c>
      <c r="E21" s="693"/>
      <c r="F21" s="694"/>
      <c r="G21" s="695">
        <f>[95]Source!AN127</f>
        <v>0.53</v>
      </c>
      <c r="H21" s="696" t="str">
        <f>[95]Source!DE127</f>
        <v/>
      </c>
      <c r="I21" s="694">
        <f>[95]Source!AV127</f>
        <v>1.0669999999999999</v>
      </c>
      <c r="J21" s="700">
        <f>ROUND((ROUND(([95]Source!AE127*[95]Source!AV127*[95]Source!I127),2)),2)-J31</f>
        <v>0.56000000000000005</v>
      </c>
      <c r="K21" s="694">
        <f>IF([95]Source!BS127&lt;&gt; 0, [95]Source!BS127, 1)</f>
        <v>24.23</v>
      </c>
      <c r="L21" s="700">
        <f>[95]Source!R127-L31</f>
        <v>13.6</v>
      </c>
      <c r="W21" s="718">
        <f>J21</f>
        <v>0.56000000000000005</v>
      </c>
    </row>
    <row r="22" spans="1:27" ht="15" x14ac:dyDescent="0.25">
      <c r="A22" s="691"/>
      <c r="B22" s="691"/>
      <c r="C22" s="692"/>
      <c r="D22" s="692" t="s">
        <v>87</v>
      </c>
      <c r="E22" s="693"/>
      <c r="F22" s="694"/>
      <c r="G22" s="695">
        <f>[95]Source!AL127</f>
        <v>8.1199999999999992</v>
      </c>
      <c r="H22" s="696" t="str">
        <f>[95]Source!DD127</f>
        <v/>
      </c>
      <c r="I22" s="694">
        <f>[95]Source!AW127</f>
        <v>1</v>
      </c>
      <c r="J22" s="697">
        <f>ROUND((ROUND(([95]Source!AC127*[95]Source!AW127*[95]Source!I127),2)),2)</f>
        <v>8.1199999999999992</v>
      </c>
      <c r="K22" s="694">
        <f>IF([95]Source!BC127&lt;&gt; 0, [95]Source!BC127, 1)</f>
        <v>5.58</v>
      </c>
      <c r="L22" s="697">
        <f>[95]Source!P127</f>
        <v>45.31</v>
      </c>
    </row>
    <row r="23" spans="1:27" ht="100.9" customHeight="1" x14ac:dyDescent="0.25">
      <c r="A23" s="691">
        <v>2</v>
      </c>
      <c r="B23" s="691" t="str">
        <f>[95]Source!E129</f>
        <v>9,1</v>
      </c>
      <c r="C23" s="692" t="str">
        <f>[95]Source!F129</f>
        <v>1.19-11-15</v>
      </c>
      <c r="D23" s="692" t="s">
        <v>476</v>
      </c>
      <c r="E23" s="693" t="str">
        <f>[95]Source!H129</f>
        <v>шт.</v>
      </c>
      <c r="F23" s="694">
        <f>[95]Source!I129</f>
        <v>1</v>
      </c>
      <c r="G23" s="695">
        <f>[95]Source!AK129</f>
        <v>1318.55</v>
      </c>
      <c r="H23" s="734" t="s">
        <v>42</v>
      </c>
      <c r="I23" s="694">
        <f>[95]Source!AW129</f>
        <v>1</v>
      </c>
      <c r="J23" s="697">
        <f>ROUND((ROUND(([95]Source!AC129*[95]Source!AW129*[95]Source!I129),2)),2)+(ROUND((ROUND((([95]Source!ET129)*[95]Source!AV129*[95]Source!I129),2)),2)+ROUND((ROUND((([95]Source!AE129-([95]Source!EU129))*[95]Source!AV129*[95]Source!I129),2)),2))+ROUND((ROUND(([95]Source!AF129*[95]Source!AV129*[95]Source!I129),2)),2)</f>
        <v>1318.55</v>
      </c>
      <c r="K23" s="694">
        <f>IF([95]Source!BC129&lt;&gt; 0, [95]Source!BC129, 1)</f>
        <v>2.65</v>
      </c>
      <c r="L23" s="697">
        <f>[95]Source!O129</f>
        <v>3494.16</v>
      </c>
      <c r="Q23" s="718">
        <f>ROUND(([95]Source!DN129/100)*ROUND((ROUND(([95]Source!AF129*[95]Source!AV129*[95]Source!I129),2)),2), 2)</f>
        <v>0</v>
      </c>
      <c r="R23" s="718">
        <f>[95]Source!X129</f>
        <v>0</v>
      </c>
      <c r="S23" s="718">
        <f>ROUND(([95]Source!DO129/100)*ROUND((ROUND(([95]Source!AF129*[95]Source!AV129*[95]Source!I129),2)),2), 2)</f>
        <v>0</v>
      </c>
      <c r="T23" s="718">
        <f>[95]Source!Y129</f>
        <v>0</v>
      </c>
      <c r="U23" s="718">
        <f>ROUND((175/100)*ROUND((ROUND(([95]Source!AE129*[95]Source!AV129*[95]Source!I129),2)),2), 2)</f>
        <v>0</v>
      </c>
      <c r="V23" s="718">
        <f>ROUND((157/100)*ROUND(ROUND((ROUND(([95]Source!AE129*[95]Source!AV129*[95]Source!I129),2)*[95]Source!BS129),2), 2), 2)</f>
        <v>0</v>
      </c>
      <c r="X23" s="718">
        <f>IF([95]Source!BI129&lt;=1,J23, 0)</f>
        <v>1318.55</v>
      </c>
      <c r="Y23" s="718">
        <f>IF([95]Source!BI129=2,J23, 0)</f>
        <v>0</v>
      </c>
      <c r="Z23" s="718">
        <f>IF([95]Source!BI129=3,J23, 0)</f>
        <v>0</v>
      </c>
      <c r="AA23" s="718">
        <f>IF([95]Source!BI129=4,J23, 0)</f>
        <v>0</v>
      </c>
    </row>
    <row r="24" spans="1:27" ht="15" x14ac:dyDescent="0.25">
      <c r="A24" s="691"/>
      <c r="B24" s="691"/>
      <c r="C24" s="692"/>
      <c r="D24" s="692" t="s">
        <v>88</v>
      </c>
      <c r="E24" s="693" t="s">
        <v>89</v>
      </c>
      <c r="F24" s="694">
        <f>[95]Source!DN127</f>
        <v>125</v>
      </c>
      <c r="G24" s="695"/>
      <c r="H24" s="696"/>
      <c r="I24" s="694"/>
      <c r="J24" s="697">
        <f>SUM(Q18:Q23)</f>
        <v>47.06</v>
      </c>
      <c r="K24" s="694">
        <f>[95]Source!BZ127</f>
        <v>100</v>
      </c>
      <c r="L24" s="697">
        <f>SUM(R18:R23)</f>
        <v>912.26</v>
      </c>
    </row>
    <row r="25" spans="1:27" ht="15" x14ac:dyDescent="0.25">
      <c r="A25" s="691"/>
      <c r="B25" s="691"/>
      <c r="C25" s="692"/>
      <c r="D25" s="692" t="s">
        <v>90</v>
      </c>
      <c r="E25" s="693" t="s">
        <v>89</v>
      </c>
      <c r="F25" s="694">
        <f>[95]Source!DO127</f>
        <v>94</v>
      </c>
      <c r="G25" s="695"/>
      <c r="H25" s="696"/>
      <c r="I25" s="694"/>
      <c r="J25" s="697">
        <f>SUM(S18:S24)</f>
        <v>35.39</v>
      </c>
      <c r="K25" s="694">
        <f>[95]Source!CA127</f>
        <v>45</v>
      </c>
      <c r="L25" s="697">
        <f>SUM(T18:T24)</f>
        <v>410.52</v>
      </c>
    </row>
    <row r="26" spans="1:27" ht="15" x14ac:dyDescent="0.25">
      <c r="A26" s="691"/>
      <c r="B26" s="691"/>
      <c r="C26" s="692"/>
      <c r="D26" s="692" t="s">
        <v>91</v>
      </c>
      <c r="E26" s="693" t="s">
        <v>89</v>
      </c>
      <c r="F26" s="694">
        <f>175</f>
        <v>175</v>
      </c>
      <c r="G26" s="695"/>
      <c r="H26" s="696"/>
      <c r="I26" s="694"/>
      <c r="J26" s="697">
        <f>SUM(U18:U25)-J32</f>
        <v>0.98</v>
      </c>
      <c r="K26" s="694">
        <f>157</f>
        <v>157</v>
      </c>
      <c r="L26" s="697">
        <f>SUM(V18:V25)-L32</f>
        <v>21.35</v>
      </c>
    </row>
    <row r="27" spans="1:27" ht="15" x14ac:dyDescent="0.25">
      <c r="A27" s="691"/>
      <c r="B27" s="691"/>
      <c r="C27" s="692"/>
      <c r="D27" s="692" t="s">
        <v>92</v>
      </c>
      <c r="E27" s="693" t="s">
        <v>93</v>
      </c>
      <c r="F27" s="694">
        <f>[95]Source!AQ127</f>
        <v>1.82</v>
      </c>
      <c r="G27" s="695"/>
      <c r="H27" s="696" t="str">
        <f>[95]Source!DI127</f>
        <v/>
      </c>
      <c r="I27" s="694">
        <f>[95]Source!AV127</f>
        <v>1.0669999999999999</v>
      </c>
      <c r="J27" s="697">
        <f>[95]Source!U127</f>
        <v>1.94</v>
      </c>
      <c r="K27" s="694"/>
      <c r="L27" s="697"/>
    </row>
    <row r="28" spans="1:27" ht="14.25" x14ac:dyDescent="0.2">
      <c r="I28" s="1067">
        <f>J19+J20+J22+J24+J25+J26+SUM(J23:J23)</f>
        <v>1450.13</v>
      </c>
      <c r="J28" s="1067"/>
      <c r="K28" s="1067">
        <f>L19+L20+L22+L24+L25+L26+SUM(L23:L23)</f>
        <v>5819.69</v>
      </c>
      <c r="L28" s="1067"/>
      <c r="O28" s="736">
        <f>J19+J20+J22+J24+J25+J26+SUM(J23:J23)</f>
        <v>1450.13</v>
      </c>
      <c r="P28" s="736">
        <f>L19+L20+L22+L24+L25+L26+SUM(L23:L23)</f>
        <v>5819.69</v>
      </c>
      <c r="X28" s="718">
        <f>IF([95]Source!BI127&lt;=1,J19+J20+J22+J24+J25+J26-0, 0)</f>
        <v>131.58000000000001</v>
      </c>
      <c r="Y28" s="718">
        <f>IF([95]Source!BI127=2,J19+J20+J22+J24+J25+J26-0, 0)</f>
        <v>0</v>
      </c>
      <c r="Z28" s="718">
        <f>IF([95]Source!BI127=3,J19+J20+J22+J24+J25+J26-0, 0)</f>
        <v>0</v>
      </c>
      <c r="AA28" s="718">
        <f>IF([95]Source!BI127=4,J19+J20+J22+J24+J25+J26,0)</f>
        <v>0</v>
      </c>
    </row>
    <row r="29" spans="1:27" ht="30" x14ac:dyDescent="0.25">
      <c r="A29" s="701"/>
      <c r="B29" s="701"/>
      <c r="C29" s="702"/>
      <c r="D29" s="702" t="s">
        <v>94</v>
      </c>
      <c r="E29" s="693"/>
      <c r="F29" s="703"/>
      <c r="G29" s="704"/>
      <c r="H29" s="693"/>
      <c r="I29" s="703"/>
      <c r="J29" s="700"/>
      <c r="K29" s="703"/>
      <c r="L29" s="700"/>
    </row>
    <row r="30" spans="1:27" ht="15" x14ac:dyDescent="0.25">
      <c r="A30" s="701"/>
      <c r="B30" s="701"/>
      <c r="C30" s="702"/>
      <c r="D30" s="702" t="s">
        <v>85</v>
      </c>
      <c r="E30" s="693"/>
      <c r="F30" s="703"/>
      <c r="G30" s="704">
        <f t="shared" ref="G30:L30" si="0">G31</f>
        <v>0.53</v>
      </c>
      <c r="H30" s="705" t="str">
        <f t="shared" si="0"/>
        <v>)*(1.67-1)</v>
      </c>
      <c r="I30" s="703">
        <f t="shared" si="0"/>
        <v>1.0669999999999999</v>
      </c>
      <c r="J30" s="700">
        <f t="shared" si="0"/>
        <v>0.38</v>
      </c>
      <c r="K30" s="703">
        <f t="shared" si="0"/>
        <v>24.23</v>
      </c>
      <c r="L30" s="700">
        <f t="shared" si="0"/>
        <v>9.18</v>
      </c>
    </row>
    <row r="31" spans="1:27" ht="15" x14ac:dyDescent="0.25">
      <c r="A31" s="701"/>
      <c r="B31" s="701"/>
      <c r="C31" s="702"/>
      <c r="D31" s="702" t="s">
        <v>86</v>
      </c>
      <c r="E31" s="693"/>
      <c r="F31" s="703"/>
      <c r="G31" s="704">
        <f>[95]Source!AN127</f>
        <v>0.53</v>
      </c>
      <c r="H31" s="705" t="s">
        <v>95</v>
      </c>
      <c r="I31" s="703">
        <f>[95]Source!AV127</f>
        <v>1.0669999999999999</v>
      </c>
      <c r="J31" s="700">
        <f>ROUND(F18*G31*I31*(1.67-1), 2)</f>
        <v>0.38</v>
      </c>
      <c r="K31" s="703">
        <f>IF([95]Source!BS127&lt;&gt; 0, [95]Source!BS127, 1)</f>
        <v>24.23</v>
      </c>
      <c r="L31" s="700">
        <f>ROUND(F18*G31*I31*(1.67-1)*K31, 2)</f>
        <v>9.18</v>
      </c>
      <c r="W31" s="718">
        <f>J31</f>
        <v>0.38</v>
      </c>
    </row>
    <row r="32" spans="1:27" ht="15" x14ac:dyDescent="0.25">
      <c r="A32" s="701"/>
      <c r="B32" s="701"/>
      <c r="C32" s="702"/>
      <c r="D32" s="702" t="s">
        <v>91</v>
      </c>
      <c r="E32" s="693" t="s">
        <v>89</v>
      </c>
      <c r="F32" s="703">
        <f>175</f>
        <v>175</v>
      </c>
      <c r="G32" s="704"/>
      <c r="H32" s="693"/>
      <c r="I32" s="703"/>
      <c r="J32" s="700">
        <f>ROUND(J31*(F32/100), 2)</f>
        <v>0.67</v>
      </c>
      <c r="K32" s="703">
        <f>157</f>
        <v>157</v>
      </c>
      <c r="L32" s="700">
        <f>ROUND(L31*(K32/100), 2)</f>
        <v>14.41</v>
      </c>
    </row>
    <row r="33" spans="1:27" ht="14.25" x14ac:dyDescent="0.2">
      <c r="I33" s="1067">
        <f>J32+J31</f>
        <v>1.05</v>
      </c>
      <c r="J33" s="1067"/>
      <c r="K33" s="1067">
        <f>L32+L31</f>
        <v>23.59</v>
      </c>
      <c r="L33" s="1067"/>
      <c r="O33" s="736">
        <f>I33</f>
        <v>1.05</v>
      </c>
      <c r="P33" s="736">
        <f>K33</f>
        <v>23.59</v>
      </c>
      <c r="X33" s="718">
        <f>IF([95]Source!BI127&lt;=1,I33, 0)</f>
        <v>1.05</v>
      </c>
      <c r="Y33" s="718">
        <f>IF([95]Source!BI127=2,I33, 0)</f>
        <v>0</v>
      </c>
      <c r="Z33" s="718">
        <f>IF([95]Source!BI127=3,I33, 0)</f>
        <v>0</v>
      </c>
      <c r="AA33" s="718">
        <f>IF([95]Source!BI127=4,I33, 0)</f>
        <v>0</v>
      </c>
    </row>
    <row r="35" spans="1:27" ht="15" x14ac:dyDescent="0.25">
      <c r="A35" s="706"/>
      <c r="B35" s="706"/>
      <c r="C35" s="707"/>
      <c r="D35" s="707" t="s">
        <v>96</v>
      </c>
      <c r="E35" s="708"/>
      <c r="F35" s="709"/>
      <c r="G35" s="710"/>
      <c r="H35" s="711"/>
      <c r="I35" s="1067">
        <f>I28+I33</f>
        <v>1451.18</v>
      </c>
      <c r="J35" s="1067"/>
      <c r="K35" s="1067">
        <f>K28+K33</f>
        <v>5843.28</v>
      </c>
      <c r="L35" s="1067"/>
    </row>
    <row r="37" spans="1:27" ht="14.25" x14ac:dyDescent="0.2">
      <c r="A37" s="1068" t="str">
        <f>CONCATENATE("Итого по подразделу: ",IF([95]Source!G161&lt;&gt;"Новый подраздел", [95]Source!G161, ""))</f>
        <v>Итого по подразделу: П2-11, П2-11р</v>
      </c>
      <c r="B37" s="1068"/>
      <c r="C37" s="1068"/>
      <c r="D37" s="1068"/>
      <c r="E37" s="1068"/>
      <c r="F37" s="1068"/>
      <c r="G37" s="1068"/>
      <c r="H37" s="1068"/>
      <c r="I37" s="1069">
        <f>SUM(O17:O36)</f>
        <v>1451.18</v>
      </c>
      <c r="J37" s="1070"/>
      <c r="K37" s="1069">
        <f>SUM(P17:P36)</f>
        <v>5843.28</v>
      </c>
      <c r="L37" s="1070"/>
    </row>
    <row r="38" spans="1:27" hidden="1" x14ac:dyDescent="0.2">
      <c r="A38" s="718" t="s">
        <v>139</v>
      </c>
      <c r="I38" s="718">
        <f>SUM(AC17:AC37)</f>
        <v>0</v>
      </c>
      <c r="K38" s="718">
        <f>SUM(AD17:AD37)</f>
        <v>0</v>
      </c>
    </row>
    <row r="39" spans="1:27" hidden="1" x14ac:dyDescent="0.2">
      <c r="A39" s="718" t="s">
        <v>140</v>
      </c>
      <c r="I39" s="718">
        <f>SUM(AE17:AE38)</f>
        <v>0</v>
      </c>
      <c r="K39" s="718">
        <f>SUM(AF17:AF38)</f>
        <v>0</v>
      </c>
    </row>
    <row r="41" spans="1:27" ht="16.5" x14ac:dyDescent="0.25">
      <c r="A41" s="1066" t="str">
        <f>CONCATENATE("Подраздел: ",IF([95]Source!G191&lt;&gt;"Новый подраздел", [95]Source!G191, ""))</f>
        <v>Подраздел: П2-13</v>
      </c>
      <c r="B41" s="1066"/>
      <c r="C41" s="1066"/>
      <c r="D41" s="1066"/>
      <c r="E41" s="1066"/>
      <c r="F41" s="1066"/>
      <c r="G41" s="1066"/>
      <c r="H41" s="1066"/>
      <c r="I41" s="1066"/>
      <c r="J41" s="1066"/>
      <c r="K41" s="1066"/>
      <c r="L41" s="1066"/>
    </row>
    <row r="42" spans="1:27" ht="55.15" customHeight="1" x14ac:dyDescent="0.25">
      <c r="A42" s="691">
        <v>5</v>
      </c>
      <c r="B42" s="691" t="str">
        <f>[95]Source!E200</f>
        <v>24</v>
      </c>
      <c r="C42" s="692" t="str">
        <f>[95]Source!F200</f>
        <v>3.20-24-2</v>
      </c>
      <c r="D42" s="692" t="s">
        <v>477</v>
      </c>
      <c r="E42" s="693" t="str">
        <f>[95]Source!H200</f>
        <v>1  ШТ.</v>
      </c>
      <c r="F42" s="694">
        <f>[95]Source!I200</f>
        <v>1</v>
      </c>
      <c r="G42" s="695"/>
      <c r="H42" s="696"/>
      <c r="I42" s="694"/>
      <c r="J42" s="697"/>
      <c r="K42" s="694"/>
      <c r="L42" s="697"/>
      <c r="Q42" s="718">
        <f>ROUND(([95]Source!DN200/100)*ROUND((ROUND(([95]Source!AF200*[95]Source!AV200*[95]Source!I200),2)),2), 2)</f>
        <v>39.340000000000003</v>
      </c>
      <c r="R42" s="718">
        <f>[95]Source!X200</f>
        <v>762.52</v>
      </c>
      <c r="S42" s="718">
        <f>ROUND(([95]Source!DO200/100)*ROUND((ROUND(([95]Source!AF200*[95]Source!AV200*[95]Source!I200),2)),2), 2)</f>
        <v>29.58</v>
      </c>
      <c r="T42" s="718">
        <f>[95]Source!Y200</f>
        <v>343.13</v>
      </c>
      <c r="U42" s="718">
        <f>ROUND((175/100)*ROUND((ROUND(([95]Source!AE200*[95]Source!AV200*[95]Source!I200),2)),2), 2)</f>
        <v>1.65</v>
      </c>
      <c r="V42" s="718">
        <f>ROUND((157/100)*ROUND(ROUND((ROUND(([95]Source!AE200*[95]Source!AV200*[95]Source!I200),2)*[95]Source!BS200),2), 2), 2)</f>
        <v>35.76</v>
      </c>
    </row>
    <row r="43" spans="1:27" ht="15" x14ac:dyDescent="0.25">
      <c r="A43" s="691"/>
      <c r="B43" s="691"/>
      <c r="C43" s="692"/>
      <c r="D43" s="692" t="s">
        <v>84</v>
      </c>
      <c r="E43" s="693"/>
      <c r="F43" s="694"/>
      <c r="G43" s="695">
        <f>[95]Source!AO200</f>
        <v>17.66</v>
      </c>
      <c r="H43" s="696" t="str">
        <f>[95]Source!DG200</f>
        <v>)*1,67</v>
      </c>
      <c r="I43" s="694">
        <f>[95]Source!AV200</f>
        <v>1.0669999999999999</v>
      </c>
      <c r="J43" s="697">
        <f>ROUND((ROUND(([95]Source!AF200*[95]Source!AV200*[95]Source!I200),2)),2)</f>
        <v>31.47</v>
      </c>
      <c r="K43" s="694">
        <f>IF([95]Source!BA200&lt;&gt; 0, [95]Source!BA200, 1)</f>
        <v>24.23</v>
      </c>
      <c r="L43" s="697">
        <f>[95]Source!S200</f>
        <v>762.52</v>
      </c>
      <c r="W43" s="718">
        <f>J43</f>
        <v>31.47</v>
      </c>
    </row>
    <row r="44" spans="1:27" ht="15" x14ac:dyDescent="0.25">
      <c r="A44" s="691"/>
      <c r="B44" s="691"/>
      <c r="C44" s="692"/>
      <c r="D44" s="692" t="s">
        <v>85</v>
      </c>
      <c r="E44" s="693"/>
      <c r="F44" s="694"/>
      <c r="G44" s="695">
        <f>[95]Source!AM200</f>
        <v>2.23</v>
      </c>
      <c r="H44" s="696" t="str">
        <f>[95]Source!DE200</f>
        <v/>
      </c>
      <c r="I44" s="694">
        <f>[95]Source!AV200</f>
        <v>1.0669999999999999</v>
      </c>
      <c r="J44" s="697">
        <f>(ROUND((ROUND((([95]Source!ET200)*[95]Source!AV200*[95]Source!I200),2)),2)+ROUND((ROUND((([95]Source!AE200-([95]Source!EU200))*[95]Source!AV200*[95]Source!I200),2)),2))-J54</f>
        <v>2.38</v>
      </c>
      <c r="K44" s="694">
        <f>IF([95]Source!BB200&lt;&gt; 0, [95]Source!BB200, 1)</f>
        <v>10</v>
      </c>
      <c r="L44" s="697">
        <f>[95]Source!Q200-L54</f>
        <v>23.83</v>
      </c>
    </row>
    <row r="45" spans="1:27" ht="15" x14ac:dyDescent="0.25">
      <c r="A45" s="691"/>
      <c r="B45" s="691"/>
      <c r="C45" s="692"/>
      <c r="D45" s="692" t="s">
        <v>86</v>
      </c>
      <c r="E45" s="693"/>
      <c r="F45" s="694"/>
      <c r="G45" s="695">
        <f>[95]Source!AN200</f>
        <v>0.53</v>
      </c>
      <c r="H45" s="696" t="str">
        <f>[95]Source!DE200</f>
        <v/>
      </c>
      <c r="I45" s="694">
        <f>[95]Source!AV200</f>
        <v>1.0669999999999999</v>
      </c>
      <c r="J45" s="700">
        <f>ROUND((ROUND(([95]Source!AE200*[95]Source!AV200*[95]Source!I200),2)),2)-J55</f>
        <v>0.56000000000000005</v>
      </c>
      <c r="K45" s="694">
        <f>IF([95]Source!BS200&lt;&gt; 0, [95]Source!BS200, 1)</f>
        <v>24.23</v>
      </c>
      <c r="L45" s="700">
        <f>[95]Source!R200-L55</f>
        <v>13.6</v>
      </c>
      <c r="W45" s="718">
        <f>J45</f>
        <v>0.56000000000000005</v>
      </c>
    </row>
    <row r="46" spans="1:27" ht="15" x14ac:dyDescent="0.25">
      <c r="A46" s="691"/>
      <c r="B46" s="691"/>
      <c r="C46" s="692"/>
      <c r="D46" s="692" t="s">
        <v>87</v>
      </c>
      <c r="E46" s="693"/>
      <c r="F46" s="694"/>
      <c r="G46" s="695">
        <f>[95]Source!AL200</f>
        <v>6.65</v>
      </c>
      <c r="H46" s="696" t="str">
        <f>[95]Source!DD200</f>
        <v/>
      </c>
      <c r="I46" s="694">
        <f>[95]Source!AW200</f>
        <v>1</v>
      </c>
      <c r="J46" s="697">
        <f>ROUND((ROUND(([95]Source!AC200*[95]Source!AW200*[95]Source!I200),2)),2)</f>
        <v>6.65</v>
      </c>
      <c r="K46" s="694">
        <f>IF([95]Source!BC200&lt;&gt; 0, [95]Source!BC200, 1)</f>
        <v>5.58</v>
      </c>
      <c r="L46" s="697">
        <f>[95]Source!P200</f>
        <v>37.11</v>
      </c>
    </row>
    <row r="47" spans="1:27" ht="96.6" customHeight="1" x14ac:dyDescent="0.25">
      <c r="A47" s="691">
        <v>6</v>
      </c>
      <c r="B47" s="691" t="str">
        <f>[95]Source!E202</f>
        <v>24,1</v>
      </c>
      <c r="C47" s="692" t="str">
        <f>[95]Source!F202</f>
        <v>1.19-11-14</v>
      </c>
      <c r="D47" s="692" t="s">
        <v>478</v>
      </c>
      <c r="E47" s="693" t="str">
        <f>[95]Source!H202</f>
        <v>шт.</v>
      </c>
      <c r="F47" s="694">
        <f>[95]Source!I202</f>
        <v>1</v>
      </c>
      <c r="G47" s="695">
        <f>[95]Source!AK202</f>
        <v>1244.4000000000001</v>
      </c>
      <c r="H47" s="734" t="s">
        <v>42</v>
      </c>
      <c r="I47" s="694">
        <f>[95]Source!AW202</f>
        <v>1</v>
      </c>
      <c r="J47" s="697">
        <f>ROUND((ROUND(([95]Source!AC202*[95]Source!AW202*[95]Source!I202),2)),2)+(ROUND((ROUND((([95]Source!ET202)*[95]Source!AV202*[95]Source!I202),2)),2)+ROUND((ROUND((([95]Source!AE202-([95]Source!EU202))*[95]Source!AV202*[95]Source!I202),2)),2))+ROUND((ROUND(([95]Source!AF202*[95]Source!AV202*[95]Source!I202),2)),2)</f>
        <v>1244.4000000000001</v>
      </c>
      <c r="K47" s="694">
        <f>IF([95]Source!BC202&lt;&gt; 0, [95]Source!BC202, 1)</f>
        <v>2.6</v>
      </c>
      <c r="L47" s="697">
        <f>[95]Source!O202</f>
        <v>3235.44</v>
      </c>
      <c r="Q47" s="718">
        <f>ROUND(([95]Source!DN202/100)*ROUND((ROUND(([95]Source!AF202*[95]Source!AV202*[95]Source!I202),2)),2), 2)</f>
        <v>0</v>
      </c>
      <c r="R47" s="718">
        <f>[95]Source!X202</f>
        <v>0</v>
      </c>
      <c r="S47" s="718">
        <f>ROUND(([95]Source!DO202/100)*ROUND((ROUND(([95]Source!AF202*[95]Source!AV202*[95]Source!I202),2)),2), 2)</f>
        <v>0</v>
      </c>
      <c r="T47" s="718">
        <f>[95]Source!Y202</f>
        <v>0</v>
      </c>
      <c r="U47" s="718">
        <f>ROUND((175/100)*ROUND((ROUND(([95]Source!AE202*[95]Source!AV202*[95]Source!I202),2)),2), 2)</f>
        <v>0</v>
      </c>
      <c r="V47" s="718">
        <f>ROUND((157/100)*ROUND(ROUND((ROUND(([95]Source!AE202*[95]Source!AV202*[95]Source!I202),2)*[95]Source!BS202),2), 2), 2)</f>
        <v>0</v>
      </c>
      <c r="X47" s="718">
        <f>IF([95]Source!BI202&lt;=1,J47, 0)</f>
        <v>1244.4000000000001</v>
      </c>
      <c r="Y47" s="718">
        <f>IF([95]Source!BI202=2,J47, 0)</f>
        <v>0</v>
      </c>
      <c r="Z47" s="718">
        <f>IF([95]Source!BI202=3,J47, 0)</f>
        <v>0</v>
      </c>
      <c r="AA47" s="718">
        <f>IF([95]Source!BI202=4,J47, 0)</f>
        <v>0</v>
      </c>
    </row>
    <row r="48" spans="1:27" ht="15" x14ac:dyDescent="0.25">
      <c r="A48" s="691"/>
      <c r="B48" s="691"/>
      <c r="C48" s="692"/>
      <c r="D48" s="692" t="s">
        <v>88</v>
      </c>
      <c r="E48" s="693" t="s">
        <v>89</v>
      </c>
      <c r="F48" s="694">
        <f>[95]Source!DN200</f>
        <v>125</v>
      </c>
      <c r="G48" s="695"/>
      <c r="H48" s="696"/>
      <c r="I48" s="694"/>
      <c r="J48" s="697">
        <f>SUM(Q42:Q47)</f>
        <v>39.340000000000003</v>
      </c>
      <c r="K48" s="694">
        <f>[95]Source!BZ200</f>
        <v>100</v>
      </c>
      <c r="L48" s="697">
        <f>SUM(R42:R47)</f>
        <v>762.52</v>
      </c>
    </row>
    <row r="49" spans="1:27" ht="15" x14ac:dyDescent="0.25">
      <c r="A49" s="691"/>
      <c r="B49" s="691"/>
      <c r="C49" s="692"/>
      <c r="D49" s="692" t="s">
        <v>90</v>
      </c>
      <c r="E49" s="693" t="s">
        <v>89</v>
      </c>
      <c r="F49" s="694">
        <f>[95]Source!DO200</f>
        <v>94</v>
      </c>
      <c r="G49" s="695"/>
      <c r="H49" s="696"/>
      <c r="I49" s="694"/>
      <c r="J49" s="697">
        <f>SUM(S42:S48)</f>
        <v>29.58</v>
      </c>
      <c r="K49" s="694">
        <f>[95]Source!CA200</f>
        <v>45</v>
      </c>
      <c r="L49" s="697">
        <f>SUM(T42:T48)</f>
        <v>343.13</v>
      </c>
    </row>
    <row r="50" spans="1:27" ht="15" x14ac:dyDescent="0.25">
      <c r="A50" s="691"/>
      <c r="B50" s="691"/>
      <c r="C50" s="692"/>
      <c r="D50" s="692" t="s">
        <v>91</v>
      </c>
      <c r="E50" s="693" t="s">
        <v>89</v>
      </c>
      <c r="F50" s="694">
        <f>175</f>
        <v>175</v>
      </c>
      <c r="G50" s="695"/>
      <c r="H50" s="696"/>
      <c r="I50" s="694"/>
      <c r="J50" s="697">
        <f>SUM(U42:U49)-J56</f>
        <v>0.98</v>
      </c>
      <c r="K50" s="694">
        <f>157</f>
        <v>157</v>
      </c>
      <c r="L50" s="697">
        <f>SUM(V42:V49)-L56</f>
        <v>21.35</v>
      </c>
    </row>
    <row r="51" spans="1:27" ht="15" x14ac:dyDescent="0.25">
      <c r="A51" s="691"/>
      <c r="B51" s="691"/>
      <c r="C51" s="692"/>
      <c r="D51" s="692" t="s">
        <v>92</v>
      </c>
      <c r="E51" s="693" t="s">
        <v>93</v>
      </c>
      <c r="F51" s="694">
        <f>[95]Source!AQ200</f>
        <v>1.54</v>
      </c>
      <c r="G51" s="695"/>
      <c r="H51" s="696" t="str">
        <f>[95]Source!DI200</f>
        <v/>
      </c>
      <c r="I51" s="694">
        <f>[95]Source!AV200</f>
        <v>1.0669999999999999</v>
      </c>
      <c r="J51" s="697">
        <f>[95]Source!U200</f>
        <v>1.64</v>
      </c>
      <c r="K51" s="694"/>
      <c r="L51" s="697"/>
    </row>
    <row r="52" spans="1:27" ht="14.25" x14ac:dyDescent="0.2">
      <c r="I52" s="1067">
        <f>J43+J44+J46+J48+J49+J50+SUM(J47:J47)</f>
        <v>1354.8</v>
      </c>
      <c r="J52" s="1067"/>
      <c r="K52" s="1067">
        <f>L43+L44+L46+L48+L49+L50+SUM(L47:L47)</f>
        <v>5185.8999999999996</v>
      </c>
      <c r="L52" s="1067"/>
      <c r="O52" s="736">
        <f>J43+J44+J46+J48+J49+J50+SUM(J47:J47)</f>
        <v>1354.8</v>
      </c>
      <c r="P52" s="736">
        <f>L43+L44+L46+L48+L49+L50+SUM(L47:L47)</f>
        <v>5185.8999999999996</v>
      </c>
      <c r="X52" s="718">
        <f>IF([95]Source!BI200&lt;=1,J43+J44+J46+J48+J49+J50-0, 0)</f>
        <v>110.4</v>
      </c>
      <c r="Y52" s="718">
        <f>IF([95]Source!BI200=2,J43+J44+J46+J48+J49+J50-0, 0)</f>
        <v>0</v>
      </c>
      <c r="Z52" s="718">
        <f>IF([95]Source!BI200=3,J43+J44+J46+J48+J49+J50-0, 0)</f>
        <v>0</v>
      </c>
      <c r="AA52" s="718">
        <f>IF([95]Source!BI200=4,J43+J44+J46+J48+J49+J50,0)</f>
        <v>0</v>
      </c>
    </row>
    <row r="53" spans="1:27" ht="30" x14ac:dyDescent="0.25">
      <c r="A53" s="701"/>
      <c r="B53" s="701"/>
      <c r="C53" s="702"/>
      <c r="D53" s="702" t="s">
        <v>94</v>
      </c>
      <c r="E53" s="693"/>
      <c r="F53" s="703"/>
      <c r="G53" s="704"/>
      <c r="H53" s="693"/>
      <c r="I53" s="703"/>
      <c r="J53" s="700"/>
      <c r="K53" s="703"/>
      <c r="L53" s="700"/>
    </row>
    <row r="54" spans="1:27" ht="15" x14ac:dyDescent="0.25">
      <c r="A54" s="701"/>
      <c r="B54" s="701"/>
      <c r="C54" s="702"/>
      <c r="D54" s="702" t="s">
        <v>85</v>
      </c>
      <c r="E54" s="693"/>
      <c r="F54" s="703"/>
      <c r="G54" s="704">
        <f t="shared" ref="G54:L54" si="1">G55</f>
        <v>0.53</v>
      </c>
      <c r="H54" s="705" t="str">
        <f t="shared" si="1"/>
        <v>)*(1.67-1)</v>
      </c>
      <c r="I54" s="703">
        <f t="shared" si="1"/>
        <v>1.0669999999999999</v>
      </c>
      <c r="J54" s="700">
        <f t="shared" si="1"/>
        <v>0.38</v>
      </c>
      <c r="K54" s="703">
        <f t="shared" si="1"/>
        <v>24.23</v>
      </c>
      <c r="L54" s="700">
        <f t="shared" si="1"/>
        <v>9.18</v>
      </c>
    </row>
    <row r="55" spans="1:27" ht="15" x14ac:dyDescent="0.25">
      <c r="A55" s="701"/>
      <c r="B55" s="701"/>
      <c r="C55" s="702"/>
      <c r="D55" s="702" t="s">
        <v>86</v>
      </c>
      <c r="E55" s="693"/>
      <c r="F55" s="703"/>
      <c r="G55" s="704">
        <f>[95]Source!AN200</f>
        <v>0.53</v>
      </c>
      <c r="H55" s="705" t="s">
        <v>95</v>
      </c>
      <c r="I55" s="703">
        <f>[95]Source!AV200</f>
        <v>1.0669999999999999</v>
      </c>
      <c r="J55" s="700">
        <f>ROUND(F42*G55*I55*(1.67-1), 2)</f>
        <v>0.38</v>
      </c>
      <c r="K55" s="703">
        <f>IF([95]Source!BS200&lt;&gt; 0, [95]Source!BS200, 1)</f>
        <v>24.23</v>
      </c>
      <c r="L55" s="700">
        <f>ROUND(F42*G55*I55*(1.67-1)*K55, 2)</f>
        <v>9.18</v>
      </c>
      <c r="W55" s="718">
        <f>J55</f>
        <v>0.38</v>
      </c>
    </row>
    <row r="56" spans="1:27" ht="15" x14ac:dyDescent="0.25">
      <c r="A56" s="701"/>
      <c r="B56" s="701"/>
      <c r="C56" s="702"/>
      <c r="D56" s="702" t="s">
        <v>91</v>
      </c>
      <c r="E56" s="693" t="s">
        <v>89</v>
      </c>
      <c r="F56" s="703">
        <f>175</f>
        <v>175</v>
      </c>
      <c r="G56" s="704"/>
      <c r="H56" s="693"/>
      <c r="I56" s="703"/>
      <c r="J56" s="700">
        <f>ROUND(J55*(F56/100), 2)</f>
        <v>0.67</v>
      </c>
      <c r="K56" s="703">
        <f>157</f>
        <v>157</v>
      </c>
      <c r="L56" s="700">
        <f>ROUND(L55*(K56/100), 2)</f>
        <v>14.41</v>
      </c>
    </row>
    <row r="57" spans="1:27" ht="14.25" x14ac:dyDescent="0.2">
      <c r="I57" s="1067">
        <f>J56+J55</f>
        <v>1.05</v>
      </c>
      <c r="J57" s="1067"/>
      <c r="K57" s="1067">
        <f>L56+L55</f>
        <v>23.59</v>
      </c>
      <c r="L57" s="1067"/>
      <c r="O57" s="736">
        <f>I57</f>
        <v>1.05</v>
      </c>
      <c r="P57" s="736">
        <f>K57</f>
        <v>23.59</v>
      </c>
      <c r="X57" s="718">
        <f>IF([95]Source!BI200&lt;=1,I57, 0)</f>
        <v>1.05</v>
      </c>
      <c r="Y57" s="718">
        <f>IF([95]Source!BI200=2,I57, 0)</f>
        <v>0</v>
      </c>
      <c r="Z57" s="718">
        <f>IF([95]Source!BI200=3,I57, 0)</f>
        <v>0</v>
      </c>
      <c r="AA57" s="718">
        <f>IF([95]Source!BI200=4,I57, 0)</f>
        <v>0</v>
      </c>
    </row>
    <row r="59" spans="1:27" ht="15" x14ac:dyDescent="0.25">
      <c r="A59" s="706"/>
      <c r="B59" s="706"/>
      <c r="C59" s="707"/>
      <c r="D59" s="707" t="s">
        <v>96</v>
      </c>
      <c r="E59" s="708"/>
      <c r="F59" s="709"/>
      <c r="G59" s="710"/>
      <c r="H59" s="711"/>
      <c r="I59" s="1067">
        <f>I52+I57</f>
        <v>1355.85</v>
      </c>
      <c r="J59" s="1067"/>
      <c r="K59" s="1067">
        <f>K52+K57</f>
        <v>5209.49</v>
      </c>
      <c r="L59" s="1067"/>
    </row>
    <row r="61" spans="1:27" ht="14.25" x14ac:dyDescent="0.2">
      <c r="A61" s="1068" t="str">
        <f>CONCATENATE("Итого по подразделу: ",IF([95]Source!G204&lt;&gt;"Новый подраздел", [95]Source!G204, ""))</f>
        <v>Итого по подразделу: П2-13</v>
      </c>
      <c r="B61" s="1068"/>
      <c r="C61" s="1068"/>
      <c r="D61" s="1068"/>
      <c r="E61" s="1068"/>
      <c r="F61" s="1068"/>
      <c r="G61" s="1068"/>
      <c r="H61" s="1068"/>
      <c r="I61" s="1069">
        <f>SUM(O41:O60)</f>
        <v>1355.85</v>
      </c>
      <c r="J61" s="1070"/>
      <c r="K61" s="1069">
        <f>SUM(P41:P60)</f>
        <v>5209.49</v>
      </c>
      <c r="L61" s="1070"/>
    </row>
    <row r="62" spans="1:27" hidden="1" x14ac:dyDescent="0.2">
      <c r="A62" s="718" t="s">
        <v>139</v>
      </c>
      <c r="I62" s="718">
        <f>SUM(AC41:AC61)</f>
        <v>0</v>
      </c>
      <c r="K62" s="718">
        <f>SUM(AD41:AD61)</f>
        <v>0</v>
      </c>
    </row>
    <row r="63" spans="1:27" hidden="1" x14ac:dyDescent="0.2">
      <c r="A63" s="718" t="s">
        <v>140</v>
      </c>
      <c r="I63" s="718">
        <f>SUM(AE41:AE62)</f>
        <v>0</v>
      </c>
      <c r="K63" s="718">
        <f>SUM(AF41:AF62)</f>
        <v>0</v>
      </c>
    </row>
    <row r="65" spans="1:27" hidden="1" x14ac:dyDescent="0.2">
      <c r="A65" s="718" t="s">
        <v>139</v>
      </c>
      <c r="I65" s="718" t="e">
        <f>SUM(#REF!)</f>
        <v>#REF!</v>
      </c>
      <c r="K65" s="718" t="e">
        <f>SUM(#REF!)</f>
        <v>#REF!</v>
      </c>
    </row>
    <row r="66" spans="1:27" hidden="1" x14ac:dyDescent="0.2">
      <c r="A66" s="718" t="s">
        <v>140</v>
      </c>
      <c r="I66" s="718">
        <f>SUM(AE65:AE65)</f>
        <v>0</v>
      </c>
      <c r="K66" s="718">
        <f>SUM(AF65:AF65)</f>
        <v>0</v>
      </c>
    </row>
    <row r="68" spans="1:27" ht="16.5" x14ac:dyDescent="0.25">
      <c r="A68" s="1066" t="str">
        <f>CONCATENATE("Подраздел: ",IF([95]Source!G671&lt;&gt;"Новый подраздел", [95]Source!G671, ""))</f>
        <v>Подраздел: П2-25, П2-25р</v>
      </c>
      <c r="B68" s="1066"/>
      <c r="C68" s="1066"/>
      <c r="D68" s="1066"/>
      <c r="E68" s="1066"/>
      <c r="F68" s="1066"/>
      <c r="G68" s="1066"/>
      <c r="H68" s="1066"/>
      <c r="I68" s="1066"/>
      <c r="J68" s="1066"/>
      <c r="K68" s="1066"/>
      <c r="L68" s="1066"/>
    </row>
    <row r="69" spans="1:27" ht="73.150000000000006" customHeight="1" x14ac:dyDescent="0.25">
      <c r="A69" s="691">
        <v>8</v>
      </c>
      <c r="B69" s="691" t="str">
        <f>[95]Source!E680</f>
        <v>82</v>
      </c>
      <c r="C69" s="692" t="str">
        <f>[95]Source!F680</f>
        <v>3.20-23-3</v>
      </c>
      <c r="D69" s="692" t="s">
        <v>479</v>
      </c>
      <c r="E69" s="693" t="str">
        <f>[95]Source!H680</f>
        <v>1  ШТ.</v>
      </c>
      <c r="F69" s="694">
        <f>[95]Source!I680</f>
        <v>1</v>
      </c>
      <c r="G69" s="695"/>
      <c r="H69" s="696"/>
      <c r="I69" s="694"/>
      <c r="J69" s="697"/>
      <c r="K69" s="694"/>
      <c r="L69" s="697"/>
      <c r="Q69" s="718">
        <f>ROUND(([95]Source!DN680/100)*ROUND((ROUND(([95]Source!AF680*[95]Source!AV680*[95]Source!I680),2)),2), 2)</f>
        <v>27.84</v>
      </c>
      <c r="R69" s="718">
        <f>[95]Source!X680</f>
        <v>539.6</v>
      </c>
      <c r="S69" s="718">
        <f>ROUND(([95]Source!DO680/100)*ROUND((ROUND(([95]Source!AF680*[95]Source!AV680*[95]Source!I680),2)),2), 2)</f>
        <v>20.93</v>
      </c>
      <c r="T69" s="718">
        <f>[95]Source!Y680</f>
        <v>242.82</v>
      </c>
      <c r="U69" s="718">
        <f>ROUND((175/100)*ROUND((ROUND(([95]Source!AE680*[95]Source!AV680*[95]Source!I680),2)),2), 2)</f>
        <v>1.0900000000000001</v>
      </c>
      <c r="V69" s="718">
        <f>ROUND((157/100)*ROUND(ROUND((ROUND(([95]Source!AE680*[95]Source!AV680*[95]Source!I680),2)*[95]Source!BS680),2), 2), 2)</f>
        <v>23.58</v>
      </c>
    </row>
    <row r="70" spans="1:27" ht="15" x14ac:dyDescent="0.25">
      <c r="A70" s="691"/>
      <c r="B70" s="691"/>
      <c r="C70" s="692"/>
      <c r="D70" s="692" t="s">
        <v>84</v>
      </c>
      <c r="E70" s="693"/>
      <c r="F70" s="694"/>
      <c r="G70" s="695">
        <f>[95]Source!AO680</f>
        <v>12.5</v>
      </c>
      <c r="H70" s="696" t="str">
        <f>[95]Source!DG680</f>
        <v>)*1,67</v>
      </c>
      <c r="I70" s="694">
        <f>[95]Source!AV680</f>
        <v>1.0669999999999999</v>
      </c>
      <c r="J70" s="697">
        <f>ROUND((ROUND(([95]Source!AF680*[95]Source!AV680*[95]Source!I680),2)),2)</f>
        <v>22.27</v>
      </c>
      <c r="K70" s="694">
        <f>IF([95]Source!BA680&lt;&gt; 0, [95]Source!BA680, 1)</f>
        <v>24.23</v>
      </c>
      <c r="L70" s="697">
        <f>[95]Source!S680</f>
        <v>539.6</v>
      </c>
      <c r="W70" s="718">
        <f>J70</f>
        <v>22.27</v>
      </c>
    </row>
    <row r="71" spans="1:27" ht="15" x14ac:dyDescent="0.25">
      <c r="A71" s="691"/>
      <c r="B71" s="691"/>
      <c r="C71" s="692"/>
      <c r="D71" s="692" t="s">
        <v>85</v>
      </c>
      <c r="E71" s="693"/>
      <c r="F71" s="694"/>
      <c r="G71" s="695">
        <f>[95]Source!AM680</f>
        <v>1.49</v>
      </c>
      <c r="H71" s="696" t="str">
        <f>[95]Source!DE680</f>
        <v/>
      </c>
      <c r="I71" s="694">
        <f>[95]Source!AV680</f>
        <v>1.0669999999999999</v>
      </c>
      <c r="J71" s="697">
        <f>(ROUND((ROUND((([95]Source!ET680)*[95]Source!AV680*[95]Source!I680),2)),2)+ROUND((ROUND((([95]Source!AE680-([95]Source!EU680))*[95]Source!AV680*[95]Source!I680),2)),2))-J81</f>
        <v>1.59</v>
      </c>
      <c r="K71" s="694">
        <f>IF([95]Source!BB680&lt;&gt; 0, [95]Source!BB680, 1)</f>
        <v>9.9499999999999993</v>
      </c>
      <c r="L71" s="697">
        <f>[95]Source!Q680-L81</f>
        <v>15.82</v>
      </c>
    </row>
    <row r="72" spans="1:27" ht="15" x14ac:dyDescent="0.25">
      <c r="A72" s="691"/>
      <c r="B72" s="691"/>
      <c r="C72" s="692"/>
      <c r="D72" s="692" t="s">
        <v>86</v>
      </c>
      <c r="E72" s="693"/>
      <c r="F72" s="694"/>
      <c r="G72" s="695">
        <f>[95]Source!AN680</f>
        <v>0.35</v>
      </c>
      <c r="H72" s="696" t="str">
        <f>[95]Source!DE680</f>
        <v/>
      </c>
      <c r="I72" s="694">
        <f>[95]Source!AV680</f>
        <v>1.0669999999999999</v>
      </c>
      <c r="J72" s="700">
        <f>ROUND((ROUND(([95]Source!AE680*[95]Source!AV680*[95]Source!I680),2)),2)-J82</f>
        <v>0.37</v>
      </c>
      <c r="K72" s="694">
        <f>IF([95]Source!BS680&lt;&gt; 0, [95]Source!BS680, 1)</f>
        <v>24.23</v>
      </c>
      <c r="L72" s="700">
        <f>[95]Source!R680-L82</f>
        <v>8.9600000000000009</v>
      </c>
      <c r="W72" s="718">
        <f>J72</f>
        <v>0.37</v>
      </c>
    </row>
    <row r="73" spans="1:27" ht="15" x14ac:dyDescent="0.25">
      <c r="A73" s="691"/>
      <c r="B73" s="691"/>
      <c r="C73" s="692"/>
      <c r="D73" s="692" t="s">
        <v>87</v>
      </c>
      <c r="E73" s="693"/>
      <c r="F73" s="694"/>
      <c r="G73" s="695">
        <f>[95]Source!AL680</f>
        <v>6.23</v>
      </c>
      <c r="H73" s="696" t="str">
        <f>[95]Source!DD680</f>
        <v/>
      </c>
      <c r="I73" s="694">
        <f>[95]Source!AW680</f>
        <v>1</v>
      </c>
      <c r="J73" s="697">
        <f>ROUND((ROUND(([95]Source!AC680*[95]Source!AW680*[95]Source!I680),2)),2)</f>
        <v>6.23</v>
      </c>
      <c r="K73" s="694">
        <f>IF([95]Source!BC680&lt;&gt; 0, [95]Source!BC680, 1)</f>
        <v>5.58</v>
      </c>
      <c r="L73" s="697">
        <f>[95]Source!P680</f>
        <v>34.76</v>
      </c>
    </row>
    <row r="74" spans="1:27" ht="101.45" customHeight="1" x14ac:dyDescent="0.25">
      <c r="A74" s="691">
        <v>9</v>
      </c>
      <c r="B74" s="691" t="str">
        <f>[95]Source!E682</f>
        <v>82,1</v>
      </c>
      <c r="C74" s="692" t="str">
        <f>[95]Source!F682</f>
        <v>1.19-11-59</v>
      </c>
      <c r="D74" s="692" t="s">
        <v>480</v>
      </c>
      <c r="E74" s="693" t="str">
        <f>[95]Source!H682</f>
        <v>шт.</v>
      </c>
      <c r="F74" s="694">
        <f>[95]Source!I682</f>
        <v>1</v>
      </c>
      <c r="G74" s="695">
        <f>[95]Source!AK682</f>
        <v>738.68</v>
      </c>
      <c r="H74" s="734" t="s">
        <v>42</v>
      </c>
      <c r="I74" s="694">
        <f>[95]Source!AW682</f>
        <v>1</v>
      </c>
      <c r="J74" s="697">
        <f>ROUND((ROUND(([95]Source!AC682*[95]Source!AW682*[95]Source!I682),2)),2)+(ROUND((ROUND((([95]Source!ET682)*[95]Source!AV682*[95]Source!I682),2)),2)+ROUND((ROUND((([95]Source!AE682-([95]Source!EU682))*[95]Source!AV682*[95]Source!I682),2)),2))+ROUND((ROUND(([95]Source!AF682*[95]Source!AV682*[95]Source!I682),2)),2)</f>
        <v>738.68</v>
      </c>
      <c r="K74" s="694">
        <f>IF([95]Source!BC682&lt;&gt; 0, [95]Source!BC682, 1)</f>
        <v>2.2400000000000002</v>
      </c>
      <c r="L74" s="697">
        <f>[95]Source!O682</f>
        <v>1654.64</v>
      </c>
      <c r="Q74" s="718">
        <f>ROUND(([95]Source!DN682/100)*ROUND((ROUND(([95]Source!AF682*[95]Source!AV682*[95]Source!I682),2)),2), 2)</f>
        <v>0</v>
      </c>
      <c r="R74" s="718">
        <f>[95]Source!X682</f>
        <v>0</v>
      </c>
      <c r="S74" s="718">
        <f>ROUND(([95]Source!DO682/100)*ROUND((ROUND(([95]Source!AF682*[95]Source!AV682*[95]Source!I682),2)),2), 2)</f>
        <v>0</v>
      </c>
      <c r="T74" s="718">
        <f>[95]Source!Y682</f>
        <v>0</v>
      </c>
      <c r="U74" s="718">
        <f>ROUND((175/100)*ROUND((ROUND(([95]Source!AE682*[95]Source!AV682*[95]Source!I682),2)),2), 2)</f>
        <v>0</v>
      </c>
      <c r="V74" s="718">
        <f>ROUND((157/100)*ROUND(ROUND((ROUND(([95]Source!AE682*[95]Source!AV682*[95]Source!I682),2)*[95]Source!BS682),2), 2), 2)</f>
        <v>0</v>
      </c>
      <c r="X74" s="718">
        <f>IF([95]Source!BI682&lt;=1,J74, 0)</f>
        <v>738.68</v>
      </c>
      <c r="Y74" s="718">
        <f>IF([95]Source!BI682=2,J74, 0)</f>
        <v>0</v>
      </c>
      <c r="Z74" s="718">
        <f>IF([95]Source!BI682=3,J74, 0)</f>
        <v>0</v>
      </c>
      <c r="AA74" s="718">
        <f>IF([95]Source!BI682=4,J74, 0)</f>
        <v>0</v>
      </c>
    </row>
    <row r="75" spans="1:27" ht="15" x14ac:dyDescent="0.25">
      <c r="A75" s="691"/>
      <c r="B75" s="691"/>
      <c r="C75" s="692"/>
      <c r="D75" s="692" t="s">
        <v>88</v>
      </c>
      <c r="E75" s="693" t="s">
        <v>89</v>
      </c>
      <c r="F75" s="694">
        <f>[95]Source!DN680</f>
        <v>125</v>
      </c>
      <c r="G75" s="695"/>
      <c r="H75" s="696"/>
      <c r="I75" s="694"/>
      <c r="J75" s="697">
        <f>SUM(Q69:Q74)</f>
        <v>27.84</v>
      </c>
      <c r="K75" s="694">
        <f>[95]Source!BZ680</f>
        <v>100</v>
      </c>
      <c r="L75" s="697">
        <f>SUM(R69:R74)</f>
        <v>539.6</v>
      </c>
    </row>
    <row r="76" spans="1:27" ht="15" x14ac:dyDescent="0.25">
      <c r="A76" s="691"/>
      <c r="B76" s="691"/>
      <c r="C76" s="692"/>
      <c r="D76" s="692" t="s">
        <v>90</v>
      </c>
      <c r="E76" s="693" t="s">
        <v>89</v>
      </c>
      <c r="F76" s="694">
        <f>[95]Source!DO680</f>
        <v>94</v>
      </c>
      <c r="G76" s="695"/>
      <c r="H76" s="696"/>
      <c r="I76" s="694"/>
      <c r="J76" s="697">
        <f>SUM(S69:S75)</f>
        <v>20.93</v>
      </c>
      <c r="K76" s="694">
        <f>[95]Source!CA680</f>
        <v>45</v>
      </c>
      <c r="L76" s="697">
        <f>SUM(T69:T75)</f>
        <v>242.82</v>
      </c>
    </row>
    <row r="77" spans="1:27" ht="15" x14ac:dyDescent="0.25">
      <c r="A77" s="691"/>
      <c r="B77" s="691"/>
      <c r="C77" s="692"/>
      <c r="D77" s="692" t="s">
        <v>91</v>
      </c>
      <c r="E77" s="693" t="s">
        <v>89</v>
      </c>
      <c r="F77" s="694">
        <f>175</f>
        <v>175</v>
      </c>
      <c r="G77" s="695"/>
      <c r="H77" s="696"/>
      <c r="I77" s="694"/>
      <c r="J77" s="697">
        <f>SUM(U69:U76)-J83</f>
        <v>0.65</v>
      </c>
      <c r="K77" s="694">
        <f>157</f>
        <v>157</v>
      </c>
      <c r="L77" s="697">
        <f>SUM(V69:V76)-L83</f>
        <v>14.07</v>
      </c>
    </row>
    <row r="78" spans="1:27" ht="15" x14ac:dyDescent="0.25">
      <c r="A78" s="691"/>
      <c r="B78" s="691"/>
      <c r="C78" s="692"/>
      <c r="D78" s="692" t="s">
        <v>92</v>
      </c>
      <c r="E78" s="693" t="s">
        <v>93</v>
      </c>
      <c r="F78" s="694">
        <f>[95]Source!AQ680</f>
        <v>1.0900000000000001</v>
      </c>
      <c r="G78" s="695"/>
      <c r="H78" s="696" t="str">
        <f>[95]Source!DI680</f>
        <v/>
      </c>
      <c r="I78" s="694">
        <f>[95]Source!AV680</f>
        <v>1.0669999999999999</v>
      </c>
      <c r="J78" s="697">
        <f>[95]Source!U680</f>
        <v>1.1599999999999999</v>
      </c>
      <c r="K78" s="694"/>
      <c r="L78" s="697"/>
    </row>
    <row r="79" spans="1:27" ht="14.25" x14ac:dyDescent="0.2">
      <c r="I79" s="1067">
        <f>J70+J71+J73+J75+J76+J77+SUM(J74:J74)</f>
        <v>818.19</v>
      </c>
      <c r="J79" s="1067"/>
      <c r="K79" s="1067">
        <f>L70+L71+L73+L75+L76+L77+SUM(L74:L74)</f>
        <v>3041.31</v>
      </c>
      <c r="L79" s="1067"/>
      <c r="O79" s="736">
        <f>J70+J71+J73+J75+J76+J77+SUM(J74:J74)</f>
        <v>818.19</v>
      </c>
      <c r="P79" s="736">
        <f>L70+L71+L73+L75+L76+L77+SUM(L74:L74)</f>
        <v>3041.31</v>
      </c>
      <c r="X79" s="718">
        <f>IF([95]Source!BI680&lt;=1,J70+J71+J73+J75+J76+J77-0, 0)</f>
        <v>79.510000000000005</v>
      </c>
      <c r="Y79" s="718">
        <f>IF([95]Source!BI680=2,J70+J71+J73+J75+J76+J77-0, 0)</f>
        <v>0</v>
      </c>
      <c r="Z79" s="718">
        <f>IF([95]Source!BI680=3,J70+J71+J73+J75+J76+J77-0, 0)</f>
        <v>0</v>
      </c>
      <c r="AA79" s="718">
        <f>IF([95]Source!BI680=4,J70+J71+J73+J75+J76+J77,0)</f>
        <v>0</v>
      </c>
    </row>
    <row r="80" spans="1:27" ht="30" x14ac:dyDescent="0.25">
      <c r="A80" s="701"/>
      <c r="B80" s="701"/>
      <c r="C80" s="702"/>
      <c r="D80" s="702" t="s">
        <v>94</v>
      </c>
      <c r="E80" s="693"/>
      <c r="F80" s="703"/>
      <c r="G80" s="704"/>
      <c r="H80" s="693"/>
      <c r="I80" s="703"/>
      <c r="J80" s="700"/>
      <c r="K80" s="703"/>
      <c r="L80" s="700"/>
    </row>
    <row r="81" spans="1:27" ht="15" x14ac:dyDescent="0.25">
      <c r="A81" s="701"/>
      <c r="B81" s="701"/>
      <c r="C81" s="702"/>
      <c r="D81" s="702" t="s">
        <v>85</v>
      </c>
      <c r="E81" s="693"/>
      <c r="F81" s="703"/>
      <c r="G81" s="704">
        <f t="shared" ref="G81:L81" si="2">G82</f>
        <v>0.35</v>
      </c>
      <c r="H81" s="705" t="str">
        <f t="shared" si="2"/>
        <v>)*(1.67-1)</v>
      </c>
      <c r="I81" s="703">
        <f t="shared" si="2"/>
        <v>1.0669999999999999</v>
      </c>
      <c r="J81" s="700">
        <f t="shared" si="2"/>
        <v>0.25</v>
      </c>
      <c r="K81" s="703">
        <f t="shared" si="2"/>
        <v>24.23</v>
      </c>
      <c r="L81" s="700">
        <f t="shared" si="2"/>
        <v>6.06</v>
      </c>
    </row>
    <row r="82" spans="1:27" ht="15" x14ac:dyDescent="0.25">
      <c r="A82" s="701"/>
      <c r="B82" s="701"/>
      <c r="C82" s="702"/>
      <c r="D82" s="702" t="s">
        <v>86</v>
      </c>
      <c r="E82" s="693"/>
      <c r="F82" s="703"/>
      <c r="G82" s="704">
        <f>[95]Source!AN680</f>
        <v>0.35</v>
      </c>
      <c r="H82" s="705" t="s">
        <v>95</v>
      </c>
      <c r="I82" s="703">
        <f>[95]Source!AV680</f>
        <v>1.0669999999999999</v>
      </c>
      <c r="J82" s="700">
        <f>ROUND(F69*G82*I82*(1.67-1), 2)</f>
        <v>0.25</v>
      </c>
      <c r="K82" s="703">
        <f>IF([95]Source!BS680&lt;&gt; 0, [95]Source!BS680, 1)</f>
        <v>24.23</v>
      </c>
      <c r="L82" s="700">
        <f>ROUND(F69*G82*I82*(1.67-1)*K82, 2)</f>
        <v>6.06</v>
      </c>
      <c r="W82" s="718">
        <f>J82</f>
        <v>0.25</v>
      </c>
    </row>
    <row r="83" spans="1:27" ht="15" x14ac:dyDescent="0.25">
      <c r="A83" s="701"/>
      <c r="B83" s="701"/>
      <c r="C83" s="702"/>
      <c r="D83" s="702" t="s">
        <v>91</v>
      </c>
      <c r="E83" s="693" t="s">
        <v>89</v>
      </c>
      <c r="F83" s="703">
        <f>175</f>
        <v>175</v>
      </c>
      <c r="G83" s="704"/>
      <c r="H83" s="693"/>
      <c r="I83" s="703"/>
      <c r="J83" s="700">
        <f>ROUND(J82*(F83/100), 2)</f>
        <v>0.44</v>
      </c>
      <c r="K83" s="703">
        <f>157</f>
        <v>157</v>
      </c>
      <c r="L83" s="700">
        <f>ROUND(L82*(K83/100), 2)</f>
        <v>9.51</v>
      </c>
    </row>
    <row r="84" spans="1:27" ht="14.25" x14ac:dyDescent="0.2">
      <c r="I84" s="1067">
        <f>J83+J82</f>
        <v>0.69</v>
      </c>
      <c r="J84" s="1067"/>
      <c r="K84" s="1067">
        <f>L83+L82</f>
        <v>15.57</v>
      </c>
      <c r="L84" s="1067"/>
      <c r="O84" s="736">
        <f>I84</f>
        <v>0.69</v>
      </c>
      <c r="P84" s="736">
        <f>K84</f>
        <v>15.57</v>
      </c>
      <c r="X84" s="718">
        <f>IF([95]Source!BI680&lt;=1,I84, 0)</f>
        <v>0.69</v>
      </c>
      <c r="Y84" s="718">
        <f>IF([95]Source!BI680=2,I84, 0)</f>
        <v>0</v>
      </c>
      <c r="Z84" s="718">
        <f>IF([95]Source!BI680=3,I84, 0)</f>
        <v>0</v>
      </c>
      <c r="AA84" s="718">
        <f>IF([95]Source!BI680=4,I84, 0)</f>
        <v>0</v>
      </c>
    </row>
    <row r="86" spans="1:27" ht="15" x14ac:dyDescent="0.25">
      <c r="A86" s="706"/>
      <c r="B86" s="706"/>
      <c r="C86" s="707"/>
      <c r="D86" s="707" t="s">
        <v>96</v>
      </c>
      <c r="E86" s="708"/>
      <c r="F86" s="709"/>
      <c r="G86" s="710"/>
      <c r="H86" s="711"/>
      <c r="I86" s="1067">
        <f>I79+I84</f>
        <v>818.88</v>
      </c>
      <c r="J86" s="1067"/>
      <c r="K86" s="1067">
        <f>K79+K84</f>
        <v>3056.88</v>
      </c>
      <c r="L86" s="1067"/>
    </row>
    <row r="88" spans="1:27" ht="14.25" x14ac:dyDescent="0.2">
      <c r="A88" s="1068" t="str">
        <f>CONCATENATE("Итого по подразделу: ",IF([95]Source!G714&lt;&gt;"Новый подраздел", [95]Source!G714, ""))</f>
        <v>Итого по подразделу: П2-25, П2-25р</v>
      </c>
      <c r="B88" s="1068"/>
      <c r="C88" s="1068"/>
      <c r="D88" s="1068"/>
      <c r="E88" s="1068"/>
      <c r="F88" s="1068"/>
      <c r="G88" s="1068"/>
      <c r="H88" s="1068"/>
      <c r="I88" s="1069">
        <f>SUM(O68:O87)</f>
        <v>818.88</v>
      </c>
      <c r="J88" s="1070"/>
      <c r="K88" s="1069">
        <f>SUM(P68:P87)</f>
        <v>3056.88</v>
      </c>
      <c r="L88" s="1070"/>
    </row>
    <row r="89" spans="1:27" hidden="1" x14ac:dyDescent="0.2">
      <c r="A89" s="718" t="s">
        <v>139</v>
      </c>
      <c r="I89" s="718">
        <f>SUM(AC68:AC88)</f>
        <v>0</v>
      </c>
      <c r="K89" s="718">
        <f>SUM(AD68:AD88)</f>
        <v>0</v>
      </c>
    </row>
    <row r="90" spans="1:27" hidden="1" x14ac:dyDescent="0.2">
      <c r="A90" s="718" t="s">
        <v>140</v>
      </c>
      <c r="I90" s="718">
        <f>SUM(AE68:AE89)</f>
        <v>0</v>
      </c>
      <c r="K90" s="718">
        <f>SUM(AF68:AF89)</f>
        <v>0</v>
      </c>
    </row>
    <row r="92" spans="1:27" hidden="1" x14ac:dyDescent="0.2">
      <c r="A92" s="718" t="s">
        <v>139</v>
      </c>
      <c r="I92" s="718" t="e">
        <f>SUM(#REF!)</f>
        <v>#REF!</v>
      </c>
      <c r="K92" s="718" t="e">
        <f>SUM(#REF!)</f>
        <v>#REF!</v>
      </c>
    </row>
    <row r="93" spans="1:27" hidden="1" x14ac:dyDescent="0.2">
      <c r="A93" s="718" t="s">
        <v>140</v>
      </c>
      <c r="I93" s="718">
        <f>SUM(AE92:AE92)</f>
        <v>0</v>
      </c>
      <c r="K93" s="718">
        <f>SUM(AF92:AF92)</f>
        <v>0</v>
      </c>
    </row>
    <row r="95" spans="1:27" ht="16.5" x14ac:dyDescent="0.25">
      <c r="A95" s="1066" t="str">
        <f>CONCATENATE("Подраздел: ",IF([95]Source!G1012&lt;&gt;"Новый подраздел", [95]Source!G1012, ""))</f>
        <v>Подраздел: В2-13</v>
      </c>
      <c r="B95" s="1066"/>
      <c r="C95" s="1066"/>
      <c r="D95" s="1066"/>
      <c r="E95" s="1066"/>
      <c r="F95" s="1066"/>
      <c r="G95" s="1066"/>
      <c r="H95" s="1066"/>
      <c r="I95" s="1066"/>
      <c r="J95" s="1066"/>
      <c r="K95" s="1066"/>
      <c r="L95" s="1066"/>
    </row>
    <row r="96" spans="1:27" ht="61.15" customHeight="1" x14ac:dyDescent="0.25">
      <c r="A96" s="691">
        <v>12</v>
      </c>
      <c r="B96" s="691" t="str">
        <f>[95]Source!E1031</f>
        <v>132</v>
      </c>
      <c r="C96" s="692" t="str">
        <f>[95]Source!F1031</f>
        <v>3.20-24-2</v>
      </c>
      <c r="D96" s="692" t="s">
        <v>477</v>
      </c>
      <c r="E96" s="693" t="str">
        <f>[95]Source!H1031</f>
        <v>1  ШТ.</v>
      </c>
      <c r="F96" s="694">
        <f>[95]Source!I1031</f>
        <v>1</v>
      </c>
      <c r="G96" s="695"/>
      <c r="H96" s="696"/>
      <c r="I96" s="694"/>
      <c r="J96" s="697"/>
      <c r="K96" s="694"/>
      <c r="L96" s="697"/>
      <c r="Q96" s="718">
        <f>ROUND(([95]Source!DN1031/100)*ROUND((ROUND(([95]Source!AF1031*[95]Source!AV1031*[95]Source!I1031),2)),2), 2)</f>
        <v>39.340000000000003</v>
      </c>
      <c r="R96" s="718">
        <f>[95]Source!X1031</f>
        <v>762.52</v>
      </c>
      <c r="S96" s="718">
        <f>ROUND(([95]Source!DO1031/100)*ROUND((ROUND(([95]Source!AF1031*[95]Source!AV1031*[95]Source!I1031),2)),2), 2)</f>
        <v>29.58</v>
      </c>
      <c r="T96" s="718">
        <f>[95]Source!Y1031</f>
        <v>343.13</v>
      </c>
      <c r="U96" s="718">
        <f>ROUND((175/100)*ROUND((ROUND(([95]Source!AE1031*[95]Source!AV1031*[95]Source!I1031),2)),2), 2)</f>
        <v>1.65</v>
      </c>
      <c r="V96" s="718">
        <f>ROUND((157/100)*ROUND(ROUND((ROUND(([95]Source!AE1031*[95]Source!AV1031*[95]Source!I1031),2)*[95]Source!BS1031),2), 2), 2)</f>
        <v>35.76</v>
      </c>
    </row>
    <row r="97" spans="1:27" ht="15" x14ac:dyDescent="0.25">
      <c r="A97" s="691"/>
      <c r="B97" s="691"/>
      <c r="C97" s="692"/>
      <c r="D97" s="692" t="s">
        <v>84</v>
      </c>
      <c r="E97" s="693"/>
      <c r="F97" s="694"/>
      <c r="G97" s="695">
        <f>[95]Source!AO1031</f>
        <v>17.66</v>
      </c>
      <c r="H97" s="696" t="str">
        <f>[95]Source!DG1031</f>
        <v>)*1,67</v>
      </c>
      <c r="I97" s="694">
        <f>[95]Source!AV1031</f>
        <v>1.0669999999999999</v>
      </c>
      <c r="J97" s="697">
        <f>ROUND((ROUND(([95]Source!AF1031*[95]Source!AV1031*[95]Source!I1031),2)),2)</f>
        <v>31.47</v>
      </c>
      <c r="K97" s="694">
        <f>IF([95]Source!BA1031&lt;&gt; 0, [95]Source!BA1031, 1)</f>
        <v>24.23</v>
      </c>
      <c r="L97" s="697">
        <f>[95]Source!S1031</f>
        <v>762.52</v>
      </c>
      <c r="W97" s="718">
        <f>J97</f>
        <v>31.47</v>
      </c>
    </row>
    <row r="98" spans="1:27" ht="15" x14ac:dyDescent="0.25">
      <c r="A98" s="691"/>
      <c r="B98" s="691"/>
      <c r="C98" s="692"/>
      <c r="D98" s="692" t="s">
        <v>85</v>
      </c>
      <c r="E98" s="693"/>
      <c r="F98" s="694"/>
      <c r="G98" s="695">
        <f>[95]Source!AM1031</f>
        <v>2.23</v>
      </c>
      <c r="H98" s="696" t="str">
        <f>[95]Source!DE1031</f>
        <v/>
      </c>
      <c r="I98" s="694">
        <f>[95]Source!AV1031</f>
        <v>1.0669999999999999</v>
      </c>
      <c r="J98" s="697">
        <f>(ROUND((ROUND((([95]Source!ET1031)*[95]Source!AV1031*[95]Source!I1031),2)),2)+ROUND((ROUND((([95]Source!AE1031-([95]Source!EU1031))*[95]Source!AV1031*[95]Source!I1031),2)),2))-J108</f>
        <v>2.38</v>
      </c>
      <c r="K98" s="694">
        <f>IF([95]Source!BB1031&lt;&gt; 0, [95]Source!BB1031, 1)</f>
        <v>10</v>
      </c>
      <c r="L98" s="697">
        <f>[95]Source!Q1031-L108</f>
        <v>23.83</v>
      </c>
    </row>
    <row r="99" spans="1:27" ht="15" x14ac:dyDescent="0.25">
      <c r="A99" s="691"/>
      <c r="B99" s="691"/>
      <c r="C99" s="692"/>
      <c r="D99" s="692" t="s">
        <v>86</v>
      </c>
      <c r="E99" s="693"/>
      <c r="F99" s="694"/>
      <c r="G99" s="695">
        <f>[95]Source!AN1031</f>
        <v>0.53</v>
      </c>
      <c r="H99" s="696" t="str">
        <f>[95]Source!DE1031</f>
        <v/>
      </c>
      <c r="I99" s="694">
        <f>[95]Source!AV1031</f>
        <v>1.0669999999999999</v>
      </c>
      <c r="J99" s="700">
        <f>ROUND((ROUND(([95]Source!AE1031*[95]Source!AV1031*[95]Source!I1031),2)),2)-J109</f>
        <v>0.56000000000000005</v>
      </c>
      <c r="K99" s="694">
        <f>IF([95]Source!BS1031&lt;&gt; 0, [95]Source!BS1031, 1)</f>
        <v>24.23</v>
      </c>
      <c r="L99" s="700">
        <f>[95]Source!R1031-L109</f>
        <v>13.6</v>
      </c>
      <c r="W99" s="718">
        <f>J99</f>
        <v>0.56000000000000005</v>
      </c>
    </row>
    <row r="100" spans="1:27" ht="15" x14ac:dyDescent="0.25">
      <c r="A100" s="691"/>
      <c r="B100" s="691"/>
      <c r="C100" s="692"/>
      <c r="D100" s="692" t="s">
        <v>87</v>
      </c>
      <c r="E100" s="693"/>
      <c r="F100" s="694"/>
      <c r="G100" s="695">
        <f>[95]Source!AL1031</f>
        <v>6.65</v>
      </c>
      <c r="H100" s="696" t="str">
        <f>[95]Source!DD1031</f>
        <v/>
      </c>
      <c r="I100" s="694">
        <f>[95]Source!AW1031</f>
        <v>1</v>
      </c>
      <c r="J100" s="697">
        <f>ROUND((ROUND(([95]Source!AC1031*[95]Source!AW1031*[95]Source!I1031),2)),2)</f>
        <v>6.65</v>
      </c>
      <c r="K100" s="694">
        <f>IF([95]Source!BC1031&lt;&gt; 0, [95]Source!BC1031, 1)</f>
        <v>5.58</v>
      </c>
      <c r="L100" s="697">
        <f>[95]Source!P1031</f>
        <v>37.11</v>
      </c>
    </row>
    <row r="101" spans="1:27" ht="94.9" customHeight="1" x14ac:dyDescent="0.25">
      <c r="A101" s="691">
        <v>13</v>
      </c>
      <c r="B101" s="691" t="str">
        <f>[95]Source!E1033</f>
        <v>132,1</v>
      </c>
      <c r="C101" s="692" t="str">
        <f>[95]Source!F1033</f>
        <v>1.19-11-14</v>
      </c>
      <c r="D101" s="692" t="s">
        <v>478</v>
      </c>
      <c r="E101" s="693" t="str">
        <f>[95]Source!H1033</f>
        <v>шт.</v>
      </c>
      <c r="F101" s="694">
        <f>[95]Source!I1033</f>
        <v>1</v>
      </c>
      <c r="G101" s="695">
        <f>[95]Source!AK1033</f>
        <v>1244.4000000000001</v>
      </c>
      <c r="H101" s="734" t="s">
        <v>42</v>
      </c>
      <c r="I101" s="694">
        <f>[95]Source!AW1033</f>
        <v>1</v>
      </c>
      <c r="J101" s="697">
        <f>ROUND((ROUND(([95]Source!AC1033*[95]Source!AW1033*[95]Source!I1033),2)),2)+(ROUND((ROUND((([95]Source!ET1033)*[95]Source!AV1033*[95]Source!I1033),2)),2)+ROUND((ROUND((([95]Source!AE1033-([95]Source!EU1033))*[95]Source!AV1033*[95]Source!I1033),2)),2))+ROUND((ROUND(([95]Source!AF1033*[95]Source!AV1033*[95]Source!I1033),2)),2)</f>
        <v>1244.4000000000001</v>
      </c>
      <c r="K101" s="694">
        <f>IF([95]Source!BC1033&lt;&gt; 0, [95]Source!BC1033, 1)</f>
        <v>2.6</v>
      </c>
      <c r="L101" s="697">
        <f>[95]Source!O1033</f>
        <v>3235.44</v>
      </c>
      <c r="Q101" s="718">
        <f>ROUND(([95]Source!DN1033/100)*ROUND((ROUND(([95]Source!AF1033*[95]Source!AV1033*[95]Source!I1033),2)),2), 2)</f>
        <v>0</v>
      </c>
      <c r="R101" s="718">
        <f>[95]Source!X1033</f>
        <v>0</v>
      </c>
      <c r="S101" s="718">
        <f>ROUND(([95]Source!DO1033/100)*ROUND((ROUND(([95]Source!AF1033*[95]Source!AV1033*[95]Source!I1033),2)),2), 2)</f>
        <v>0</v>
      </c>
      <c r="T101" s="718">
        <f>[95]Source!Y1033</f>
        <v>0</v>
      </c>
      <c r="U101" s="718">
        <f>ROUND((175/100)*ROUND((ROUND(([95]Source!AE1033*[95]Source!AV1033*[95]Source!I1033),2)),2), 2)</f>
        <v>0</v>
      </c>
      <c r="V101" s="718">
        <f>ROUND((157/100)*ROUND(ROUND((ROUND(([95]Source!AE1033*[95]Source!AV1033*[95]Source!I1033),2)*[95]Source!BS1033),2), 2), 2)</f>
        <v>0</v>
      </c>
      <c r="X101" s="718">
        <f>IF([95]Source!BI1033&lt;=1,J101, 0)</f>
        <v>1244.4000000000001</v>
      </c>
      <c r="Y101" s="718">
        <f>IF([95]Source!BI1033=2,J101, 0)</f>
        <v>0</v>
      </c>
      <c r="Z101" s="718">
        <f>IF([95]Source!BI1033=3,J101, 0)</f>
        <v>0</v>
      </c>
      <c r="AA101" s="718">
        <f>IF([95]Source!BI1033=4,J101, 0)</f>
        <v>0</v>
      </c>
    </row>
    <row r="102" spans="1:27" ht="15" x14ac:dyDescent="0.25">
      <c r="A102" s="691"/>
      <c r="B102" s="691"/>
      <c r="C102" s="692"/>
      <c r="D102" s="692" t="s">
        <v>88</v>
      </c>
      <c r="E102" s="693" t="s">
        <v>89</v>
      </c>
      <c r="F102" s="694">
        <f>[95]Source!DN1031</f>
        <v>125</v>
      </c>
      <c r="G102" s="695"/>
      <c r="H102" s="696"/>
      <c r="I102" s="694"/>
      <c r="J102" s="697">
        <f>SUM(Q96:Q101)</f>
        <v>39.340000000000003</v>
      </c>
      <c r="K102" s="694">
        <f>[95]Source!BZ1031</f>
        <v>100</v>
      </c>
      <c r="L102" s="697">
        <f>SUM(R96:R101)</f>
        <v>762.52</v>
      </c>
    </row>
    <row r="103" spans="1:27" ht="15" x14ac:dyDescent="0.25">
      <c r="A103" s="691"/>
      <c r="B103" s="691"/>
      <c r="C103" s="692"/>
      <c r="D103" s="692" t="s">
        <v>90</v>
      </c>
      <c r="E103" s="693" t="s">
        <v>89</v>
      </c>
      <c r="F103" s="694">
        <f>[95]Source!DO1031</f>
        <v>94</v>
      </c>
      <c r="G103" s="695"/>
      <c r="H103" s="696"/>
      <c r="I103" s="694"/>
      <c r="J103" s="697">
        <f>SUM(S96:S102)</f>
        <v>29.58</v>
      </c>
      <c r="K103" s="694">
        <f>[95]Source!CA1031</f>
        <v>45</v>
      </c>
      <c r="L103" s="697">
        <f>SUM(T96:T102)</f>
        <v>343.13</v>
      </c>
    </row>
    <row r="104" spans="1:27" ht="15" x14ac:dyDescent="0.25">
      <c r="A104" s="691"/>
      <c r="B104" s="691"/>
      <c r="C104" s="692"/>
      <c r="D104" s="692" t="s">
        <v>91</v>
      </c>
      <c r="E104" s="693" t="s">
        <v>89</v>
      </c>
      <c r="F104" s="694">
        <f>175</f>
        <v>175</v>
      </c>
      <c r="G104" s="695"/>
      <c r="H104" s="696"/>
      <c r="I104" s="694"/>
      <c r="J104" s="697">
        <f>SUM(U96:U103)-J110</f>
        <v>0.98</v>
      </c>
      <c r="K104" s="694">
        <f>157</f>
        <v>157</v>
      </c>
      <c r="L104" s="697">
        <f>SUM(V96:V103)-L110</f>
        <v>21.35</v>
      </c>
    </row>
    <row r="105" spans="1:27" ht="15" x14ac:dyDescent="0.25">
      <c r="A105" s="691"/>
      <c r="B105" s="691"/>
      <c r="C105" s="692"/>
      <c r="D105" s="692" t="s">
        <v>92</v>
      </c>
      <c r="E105" s="693" t="s">
        <v>93</v>
      </c>
      <c r="F105" s="694">
        <f>[95]Source!AQ1031</f>
        <v>1.54</v>
      </c>
      <c r="G105" s="695"/>
      <c r="H105" s="696" t="str">
        <f>[95]Source!DI1031</f>
        <v/>
      </c>
      <c r="I105" s="694">
        <f>[95]Source!AV1031</f>
        <v>1.0669999999999999</v>
      </c>
      <c r="J105" s="697">
        <f>[95]Source!U1031</f>
        <v>1.64</v>
      </c>
      <c r="K105" s="694"/>
      <c r="L105" s="697"/>
    </row>
    <row r="106" spans="1:27" ht="14.25" x14ac:dyDescent="0.2">
      <c r="I106" s="1067">
        <f>J97+J98+J100+J102+J103+J104+SUM(J101:J101)</f>
        <v>1354.8</v>
      </c>
      <c r="J106" s="1067"/>
      <c r="K106" s="1067">
        <f>L97+L98+L100+L102+L103+L104+SUM(L101:L101)</f>
        <v>5185.8999999999996</v>
      </c>
      <c r="L106" s="1067"/>
      <c r="O106" s="736">
        <f>J97+J98+J100+J102+J103+J104+SUM(J101:J101)</f>
        <v>1354.8</v>
      </c>
      <c r="P106" s="736">
        <f>L97+L98+L100+L102+L103+L104+SUM(L101:L101)</f>
        <v>5185.8999999999996</v>
      </c>
      <c r="X106" s="718">
        <f>IF([95]Source!BI1031&lt;=1,J97+J98+J100+J102+J103+J104-0, 0)</f>
        <v>110.4</v>
      </c>
      <c r="Y106" s="718">
        <f>IF([95]Source!BI1031=2,J97+J98+J100+J102+J103+J104-0, 0)</f>
        <v>0</v>
      </c>
      <c r="Z106" s="718">
        <f>IF([95]Source!BI1031=3,J97+J98+J100+J102+J103+J104-0, 0)</f>
        <v>0</v>
      </c>
      <c r="AA106" s="718">
        <f>IF([95]Source!BI1031=4,J97+J98+J100+J102+J103+J104,0)</f>
        <v>0</v>
      </c>
    </row>
    <row r="107" spans="1:27" ht="30" x14ac:dyDescent="0.25">
      <c r="A107" s="701"/>
      <c r="B107" s="701"/>
      <c r="C107" s="702"/>
      <c r="D107" s="702" t="s">
        <v>94</v>
      </c>
      <c r="E107" s="693"/>
      <c r="F107" s="703"/>
      <c r="G107" s="704"/>
      <c r="H107" s="693"/>
      <c r="I107" s="703"/>
      <c r="J107" s="700"/>
      <c r="K107" s="703"/>
      <c r="L107" s="700"/>
    </row>
    <row r="108" spans="1:27" ht="15" x14ac:dyDescent="0.25">
      <c r="A108" s="701"/>
      <c r="B108" s="701"/>
      <c r="C108" s="702"/>
      <c r="D108" s="702" t="s">
        <v>85</v>
      </c>
      <c r="E108" s="693"/>
      <c r="F108" s="703"/>
      <c r="G108" s="704">
        <f t="shared" ref="G108:L108" si="3">G109</f>
        <v>0.53</v>
      </c>
      <c r="H108" s="705" t="str">
        <f t="shared" si="3"/>
        <v>)*(1.67-1)</v>
      </c>
      <c r="I108" s="703">
        <f t="shared" si="3"/>
        <v>1.0669999999999999</v>
      </c>
      <c r="J108" s="700">
        <f t="shared" si="3"/>
        <v>0.38</v>
      </c>
      <c r="K108" s="703">
        <f t="shared" si="3"/>
        <v>24.23</v>
      </c>
      <c r="L108" s="700">
        <f t="shared" si="3"/>
        <v>9.18</v>
      </c>
    </row>
    <row r="109" spans="1:27" ht="15" x14ac:dyDescent="0.25">
      <c r="A109" s="701"/>
      <c r="B109" s="701"/>
      <c r="C109" s="702"/>
      <c r="D109" s="702" t="s">
        <v>86</v>
      </c>
      <c r="E109" s="693"/>
      <c r="F109" s="703"/>
      <c r="G109" s="704">
        <f>[95]Source!AN1031</f>
        <v>0.53</v>
      </c>
      <c r="H109" s="705" t="s">
        <v>95</v>
      </c>
      <c r="I109" s="703">
        <f>[95]Source!AV1031</f>
        <v>1.0669999999999999</v>
      </c>
      <c r="J109" s="700">
        <f>ROUND(F96*G109*I109*(1.67-1), 2)</f>
        <v>0.38</v>
      </c>
      <c r="K109" s="703">
        <f>IF([95]Source!BS1031&lt;&gt; 0, [95]Source!BS1031, 1)</f>
        <v>24.23</v>
      </c>
      <c r="L109" s="700">
        <f>ROUND(F96*G109*I109*(1.67-1)*K109, 2)</f>
        <v>9.18</v>
      </c>
      <c r="W109" s="718">
        <f>J109</f>
        <v>0.38</v>
      </c>
    </row>
    <row r="110" spans="1:27" ht="15" x14ac:dyDescent="0.25">
      <c r="A110" s="701"/>
      <c r="B110" s="701"/>
      <c r="C110" s="702"/>
      <c r="D110" s="702" t="s">
        <v>91</v>
      </c>
      <c r="E110" s="693" t="s">
        <v>89</v>
      </c>
      <c r="F110" s="703">
        <f>175</f>
        <v>175</v>
      </c>
      <c r="G110" s="704"/>
      <c r="H110" s="693"/>
      <c r="I110" s="703"/>
      <c r="J110" s="700">
        <f>ROUND(J109*(F110/100), 2)</f>
        <v>0.67</v>
      </c>
      <c r="K110" s="703">
        <f>157</f>
        <v>157</v>
      </c>
      <c r="L110" s="700">
        <f>ROUND(L109*(K110/100), 2)</f>
        <v>14.41</v>
      </c>
    </row>
    <row r="111" spans="1:27" ht="14.25" x14ac:dyDescent="0.2">
      <c r="I111" s="1067">
        <f>J110+J109</f>
        <v>1.05</v>
      </c>
      <c r="J111" s="1067"/>
      <c r="K111" s="1067">
        <f>L110+L109</f>
        <v>23.59</v>
      </c>
      <c r="L111" s="1067"/>
      <c r="O111" s="736">
        <f>I111</f>
        <v>1.05</v>
      </c>
      <c r="P111" s="736">
        <f>K111</f>
        <v>23.59</v>
      </c>
      <c r="X111" s="718">
        <f>IF([95]Source!BI1031&lt;=1,I111, 0)</f>
        <v>1.05</v>
      </c>
      <c r="Y111" s="718">
        <f>IF([95]Source!BI1031=2,I111, 0)</f>
        <v>0</v>
      </c>
      <c r="Z111" s="718">
        <f>IF([95]Source!BI1031=3,I111, 0)</f>
        <v>0</v>
      </c>
      <c r="AA111" s="718">
        <f>IF([95]Source!BI1031=4,I111, 0)</f>
        <v>0</v>
      </c>
    </row>
    <row r="113" spans="1:27" ht="15" x14ac:dyDescent="0.25">
      <c r="A113" s="706"/>
      <c r="B113" s="706"/>
      <c r="C113" s="707"/>
      <c r="D113" s="707" t="s">
        <v>96</v>
      </c>
      <c r="E113" s="708"/>
      <c r="F113" s="709"/>
      <c r="G113" s="710"/>
      <c r="H113" s="711"/>
      <c r="I113" s="1067">
        <f>I106+I111</f>
        <v>1355.85</v>
      </c>
      <c r="J113" s="1067"/>
      <c r="K113" s="1067">
        <f>K106+K111</f>
        <v>5209.49</v>
      </c>
      <c r="L113" s="1067"/>
    </row>
    <row r="114" spans="1:27" ht="69" customHeight="1" x14ac:dyDescent="0.25">
      <c r="A114" s="691">
        <v>14</v>
      </c>
      <c r="B114" s="691" t="str">
        <f>[95]Source!E1035</f>
        <v>133</v>
      </c>
      <c r="C114" s="692" t="str">
        <f>[95]Source!F1035</f>
        <v>3.20-23-4</v>
      </c>
      <c r="D114" s="692" t="s">
        <v>481</v>
      </c>
      <c r="E114" s="693" t="str">
        <f>[95]Source!H1035</f>
        <v>1  ШТ.</v>
      </c>
      <c r="F114" s="694">
        <f>[95]Source!I1035</f>
        <v>1</v>
      </c>
      <c r="G114" s="695"/>
      <c r="H114" s="696"/>
      <c r="I114" s="694"/>
      <c r="J114" s="697"/>
      <c r="K114" s="694"/>
      <c r="L114" s="697"/>
      <c r="Q114" s="718">
        <f>ROUND(([95]Source!DN1035/100)*ROUND((ROUND(([95]Source!AF1035*[95]Source!AV1035*[95]Source!I1035),2)),2), 2)</f>
        <v>39.340000000000003</v>
      </c>
      <c r="R114" s="718">
        <f>[95]Source!X1035</f>
        <v>762.52</v>
      </c>
      <c r="S114" s="718">
        <f>ROUND(([95]Source!DO1035/100)*ROUND((ROUND(([95]Source!AF1035*[95]Source!AV1035*[95]Source!I1035),2)),2), 2)</f>
        <v>29.58</v>
      </c>
      <c r="T114" s="718">
        <f>[95]Source!Y1035</f>
        <v>343.13</v>
      </c>
      <c r="U114" s="718">
        <f>ROUND((175/100)*ROUND((ROUND(([95]Source!AE1035*[95]Source!AV1035*[95]Source!I1035),2)),2), 2)</f>
        <v>1.65</v>
      </c>
      <c r="V114" s="718">
        <f>ROUND((157/100)*ROUND(ROUND((ROUND(([95]Source!AE1035*[95]Source!AV1035*[95]Source!I1035),2)*[95]Source!BS1035),2), 2), 2)</f>
        <v>35.76</v>
      </c>
    </row>
    <row r="115" spans="1:27" ht="15" x14ac:dyDescent="0.25">
      <c r="A115" s="691"/>
      <c r="B115" s="691"/>
      <c r="C115" s="692"/>
      <c r="D115" s="692" t="s">
        <v>84</v>
      </c>
      <c r="E115" s="693"/>
      <c r="F115" s="694"/>
      <c r="G115" s="695">
        <f>[95]Source!AO1035</f>
        <v>17.66</v>
      </c>
      <c r="H115" s="696" t="str">
        <f>[95]Source!DG1035</f>
        <v>)*1,67</v>
      </c>
      <c r="I115" s="694">
        <f>[95]Source!AV1035</f>
        <v>1.0669999999999999</v>
      </c>
      <c r="J115" s="697">
        <f>ROUND((ROUND(([95]Source!AF1035*[95]Source!AV1035*[95]Source!I1035),2)),2)</f>
        <v>31.47</v>
      </c>
      <c r="K115" s="694">
        <f>IF([95]Source!BA1035&lt;&gt; 0, [95]Source!BA1035, 1)</f>
        <v>24.23</v>
      </c>
      <c r="L115" s="697">
        <f>[95]Source!S1035</f>
        <v>762.52</v>
      </c>
      <c r="W115" s="718">
        <f>J115</f>
        <v>31.47</v>
      </c>
    </row>
    <row r="116" spans="1:27" ht="15" x14ac:dyDescent="0.25">
      <c r="A116" s="691"/>
      <c r="B116" s="691"/>
      <c r="C116" s="692"/>
      <c r="D116" s="692" t="s">
        <v>85</v>
      </c>
      <c r="E116" s="693"/>
      <c r="F116" s="694"/>
      <c r="G116" s="695">
        <f>[95]Source!AM1035</f>
        <v>2.23</v>
      </c>
      <c r="H116" s="696" t="str">
        <f>[95]Source!DE1035</f>
        <v/>
      </c>
      <c r="I116" s="694">
        <f>[95]Source!AV1035</f>
        <v>1.0669999999999999</v>
      </c>
      <c r="J116" s="697">
        <f>(ROUND((ROUND((([95]Source!ET1035)*[95]Source!AV1035*[95]Source!I1035),2)),2)+ROUND((ROUND((([95]Source!AE1035-([95]Source!EU1035))*[95]Source!AV1035*[95]Source!I1035),2)),2))-J126</f>
        <v>2.38</v>
      </c>
      <c r="K116" s="694">
        <f>IF([95]Source!BB1035&lt;&gt; 0, [95]Source!BB1035, 1)</f>
        <v>10</v>
      </c>
      <c r="L116" s="697">
        <f>[95]Source!Q1035-L126</f>
        <v>23.83</v>
      </c>
    </row>
    <row r="117" spans="1:27" ht="15" x14ac:dyDescent="0.25">
      <c r="A117" s="691"/>
      <c r="B117" s="691"/>
      <c r="C117" s="692"/>
      <c r="D117" s="692" t="s">
        <v>86</v>
      </c>
      <c r="E117" s="693"/>
      <c r="F117" s="694"/>
      <c r="G117" s="695">
        <f>[95]Source!AN1035</f>
        <v>0.53</v>
      </c>
      <c r="H117" s="696" t="str">
        <f>[95]Source!DE1035</f>
        <v/>
      </c>
      <c r="I117" s="694">
        <f>[95]Source!AV1035</f>
        <v>1.0669999999999999</v>
      </c>
      <c r="J117" s="700">
        <f>ROUND((ROUND(([95]Source!AE1035*[95]Source!AV1035*[95]Source!I1035),2)),2)-J127</f>
        <v>0.56000000000000005</v>
      </c>
      <c r="K117" s="694">
        <f>IF([95]Source!BS1035&lt;&gt; 0, [95]Source!BS1035, 1)</f>
        <v>24.23</v>
      </c>
      <c r="L117" s="700">
        <f>[95]Source!R1035-L127</f>
        <v>13.6</v>
      </c>
      <c r="W117" s="718">
        <f>J117</f>
        <v>0.56000000000000005</v>
      </c>
    </row>
    <row r="118" spans="1:27" ht="15" x14ac:dyDescent="0.25">
      <c r="A118" s="691"/>
      <c r="B118" s="691"/>
      <c r="C118" s="692"/>
      <c r="D118" s="692" t="s">
        <v>87</v>
      </c>
      <c r="E118" s="693"/>
      <c r="F118" s="694"/>
      <c r="G118" s="695">
        <f>[95]Source!AL1035</f>
        <v>6.65</v>
      </c>
      <c r="H118" s="696" t="str">
        <f>[95]Source!DD1035</f>
        <v/>
      </c>
      <c r="I118" s="694">
        <f>[95]Source!AW1035</f>
        <v>1</v>
      </c>
      <c r="J118" s="697">
        <f>ROUND((ROUND(([95]Source!AC1035*[95]Source!AW1035*[95]Source!I1035),2)),2)</f>
        <v>6.65</v>
      </c>
      <c r="K118" s="694">
        <f>IF([95]Source!BC1035&lt;&gt; 0, [95]Source!BC1035, 1)</f>
        <v>5.58</v>
      </c>
      <c r="L118" s="697">
        <f>[95]Source!P1035</f>
        <v>37.11</v>
      </c>
    </row>
    <row r="119" spans="1:27" ht="92.45" customHeight="1" x14ac:dyDescent="0.25">
      <c r="A119" s="691">
        <v>15</v>
      </c>
      <c r="B119" s="691" t="str">
        <f>[95]Source!E1037</f>
        <v>133,1</v>
      </c>
      <c r="C119" s="692" t="str">
        <f>[95]Source!F1037</f>
        <v>1.19-11-62</v>
      </c>
      <c r="D119" s="692" t="s">
        <v>482</v>
      </c>
      <c r="E119" s="693" t="str">
        <f>[95]Source!H1037</f>
        <v>шт.</v>
      </c>
      <c r="F119" s="694">
        <f>[95]Source!I1037</f>
        <v>1</v>
      </c>
      <c r="G119" s="695">
        <f>[95]Source!AK1037</f>
        <v>690.38</v>
      </c>
      <c r="H119" s="734" t="s">
        <v>42</v>
      </c>
      <c r="I119" s="694">
        <f>[95]Source!AW1037</f>
        <v>1</v>
      </c>
      <c r="J119" s="697">
        <f>ROUND((ROUND(([95]Source!AC1037*[95]Source!AW1037*[95]Source!I1037),2)),2)+(ROUND((ROUND((([95]Source!ET1037)*[95]Source!AV1037*[95]Source!I1037),2)),2)+ROUND((ROUND((([95]Source!AE1037-([95]Source!EU1037))*[95]Source!AV1037*[95]Source!I1037),2)),2))+ROUND((ROUND(([95]Source!AF1037*[95]Source!AV1037*[95]Source!I1037),2)),2)</f>
        <v>690.38</v>
      </c>
      <c r="K119" s="694">
        <f>IF([95]Source!BC1037&lt;&gt; 0, [95]Source!BC1037, 1)</f>
        <v>2.84</v>
      </c>
      <c r="L119" s="697">
        <f>[95]Source!O1037</f>
        <v>1960.68</v>
      </c>
      <c r="Q119" s="718">
        <f>ROUND(([95]Source!DN1037/100)*ROUND((ROUND(([95]Source!AF1037*[95]Source!AV1037*[95]Source!I1037),2)),2), 2)</f>
        <v>0</v>
      </c>
      <c r="R119" s="718">
        <f>[95]Source!X1037</f>
        <v>0</v>
      </c>
      <c r="S119" s="718">
        <f>ROUND(([95]Source!DO1037/100)*ROUND((ROUND(([95]Source!AF1037*[95]Source!AV1037*[95]Source!I1037),2)),2), 2)</f>
        <v>0</v>
      </c>
      <c r="T119" s="718">
        <f>[95]Source!Y1037</f>
        <v>0</v>
      </c>
      <c r="U119" s="718">
        <f>ROUND((175/100)*ROUND((ROUND(([95]Source!AE1037*[95]Source!AV1037*[95]Source!I1037),2)),2), 2)</f>
        <v>0</v>
      </c>
      <c r="V119" s="718">
        <f>ROUND((157/100)*ROUND(ROUND((ROUND(([95]Source!AE1037*[95]Source!AV1037*[95]Source!I1037),2)*[95]Source!BS1037),2), 2), 2)</f>
        <v>0</v>
      </c>
      <c r="X119" s="718">
        <f>IF([95]Source!BI1037&lt;=1,J119, 0)</f>
        <v>690.38</v>
      </c>
      <c r="Y119" s="718">
        <f>IF([95]Source!BI1037=2,J119, 0)</f>
        <v>0</v>
      </c>
      <c r="Z119" s="718">
        <f>IF([95]Source!BI1037=3,J119, 0)</f>
        <v>0</v>
      </c>
      <c r="AA119" s="718">
        <f>IF([95]Source!BI1037=4,J119, 0)</f>
        <v>0</v>
      </c>
    </row>
    <row r="120" spans="1:27" ht="15" x14ac:dyDescent="0.25">
      <c r="A120" s="691"/>
      <c r="B120" s="691"/>
      <c r="C120" s="692"/>
      <c r="D120" s="692" t="s">
        <v>88</v>
      </c>
      <c r="E120" s="693" t="s">
        <v>89</v>
      </c>
      <c r="F120" s="694">
        <f>[95]Source!DN1035</f>
        <v>125</v>
      </c>
      <c r="G120" s="695"/>
      <c r="H120" s="696"/>
      <c r="I120" s="694"/>
      <c r="J120" s="697">
        <f>SUM(Q114:Q119)</f>
        <v>39.340000000000003</v>
      </c>
      <c r="K120" s="694">
        <f>[95]Source!BZ1035</f>
        <v>100</v>
      </c>
      <c r="L120" s="697">
        <f>SUM(R114:R119)</f>
        <v>762.52</v>
      </c>
    </row>
    <row r="121" spans="1:27" ht="15" x14ac:dyDescent="0.25">
      <c r="A121" s="691"/>
      <c r="B121" s="691"/>
      <c r="C121" s="692"/>
      <c r="D121" s="692" t="s">
        <v>90</v>
      </c>
      <c r="E121" s="693" t="s">
        <v>89</v>
      </c>
      <c r="F121" s="694">
        <f>[95]Source!DO1035</f>
        <v>94</v>
      </c>
      <c r="G121" s="695"/>
      <c r="H121" s="696"/>
      <c r="I121" s="694"/>
      <c r="J121" s="697">
        <f>SUM(S114:S120)</f>
        <v>29.58</v>
      </c>
      <c r="K121" s="694">
        <f>[95]Source!CA1035</f>
        <v>45</v>
      </c>
      <c r="L121" s="697">
        <f>SUM(T114:T120)</f>
        <v>343.13</v>
      </c>
    </row>
    <row r="122" spans="1:27" ht="15" x14ac:dyDescent="0.25">
      <c r="A122" s="691"/>
      <c r="B122" s="691"/>
      <c r="C122" s="692"/>
      <c r="D122" s="692" t="s">
        <v>91</v>
      </c>
      <c r="E122" s="693" t="s">
        <v>89</v>
      </c>
      <c r="F122" s="694">
        <f>175</f>
        <v>175</v>
      </c>
      <c r="G122" s="695"/>
      <c r="H122" s="696"/>
      <c r="I122" s="694"/>
      <c r="J122" s="697">
        <f>SUM(U114:U121)-J128</f>
        <v>0.98</v>
      </c>
      <c r="K122" s="694">
        <f>157</f>
        <v>157</v>
      </c>
      <c r="L122" s="697">
        <f>SUM(V114:V121)-L128</f>
        <v>21.35</v>
      </c>
    </row>
    <row r="123" spans="1:27" ht="15" x14ac:dyDescent="0.25">
      <c r="A123" s="691"/>
      <c r="B123" s="691"/>
      <c r="C123" s="692"/>
      <c r="D123" s="692" t="s">
        <v>92</v>
      </c>
      <c r="E123" s="693" t="s">
        <v>93</v>
      </c>
      <c r="F123" s="694">
        <f>[95]Source!AQ1035</f>
        <v>1.54</v>
      </c>
      <c r="G123" s="695"/>
      <c r="H123" s="696" t="str">
        <f>[95]Source!DI1035</f>
        <v/>
      </c>
      <c r="I123" s="694">
        <f>[95]Source!AV1035</f>
        <v>1.0669999999999999</v>
      </c>
      <c r="J123" s="697">
        <f>[95]Source!U1035</f>
        <v>1.64</v>
      </c>
      <c r="K123" s="694"/>
      <c r="L123" s="697"/>
    </row>
    <row r="124" spans="1:27" ht="14.25" x14ac:dyDescent="0.2">
      <c r="I124" s="1067">
        <f>J115+J116+J118+J120+J121+J122+SUM(J119:J119)</f>
        <v>800.78</v>
      </c>
      <c r="J124" s="1067"/>
      <c r="K124" s="1067">
        <f>L115+L116+L118+L120+L121+L122+SUM(L119:L119)</f>
        <v>3911.14</v>
      </c>
      <c r="L124" s="1067"/>
      <c r="O124" s="736">
        <f>J115+J116+J118+J120+J121+J122+SUM(J119:J119)</f>
        <v>800.78</v>
      </c>
      <c r="P124" s="736">
        <f>L115+L116+L118+L120+L121+L122+SUM(L119:L119)</f>
        <v>3911.14</v>
      </c>
      <c r="X124" s="718">
        <f>IF([95]Source!BI1035&lt;=1,J115+J116+J118+J120+J121+J122-0, 0)</f>
        <v>110.4</v>
      </c>
      <c r="Y124" s="718">
        <f>IF([95]Source!BI1035=2,J115+J116+J118+J120+J121+J122-0, 0)</f>
        <v>0</v>
      </c>
      <c r="Z124" s="718">
        <f>IF([95]Source!BI1035=3,J115+J116+J118+J120+J121+J122-0, 0)</f>
        <v>0</v>
      </c>
      <c r="AA124" s="718">
        <f>IF([95]Source!BI1035=4,J115+J116+J118+J120+J121+J122,0)</f>
        <v>0</v>
      </c>
    </row>
    <row r="125" spans="1:27" ht="30" x14ac:dyDescent="0.25">
      <c r="A125" s="701"/>
      <c r="B125" s="701"/>
      <c r="C125" s="702"/>
      <c r="D125" s="702" t="s">
        <v>94</v>
      </c>
      <c r="E125" s="693"/>
      <c r="F125" s="703"/>
      <c r="G125" s="704"/>
      <c r="H125" s="693"/>
      <c r="I125" s="703"/>
      <c r="J125" s="700"/>
      <c r="K125" s="703"/>
      <c r="L125" s="700"/>
    </row>
    <row r="126" spans="1:27" ht="15" x14ac:dyDescent="0.25">
      <c r="A126" s="701"/>
      <c r="B126" s="701"/>
      <c r="C126" s="702"/>
      <c r="D126" s="702" t="s">
        <v>85</v>
      </c>
      <c r="E126" s="693"/>
      <c r="F126" s="703"/>
      <c r="G126" s="704">
        <f t="shared" ref="G126:L126" si="4">G127</f>
        <v>0.53</v>
      </c>
      <c r="H126" s="705" t="str">
        <f t="shared" si="4"/>
        <v>)*(1.67-1)</v>
      </c>
      <c r="I126" s="703">
        <f t="shared" si="4"/>
        <v>1.0669999999999999</v>
      </c>
      <c r="J126" s="700">
        <f t="shared" si="4"/>
        <v>0.38</v>
      </c>
      <c r="K126" s="703">
        <f t="shared" si="4"/>
        <v>24.23</v>
      </c>
      <c r="L126" s="700">
        <f t="shared" si="4"/>
        <v>9.18</v>
      </c>
    </row>
    <row r="127" spans="1:27" ht="15" x14ac:dyDescent="0.25">
      <c r="A127" s="701"/>
      <c r="B127" s="701"/>
      <c r="C127" s="702"/>
      <c r="D127" s="702" t="s">
        <v>86</v>
      </c>
      <c r="E127" s="693"/>
      <c r="F127" s="703"/>
      <c r="G127" s="704">
        <f>[95]Source!AN1035</f>
        <v>0.53</v>
      </c>
      <c r="H127" s="705" t="s">
        <v>95</v>
      </c>
      <c r="I127" s="703">
        <f>[95]Source!AV1035</f>
        <v>1.0669999999999999</v>
      </c>
      <c r="J127" s="700">
        <f>ROUND(F114*G127*I127*(1.67-1), 2)</f>
        <v>0.38</v>
      </c>
      <c r="K127" s="703">
        <f>IF([95]Source!BS1035&lt;&gt; 0, [95]Source!BS1035, 1)</f>
        <v>24.23</v>
      </c>
      <c r="L127" s="700">
        <f>ROUND(F114*G127*I127*(1.67-1)*K127, 2)</f>
        <v>9.18</v>
      </c>
      <c r="W127" s="718">
        <f>J127</f>
        <v>0.38</v>
      </c>
    </row>
    <row r="128" spans="1:27" ht="15" x14ac:dyDescent="0.25">
      <c r="A128" s="701"/>
      <c r="B128" s="701"/>
      <c r="C128" s="702"/>
      <c r="D128" s="702" t="s">
        <v>91</v>
      </c>
      <c r="E128" s="693" t="s">
        <v>89</v>
      </c>
      <c r="F128" s="703">
        <f>175</f>
        <v>175</v>
      </c>
      <c r="G128" s="704"/>
      <c r="H128" s="693"/>
      <c r="I128" s="703"/>
      <c r="J128" s="700">
        <f>ROUND(J127*(F128/100), 2)</f>
        <v>0.67</v>
      </c>
      <c r="K128" s="703">
        <f>157</f>
        <v>157</v>
      </c>
      <c r="L128" s="700">
        <f>ROUND(L127*(K128/100), 2)</f>
        <v>14.41</v>
      </c>
    </row>
    <row r="129" spans="1:27" ht="14.25" x14ac:dyDescent="0.2">
      <c r="I129" s="1067">
        <f>J128+J127</f>
        <v>1.05</v>
      </c>
      <c r="J129" s="1067"/>
      <c r="K129" s="1067">
        <f>L128+L127</f>
        <v>23.59</v>
      </c>
      <c r="L129" s="1067"/>
      <c r="O129" s="736">
        <f>I129</f>
        <v>1.05</v>
      </c>
      <c r="P129" s="736">
        <f>K129</f>
        <v>23.59</v>
      </c>
      <c r="X129" s="718">
        <f>IF([95]Source!BI1035&lt;=1,I129, 0)</f>
        <v>1.05</v>
      </c>
      <c r="Y129" s="718">
        <f>IF([95]Source!BI1035=2,I129, 0)</f>
        <v>0</v>
      </c>
      <c r="Z129" s="718">
        <f>IF([95]Source!BI1035=3,I129, 0)</f>
        <v>0</v>
      </c>
      <c r="AA129" s="718">
        <f>IF([95]Source!BI1035=4,I129, 0)</f>
        <v>0</v>
      </c>
    </row>
    <row r="131" spans="1:27" ht="15" x14ac:dyDescent="0.25">
      <c r="A131" s="706"/>
      <c r="B131" s="706"/>
      <c r="C131" s="707"/>
      <c r="D131" s="707" t="s">
        <v>96</v>
      </c>
      <c r="E131" s="708"/>
      <c r="F131" s="709"/>
      <c r="G131" s="710"/>
      <c r="H131" s="711"/>
      <c r="I131" s="1067">
        <f>I124+I129</f>
        <v>801.83</v>
      </c>
      <c r="J131" s="1067"/>
      <c r="K131" s="1067">
        <f>K124+K129</f>
        <v>3934.73</v>
      </c>
      <c r="L131" s="1067"/>
    </row>
    <row r="133" spans="1:27" ht="14.25" x14ac:dyDescent="0.2">
      <c r="A133" s="1068" t="str">
        <f>CONCATENATE("Итого по подразделу: ",IF([95]Source!G1039&lt;&gt;"Новый подраздел", [95]Source!G1039, ""))</f>
        <v>Итого по подразделу: В2-13</v>
      </c>
      <c r="B133" s="1068"/>
      <c r="C133" s="1068"/>
      <c r="D133" s="1068"/>
      <c r="E133" s="1068"/>
      <c r="F133" s="1068"/>
      <c r="G133" s="1068"/>
      <c r="H133" s="1068"/>
      <c r="I133" s="1069">
        <f>SUM(O95:O132)</f>
        <v>2157.6799999999998</v>
      </c>
      <c r="J133" s="1070"/>
      <c r="K133" s="1069">
        <f>SUM(P95:P132)</f>
        <v>9144.2199999999993</v>
      </c>
      <c r="L133" s="1070"/>
    </row>
    <row r="134" spans="1:27" hidden="1" x14ac:dyDescent="0.2">
      <c r="A134" s="718" t="s">
        <v>139</v>
      </c>
      <c r="I134" s="718">
        <f>SUM(AC95:AC133)</f>
        <v>0</v>
      </c>
      <c r="K134" s="718">
        <f>SUM(AD95:AD133)</f>
        <v>0</v>
      </c>
    </row>
    <row r="135" spans="1:27" hidden="1" x14ac:dyDescent="0.2">
      <c r="A135" s="718" t="s">
        <v>140</v>
      </c>
      <c r="I135" s="718">
        <f>SUM(AE95:AE134)</f>
        <v>0</v>
      </c>
      <c r="K135" s="718">
        <f>SUM(AF95:AF134)</f>
        <v>0</v>
      </c>
    </row>
    <row r="137" spans="1:27" hidden="1" x14ac:dyDescent="0.2">
      <c r="A137" s="718" t="s">
        <v>139</v>
      </c>
      <c r="I137" s="718" t="e">
        <f>SUM(#REF!)</f>
        <v>#REF!</v>
      </c>
      <c r="K137" s="718" t="e">
        <f>SUM(#REF!)</f>
        <v>#REF!</v>
      </c>
    </row>
    <row r="138" spans="1:27" hidden="1" x14ac:dyDescent="0.2">
      <c r="A138" s="718" t="s">
        <v>140</v>
      </c>
      <c r="I138" s="718">
        <f>SUM(AE137:AE137)</f>
        <v>0</v>
      </c>
      <c r="K138" s="718">
        <f>SUM(AF137:AF137)</f>
        <v>0</v>
      </c>
    </row>
    <row r="140" spans="1:27" ht="16.5" x14ac:dyDescent="0.25">
      <c r="A140" s="1066" t="str">
        <f>CONCATENATE("Подраздел: ",IF([95]Source!G1423&lt;&gt;"Новый подраздел", [95]Source!G1423, ""))</f>
        <v>Подраздел: В2-23</v>
      </c>
      <c r="B140" s="1066"/>
      <c r="C140" s="1066"/>
      <c r="D140" s="1066"/>
      <c r="E140" s="1066"/>
      <c r="F140" s="1066"/>
      <c r="G140" s="1066"/>
      <c r="H140" s="1066"/>
      <c r="I140" s="1066"/>
      <c r="J140" s="1066"/>
      <c r="K140" s="1066"/>
      <c r="L140" s="1066"/>
    </row>
    <row r="141" spans="1:27" ht="70.900000000000006" customHeight="1" x14ac:dyDescent="0.25">
      <c r="A141" s="691">
        <v>18</v>
      </c>
      <c r="B141" s="691" t="str">
        <f>[95]Source!E1442</f>
        <v>176</v>
      </c>
      <c r="C141" s="692" t="str">
        <f>[95]Source!F1442</f>
        <v>3.20-23-2</v>
      </c>
      <c r="D141" s="692" t="s">
        <v>483</v>
      </c>
      <c r="E141" s="693" t="str">
        <f>[95]Source!H1442</f>
        <v>1  ШТ.</v>
      </c>
      <c r="F141" s="694">
        <f>[95]Source!I1442</f>
        <v>1</v>
      </c>
      <c r="G141" s="695"/>
      <c r="H141" s="696"/>
      <c r="I141" s="694"/>
      <c r="J141" s="697"/>
      <c r="K141" s="694"/>
      <c r="L141" s="697"/>
      <c r="Q141" s="718">
        <f>ROUND(([95]Source!DN1442/100)*ROUND((ROUND(([95]Source!AF1442*[95]Source!AV1442*[95]Source!I1442),2)),2), 2)</f>
        <v>27.84</v>
      </c>
      <c r="R141" s="718">
        <f>[95]Source!X1442</f>
        <v>539.6</v>
      </c>
      <c r="S141" s="718">
        <f>ROUND(([95]Source!DO1442/100)*ROUND((ROUND(([95]Source!AF1442*[95]Source!AV1442*[95]Source!I1442),2)),2), 2)</f>
        <v>20.93</v>
      </c>
      <c r="T141" s="718">
        <f>[95]Source!Y1442</f>
        <v>242.82</v>
      </c>
      <c r="U141" s="718">
        <f>ROUND((175/100)*ROUND((ROUND(([95]Source!AE1442*[95]Source!AV1442*[95]Source!I1442),2)),2), 2)</f>
        <v>1.0900000000000001</v>
      </c>
      <c r="V141" s="718">
        <f>ROUND((157/100)*ROUND(ROUND((ROUND(([95]Source!AE1442*[95]Source!AV1442*[95]Source!I1442),2)*[95]Source!BS1442),2), 2), 2)</f>
        <v>23.58</v>
      </c>
    </row>
    <row r="142" spans="1:27" ht="15" x14ac:dyDescent="0.25">
      <c r="A142" s="691"/>
      <c r="B142" s="691"/>
      <c r="C142" s="692"/>
      <c r="D142" s="692" t="s">
        <v>84</v>
      </c>
      <c r="E142" s="693"/>
      <c r="F142" s="694"/>
      <c r="G142" s="695">
        <f>[95]Source!AO1442</f>
        <v>12.5</v>
      </c>
      <c r="H142" s="696" t="str">
        <f>[95]Source!DG1442</f>
        <v>)*1,67</v>
      </c>
      <c r="I142" s="694">
        <f>[95]Source!AV1442</f>
        <v>1.0669999999999999</v>
      </c>
      <c r="J142" s="697">
        <f>ROUND((ROUND(([95]Source!AF1442*[95]Source!AV1442*[95]Source!I1442),2)),2)</f>
        <v>22.27</v>
      </c>
      <c r="K142" s="694">
        <f>IF([95]Source!BA1442&lt;&gt; 0, [95]Source!BA1442, 1)</f>
        <v>24.23</v>
      </c>
      <c r="L142" s="697">
        <f>[95]Source!S1442</f>
        <v>539.6</v>
      </c>
      <c r="W142" s="718">
        <f>J142</f>
        <v>22.27</v>
      </c>
    </row>
    <row r="143" spans="1:27" ht="15" x14ac:dyDescent="0.25">
      <c r="A143" s="691"/>
      <c r="B143" s="691"/>
      <c r="C143" s="692"/>
      <c r="D143" s="692" t="s">
        <v>85</v>
      </c>
      <c r="E143" s="693"/>
      <c r="F143" s="694"/>
      <c r="G143" s="695">
        <f>[95]Source!AM1442</f>
        <v>1.49</v>
      </c>
      <c r="H143" s="696" t="str">
        <f>[95]Source!DE1442</f>
        <v/>
      </c>
      <c r="I143" s="694">
        <f>[95]Source!AV1442</f>
        <v>1.0669999999999999</v>
      </c>
      <c r="J143" s="697">
        <f>(ROUND((ROUND((([95]Source!ET1442)*[95]Source!AV1442*[95]Source!I1442),2)),2)+ROUND((ROUND((([95]Source!AE1442-([95]Source!EU1442))*[95]Source!AV1442*[95]Source!I1442),2)),2))-J153</f>
        <v>1.59</v>
      </c>
      <c r="K143" s="694">
        <f>IF([95]Source!BB1442&lt;&gt; 0, [95]Source!BB1442, 1)</f>
        <v>9.9499999999999993</v>
      </c>
      <c r="L143" s="697">
        <f>[95]Source!Q1442-L153</f>
        <v>15.82</v>
      </c>
    </row>
    <row r="144" spans="1:27" ht="15" x14ac:dyDescent="0.25">
      <c r="A144" s="691"/>
      <c r="B144" s="691"/>
      <c r="C144" s="692"/>
      <c r="D144" s="692" t="s">
        <v>86</v>
      </c>
      <c r="E144" s="693"/>
      <c r="F144" s="694"/>
      <c r="G144" s="695">
        <f>[95]Source!AN1442</f>
        <v>0.35</v>
      </c>
      <c r="H144" s="696" t="str">
        <f>[95]Source!DE1442</f>
        <v/>
      </c>
      <c r="I144" s="694">
        <f>[95]Source!AV1442</f>
        <v>1.0669999999999999</v>
      </c>
      <c r="J144" s="700">
        <f>ROUND((ROUND(([95]Source!AE1442*[95]Source!AV1442*[95]Source!I1442),2)),2)-J154</f>
        <v>0.37</v>
      </c>
      <c r="K144" s="694">
        <f>IF([95]Source!BS1442&lt;&gt; 0, [95]Source!BS1442, 1)</f>
        <v>24.23</v>
      </c>
      <c r="L144" s="700">
        <f>[95]Source!R1442-L154</f>
        <v>8.9600000000000009</v>
      </c>
      <c r="W144" s="718">
        <f>J144</f>
        <v>0.37</v>
      </c>
    </row>
    <row r="145" spans="1:27" ht="15" x14ac:dyDescent="0.25">
      <c r="A145" s="691"/>
      <c r="B145" s="691"/>
      <c r="C145" s="692"/>
      <c r="D145" s="692" t="s">
        <v>87</v>
      </c>
      <c r="E145" s="693"/>
      <c r="F145" s="694"/>
      <c r="G145" s="695">
        <f>[95]Source!AL1442</f>
        <v>6.23</v>
      </c>
      <c r="H145" s="696" t="str">
        <f>[95]Source!DD1442</f>
        <v/>
      </c>
      <c r="I145" s="694">
        <f>[95]Source!AW1442</f>
        <v>1</v>
      </c>
      <c r="J145" s="697">
        <f>ROUND((ROUND(([95]Source!AC1442*[95]Source!AW1442*[95]Source!I1442),2)),2)</f>
        <v>6.23</v>
      </c>
      <c r="K145" s="694">
        <f>IF([95]Source!BC1442&lt;&gt; 0, [95]Source!BC1442, 1)</f>
        <v>5.58</v>
      </c>
      <c r="L145" s="697">
        <f>[95]Source!P1442</f>
        <v>34.76</v>
      </c>
    </row>
    <row r="146" spans="1:27" ht="100.15" customHeight="1" x14ac:dyDescent="0.25">
      <c r="A146" s="691">
        <v>19</v>
      </c>
      <c r="B146" s="691" t="str">
        <f>[95]Source!E1444</f>
        <v>176,1</v>
      </c>
      <c r="C146" s="692" t="str">
        <f>[95]Source!F1444</f>
        <v>1.19-11-56</v>
      </c>
      <c r="D146" s="692" t="s">
        <v>484</v>
      </c>
      <c r="E146" s="693" t="str">
        <f>[95]Source!H1444</f>
        <v>шт.</v>
      </c>
      <c r="F146" s="694">
        <f>[95]Source!I1444</f>
        <v>1</v>
      </c>
      <c r="G146" s="695">
        <f>[95]Source!AK1444</f>
        <v>670.95</v>
      </c>
      <c r="H146" s="734" t="s">
        <v>42</v>
      </c>
      <c r="I146" s="694">
        <f>[95]Source!AW1444</f>
        <v>1</v>
      </c>
      <c r="J146" s="697">
        <f>ROUND((ROUND(([95]Source!AC1444*[95]Source!AW1444*[95]Source!I1444),2)),2)+(ROUND((ROUND((([95]Source!ET1444)*[95]Source!AV1444*[95]Source!I1444),2)),2)+ROUND((ROUND((([95]Source!AE1444-([95]Source!EU1444))*[95]Source!AV1444*[95]Source!I1444),2)),2))+ROUND((ROUND(([95]Source!AF1444*[95]Source!AV1444*[95]Source!I1444),2)),2)</f>
        <v>670.95</v>
      </c>
      <c r="K146" s="694">
        <f>IF([95]Source!BC1444&lt;&gt; 0, [95]Source!BC1444, 1)</f>
        <v>2.35</v>
      </c>
      <c r="L146" s="697">
        <f>[95]Source!O1444</f>
        <v>1576.73</v>
      </c>
      <c r="Q146" s="718">
        <f>ROUND(([95]Source!DN1444/100)*ROUND((ROUND(([95]Source!AF1444*[95]Source!AV1444*[95]Source!I1444),2)),2), 2)</f>
        <v>0</v>
      </c>
      <c r="R146" s="718">
        <f>[95]Source!X1444</f>
        <v>0</v>
      </c>
      <c r="S146" s="718">
        <f>ROUND(([95]Source!DO1444/100)*ROUND((ROUND(([95]Source!AF1444*[95]Source!AV1444*[95]Source!I1444),2)),2), 2)</f>
        <v>0</v>
      </c>
      <c r="T146" s="718">
        <f>[95]Source!Y1444</f>
        <v>0</v>
      </c>
      <c r="U146" s="718">
        <f>ROUND((175/100)*ROUND((ROUND(([95]Source!AE1444*[95]Source!AV1444*[95]Source!I1444),2)),2), 2)</f>
        <v>0</v>
      </c>
      <c r="V146" s="718">
        <f>ROUND((157/100)*ROUND(ROUND((ROUND(([95]Source!AE1444*[95]Source!AV1444*[95]Source!I1444),2)*[95]Source!BS1444),2), 2), 2)</f>
        <v>0</v>
      </c>
      <c r="X146" s="718">
        <f>IF([95]Source!BI1444&lt;=1,J146, 0)</f>
        <v>670.95</v>
      </c>
      <c r="Y146" s="718">
        <f>IF([95]Source!BI1444=2,J146, 0)</f>
        <v>0</v>
      </c>
      <c r="Z146" s="718">
        <f>IF([95]Source!BI1444=3,J146, 0)</f>
        <v>0</v>
      </c>
      <c r="AA146" s="718">
        <f>IF([95]Source!BI1444=4,J146, 0)</f>
        <v>0</v>
      </c>
    </row>
    <row r="147" spans="1:27" ht="15" x14ac:dyDescent="0.25">
      <c r="A147" s="691"/>
      <c r="B147" s="691"/>
      <c r="C147" s="692"/>
      <c r="D147" s="692" t="s">
        <v>88</v>
      </c>
      <c r="E147" s="693" t="s">
        <v>89</v>
      </c>
      <c r="F147" s="694">
        <f>[95]Source!DN1442</f>
        <v>125</v>
      </c>
      <c r="G147" s="695"/>
      <c r="H147" s="696"/>
      <c r="I147" s="694"/>
      <c r="J147" s="697">
        <f>SUM(Q141:Q146)</f>
        <v>27.84</v>
      </c>
      <c r="K147" s="694">
        <f>[95]Source!BZ1442</f>
        <v>100</v>
      </c>
      <c r="L147" s="697">
        <f>SUM(R141:R146)</f>
        <v>539.6</v>
      </c>
    </row>
    <row r="148" spans="1:27" ht="15" x14ac:dyDescent="0.25">
      <c r="A148" s="691"/>
      <c r="B148" s="691"/>
      <c r="C148" s="692"/>
      <c r="D148" s="692" t="s">
        <v>90</v>
      </c>
      <c r="E148" s="693" t="s">
        <v>89</v>
      </c>
      <c r="F148" s="694">
        <f>[95]Source!DO1442</f>
        <v>94</v>
      </c>
      <c r="G148" s="695"/>
      <c r="H148" s="696"/>
      <c r="I148" s="694"/>
      <c r="J148" s="697">
        <f>SUM(S141:S147)</f>
        <v>20.93</v>
      </c>
      <c r="K148" s="694">
        <f>[95]Source!CA1442</f>
        <v>45</v>
      </c>
      <c r="L148" s="697">
        <f>SUM(T141:T147)</f>
        <v>242.82</v>
      </c>
    </row>
    <row r="149" spans="1:27" ht="15" x14ac:dyDescent="0.25">
      <c r="A149" s="691"/>
      <c r="B149" s="691"/>
      <c r="C149" s="692"/>
      <c r="D149" s="692" t="s">
        <v>91</v>
      </c>
      <c r="E149" s="693" t="s">
        <v>89</v>
      </c>
      <c r="F149" s="694">
        <f>175</f>
        <v>175</v>
      </c>
      <c r="G149" s="695"/>
      <c r="H149" s="696"/>
      <c r="I149" s="694"/>
      <c r="J149" s="697">
        <f>SUM(U141:U148)-J155</f>
        <v>0.65</v>
      </c>
      <c r="K149" s="694">
        <f>157</f>
        <v>157</v>
      </c>
      <c r="L149" s="697">
        <f>SUM(V141:V148)-L155</f>
        <v>14.07</v>
      </c>
    </row>
    <row r="150" spans="1:27" ht="15" x14ac:dyDescent="0.25">
      <c r="A150" s="691"/>
      <c r="B150" s="691"/>
      <c r="C150" s="692"/>
      <c r="D150" s="692" t="s">
        <v>92</v>
      </c>
      <c r="E150" s="693" t="s">
        <v>93</v>
      </c>
      <c r="F150" s="694">
        <f>[95]Source!AQ1442</f>
        <v>1.0900000000000001</v>
      </c>
      <c r="G150" s="695"/>
      <c r="H150" s="696" t="str">
        <f>[95]Source!DI1442</f>
        <v/>
      </c>
      <c r="I150" s="694">
        <f>[95]Source!AV1442</f>
        <v>1.0669999999999999</v>
      </c>
      <c r="J150" s="697">
        <f>[95]Source!U1442</f>
        <v>1.1599999999999999</v>
      </c>
      <c r="K150" s="694"/>
      <c r="L150" s="697"/>
    </row>
    <row r="151" spans="1:27" ht="14.25" x14ac:dyDescent="0.2">
      <c r="I151" s="1067">
        <f>J142+J143+J145+J147+J148+J149+SUM(J146:J146)</f>
        <v>750.46</v>
      </c>
      <c r="J151" s="1067"/>
      <c r="K151" s="1067">
        <f>L142+L143+L145+L147+L148+L149+SUM(L146:L146)</f>
        <v>2963.4</v>
      </c>
      <c r="L151" s="1067"/>
      <c r="O151" s="736">
        <f>J142+J143+J145+J147+J148+J149+SUM(J146:J146)</f>
        <v>750.46</v>
      </c>
      <c r="P151" s="736">
        <f>L142+L143+L145+L147+L148+L149+SUM(L146:L146)</f>
        <v>2963.4</v>
      </c>
      <c r="X151" s="718">
        <f>IF([95]Source!BI1442&lt;=1,J142+J143+J145+J147+J148+J149-0, 0)</f>
        <v>79.510000000000005</v>
      </c>
      <c r="Y151" s="718">
        <f>IF([95]Source!BI1442=2,J142+J143+J145+J147+J148+J149-0, 0)</f>
        <v>0</v>
      </c>
      <c r="Z151" s="718">
        <f>IF([95]Source!BI1442=3,J142+J143+J145+J147+J148+J149-0, 0)</f>
        <v>0</v>
      </c>
      <c r="AA151" s="718">
        <f>IF([95]Source!BI1442=4,J142+J143+J145+J147+J148+J149,0)</f>
        <v>0</v>
      </c>
    </row>
    <row r="152" spans="1:27" ht="30" x14ac:dyDescent="0.25">
      <c r="A152" s="701"/>
      <c r="B152" s="701"/>
      <c r="C152" s="702"/>
      <c r="D152" s="702" t="s">
        <v>94</v>
      </c>
      <c r="E152" s="693"/>
      <c r="F152" s="703"/>
      <c r="G152" s="704"/>
      <c r="H152" s="693"/>
      <c r="I152" s="703"/>
      <c r="J152" s="700"/>
      <c r="K152" s="703"/>
      <c r="L152" s="700"/>
    </row>
    <row r="153" spans="1:27" ht="15" x14ac:dyDescent="0.25">
      <c r="A153" s="701"/>
      <c r="B153" s="701"/>
      <c r="C153" s="702"/>
      <c r="D153" s="702" t="s">
        <v>85</v>
      </c>
      <c r="E153" s="693"/>
      <c r="F153" s="703"/>
      <c r="G153" s="704">
        <f t="shared" ref="G153:L153" si="5">G154</f>
        <v>0.35</v>
      </c>
      <c r="H153" s="705" t="str">
        <f t="shared" si="5"/>
        <v>)*(1.67-1)</v>
      </c>
      <c r="I153" s="703">
        <f t="shared" si="5"/>
        <v>1.0669999999999999</v>
      </c>
      <c r="J153" s="700">
        <f t="shared" si="5"/>
        <v>0.25</v>
      </c>
      <c r="K153" s="703">
        <f t="shared" si="5"/>
        <v>24.23</v>
      </c>
      <c r="L153" s="700">
        <f t="shared" si="5"/>
        <v>6.06</v>
      </c>
    </row>
    <row r="154" spans="1:27" ht="15" x14ac:dyDescent="0.25">
      <c r="A154" s="701"/>
      <c r="B154" s="701"/>
      <c r="C154" s="702"/>
      <c r="D154" s="702" t="s">
        <v>86</v>
      </c>
      <c r="E154" s="693"/>
      <c r="F154" s="703"/>
      <c r="G154" s="704">
        <f>[95]Source!AN1442</f>
        <v>0.35</v>
      </c>
      <c r="H154" s="705" t="s">
        <v>95</v>
      </c>
      <c r="I154" s="703">
        <f>[95]Source!AV1442</f>
        <v>1.0669999999999999</v>
      </c>
      <c r="J154" s="700">
        <f>ROUND(F141*G154*I154*(1.67-1), 2)</f>
        <v>0.25</v>
      </c>
      <c r="K154" s="703">
        <f>IF([95]Source!BS1442&lt;&gt; 0, [95]Source!BS1442, 1)</f>
        <v>24.23</v>
      </c>
      <c r="L154" s="700">
        <f>ROUND(F141*G154*I154*(1.67-1)*K154, 2)</f>
        <v>6.06</v>
      </c>
      <c r="W154" s="718">
        <f>J154</f>
        <v>0.25</v>
      </c>
    </row>
    <row r="155" spans="1:27" ht="15" x14ac:dyDescent="0.25">
      <c r="A155" s="701"/>
      <c r="B155" s="701"/>
      <c r="C155" s="702"/>
      <c r="D155" s="702" t="s">
        <v>91</v>
      </c>
      <c r="E155" s="693" t="s">
        <v>89</v>
      </c>
      <c r="F155" s="703">
        <f>175</f>
        <v>175</v>
      </c>
      <c r="G155" s="704"/>
      <c r="H155" s="693"/>
      <c r="I155" s="703"/>
      <c r="J155" s="700">
        <f>ROUND(J154*(F155/100), 2)</f>
        <v>0.44</v>
      </c>
      <c r="K155" s="703">
        <f>157</f>
        <v>157</v>
      </c>
      <c r="L155" s="700">
        <f>ROUND(L154*(K155/100), 2)</f>
        <v>9.51</v>
      </c>
    </row>
    <row r="156" spans="1:27" ht="14.25" x14ac:dyDescent="0.2">
      <c r="I156" s="1067">
        <f>J155+J154</f>
        <v>0.69</v>
      </c>
      <c r="J156" s="1067"/>
      <c r="K156" s="1067">
        <f>L155+L154</f>
        <v>15.57</v>
      </c>
      <c r="L156" s="1067"/>
      <c r="O156" s="736">
        <f>I156</f>
        <v>0.69</v>
      </c>
      <c r="P156" s="736">
        <f>K156</f>
        <v>15.57</v>
      </c>
      <c r="X156" s="718">
        <f>IF([95]Source!BI1442&lt;=1,I156, 0)</f>
        <v>0.69</v>
      </c>
      <c r="Y156" s="718">
        <f>IF([95]Source!BI1442=2,I156, 0)</f>
        <v>0</v>
      </c>
      <c r="Z156" s="718">
        <f>IF([95]Source!BI1442=3,I156, 0)</f>
        <v>0</v>
      </c>
      <c r="AA156" s="718">
        <f>IF([95]Source!BI1442=4,I156, 0)</f>
        <v>0</v>
      </c>
    </row>
    <row r="158" spans="1:27" ht="15" x14ac:dyDescent="0.25">
      <c r="A158" s="706"/>
      <c r="B158" s="706"/>
      <c r="C158" s="707"/>
      <c r="D158" s="707" t="s">
        <v>96</v>
      </c>
      <c r="E158" s="708"/>
      <c r="F158" s="709"/>
      <c r="G158" s="710"/>
      <c r="H158" s="711"/>
      <c r="I158" s="1067">
        <f>I151+I156</f>
        <v>751.15</v>
      </c>
      <c r="J158" s="1067"/>
      <c r="K158" s="1067">
        <f>K151+K156</f>
        <v>2978.97</v>
      </c>
      <c r="L158" s="1067"/>
    </row>
    <row r="160" spans="1:27" ht="14.25" x14ac:dyDescent="0.2">
      <c r="A160" s="1068" t="str">
        <f>CONCATENATE("Итого по подразделу: ",IF([95]Source!G1446&lt;&gt;"Новый подраздел", [95]Source!G1446, ""))</f>
        <v>Итого по подразделу: В2-23</v>
      </c>
      <c r="B160" s="1068"/>
      <c r="C160" s="1068"/>
      <c r="D160" s="1068"/>
      <c r="E160" s="1068"/>
      <c r="F160" s="1068"/>
      <c r="G160" s="1068"/>
      <c r="H160" s="1068"/>
      <c r="I160" s="1069">
        <f>SUM(O140:O159)</f>
        <v>751.15</v>
      </c>
      <c r="J160" s="1070"/>
      <c r="K160" s="1069">
        <f>SUM(P140:P159)</f>
        <v>2978.97</v>
      </c>
      <c r="L160" s="1070"/>
    </row>
    <row r="161" spans="1:27" hidden="1" x14ac:dyDescent="0.2">
      <c r="A161" s="718" t="s">
        <v>139</v>
      </c>
      <c r="I161" s="718">
        <f>SUM(AC140:AC160)</f>
        <v>0</v>
      </c>
      <c r="K161" s="718">
        <f>SUM(AD140:AD160)</f>
        <v>0</v>
      </c>
    </row>
    <row r="162" spans="1:27" hidden="1" x14ac:dyDescent="0.2">
      <c r="A162" s="718" t="s">
        <v>140</v>
      </c>
      <c r="I162" s="718">
        <f>SUM(AE140:AE161)</f>
        <v>0</v>
      </c>
      <c r="K162" s="718">
        <f>SUM(AF140:AF161)</f>
        <v>0</v>
      </c>
    </row>
    <row r="164" spans="1:27" ht="16.5" x14ac:dyDescent="0.25">
      <c r="A164" s="1066" t="str">
        <f>CONCATENATE("Подраздел: ",IF([95]Source!G1621&lt;&gt;"Новый подраздел", [95]Source!G1621, ""))</f>
        <v>Подраздел: В2-28</v>
      </c>
      <c r="B164" s="1066"/>
      <c r="C164" s="1066"/>
      <c r="D164" s="1066"/>
      <c r="E164" s="1066"/>
      <c r="F164" s="1066"/>
      <c r="G164" s="1066"/>
      <c r="H164" s="1066"/>
      <c r="I164" s="1066"/>
      <c r="J164" s="1066"/>
      <c r="K164" s="1066"/>
      <c r="L164" s="1066"/>
    </row>
    <row r="165" spans="1:27" ht="71.45" customHeight="1" x14ac:dyDescent="0.25">
      <c r="A165" s="691">
        <v>20</v>
      </c>
      <c r="B165" s="691" t="str">
        <f>[95]Source!E1640</f>
        <v>208</v>
      </c>
      <c r="C165" s="692" t="str">
        <f>[95]Source!F1640</f>
        <v>3.20-23-2</v>
      </c>
      <c r="D165" s="692" t="s">
        <v>483</v>
      </c>
      <c r="E165" s="693" t="str">
        <f>[95]Source!H1640</f>
        <v>1  ШТ.</v>
      </c>
      <c r="F165" s="694">
        <f>[95]Source!I1640</f>
        <v>1</v>
      </c>
      <c r="G165" s="695"/>
      <c r="H165" s="696"/>
      <c r="I165" s="694"/>
      <c r="J165" s="697"/>
      <c r="K165" s="694"/>
      <c r="L165" s="697"/>
      <c r="Q165" s="718">
        <f>ROUND(([95]Source!DN1640/100)*ROUND((ROUND(([95]Source!AF1640*[95]Source!AV1640*[95]Source!I1640),2)),2), 2)</f>
        <v>27.84</v>
      </c>
      <c r="R165" s="718">
        <f>[95]Source!X1640</f>
        <v>539.6</v>
      </c>
      <c r="S165" s="718">
        <f>ROUND(([95]Source!DO1640/100)*ROUND((ROUND(([95]Source!AF1640*[95]Source!AV1640*[95]Source!I1640),2)),2), 2)</f>
        <v>20.93</v>
      </c>
      <c r="T165" s="718">
        <f>[95]Source!Y1640</f>
        <v>242.82</v>
      </c>
      <c r="U165" s="718">
        <f>ROUND((175/100)*ROUND((ROUND(([95]Source!AE1640*[95]Source!AV1640*[95]Source!I1640),2)),2), 2)</f>
        <v>1.0900000000000001</v>
      </c>
      <c r="V165" s="718">
        <f>ROUND((157/100)*ROUND(ROUND((ROUND(([95]Source!AE1640*[95]Source!AV1640*[95]Source!I1640),2)*[95]Source!BS1640),2), 2), 2)</f>
        <v>23.58</v>
      </c>
    </row>
    <row r="166" spans="1:27" ht="15" x14ac:dyDescent="0.25">
      <c r="A166" s="691"/>
      <c r="B166" s="691"/>
      <c r="C166" s="692"/>
      <c r="D166" s="692" t="s">
        <v>84</v>
      </c>
      <c r="E166" s="693"/>
      <c r="F166" s="694"/>
      <c r="G166" s="695">
        <f>[95]Source!AO1640</f>
        <v>12.5</v>
      </c>
      <c r="H166" s="696" t="str">
        <f>[95]Source!DG1640</f>
        <v>)*1,67</v>
      </c>
      <c r="I166" s="694">
        <f>[95]Source!AV1640</f>
        <v>1.0669999999999999</v>
      </c>
      <c r="J166" s="697">
        <f>ROUND((ROUND(([95]Source!AF1640*[95]Source!AV1640*[95]Source!I1640),2)),2)</f>
        <v>22.27</v>
      </c>
      <c r="K166" s="694">
        <f>IF([95]Source!BA1640&lt;&gt; 0, [95]Source!BA1640, 1)</f>
        <v>24.23</v>
      </c>
      <c r="L166" s="697">
        <f>[95]Source!S1640</f>
        <v>539.6</v>
      </c>
      <c r="W166" s="718">
        <f>J166</f>
        <v>22.27</v>
      </c>
    </row>
    <row r="167" spans="1:27" ht="15" x14ac:dyDescent="0.25">
      <c r="A167" s="691"/>
      <c r="B167" s="691"/>
      <c r="C167" s="692"/>
      <c r="D167" s="692" t="s">
        <v>85</v>
      </c>
      <c r="E167" s="693"/>
      <c r="F167" s="694"/>
      <c r="G167" s="695">
        <f>[95]Source!AM1640</f>
        <v>1.49</v>
      </c>
      <c r="H167" s="696" t="str">
        <f>[95]Source!DE1640</f>
        <v/>
      </c>
      <c r="I167" s="694">
        <f>[95]Source!AV1640</f>
        <v>1.0669999999999999</v>
      </c>
      <c r="J167" s="697">
        <f>(ROUND((ROUND((([95]Source!ET1640)*[95]Source!AV1640*[95]Source!I1640),2)),2)+ROUND((ROUND((([95]Source!AE1640-([95]Source!EU1640))*[95]Source!AV1640*[95]Source!I1640),2)),2))-J177</f>
        <v>1.59</v>
      </c>
      <c r="K167" s="694">
        <f>IF([95]Source!BB1640&lt;&gt; 0, [95]Source!BB1640, 1)</f>
        <v>9.9499999999999993</v>
      </c>
      <c r="L167" s="697">
        <f>[95]Source!Q1640-L177</f>
        <v>15.82</v>
      </c>
    </row>
    <row r="168" spans="1:27" ht="15" x14ac:dyDescent="0.25">
      <c r="A168" s="691"/>
      <c r="B168" s="691"/>
      <c r="C168" s="692"/>
      <c r="D168" s="692" t="s">
        <v>86</v>
      </c>
      <c r="E168" s="693"/>
      <c r="F168" s="694"/>
      <c r="G168" s="695">
        <f>[95]Source!AN1640</f>
        <v>0.35</v>
      </c>
      <c r="H168" s="696" t="str">
        <f>[95]Source!DE1640</f>
        <v/>
      </c>
      <c r="I168" s="694">
        <f>[95]Source!AV1640</f>
        <v>1.0669999999999999</v>
      </c>
      <c r="J168" s="700">
        <f>ROUND((ROUND(([95]Source!AE1640*[95]Source!AV1640*[95]Source!I1640),2)),2)-J178</f>
        <v>0.37</v>
      </c>
      <c r="K168" s="694">
        <f>IF([95]Source!BS1640&lt;&gt; 0, [95]Source!BS1640, 1)</f>
        <v>24.23</v>
      </c>
      <c r="L168" s="700">
        <f>[95]Source!R1640-L178</f>
        <v>8.9600000000000009</v>
      </c>
      <c r="W168" s="718">
        <f>J168</f>
        <v>0.37</v>
      </c>
    </row>
    <row r="169" spans="1:27" ht="15" x14ac:dyDescent="0.25">
      <c r="A169" s="691"/>
      <c r="B169" s="691"/>
      <c r="C169" s="692"/>
      <c r="D169" s="692" t="s">
        <v>87</v>
      </c>
      <c r="E169" s="693"/>
      <c r="F169" s="694"/>
      <c r="G169" s="695">
        <f>[95]Source!AL1640</f>
        <v>6.23</v>
      </c>
      <c r="H169" s="696" t="str">
        <f>[95]Source!DD1640</f>
        <v/>
      </c>
      <c r="I169" s="694">
        <f>[95]Source!AW1640</f>
        <v>1</v>
      </c>
      <c r="J169" s="697">
        <f>ROUND((ROUND(([95]Source!AC1640*[95]Source!AW1640*[95]Source!I1640),2)),2)</f>
        <v>6.23</v>
      </c>
      <c r="K169" s="694">
        <f>IF([95]Source!BC1640&lt;&gt; 0, [95]Source!BC1640, 1)</f>
        <v>5.58</v>
      </c>
      <c r="L169" s="697">
        <f>[95]Source!P1640</f>
        <v>34.76</v>
      </c>
    </row>
    <row r="170" spans="1:27" ht="96.6" customHeight="1" x14ac:dyDescent="0.25">
      <c r="A170" s="691">
        <v>21</v>
      </c>
      <c r="B170" s="691" t="str">
        <f>[95]Source!E1642</f>
        <v>208,1</v>
      </c>
      <c r="C170" s="692" t="str">
        <f>[95]Source!F1642</f>
        <v>1.19-11-54</v>
      </c>
      <c r="D170" s="692" t="s">
        <v>485</v>
      </c>
      <c r="E170" s="693" t="str">
        <f>[95]Source!H1642</f>
        <v>шт.</v>
      </c>
      <c r="F170" s="694">
        <f>[95]Source!I1642</f>
        <v>1</v>
      </c>
      <c r="G170" s="695">
        <f>[95]Source!AK1642</f>
        <v>558.9</v>
      </c>
      <c r="H170" s="734" t="s">
        <v>42</v>
      </c>
      <c r="I170" s="694">
        <f>[95]Source!AW1642</f>
        <v>1</v>
      </c>
      <c r="J170" s="697">
        <f>ROUND((ROUND(([95]Source!AC1642*[95]Source!AW1642*[95]Source!I1642),2)),2)+(ROUND((ROUND((([95]Source!ET1642)*[95]Source!AV1642*[95]Source!I1642),2)),2)+ROUND((ROUND((([95]Source!AE1642-([95]Source!EU1642))*[95]Source!AV1642*[95]Source!I1642),2)),2))+ROUND((ROUND(([95]Source!AF1642*[95]Source!AV1642*[95]Source!I1642),2)),2)</f>
        <v>558.9</v>
      </c>
      <c r="K170" s="694">
        <f>IF([95]Source!BC1642&lt;&gt; 0, [95]Source!BC1642, 1)</f>
        <v>2.52</v>
      </c>
      <c r="L170" s="697">
        <f>[95]Source!O1642</f>
        <v>1408.43</v>
      </c>
      <c r="Q170" s="718">
        <f>ROUND(([95]Source!DN1642/100)*ROUND((ROUND(([95]Source!AF1642*[95]Source!AV1642*[95]Source!I1642),2)),2), 2)</f>
        <v>0</v>
      </c>
      <c r="R170" s="718">
        <f>[95]Source!X1642</f>
        <v>0</v>
      </c>
      <c r="S170" s="718">
        <f>ROUND(([95]Source!DO1642/100)*ROUND((ROUND(([95]Source!AF1642*[95]Source!AV1642*[95]Source!I1642),2)),2), 2)</f>
        <v>0</v>
      </c>
      <c r="T170" s="718">
        <f>[95]Source!Y1642</f>
        <v>0</v>
      </c>
      <c r="U170" s="718">
        <f>ROUND((175/100)*ROUND((ROUND(([95]Source!AE1642*[95]Source!AV1642*[95]Source!I1642),2)),2), 2)</f>
        <v>0</v>
      </c>
      <c r="V170" s="718">
        <f>ROUND((157/100)*ROUND(ROUND((ROUND(([95]Source!AE1642*[95]Source!AV1642*[95]Source!I1642),2)*[95]Source!BS1642),2), 2), 2)</f>
        <v>0</v>
      </c>
      <c r="X170" s="718">
        <f>IF([95]Source!BI1642&lt;=1,J170, 0)</f>
        <v>558.9</v>
      </c>
      <c r="Y170" s="718">
        <f>IF([95]Source!BI1642=2,J170, 0)</f>
        <v>0</v>
      </c>
      <c r="Z170" s="718">
        <f>IF([95]Source!BI1642=3,J170, 0)</f>
        <v>0</v>
      </c>
      <c r="AA170" s="718">
        <f>IF([95]Source!BI1642=4,J170, 0)</f>
        <v>0</v>
      </c>
    </row>
    <row r="171" spans="1:27" ht="15" x14ac:dyDescent="0.25">
      <c r="A171" s="691"/>
      <c r="B171" s="691"/>
      <c r="C171" s="692"/>
      <c r="D171" s="692" t="s">
        <v>88</v>
      </c>
      <c r="E171" s="693" t="s">
        <v>89</v>
      </c>
      <c r="F171" s="694">
        <f>[95]Source!DN1640</f>
        <v>125</v>
      </c>
      <c r="G171" s="695"/>
      <c r="H171" s="696"/>
      <c r="I171" s="694"/>
      <c r="J171" s="697">
        <f>SUM(Q165:Q170)</f>
        <v>27.84</v>
      </c>
      <c r="K171" s="694">
        <f>[95]Source!BZ1640</f>
        <v>100</v>
      </c>
      <c r="L171" s="697">
        <f>SUM(R165:R170)</f>
        <v>539.6</v>
      </c>
    </row>
    <row r="172" spans="1:27" ht="15" x14ac:dyDescent="0.25">
      <c r="A172" s="691"/>
      <c r="B172" s="691"/>
      <c r="C172" s="692"/>
      <c r="D172" s="692" t="s">
        <v>90</v>
      </c>
      <c r="E172" s="693" t="s">
        <v>89</v>
      </c>
      <c r="F172" s="694">
        <f>[95]Source!DO1640</f>
        <v>94</v>
      </c>
      <c r="G172" s="695"/>
      <c r="H172" s="696"/>
      <c r="I172" s="694"/>
      <c r="J172" s="697">
        <f>SUM(S165:S171)</f>
        <v>20.93</v>
      </c>
      <c r="K172" s="694">
        <f>[95]Source!CA1640</f>
        <v>45</v>
      </c>
      <c r="L172" s="697">
        <f>SUM(T165:T171)</f>
        <v>242.82</v>
      </c>
    </row>
    <row r="173" spans="1:27" ht="15" x14ac:dyDescent="0.25">
      <c r="A173" s="691"/>
      <c r="B173" s="691"/>
      <c r="C173" s="692"/>
      <c r="D173" s="692" t="s">
        <v>91</v>
      </c>
      <c r="E173" s="693" t="s">
        <v>89</v>
      </c>
      <c r="F173" s="694">
        <f>175</f>
        <v>175</v>
      </c>
      <c r="G173" s="695"/>
      <c r="H173" s="696"/>
      <c r="I173" s="694"/>
      <c r="J173" s="697">
        <f>SUM(U165:U172)-J179</f>
        <v>0.65</v>
      </c>
      <c r="K173" s="694">
        <f>157</f>
        <v>157</v>
      </c>
      <c r="L173" s="697">
        <f>SUM(V165:V172)-L179</f>
        <v>14.07</v>
      </c>
    </row>
    <row r="174" spans="1:27" ht="15" x14ac:dyDescent="0.25">
      <c r="A174" s="691"/>
      <c r="B174" s="691"/>
      <c r="C174" s="692"/>
      <c r="D174" s="692" t="s">
        <v>92</v>
      </c>
      <c r="E174" s="693" t="s">
        <v>93</v>
      </c>
      <c r="F174" s="694">
        <f>[95]Source!AQ1640</f>
        <v>1.0900000000000001</v>
      </c>
      <c r="G174" s="695"/>
      <c r="H174" s="696" t="str">
        <f>[95]Source!DI1640</f>
        <v/>
      </c>
      <c r="I174" s="694">
        <f>[95]Source!AV1640</f>
        <v>1.0669999999999999</v>
      </c>
      <c r="J174" s="697">
        <f>[95]Source!U1640</f>
        <v>1.1599999999999999</v>
      </c>
      <c r="K174" s="694"/>
      <c r="L174" s="697"/>
    </row>
    <row r="175" spans="1:27" ht="14.25" x14ac:dyDescent="0.2">
      <c r="I175" s="1067">
        <f>J166+J167+J169+J171+J172+J173+SUM(J170:J170)</f>
        <v>638.41</v>
      </c>
      <c r="J175" s="1067"/>
      <c r="K175" s="1067">
        <f>L166+L167+L169+L171+L172+L173+SUM(L170:L170)</f>
        <v>2795.1</v>
      </c>
      <c r="L175" s="1067"/>
      <c r="O175" s="736">
        <f>J166+J167+J169+J171+J172+J173+SUM(J170:J170)</f>
        <v>638.41</v>
      </c>
      <c r="P175" s="736">
        <f>L166+L167+L169+L171+L172+L173+SUM(L170:L170)</f>
        <v>2795.1</v>
      </c>
      <c r="X175" s="718">
        <f>IF([95]Source!BI1640&lt;=1,J166+J167+J169+J171+J172+J173-0, 0)</f>
        <v>79.510000000000005</v>
      </c>
      <c r="Y175" s="718">
        <f>IF([95]Source!BI1640=2,J166+J167+J169+J171+J172+J173-0, 0)</f>
        <v>0</v>
      </c>
      <c r="Z175" s="718">
        <f>IF([95]Source!BI1640=3,J166+J167+J169+J171+J172+J173-0, 0)</f>
        <v>0</v>
      </c>
      <c r="AA175" s="718">
        <f>IF([95]Source!BI1640=4,J166+J167+J169+J171+J172+J173,0)</f>
        <v>0</v>
      </c>
    </row>
    <row r="176" spans="1:27" ht="30" x14ac:dyDescent="0.25">
      <c r="A176" s="701"/>
      <c r="B176" s="701"/>
      <c r="C176" s="702"/>
      <c r="D176" s="702" t="s">
        <v>94</v>
      </c>
      <c r="E176" s="693"/>
      <c r="F176" s="703"/>
      <c r="G176" s="704"/>
      <c r="H176" s="693"/>
      <c r="I176" s="703"/>
      <c r="J176" s="700"/>
      <c r="K176" s="703"/>
      <c r="L176" s="700"/>
    </row>
    <row r="177" spans="1:27" ht="15" x14ac:dyDescent="0.25">
      <c r="A177" s="701"/>
      <c r="B177" s="701"/>
      <c r="C177" s="702"/>
      <c r="D177" s="702" t="s">
        <v>85</v>
      </c>
      <c r="E177" s="693"/>
      <c r="F177" s="703"/>
      <c r="G177" s="704">
        <f t="shared" ref="G177:L177" si="6">G178</f>
        <v>0.35</v>
      </c>
      <c r="H177" s="705" t="str">
        <f t="shared" si="6"/>
        <v>)*(1.67-1)</v>
      </c>
      <c r="I177" s="703">
        <f t="shared" si="6"/>
        <v>1.0669999999999999</v>
      </c>
      <c r="J177" s="700">
        <f t="shared" si="6"/>
        <v>0.25</v>
      </c>
      <c r="K177" s="703">
        <f t="shared" si="6"/>
        <v>24.23</v>
      </c>
      <c r="L177" s="700">
        <f t="shared" si="6"/>
        <v>6.06</v>
      </c>
    </row>
    <row r="178" spans="1:27" ht="15" x14ac:dyDescent="0.25">
      <c r="A178" s="701"/>
      <c r="B178" s="701"/>
      <c r="C178" s="702"/>
      <c r="D178" s="702" t="s">
        <v>86</v>
      </c>
      <c r="E178" s="693"/>
      <c r="F178" s="703"/>
      <c r="G178" s="704">
        <f>[95]Source!AN1640</f>
        <v>0.35</v>
      </c>
      <c r="H178" s="705" t="s">
        <v>95</v>
      </c>
      <c r="I178" s="703">
        <f>[95]Source!AV1640</f>
        <v>1.0669999999999999</v>
      </c>
      <c r="J178" s="700">
        <f>ROUND(F165*G178*I178*(1.67-1), 2)</f>
        <v>0.25</v>
      </c>
      <c r="K178" s="703">
        <f>IF([95]Source!BS1640&lt;&gt; 0, [95]Source!BS1640, 1)</f>
        <v>24.23</v>
      </c>
      <c r="L178" s="700">
        <f>ROUND(F165*G178*I178*(1.67-1)*K178, 2)</f>
        <v>6.06</v>
      </c>
      <c r="W178" s="718">
        <f>J178</f>
        <v>0.25</v>
      </c>
    </row>
    <row r="179" spans="1:27" ht="15" x14ac:dyDescent="0.25">
      <c r="A179" s="701"/>
      <c r="B179" s="701"/>
      <c r="C179" s="702"/>
      <c r="D179" s="702" t="s">
        <v>91</v>
      </c>
      <c r="E179" s="693" t="s">
        <v>89</v>
      </c>
      <c r="F179" s="703">
        <f>175</f>
        <v>175</v>
      </c>
      <c r="G179" s="704"/>
      <c r="H179" s="693"/>
      <c r="I179" s="703"/>
      <c r="J179" s="700">
        <f>ROUND(J178*(F179/100), 2)</f>
        <v>0.44</v>
      </c>
      <c r="K179" s="703">
        <f>157</f>
        <v>157</v>
      </c>
      <c r="L179" s="700">
        <f>ROUND(L178*(K179/100), 2)</f>
        <v>9.51</v>
      </c>
    </row>
    <row r="180" spans="1:27" ht="14.25" x14ac:dyDescent="0.2">
      <c r="I180" s="1067">
        <f>J179+J178</f>
        <v>0.69</v>
      </c>
      <c r="J180" s="1067"/>
      <c r="K180" s="1067">
        <f>L179+L178</f>
        <v>15.57</v>
      </c>
      <c r="L180" s="1067"/>
      <c r="O180" s="736">
        <f>I180</f>
        <v>0.69</v>
      </c>
      <c r="P180" s="736">
        <f>K180</f>
        <v>15.57</v>
      </c>
      <c r="X180" s="718">
        <f>IF([95]Source!BI1640&lt;=1,I180, 0)</f>
        <v>0.69</v>
      </c>
      <c r="Y180" s="718">
        <f>IF([95]Source!BI1640=2,I180, 0)</f>
        <v>0</v>
      </c>
      <c r="Z180" s="718">
        <f>IF([95]Source!BI1640=3,I180, 0)</f>
        <v>0</v>
      </c>
      <c r="AA180" s="718">
        <f>IF([95]Source!BI1640=4,I180, 0)</f>
        <v>0</v>
      </c>
    </row>
    <row r="182" spans="1:27" ht="15" x14ac:dyDescent="0.25">
      <c r="A182" s="706"/>
      <c r="B182" s="706"/>
      <c r="C182" s="707"/>
      <c r="D182" s="707" t="s">
        <v>96</v>
      </c>
      <c r="E182" s="708"/>
      <c r="F182" s="709"/>
      <c r="G182" s="710"/>
      <c r="H182" s="711"/>
      <c r="I182" s="1067">
        <f>I175+I180</f>
        <v>639.1</v>
      </c>
      <c r="J182" s="1067"/>
      <c r="K182" s="1067">
        <f>K175+K180</f>
        <v>2810.67</v>
      </c>
      <c r="L182" s="1067"/>
    </row>
    <row r="184" spans="1:27" ht="14.25" x14ac:dyDescent="0.2">
      <c r="A184" s="1068" t="str">
        <f>CONCATENATE("Итого по подразделу: ",IF([95]Source!G1644&lt;&gt;"Новый подраздел", [95]Source!G1644, ""))</f>
        <v>Итого по подразделу: В2-28</v>
      </c>
      <c r="B184" s="1068"/>
      <c r="C184" s="1068"/>
      <c r="D184" s="1068"/>
      <c r="E184" s="1068"/>
      <c r="F184" s="1068"/>
      <c r="G184" s="1068"/>
      <c r="H184" s="1068"/>
      <c r="I184" s="1069">
        <f>SUM(O164:O183)</f>
        <v>639.1</v>
      </c>
      <c r="J184" s="1070"/>
      <c r="K184" s="1069">
        <f>SUM(P164:P183)</f>
        <v>2810.67</v>
      </c>
      <c r="L184" s="1070"/>
    </row>
    <row r="185" spans="1:27" hidden="1" x14ac:dyDescent="0.2">
      <c r="A185" s="718" t="s">
        <v>139</v>
      </c>
      <c r="I185" s="718">
        <f>SUM(AC164:AC184)</f>
        <v>0</v>
      </c>
      <c r="K185" s="718">
        <f>SUM(AD164:AD184)</f>
        <v>0</v>
      </c>
    </row>
    <row r="186" spans="1:27" hidden="1" x14ac:dyDescent="0.2">
      <c r="A186" s="718" t="s">
        <v>140</v>
      </c>
      <c r="I186" s="718">
        <f>SUM(AE164:AE185)</f>
        <v>0</v>
      </c>
      <c r="K186" s="718">
        <f>SUM(AF164:AF185)</f>
        <v>0</v>
      </c>
    </row>
    <row r="188" spans="1:27" ht="16.5" x14ac:dyDescent="0.25">
      <c r="A188" s="1066" t="str">
        <f>CONCATENATE("Подраздел: ",IF([95]Source!G2454&lt;&gt;"Новый подраздел", [95]Source!G2454, ""))</f>
        <v>Подраздел: Дополнительные материалы и оборудование</v>
      </c>
      <c r="B188" s="1066"/>
      <c r="C188" s="1066"/>
      <c r="D188" s="1066"/>
      <c r="E188" s="1066"/>
      <c r="F188" s="1066"/>
      <c r="G188" s="1066"/>
      <c r="H188" s="1066"/>
      <c r="I188" s="1066"/>
      <c r="J188" s="1066"/>
      <c r="K188" s="1066"/>
      <c r="L188" s="1066"/>
    </row>
    <row r="189" spans="1:27" ht="37.15" customHeight="1" x14ac:dyDescent="0.25">
      <c r="A189" s="691">
        <v>22</v>
      </c>
      <c r="B189" s="691" t="str">
        <f>[95]Source!E2499</f>
        <v>334</v>
      </c>
      <c r="C189" s="692" t="str">
        <f>[95]Source!F2499</f>
        <v>4.21-39-2</v>
      </c>
      <c r="D189" s="692" t="s">
        <v>486</v>
      </c>
      <c r="E189" s="693" t="str">
        <f>[95]Source!H2499</f>
        <v>1 клапан</v>
      </c>
      <c r="F189" s="694">
        <f>[95]Source!I2499</f>
        <v>1</v>
      </c>
      <c r="G189" s="695"/>
      <c r="H189" s="696"/>
      <c r="I189" s="694"/>
      <c r="J189" s="697"/>
      <c r="K189" s="694"/>
      <c r="L189" s="697"/>
      <c r="Q189" s="718">
        <f>ROUND(([95]Source!DN2499/100)*ROUND((ROUND(([95]Source!AF2499*[95]Source!AV2499*[95]Source!I2499),2)),2), 2)</f>
        <v>55.15</v>
      </c>
      <c r="R189" s="718">
        <f>[95]Source!X2499</f>
        <v>1150.22</v>
      </c>
      <c r="S189" s="718">
        <f>ROUND(([95]Source!DO2499/100)*ROUND((ROUND(([95]Source!AF2499*[95]Source!AV2499*[95]Source!I2499),2)),2), 2)</f>
        <v>48.87</v>
      </c>
      <c r="T189" s="718">
        <f>[95]Source!Y2499</f>
        <v>727.35</v>
      </c>
      <c r="U189" s="718">
        <f>ROUND((175/100)*ROUND((ROUND(([95]Source!AE2499*[95]Source!AV2499*[95]Source!I2499),2)),2), 2)</f>
        <v>0.09</v>
      </c>
      <c r="V189" s="718">
        <f>ROUND((157/100)*ROUND(ROUND((ROUND(([95]Source!AE2499*[95]Source!AV2499*[95]Source!I2499),2)*[95]Source!BS2499),2), 2), 2)</f>
        <v>1.9</v>
      </c>
    </row>
    <row r="190" spans="1:27" ht="15" x14ac:dyDescent="0.25">
      <c r="A190" s="691"/>
      <c r="B190" s="691"/>
      <c r="C190" s="692"/>
      <c r="D190" s="692" t="s">
        <v>84</v>
      </c>
      <c r="E190" s="693"/>
      <c r="F190" s="694"/>
      <c r="G190" s="695">
        <f>[95]Source!AO2499</f>
        <v>39.18</v>
      </c>
      <c r="H190" s="696" t="str">
        <f>[95]Source!DG2499</f>
        <v>)*1,67</v>
      </c>
      <c r="I190" s="694">
        <f>[95]Source!AV2499</f>
        <v>1.0669999999999999</v>
      </c>
      <c r="J190" s="697">
        <f>ROUND((ROUND(([95]Source!AF2499*[95]Source!AV2499*[95]Source!I2499),2)),2)</f>
        <v>69.81</v>
      </c>
      <c r="K190" s="694">
        <f>IF([95]Source!BA2499&lt;&gt; 0, [95]Source!BA2499, 1)</f>
        <v>24.23</v>
      </c>
      <c r="L190" s="697">
        <f>[95]Source!S2499</f>
        <v>1691.5</v>
      </c>
      <c r="W190" s="718">
        <f>J190</f>
        <v>69.81</v>
      </c>
    </row>
    <row r="191" spans="1:27" ht="15" x14ac:dyDescent="0.25">
      <c r="A191" s="691"/>
      <c r="B191" s="691"/>
      <c r="C191" s="692"/>
      <c r="D191" s="692" t="s">
        <v>85</v>
      </c>
      <c r="E191" s="693"/>
      <c r="F191" s="694"/>
      <c r="G191" s="695">
        <f>[95]Source!AM2499</f>
        <v>0.73</v>
      </c>
      <c r="H191" s="696" t="str">
        <f>[95]Source!DE2499</f>
        <v/>
      </c>
      <c r="I191" s="694">
        <f>[95]Source!AV2499</f>
        <v>1.0669999999999999</v>
      </c>
      <c r="J191" s="697">
        <f>(ROUND((ROUND((([95]Source!ET2499)*[95]Source!AV2499*[95]Source!I2499),2)),2)+ROUND((ROUND((([95]Source!AE2499-([95]Source!EU2499))*[95]Source!AV2499*[95]Source!I2499),2)),2))-J200</f>
        <v>0.78</v>
      </c>
      <c r="K191" s="694">
        <f>IF([95]Source!BB2499&lt;&gt; 0, [95]Source!BB2499, 1)</f>
        <v>6.33</v>
      </c>
      <c r="L191" s="697">
        <f>[95]Source!Q2499-L200</f>
        <v>4.9000000000000004</v>
      </c>
    </row>
    <row r="192" spans="1:27" ht="15" x14ac:dyDescent="0.25">
      <c r="A192" s="691"/>
      <c r="B192" s="691"/>
      <c r="C192" s="692"/>
      <c r="D192" s="692" t="s">
        <v>86</v>
      </c>
      <c r="E192" s="693"/>
      <c r="F192" s="694"/>
      <c r="G192" s="695">
        <f>[95]Source!AN2499</f>
        <v>0.03</v>
      </c>
      <c r="H192" s="696" t="str">
        <f>[95]Source!DE2499</f>
        <v/>
      </c>
      <c r="I192" s="694">
        <f>[95]Source!AV2499</f>
        <v>1.0669999999999999</v>
      </c>
      <c r="J192" s="700">
        <f>ROUND((ROUND(([95]Source!AE2499*[95]Source!AV2499*[95]Source!I2499),2)),2)-J201</f>
        <v>0.03</v>
      </c>
      <c r="K192" s="694">
        <f>IF([95]Source!BS2499&lt;&gt; 0, [95]Source!BS2499, 1)</f>
        <v>24.23</v>
      </c>
      <c r="L192" s="700">
        <f>[95]Source!R2499-L201</f>
        <v>0.69</v>
      </c>
      <c r="W192" s="718">
        <f>J192</f>
        <v>0.03</v>
      </c>
    </row>
    <row r="193" spans="1:27" ht="15" x14ac:dyDescent="0.25">
      <c r="A193" s="691"/>
      <c r="B193" s="691"/>
      <c r="C193" s="692"/>
      <c r="D193" s="692" t="s">
        <v>87</v>
      </c>
      <c r="E193" s="693"/>
      <c r="F193" s="694"/>
      <c r="G193" s="695">
        <f>[95]Source!AL2499</f>
        <v>5.44</v>
      </c>
      <c r="H193" s="696" t="str">
        <f>[95]Source!DD2499</f>
        <v/>
      </c>
      <c r="I193" s="694">
        <f>[95]Source!AW2499</f>
        <v>1.028</v>
      </c>
      <c r="J193" s="697">
        <f>ROUND((ROUND(([95]Source!AC2499*[95]Source!AW2499*[95]Source!I2499),2)),2)</f>
        <v>5.59</v>
      </c>
      <c r="K193" s="694">
        <f>IF([95]Source!BC2499&lt;&gt; 0, [95]Source!BC2499, 1)</f>
        <v>5.58</v>
      </c>
      <c r="L193" s="697">
        <f>[95]Source!P2499</f>
        <v>31.19</v>
      </c>
    </row>
    <row r="194" spans="1:27" ht="15" x14ac:dyDescent="0.25">
      <c r="A194" s="691"/>
      <c r="B194" s="691"/>
      <c r="C194" s="692"/>
      <c r="D194" s="692" t="s">
        <v>88</v>
      </c>
      <c r="E194" s="693" t="s">
        <v>89</v>
      </c>
      <c r="F194" s="694">
        <f>[95]Source!DN2499</f>
        <v>79</v>
      </c>
      <c r="G194" s="695"/>
      <c r="H194" s="696"/>
      <c r="I194" s="694"/>
      <c r="J194" s="697">
        <f>SUM(Q189:Q193)</f>
        <v>55.15</v>
      </c>
      <c r="K194" s="694">
        <f>[95]Source!BZ2499</f>
        <v>68</v>
      </c>
      <c r="L194" s="697">
        <f>SUM(R189:R193)</f>
        <v>1150.22</v>
      </c>
    </row>
    <row r="195" spans="1:27" ht="15" x14ac:dyDescent="0.25">
      <c r="A195" s="691"/>
      <c r="B195" s="691"/>
      <c r="C195" s="692"/>
      <c r="D195" s="692" t="s">
        <v>90</v>
      </c>
      <c r="E195" s="693" t="s">
        <v>89</v>
      </c>
      <c r="F195" s="694">
        <f>[95]Source!DO2499</f>
        <v>70</v>
      </c>
      <c r="G195" s="695"/>
      <c r="H195" s="696"/>
      <c r="I195" s="694"/>
      <c r="J195" s="697">
        <f>SUM(S189:S194)</f>
        <v>48.87</v>
      </c>
      <c r="K195" s="694">
        <f>[95]Source!CA2499</f>
        <v>43</v>
      </c>
      <c r="L195" s="697">
        <f>SUM(T189:T194)</f>
        <v>727.35</v>
      </c>
    </row>
    <row r="196" spans="1:27" ht="15" x14ac:dyDescent="0.25">
      <c r="A196" s="691"/>
      <c r="B196" s="691"/>
      <c r="C196" s="692"/>
      <c r="D196" s="692" t="s">
        <v>91</v>
      </c>
      <c r="E196" s="693" t="s">
        <v>89</v>
      </c>
      <c r="F196" s="694">
        <f>175</f>
        <v>175</v>
      </c>
      <c r="G196" s="695"/>
      <c r="H196" s="696"/>
      <c r="I196" s="694"/>
      <c r="J196" s="697">
        <f>SUM(U189:U195)-J202</f>
        <v>0.05</v>
      </c>
      <c r="K196" s="694">
        <f>157</f>
        <v>157</v>
      </c>
      <c r="L196" s="697">
        <f>SUM(V189:V195)-L202</f>
        <v>1.08</v>
      </c>
    </row>
    <row r="197" spans="1:27" ht="15" x14ac:dyDescent="0.25">
      <c r="A197" s="691"/>
      <c r="B197" s="691"/>
      <c r="C197" s="692"/>
      <c r="D197" s="692" t="s">
        <v>92</v>
      </c>
      <c r="E197" s="693" t="s">
        <v>93</v>
      </c>
      <c r="F197" s="694">
        <f>[95]Source!AQ2499</f>
        <v>3.37</v>
      </c>
      <c r="G197" s="695"/>
      <c r="H197" s="696" t="str">
        <f>[95]Source!DI2499</f>
        <v/>
      </c>
      <c r="I197" s="694">
        <f>[95]Source!AV2499</f>
        <v>1.0669999999999999</v>
      </c>
      <c r="J197" s="697">
        <f>[95]Source!U2499</f>
        <v>3.6</v>
      </c>
      <c r="K197" s="694"/>
      <c r="L197" s="697"/>
    </row>
    <row r="198" spans="1:27" ht="14.25" x14ac:dyDescent="0.2">
      <c r="I198" s="1067">
        <f>J190+J191+J193+J194+J195+J196</f>
        <v>180.25</v>
      </c>
      <c r="J198" s="1067"/>
      <c r="K198" s="1067">
        <f>L190+L191+L193+L194+L195+L196</f>
        <v>3606.24</v>
      </c>
      <c r="L198" s="1067"/>
      <c r="O198" s="736">
        <f>J190+J191+J193+J194+J195+J196</f>
        <v>180.25</v>
      </c>
      <c r="P198" s="736">
        <f>L190+L191+L193+L194+L195+L196</f>
        <v>3606.24</v>
      </c>
      <c r="X198" s="718">
        <f>IF([95]Source!BI2499&lt;=1,J190+J191+J193+J194+J195+J196-0, 0)</f>
        <v>0</v>
      </c>
      <c r="Y198" s="718">
        <f>IF([95]Source!BI2499=2,J190+J191+J193+J194+J195+J196-0, 0)</f>
        <v>180.25</v>
      </c>
      <c r="Z198" s="718">
        <f>IF([95]Source!BI2499=3,J190+J191+J193+J194+J195+J196-0, 0)</f>
        <v>0</v>
      </c>
      <c r="AA198" s="718">
        <f>IF([95]Source!BI2499=4,J190+J191+J193+J194+J195+J196,0)</f>
        <v>0</v>
      </c>
    </row>
    <row r="199" spans="1:27" ht="30" x14ac:dyDescent="0.25">
      <c r="A199" s="701"/>
      <c r="B199" s="701"/>
      <c r="C199" s="702"/>
      <c r="D199" s="702" t="s">
        <v>94</v>
      </c>
      <c r="E199" s="693"/>
      <c r="F199" s="703"/>
      <c r="G199" s="704"/>
      <c r="H199" s="693"/>
      <c r="I199" s="703"/>
      <c r="J199" s="700"/>
      <c r="K199" s="703"/>
      <c r="L199" s="700"/>
    </row>
    <row r="200" spans="1:27" ht="15" x14ac:dyDescent="0.25">
      <c r="A200" s="701"/>
      <c r="B200" s="701"/>
      <c r="C200" s="702"/>
      <c r="D200" s="702" t="s">
        <v>85</v>
      </c>
      <c r="E200" s="693"/>
      <c r="F200" s="703"/>
      <c r="G200" s="704">
        <f t="shared" ref="G200:L200" si="7">G201</f>
        <v>0.03</v>
      </c>
      <c r="H200" s="705" t="str">
        <f t="shared" si="7"/>
        <v>)*(1.67-1)</v>
      </c>
      <c r="I200" s="703">
        <f t="shared" si="7"/>
        <v>1.0669999999999999</v>
      </c>
      <c r="J200" s="700">
        <f t="shared" si="7"/>
        <v>0.02</v>
      </c>
      <c r="K200" s="703">
        <f t="shared" si="7"/>
        <v>24.23</v>
      </c>
      <c r="L200" s="700">
        <f t="shared" si="7"/>
        <v>0.52</v>
      </c>
    </row>
    <row r="201" spans="1:27" ht="15" x14ac:dyDescent="0.25">
      <c r="A201" s="701"/>
      <c r="B201" s="701"/>
      <c r="C201" s="702"/>
      <c r="D201" s="702" t="s">
        <v>86</v>
      </c>
      <c r="E201" s="693"/>
      <c r="F201" s="703"/>
      <c r="G201" s="704">
        <f>[95]Source!AN2499</f>
        <v>0.03</v>
      </c>
      <c r="H201" s="705" t="s">
        <v>95</v>
      </c>
      <c r="I201" s="703">
        <f>[95]Source!AV2499</f>
        <v>1.0669999999999999</v>
      </c>
      <c r="J201" s="700">
        <f>ROUND(F189*G201*I201*(1.67-1), 2)</f>
        <v>0.02</v>
      </c>
      <c r="K201" s="703">
        <f>IF([95]Source!BS2499&lt;&gt; 0, [95]Source!BS2499, 1)</f>
        <v>24.23</v>
      </c>
      <c r="L201" s="700">
        <f>ROUND(F189*G201*I201*(1.67-1)*K201, 2)</f>
        <v>0.52</v>
      </c>
      <c r="W201" s="718">
        <f>J201</f>
        <v>0.02</v>
      </c>
    </row>
    <row r="202" spans="1:27" ht="15" x14ac:dyDescent="0.25">
      <c r="A202" s="701"/>
      <c r="B202" s="701"/>
      <c r="C202" s="702"/>
      <c r="D202" s="702" t="s">
        <v>91</v>
      </c>
      <c r="E202" s="693" t="s">
        <v>89</v>
      </c>
      <c r="F202" s="703">
        <f>175</f>
        <v>175</v>
      </c>
      <c r="G202" s="704"/>
      <c r="H202" s="693"/>
      <c r="I202" s="703"/>
      <c r="J202" s="700">
        <f>ROUND(J201*(F202/100), 2)</f>
        <v>0.04</v>
      </c>
      <c r="K202" s="703">
        <f>157</f>
        <v>157</v>
      </c>
      <c r="L202" s="700">
        <f>ROUND(L201*(K202/100), 2)</f>
        <v>0.82</v>
      </c>
    </row>
    <row r="203" spans="1:27" ht="14.25" x14ac:dyDescent="0.2">
      <c r="I203" s="1067">
        <f>J202+J201</f>
        <v>0.06</v>
      </c>
      <c r="J203" s="1067"/>
      <c r="K203" s="1067">
        <f>L202+L201</f>
        <v>1.34</v>
      </c>
      <c r="L203" s="1067"/>
      <c r="O203" s="736">
        <f>I203</f>
        <v>0.06</v>
      </c>
      <c r="P203" s="736">
        <f>K203</f>
        <v>1.34</v>
      </c>
      <c r="X203" s="718">
        <f>IF([95]Source!BI2499&lt;=1,I203, 0)</f>
        <v>0</v>
      </c>
      <c r="Y203" s="718">
        <f>IF([95]Source!BI2499=2,I203, 0)</f>
        <v>0.06</v>
      </c>
      <c r="Z203" s="718">
        <f>IF([95]Source!BI2499=3,I203, 0)</f>
        <v>0</v>
      </c>
      <c r="AA203" s="718">
        <f>IF([95]Source!BI2499=4,I203, 0)</f>
        <v>0</v>
      </c>
    </row>
    <row r="205" spans="1:27" ht="15" x14ac:dyDescent="0.25">
      <c r="A205" s="706"/>
      <c r="B205" s="706"/>
      <c r="C205" s="707"/>
      <c r="D205" s="707" t="s">
        <v>96</v>
      </c>
      <c r="E205" s="708"/>
      <c r="F205" s="709"/>
      <c r="G205" s="710"/>
      <c r="H205" s="711"/>
      <c r="I205" s="1067">
        <f>I198+I203</f>
        <v>180.31</v>
      </c>
      <c r="J205" s="1067"/>
      <c r="K205" s="1067">
        <f>K198+K203</f>
        <v>3607.58</v>
      </c>
      <c r="L205" s="1067"/>
    </row>
    <row r="206" spans="1:27" ht="222" customHeight="1" x14ac:dyDescent="0.25">
      <c r="A206" s="691">
        <v>23</v>
      </c>
      <c r="B206" s="691" t="str">
        <f>[95]Source!E2501</f>
        <v>335</v>
      </c>
      <c r="C206" s="692" t="s">
        <v>579</v>
      </c>
      <c r="D206" s="692" t="s">
        <v>487</v>
      </c>
      <c r="E206" s="693" t="str">
        <f>[95]Source!H2501</f>
        <v>шт.</v>
      </c>
      <c r="F206" s="694">
        <f>[95]Source!I2501</f>
        <v>1</v>
      </c>
      <c r="G206" s="697">
        <f>J206/F206</f>
        <v>1689.78</v>
      </c>
      <c r="H206" s="696"/>
      <c r="I206" s="694">
        <f>[95]Source!AW2482</f>
        <v>1</v>
      </c>
      <c r="J206" s="697">
        <f>L206/K206</f>
        <v>1689.78</v>
      </c>
      <c r="K206" s="694">
        <v>5.58</v>
      </c>
      <c r="L206" s="697">
        <f>9244.07*1.02*F206</f>
        <v>9428.9500000000007</v>
      </c>
      <c r="Q206" s="718">
        <f>ROUND(([95]Source!DN2501/100)*ROUND((ROUND(([95]Source!AF2501*[95]Source!AV2501*[95]Source!I2501),2)),2), 2)</f>
        <v>0</v>
      </c>
      <c r="R206" s="718">
        <f>[95]Source!X2501</f>
        <v>0</v>
      </c>
      <c r="S206" s="718">
        <f>ROUND(([95]Source!DO2501/100)*ROUND((ROUND(([95]Source!AF2501*[95]Source!AV2501*[95]Source!I2501),2)),2), 2)</f>
        <v>0</v>
      </c>
      <c r="T206" s="718">
        <f>[95]Source!Y2501</f>
        <v>0</v>
      </c>
      <c r="U206" s="718">
        <f>ROUND((175/100)*ROUND((ROUND(([95]Source!AE2501*[95]Source!AV2501*[95]Source!I2501),2)),2), 2)</f>
        <v>0</v>
      </c>
      <c r="V206" s="718">
        <f>ROUND((157/100)*ROUND(ROUND((ROUND(([95]Source!AE2501*[95]Source!AV2501*[95]Source!I2501),2)*[95]Source!BS2501),2), 2), 2)</f>
        <v>0</v>
      </c>
    </row>
    <row r="207" spans="1:27" ht="14.25" x14ac:dyDescent="0.2">
      <c r="A207" s="737"/>
      <c r="B207" s="737"/>
      <c r="C207" s="737"/>
      <c r="D207" s="737"/>
      <c r="E207" s="737"/>
      <c r="F207" s="737"/>
      <c r="G207" s="737"/>
      <c r="H207" s="737"/>
      <c r="I207" s="1067">
        <f>J206</f>
        <v>1689.78</v>
      </c>
      <c r="J207" s="1067"/>
      <c r="K207" s="1067">
        <f>L206</f>
        <v>9428.9500000000007</v>
      </c>
      <c r="L207" s="1067"/>
      <c r="O207" s="736">
        <f>J206</f>
        <v>1689.78</v>
      </c>
      <c r="P207" s="736">
        <f>L206</f>
        <v>9428.9500000000007</v>
      </c>
      <c r="X207" s="718">
        <f>IF([95]Source!BI2501&lt;=1,J206-0, 0)</f>
        <v>1689.78</v>
      </c>
      <c r="Y207" s="718">
        <f>IF([95]Source!BI2501=2,J206-0, 0)</f>
        <v>0</v>
      </c>
      <c r="Z207" s="718">
        <f>IF([95]Source!BI2501=3,J206-0, 0)</f>
        <v>0</v>
      </c>
      <c r="AA207" s="718">
        <f>IF([95]Source!BI2501=4,J206,0)</f>
        <v>0</v>
      </c>
    </row>
    <row r="208" spans="1:27" ht="36" customHeight="1" x14ac:dyDescent="0.25">
      <c r="A208" s="691">
        <v>24</v>
      </c>
      <c r="B208" s="691" t="str">
        <f>[95]Source!E2505</f>
        <v>337</v>
      </c>
      <c r="C208" s="692" t="str">
        <f>[95]Source!F2505</f>
        <v>4.21-39-3</v>
      </c>
      <c r="D208" s="692" t="s">
        <v>488</v>
      </c>
      <c r="E208" s="693" t="str">
        <f>[95]Source!H2505</f>
        <v>1 клапан</v>
      </c>
      <c r="F208" s="694">
        <f>[95]Source!I2505</f>
        <v>1</v>
      </c>
      <c r="G208" s="695"/>
      <c r="H208" s="696"/>
      <c r="I208" s="694"/>
      <c r="J208" s="697"/>
      <c r="K208" s="694"/>
      <c r="L208" s="697"/>
      <c r="Q208" s="718">
        <f>ROUND(([95]Source!DN2505/100)*ROUND((ROUND(([95]Source!AF2505*[95]Source!AV2505*[95]Source!I2505),2)),2), 2)</f>
        <v>55.15</v>
      </c>
      <c r="R208" s="718">
        <f>[95]Source!X2505</f>
        <v>1150.22</v>
      </c>
      <c r="S208" s="718">
        <f>ROUND(([95]Source!DO2505/100)*ROUND((ROUND(([95]Source!AF2505*[95]Source!AV2505*[95]Source!I2505),2)),2), 2)</f>
        <v>48.87</v>
      </c>
      <c r="T208" s="718">
        <f>[95]Source!Y2505</f>
        <v>727.35</v>
      </c>
      <c r="U208" s="718">
        <f>ROUND((175/100)*ROUND((ROUND(([95]Source!AE2505*[95]Source!AV2505*[95]Source!I2505),2)),2), 2)</f>
        <v>0.09</v>
      </c>
      <c r="V208" s="718">
        <f>ROUND((157/100)*ROUND(ROUND((ROUND(([95]Source!AE2505*[95]Source!AV2505*[95]Source!I2505),2)*[95]Source!BS2505),2), 2), 2)</f>
        <v>1.9</v>
      </c>
    </row>
    <row r="209" spans="1:27" ht="15" x14ac:dyDescent="0.25">
      <c r="A209" s="691"/>
      <c r="B209" s="691"/>
      <c r="C209" s="692"/>
      <c r="D209" s="692" t="s">
        <v>84</v>
      </c>
      <c r="E209" s="693"/>
      <c r="F209" s="694"/>
      <c r="G209" s="695">
        <f>[95]Source!AO2505</f>
        <v>39.18</v>
      </c>
      <c r="H209" s="696" t="str">
        <f>[95]Source!DG2505</f>
        <v>)*1,67</v>
      </c>
      <c r="I209" s="694">
        <f>[95]Source!AV2505</f>
        <v>1.0669999999999999</v>
      </c>
      <c r="J209" s="697">
        <f>ROUND((ROUND(([95]Source!AF2505*[95]Source!AV2505*[95]Source!I2505),2)),2)</f>
        <v>69.81</v>
      </c>
      <c r="K209" s="694">
        <f>IF([95]Source!BA2505&lt;&gt; 0, [95]Source!BA2505, 1)</f>
        <v>24.23</v>
      </c>
      <c r="L209" s="697">
        <f>[95]Source!S2505</f>
        <v>1691.5</v>
      </c>
      <c r="W209" s="718">
        <f>J209</f>
        <v>69.81</v>
      </c>
    </row>
    <row r="210" spans="1:27" ht="15" x14ac:dyDescent="0.25">
      <c r="A210" s="691"/>
      <c r="B210" s="691"/>
      <c r="C210" s="692"/>
      <c r="D210" s="692" t="s">
        <v>85</v>
      </c>
      <c r="E210" s="693"/>
      <c r="F210" s="694"/>
      <c r="G210" s="695">
        <f>[95]Source!AM2505</f>
        <v>0.73</v>
      </c>
      <c r="H210" s="696" t="str">
        <f>[95]Source!DE2505</f>
        <v/>
      </c>
      <c r="I210" s="694">
        <f>[95]Source!AV2505</f>
        <v>1.0669999999999999</v>
      </c>
      <c r="J210" s="697">
        <f>(ROUND((ROUND((([95]Source!ET2505)*[95]Source!AV2505*[95]Source!I2505),2)),2)+ROUND((ROUND((([95]Source!AE2505-([95]Source!EU2505))*[95]Source!AV2505*[95]Source!I2505),2)),2))-J219</f>
        <v>0.78</v>
      </c>
      <c r="K210" s="694">
        <f>IF([95]Source!BB2505&lt;&gt; 0, [95]Source!BB2505, 1)</f>
        <v>6.33</v>
      </c>
      <c r="L210" s="697">
        <f>[95]Source!Q2505-L219</f>
        <v>4.9000000000000004</v>
      </c>
    </row>
    <row r="211" spans="1:27" ht="15" x14ac:dyDescent="0.25">
      <c r="A211" s="691"/>
      <c r="B211" s="691"/>
      <c r="C211" s="692"/>
      <c r="D211" s="692" t="s">
        <v>86</v>
      </c>
      <c r="E211" s="693"/>
      <c r="F211" s="694"/>
      <c r="G211" s="695">
        <f>[95]Source!AN2505</f>
        <v>0.03</v>
      </c>
      <c r="H211" s="696" t="str">
        <f>[95]Source!DE2505</f>
        <v/>
      </c>
      <c r="I211" s="694">
        <f>[95]Source!AV2505</f>
        <v>1.0669999999999999</v>
      </c>
      <c r="J211" s="700">
        <f>ROUND((ROUND(([95]Source!AE2505*[95]Source!AV2505*[95]Source!I2505),2)),2)-J220</f>
        <v>0.03</v>
      </c>
      <c r="K211" s="694">
        <f>IF([95]Source!BS2505&lt;&gt; 0, [95]Source!BS2505, 1)</f>
        <v>24.23</v>
      </c>
      <c r="L211" s="700">
        <f>[95]Source!R2505-L220</f>
        <v>0.69</v>
      </c>
      <c r="W211" s="718">
        <f>J211</f>
        <v>0.03</v>
      </c>
    </row>
    <row r="212" spans="1:27" ht="15" x14ac:dyDescent="0.25">
      <c r="A212" s="691"/>
      <c r="B212" s="691"/>
      <c r="C212" s="692"/>
      <c r="D212" s="692" t="s">
        <v>87</v>
      </c>
      <c r="E212" s="693"/>
      <c r="F212" s="694"/>
      <c r="G212" s="695">
        <f>[95]Source!AL2505</f>
        <v>7.87</v>
      </c>
      <c r="H212" s="696" t="str">
        <f>[95]Source!DD2505</f>
        <v/>
      </c>
      <c r="I212" s="694">
        <f>[95]Source!AW2505</f>
        <v>1.028</v>
      </c>
      <c r="J212" s="697">
        <f>ROUND((ROUND(([95]Source!AC2505*[95]Source!AW2505*[95]Source!I2505),2)),2)</f>
        <v>8.09</v>
      </c>
      <c r="K212" s="694">
        <f>IF([95]Source!BC2505&lt;&gt; 0, [95]Source!BC2505, 1)</f>
        <v>5.58</v>
      </c>
      <c r="L212" s="697">
        <f>[95]Source!P2505</f>
        <v>45.14</v>
      </c>
    </row>
    <row r="213" spans="1:27" ht="15" x14ac:dyDescent="0.25">
      <c r="A213" s="691"/>
      <c r="B213" s="691"/>
      <c r="C213" s="692"/>
      <c r="D213" s="692" t="s">
        <v>88</v>
      </c>
      <c r="E213" s="693" t="s">
        <v>89</v>
      </c>
      <c r="F213" s="694">
        <f>[95]Source!DN2505</f>
        <v>79</v>
      </c>
      <c r="G213" s="695"/>
      <c r="H213" s="696"/>
      <c r="I213" s="694"/>
      <c r="J213" s="697">
        <f>SUM(Q208:Q212)</f>
        <v>55.15</v>
      </c>
      <c r="K213" s="694">
        <f>[95]Source!BZ2505</f>
        <v>68</v>
      </c>
      <c r="L213" s="697">
        <f>SUM(R208:R212)</f>
        <v>1150.22</v>
      </c>
    </row>
    <row r="214" spans="1:27" ht="15" x14ac:dyDescent="0.25">
      <c r="A214" s="691"/>
      <c r="B214" s="691"/>
      <c r="C214" s="692"/>
      <c r="D214" s="692" t="s">
        <v>90</v>
      </c>
      <c r="E214" s="693" t="s">
        <v>89</v>
      </c>
      <c r="F214" s="694">
        <f>[95]Source!DO2505</f>
        <v>70</v>
      </c>
      <c r="G214" s="695"/>
      <c r="H214" s="696"/>
      <c r="I214" s="694"/>
      <c r="J214" s="697">
        <f>SUM(S208:S213)</f>
        <v>48.87</v>
      </c>
      <c r="K214" s="694">
        <f>[95]Source!CA2505</f>
        <v>43</v>
      </c>
      <c r="L214" s="697">
        <f>SUM(T208:T213)</f>
        <v>727.35</v>
      </c>
    </row>
    <row r="215" spans="1:27" ht="15" x14ac:dyDescent="0.25">
      <c r="A215" s="691"/>
      <c r="B215" s="691"/>
      <c r="C215" s="692"/>
      <c r="D215" s="692" t="s">
        <v>91</v>
      </c>
      <c r="E215" s="693" t="s">
        <v>89</v>
      </c>
      <c r="F215" s="694">
        <f>175</f>
        <v>175</v>
      </c>
      <c r="G215" s="695"/>
      <c r="H215" s="696"/>
      <c r="I215" s="694"/>
      <c r="J215" s="697">
        <f>SUM(U208:U214)-J221</f>
        <v>0.05</v>
      </c>
      <c r="K215" s="694">
        <f>157</f>
        <v>157</v>
      </c>
      <c r="L215" s="697">
        <f>SUM(V208:V214)-L221</f>
        <v>1.08</v>
      </c>
    </row>
    <row r="216" spans="1:27" ht="15" x14ac:dyDescent="0.25">
      <c r="A216" s="691"/>
      <c r="B216" s="691"/>
      <c r="C216" s="692"/>
      <c r="D216" s="692" t="s">
        <v>92</v>
      </c>
      <c r="E216" s="693" t="s">
        <v>93</v>
      </c>
      <c r="F216" s="694">
        <f>[95]Source!AQ2505</f>
        <v>3.37</v>
      </c>
      <c r="G216" s="695"/>
      <c r="H216" s="696" t="str">
        <f>[95]Source!DI2505</f>
        <v/>
      </c>
      <c r="I216" s="694">
        <f>[95]Source!AV2505</f>
        <v>1.0669999999999999</v>
      </c>
      <c r="J216" s="697">
        <f>[95]Source!U2505</f>
        <v>3.6</v>
      </c>
      <c r="K216" s="694"/>
      <c r="L216" s="697"/>
    </row>
    <row r="217" spans="1:27" ht="14.25" x14ac:dyDescent="0.2">
      <c r="I217" s="1067">
        <f>J209+J210+J212+J213+J214+J215</f>
        <v>182.75</v>
      </c>
      <c r="J217" s="1067"/>
      <c r="K217" s="1067">
        <f>L209+L210+L212+L213+L214+L215</f>
        <v>3620.19</v>
      </c>
      <c r="L217" s="1067"/>
      <c r="O217" s="736">
        <f>J209+J210+J212+J213+J214+J215</f>
        <v>182.75</v>
      </c>
      <c r="P217" s="736">
        <f>L209+L210+L212+L213+L214+L215</f>
        <v>3620.19</v>
      </c>
      <c r="X217" s="718">
        <f>IF([95]Source!BI2505&lt;=1,J209+J210+J212+J213+J214+J215-0, 0)</f>
        <v>0</v>
      </c>
      <c r="Y217" s="718">
        <f>IF([95]Source!BI2505=2,J209+J210+J212+J213+J214+J215-0, 0)</f>
        <v>182.75</v>
      </c>
      <c r="Z217" s="718">
        <f>IF([95]Source!BI2505=3,J209+J210+J212+J213+J214+J215-0, 0)</f>
        <v>0</v>
      </c>
      <c r="AA217" s="718">
        <f>IF([95]Source!BI2505=4,J209+J210+J212+J213+J214+J215,0)</f>
        <v>0</v>
      </c>
    </row>
    <row r="218" spans="1:27" ht="30" x14ac:dyDescent="0.25">
      <c r="A218" s="701"/>
      <c r="B218" s="701"/>
      <c r="C218" s="702"/>
      <c r="D218" s="702" t="s">
        <v>94</v>
      </c>
      <c r="E218" s="693"/>
      <c r="F218" s="703"/>
      <c r="G218" s="704"/>
      <c r="H218" s="693"/>
      <c r="I218" s="703"/>
      <c r="J218" s="700"/>
      <c r="K218" s="703"/>
      <c r="L218" s="700"/>
    </row>
    <row r="219" spans="1:27" ht="15" x14ac:dyDescent="0.25">
      <c r="A219" s="701"/>
      <c r="B219" s="701"/>
      <c r="C219" s="702"/>
      <c r="D219" s="702" t="s">
        <v>85</v>
      </c>
      <c r="E219" s="693"/>
      <c r="F219" s="703"/>
      <c r="G219" s="704">
        <f t="shared" ref="G219:L219" si="8">G220</f>
        <v>0.03</v>
      </c>
      <c r="H219" s="705" t="str">
        <f t="shared" si="8"/>
        <v>)*(1.67-1)</v>
      </c>
      <c r="I219" s="703">
        <f t="shared" si="8"/>
        <v>1.0669999999999999</v>
      </c>
      <c r="J219" s="700">
        <f t="shared" si="8"/>
        <v>0.02</v>
      </c>
      <c r="K219" s="703">
        <f t="shared" si="8"/>
        <v>24.23</v>
      </c>
      <c r="L219" s="700">
        <f t="shared" si="8"/>
        <v>0.52</v>
      </c>
    </row>
    <row r="220" spans="1:27" ht="15" x14ac:dyDescent="0.25">
      <c r="A220" s="701"/>
      <c r="B220" s="701"/>
      <c r="C220" s="702"/>
      <c r="D220" s="702" t="s">
        <v>86</v>
      </c>
      <c r="E220" s="693"/>
      <c r="F220" s="703"/>
      <c r="G220" s="704">
        <f>[95]Source!AN2505</f>
        <v>0.03</v>
      </c>
      <c r="H220" s="705" t="s">
        <v>95</v>
      </c>
      <c r="I220" s="703">
        <f>[95]Source!AV2505</f>
        <v>1.0669999999999999</v>
      </c>
      <c r="J220" s="700">
        <f>ROUND(F208*G220*I220*(1.67-1), 2)</f>
        <v>0.02</v>
      </c>
      <c r="K220" s="703">
        <f>IF([95]Source!BS2505&lt;&gt; 0, [95]Source!BS2505, 1)</f>
        <v>24.23</v>
      </c>
      <c r="L220" s="700">
        <f>ROUND(F208*G220*I220*(1.67-1)*K220, 2)</f>
        <v>0.52</v>
      </c>
      <c r="W220" s="718">
        <f>J220</f>
        <v>0.02</v>
      </c>
    </row>
    <row r="221" spans="1:27" ht="15" x14ac:dyDescent="0.25">
      <c r="A221" s="701"/>
      <c r="B221" s="701"/>
      <c r="C221" s="702"/>
      <c r="D221" s="702" t="s">
        <v>91</v>
      </c>
      <c r="E221" s="693" t="s">
        <v>89</v>
      </c>
      <c r="F221" s="703">
        <f>175</f>
        <v>175</v>
      </c>
      <c r="G221" s="704"/>
      <c r="H221" s="693"/>
      <c r="I221" s="703"/>
      <c r="J221" s="700">
        <f>ROUND(J220*(F221/100), 2)</f>
        <v>0.04</v>
      </c>
      <c r="K221" s="703">
        <f>157</f>
        <v>157</v>
      </c>
      <c r="L221" s="700">
        <f>ROUND(L220*(K221/100), 2)</f>
        <v>0.82</v>
      </c>
    </row>
    <row r="222" spans="1:27" ht="14.25" x14ac:dyDescent="0.2">
      <c r="I222" s="1067">
        <f>J221+J220</f>
        <v>0.06</v>
      </c>
      <c r="J222" s="1067"/>
      <c r="K222" s="1067">
        <f>L221+L220</f>
        <v>1.34</v>
      </c>
      <c r="L222" s="1067"/>
      <c r="O222" s="736">
        <f>I222</f>
        <v>0.06</v>
      </c>
      <c r="P222" s="736">
        <f>K222</f>
        <v>1.34</v>
      </c>
      <c r="X222" s="718">
        <f>IF([95]Source!BI2505&lt;=1,I222, 0)</f>
        <v>0</v>
      </c>
      <c r="Y222" s="718">
        <f>IF([95]Source!BI2505=2,I222, 0)</f>
        <v>0.06</v>
      </c>
      <c r="Z222" s="718">
        <f>IF([95]Source!BI2505=3,I222, 0)</f>
        <v>0</v>
      </c>
      <c r="AA222" s="718">
        <f>IF([95]Source!BI2505=4,I222, 0)</f>
        <v>0</v>
      </c>
    </row>
    <row r="224" spans="1:27" ht="15" x14ac:dyDescent="0.25">
      <c r="A224" s="706"/>
      <c r="B224" s="706"/>
      <c r="C224" s="707"/>
      <c r="D224" s="707" t="s">
        <v>96</v>
      </c>
      <c r="E224" s="708"/>
      <c r="F224" s="709"/>
      <c r="G224" s="710"/>
      <c r="H224" s="711"/>
      <c r="I224" s="1067">
        <f>I217+I222</f>
        <v>182.81</v>
      </c>
      <c r="J224" s="1067"/>
      <c r="K224" s="1067">
        <f>K217+K222</f>
        <v>3621.53</v>
      </c>
      <c r="L224" s="1067"/>
    </row>
    <row r="225" spans="1:27" ht="174" customHeight="1" x14ac:dyDescent="0.25">
      <c r="A225" s="691">
        <v>25</v>
      </c>
      <c r="B225" s="691" t="str">
        <f>[95]Source!E2507</f>
        <v>338</v>
      </c>
      <c r="C225" s="692" t="str">
        <f>[95]Source!F2507</f>
        <v>МКЭ-33-1005/8-1 от 26.07.2018г.</v>
      </c>
      <c r="D225" s="692" t="s">
        <v>489</v>
      </c>
      <c r="E225" s="693" t="str">
        <f>[95]Source!H2507</f>
        <v>шт.</v>
      </c>
      <c r="F225" s="694">
        <f>[95]Source!I2507</f>
        <v>1</v>
      </c>
      <c r="G225" s="697">
        <f>J225/F225</f>
        <v>2454.41</v>
      </c>
      <c r="H225" s="696"/>
      <c r="I225" s="694">
        <f>[95]Source!AW2501</f>
        <v>1</v>
      </c>
      <c r="J225" s="697">
        <f>L225/K225</f>
        <v>2454.41</v>
      </c>
      <c r="K225" s="694">
        <v>5.58</v>
      </c>
      <c r="L225" s="697">
        <f>13427.08*1.02*F225</f>
        <v>13695.62</v>
      </c>
      <c r="Q225" s="718">
        <f>ROUND(([95]Source!DN2507/100)*ROUND((ROUND(([95]Source!AF2507*[95]Source!AV2507*[95]Source!I2507),2)),2), 2)</f>
        <v>0</v>
      </c>
      <c r="R225" s="718">
        <f>[95]Source!X2507</f>
        <v>0</v>
      </c>
      <c r="S225" s="718">
        <f>ROUND(([95]Source!DO2507/100)*ROUND((ROUND(([95]Source!AF2507*[95]Source!AV2507*[95]Source!I2507),2)),2), 2)</f>
        <v>0</v>
      </c>
      <c r="T225" s="718">
        <f>[95]Source!Y2507</f>
        <v>0</v>
      </c>
      <c r="U225" s="718">
        <f>ROUND((175/100)*ROUND((ROUND(([95]Source!AE2507*[95]Source!AV2507*[95]Source!I2507),2)),2), 2)</f>
        <v>0</v>
      </c>
      <c r="V225" s="718">
        <f>ROUND((157/100)*ROUND(ROUND((ROUND(([95]Source!AE2507*[95]Source!AV2507*[95]Source!I2507),2)*[95]Source!BS2507),2), 2), 2)</f>
        <v>0</v>
      </c>
    </row>
    <row r="226" spans="1:27" ht="14.25" x14ac:dyDescent="0.2">
      <c r="A226" s="737"/>
      <c r="B226" s="737"/>
      <c r="C226" s="737"/>
      <c r="D226" s="737"/>
      <c r="E226" s="737"/>
      <c r="F226" s="737"/>
      <c r="G226" s="737"/>
      <c r="H226" s="737"/>
      <c r="I226" s="1067">
        <f>J225</f>
        <v>2454.41</v>
      </c>
      <c r="J226" s="1067"/>
      <c r="K226" s="1067">
        <f>L225</f>
        <v>13695.62</v>
      </c>
      <c r="L226" s="1067"/>
      <c r="O226" s="736">
        <f>J225</f>
        <v>2454.41</v>
      </c>
      <c r="P226" s="736">
        <f>L225</f>
        <v>13695.62</v>
      </c>
      <c r="X226" s="718">
        <f>IF([95]Source!BI2507&lt;=1,J225-0, 0)</f>
        <v>2454.41</v>
      </c>
      <c r="Y226" s="718">
        <f>IF([95]Source!BI2507=2,J225-0, 0)</f>
        <v>0</v>
      </c>
      <c r="Z226" s="718">
        <f>IF([95]Source!BI2507=3,J225-0, 0)</f>
        <v>0</v>
      </c>
      <c r="AA226" s="718">
        <f>IF([95]Source!BI2507=4,J225,0)</f>
        <v>0</v>
      </c>
    </row>
    <row r="227" spans="1:27" ht="45" x14ac:dyDescent="0.25">
      <c r="A227" s="691">
        <v>26</v>
      </c>
      <c r="B227" s="691" t="str">
        <f>[95]Source!E2509</f>
        <v>339</v>
      </c>
      <c r="C227" s="692" t="str">
        <f>[95]Source!F2509</f>
        <v>3.20-11-15</v>
      </c>
      <c r="D227" s="692" t="s">
        <v>490</v>
      </c>
      <c r="E227" s="693" t="str">
        <f>[95]Source!H2509</f>
        <v>1 клапан</v>
      </c>
      <c r="F227" s="694">
        <f>[95]Source!I2509</f>
        <v>13</v>
      </c>
      <c r="G227" s="695"/>
      <c r="H227" s="696"/>
      <c r="I227" s="694"/>
      <c r="J227" s="697"/>
      <c r="K227" s="694"/>
      <c r="L227" s="697"/>
      <c r="Q227" s="718">
        <f>ROUND(([95]Source!DN2509/100)*ROUND((ROUND(([95]Source!AF2509*[95]Source!AV2509*[95]Source!I2509),2)),2), 2)</f>
        <v>1437.48</v>
      </c>
      <c r="R227" s="718">
        <f>[95]Source!X2509</f>
        <v>27864.02</v>
      </c>
      <c r="S227" s="718">
        <f>ROUND(([95]Source!DO2509/100)*ROUND((ROUND(([95]Source!AF2509*[95]Source!AV2509*[95]Source!I2509),2)),2), 2)</f>
        <v>1080.98</v>
      </c>
      <c r="T227" s="718">
        <f>[95]Source!Y2509</f>
        <v>12538.81</v>
      </c>
      <c r="U227" s="718">
        <f>ROUND((175/100)*ROUND((ROUND(([95]Source!AE2509*[95]Source!AV2509*[95]Source!I2509),2)),2), 2)</f>
        <v>14.89</v>
      </c>
      <c r="V227" s="718">
        <f>ROUND((157/100)*ROUND(ROUND((ROUND(([95]Source!AE2509*[95]Source!AV2509*[95]Source!I2509),2)*[95]Source!BS2509),2), 2), 2)</f>
        <v>323.73</v>
      </c>
    </row>
    <row r="228" spans="1:27" ht="15" x14ac:dyDescent="0.25">
      <c r="A228" s="691"/>
      <c r="B228" s="691"/>
      <c r="C228" s="692"/>
      <c r="D228" s="692" t="s">
        <v>84</v>
      </c>
      <c r="E228" s="693"/>
      <c r="F228" s="694"/>
      <c r="G228" s="695">
        <f>[95]Source!AO2509</f>
        <v>47.28</v>
      </c>
      <c r="H228" s="696" t="str">
        <f>[95]Source!DG2509</f>
        <v>)*1,05)*1,67</v>
      </c>
      <c r="I228" s="694">
        <f>[95]Source!AV2509</f>
        <v>1.0669999999999999</v>
      </c>
      <c r="J228" s="697">
        <f>ROUND((ROUND(([95]Source!AF2509*[95]Source!AV2509*[95]Source!I2509),2)),2)</f>
        <v>1149.98</v>
      </c>
      <c r="K228" s="694">
        <f>IF([95]Source!BA2509&lt;&gt; 0, [95]Source!BA2509, 1)</f>
        <v>24.23</v>
      </c>
      <c r="L228" s="697">
        <f>[95]Source!S2509</f>
        <v>27864.02</v>
      </c>
      <c r="W228" s="718">
        <f>J228</f>
        <v>1149.98</v>
      </c>
    </row>
    <row r="229" spans="1:27" ht="15" x14ac:dyDescent="0.25">
      <c r="A229" s="691"/>
      <c r="B229" s="691"/>
      <c r="C229" s="692"/>
      <c r="D229" s="692" t="s">
        <v>85</v>
      </c>
      <c r="E229" s="693"/>
      <c r="F229" s="694"/>
      <c r="G229" s="695">
        <f>[95]Source!AM2509</f>
        <v>1.49</v>
      </c>
      <c r="H229" s="696" t="str">
        <f>[95]Source!DE2509</f>
        <v>)*1,05</v>
      </c>
      <c r="I229" s="694">
        <f>[95]Source!AV2509</f>
        <v>1.0669999999999999</v>
      </c>
      <c r="J229" s="697">
        <f>(ROUND((ROUND(((([95]Source!ET2509*1.05))*[95]Source!AV2509*[95]Source!I2509),2)),2)+ROUND((ROUND((([95]Source!AE2509-(([95]Source!EU2509*1.05)))*[95]Source!AV2509*[95]Source!I2509),2)),2))-J238</f>
        <v>21.7</v>
      </c>
      <c r="K229" s="694">
        <f>IF([95]Source!BB2509&lt;&gt; 0, [95]Source!BB2509, 1)</f>
        <v>9.9499999999999993</v>
      </c>
      <c r="L229" s="697">
        <f>[95]Source!Q2509-L238</f>
        <v>216.04</v>
      </c>
    </row>
    <row r="230" spans="1:27" ht="15" x14ac:dyDescent="0.25">
      <c r="A230" s="691"/>
      <c r="B230" s="691"/>
      <c r="C230" s="692"/>
      <c r="D230" s="692" t="s">
        <v>86</v>
      </c>
      <c r="E230" s="693"/>
      <c r="F230" s="694"/>
      <c r="G230" s="695">
        <f>[95]Source!AN2509</f>
        <v>0.35</v>
      </c>
      <c r="H230" s="696" t="str">
        <f>[95]Source!DE2509</f>
        <v>)*1,05</v>
      </c>
      <c r="I230" s="694">
        <f>[95]Source!AV2509</f>
        <v>1.0669999999999999</v>
      </c>
      <c r="J230" s="700">
        <f>ROUND((ROUND(([95]Source!AE2509*[95]Source!AV2509*[95]Source!I2509),2)),2)-J239</f>
        <v>5.09</v>
      </c>
      <c r="K230" s="694">
        <f>IF([95]Source!BS2509&lt;&gt; 0, [95]Source!BS2509, 1)</f>
        <v>24.23</v>
      </c>
      <c r="L230" s="700">
        <f>[95]Source!R2509-L239</f>
        <v>123.45</v>
      </c>
      <c r="W230" s="718">
        <f>J230</f>
        <v>5.09</v>
      </c>
    </row>
    <row r="231" spans="1:27" ht="15" x14ac:dyDescent="0.25">
      <c r="A231" s="691"/>
      <c r="B231" s="691"/>
      <c r="C231" s="692"/>
      <c r="D231" s="692" t="s">
        <v>87</v>
      </c>
      <c r="E231" s="693"/>
      <c r="F231" s="694"/>
      <c r="G231" s="695">
        <f>[95]Source!AL2509</f>
        <v>15.67</v>
      </c>
      <c r="H231" s="696" t="str">
        <f>[95]Source!DD2509</f>
        <v/>
      </c>
      <c r="I231" s="694">
        <f>[95]Source!AW2509</f>
        <v>1</v>
      </c>
      <c r="J231" s="697">
        <f>ROUND((ROUND(([95]Source!AC2509*[95]Source!AW2509*[95]Source!I2509),2)),2)</f>
        <v>203.71</v>
      </c>
      <c r="K231" s="694">
        <f>IF([95]Source!BC2509&lt;&gt; 0, [95]Source!BC2509, 1)</f>
        <v>8.25</v>
      </c>
      <c r="L231" s="697">
        <f>[95]Source!P2509</f>
        <v>1680.61</v>
      </c>
    </row>
    <row r="232" spans="1:27" ht="15" x14ac:dyDescent="0.25">
      <c r="A232" s="691"/>
      <c r="B232" s="691"/>
      <c r="C232" s="692"/>
      <c r="D232" s="692" t="s">
        <v>88</v>
      </c>
      <c r="E232" s="693" t="s">
        <v>89</v>
      </c>
      <c r="F232" s="694">
        <f>[95]Source!DN2509</f>
        <v>125</v>
      </c>
      <c r="G232" s="695"/>
      <c r="H232" s="696"/>
      <c r="I232" s="694"/>
      <c r="J232" s="697">
        <f>SUM(Q227:Q231)</f>
        <v>1437.48</v>
      </c>
      <c r="K232" s="694">
        <f>[95]Source!BZ2509</f>
        <v>100</v>
      </c>
      <c r="L232" s="697">
        <f>SUM(R227:R231)</f>
        <v>27864.02</v>
      </c>
    </row>
    <row r="233" spans="1:27" ht="15" x14ac:dyDescent="0.25">
      <c r="A233" s="691"/>
      <c r="B233" s="691"/>
      <c r="C233" s="692"/>
      <c r="D233" s="692" t="s">
        <v>90</v>
      </c>
      <c r="E233" s="693" t="s">
        <v>89</v>
      </c>
      <c r="F233" s="694">
        <f>[95]Source!DO2509</f>
        <v>94</v>
      </c>
      <c r="G233" s="695"/>
      <c r="H233" s="696"/>
      <c r="I233" s="694"/>
      <c r="J233" s="697">
        <f>SUM(S227:S232)</f>
        <v>1080.98</v>
      </c>
      <c r="K233" s="694">
        <f>[95]Source!CA2509</f>
        <v>45</v>
      </c>
      <c r="L233" s="697">
        <f>SUM(T227:T232)</f>
        <v>12538.81</v>
      </c>
    </row>
    <row r="234" spans="1:27" ht="15" x14ac:dyDescent="0.25">
      <c r="A234" s="691"/>
      <c r="B234" s="691"/>
      <c r="C234" s="692"/>
      <c r="D234" s="692" t="s">
        <v>91</v>
      </c>
      <c r="E234" s="693" t="s">
        <v>89</v>
      </c>
      <c r="F234" s="694">
        <f>175</f>
        <v>175</v>
      </c>
      <c r="G234" s="695"/>
      <c r="H234" s="696"/>
      <c r="I234" s="694"/>
      <c r="J234" s="697">
        <f>SUM(U227:U233)-J240</f>
        <v>8.9</v>
      </c>
      <c r="K234" s="694">
        <f>157</f>
        <v>157</v>
      </c>
      <c r="L234" s="697">
        <f>SUM(V227:V233)-L240</f>
        <v>193.81</v>
      </c>
    </row>
    <row r="235" spans="1:27" ht="15" x14ac:dyDescent="0.25">
      <c r="A235" s="691"/>
      <c r="B235" s="691"/>
      <c r="C235" s="692"/>
      <c r="D235" s="692" t="s">
        <v>92</v>
      </c>
      <c r="E235" s="693" t="s">
        <v>93</v>
      </c>
      <c r="F235" s="694">
        <f>[95]Source!AQ2509</f>
        <v>4.0199999999999996</v>
      </c>
      <c r="G235" s="695"/>
      <c r="H235" s="696" t="str">
        <f>[95]Source!DI2509</f>
        <v>)*1,05</v>
      </c>
      <c r="I235" s="694">
        <f>[95]Source!AV2509</f>
        <v>1.0669999999999999</v>
      </c>
      <c r="J235" s="697">
        <f>[95]Source!U2509</f>
        <v>58.55</v>
      </c>
      <c r="K235" s="694"/>
      <c r="L235" s="697"/>
    </row>
    <row r="236" spans="1:27" ht="14.25" x14ac:dyDescent="0.2">
      <c r="I236" s="1067">
        <f>J228+J229+J231+J232+J233+J234</f>
        <v>3902.75</v>
      </c>
      <c r="J236" s="1067"/>
      <c r="K236" s="1067">
        <f>L228+L229+L231+L232+L233+L234</f>
        <v>70357.31</v>
      </c>
      <c r="L236" s="1067"/>
      <c r="O236" s="736">
        <f>J228+J229+J231+J232+J233+J234</f>
        <v>3902.75</v>
      </c>
      <c r="P236" s="736">
        <f>L228+L229+L231+L232+L233+L234</f>
        <v>70357.31</v>
      </c>
      <c r="X236" s="718">
        <f>IF([95]Source!BI2509&lt;=1,J228+J229+J231+J232+J233+J234-0, 0)</f>
        <v>3902.75</v>
      </c>
      <c r="Y236" s="718">
        <f>IF([95]Source!BI2509=2,J228+J229+J231+J232+J233+J234-0, 0)</f>
        <v>0</v>
      </c>
      <c r="Z236" s="718">
        <f>IF([95]Source!BI2509=3,J228+J229+J231+J232+J233+J234-0, 0)</f>
        <v>0</v>
      </c>
      <c r="AA236" s="718">
        <f>IF([95]Source!BI2509=4,J228+J229+J231+J232+J233+J234,0)</f>
        <v>0</v>
      </c>
    </row>
    <row r="237" spans="1:27" ht="30" x14ac:dyDescent="0.25">
      <c r="A237" s="701"/>
      <c r="B237" s="701"/>
      <c r="C237" s="702"/>
      <c r="D237" s="702" t="s">
        <v>94</v>
      </c>
      <c r="E237" s="693"/>
      <c r="F237" s="703"/>
      <c r="G237" s="704"/>
      <c r="H237" s="693"/>
      <c r="I237" s="703"/>
      <c r="J237" s="700"/>
      <c r="K237" s="703"/>
      <c r="L237" s="700"/>
    </row>
    <row r="238" spans="1:27" ht="15" x14ac:dyDescent="0.25">
      <c r="A238" s="701"/>
      <c r="B238" s="701"/>
      <c r="C238" s="702"/>
      <c r="D238" s="702" t="s">
        <v>85</v>
      </c>
      <c r="E238" s="693"/>
      <c r="F238" s="703"/>
      <c r="G238" s="704">
        <f t="shared" ref="G238:L238" si="9">G239</f>
        <v>0.35</v>
      </c>
      <c r="H238" s="705" t="str">
        <f t="shared" si="9"/>
        <v>)*(1.67-1)*1.05</v>
      </c>
      <c r="I238" s="703">
        <f t="shared" si="9"/>
        <v>1.0669999999999999</v>
      </c>
      <c r="J238" s="700">
        <f t="shared" si="9"/>
        <v>3.42</v>
      </c>
      <c r="K238" s="703">
        <f t="shared" si="9"/>
        <v>24.23</v>
      </c>
      <c r="L238" s="700">
        <f t="shared" si="9"/>
        <v>82.75</v>
      </c>
    </row>
    <row r="239" spans="1:27" ht="15" x14ac:dyDescent="0.25">
      <c r="A239" s="701"/>
      <c r="B239" s="701"/>
      <c r="C239" s="702"/>
      <c r="D239" s="702" t="s">
        <v>86</v>
      </c>
      <c r="E239" s="693"/>
      <c r="F239" s="703"/>
      <c r="G239" s="704">
        <f>[95]Source!AN2509</f>
        <v>0.35</v>
      </c>
      <c r="H239" s="705" t="s">
        <v>491</v>
      </c>
      <c r="I239" s="703">
        <f>[95]Source!AV2509</f>
        <v>1.0669999999999999</v>
      </c>
      <c r="J239" s="700">
        <f>ROUND(F227*G239*I239*(1.67-1)*1.05, 2)</f>
        <v>3.42</v>
      </c>
      <c r="K239" s="703">
        <f>IF([95]Source!BS2509&lt;&gt; 0, [95]Source!BS2509, 1)</f>
        <v>24.23</v>
      </c>
      <c r="L239" s="700">
        <f>ROUND(F227*G239*I239*(1.67-1)*1.05*K239, 2)</f>
        <v>82.75</v>
      </c>
      <c r="W239" s="718">
        <f>J239</f>
        <v>3.42</v>
      </c>
    </row>
    <row r="240" spans="1:27" ht="15" x14ac:dyDescent="0.25">
      <c r="A240" s="701"/>
      <c r="B240" s="701"/>
      <c r="C240" s="702"/>
      <c r="D240" s="702" t="s">
        <v>91</v>
      </c>
      <c r="E240" s="693" t="s">
        <v>89</v>
      </c>
      <c r="F240" s="703">
        <f>175</f>
        <v>175</v>
      </c>
      <c r="G240" s="704"/>
      <c r="H240" s="693"/>
      <c r="I240" s="703"/>
      <c r="J240" s="700">
        <f>ROUND(J239*(F240/100), 2)</f>
        <v>5.99</v>
      </c>
      <c r="K240" s="703">
        <f>157</f>
        <v>157</v>
      </c>
      <c r="L240" s="700">
        <f>ROUND(L239*(K240/100), 2)</f>
        <v>129.91999999999999</v>
      </c>
    </row>
    <row r="241" spans="1:27" ht="14.25" x14ac:dyDescent="0.2">
      <c r="I241" s="1067">
        <f>J240+J239</f>
        <v>9.41</v>
      </c>
      <c r="J241" s="1067"/>
      <c r="K241" s="1067">
        <f>L240+L239</f>
        <v>212.67</v>
      </c>
      <c r="L241" s="1067"/>
      <c r="O241" s="736">
        <f>I241</f>
        <v>9.41</v>
      </c>
      <c r="P241" s="736">
        <f>K241</f>
        <v>212.67</v>
      </c>
      <c r="X241" s="718">
        <f>IF([95]Source!BI2509&lt;=1,I241, 0)</f>
        <v>9.41</v>
      </c>
      <c r="Y241" s="718">
        <f>IF([95]Source!BI2509=2,I241, 0)</f>
        <v>0</v>
      </c>
      <c r="Z241" s="718">
        <f>IF([95]Source!BI2509=3,I241, 0)</f>
        <v>0</v>
      </c>
      <c r="AA241" s="718">
        <f>IF([95]Source!BI2509=4,I241, 0)</f>
        <v>0</v>
      </c>
    </row>
    <row r="243" spans="1:27" ht="15" x14ac:dyDescent="0.25">
      <c r="A243" s="706"/>
      <c r="B243" s="706"/>
      <c r="C243" s="707"/>
      <c r="D243" s="707" t="s">
        <v>96</v>
      </c>
      <c r="E243" s="708"/>
      <c r="F243" s="709"/>
      <c r="G243" s="710"/>
      <c r="H243" s="711"/>
      <c r="I243" s="1067">
        <f>I236+I241</f>
        <v>3912.16</v>
      </c>
      <c r="J243" s="1067"/>
      <c r="K243" s="1067">
        <f>K236+K241</f>
        <v>70569.98</v>
      </c>
      <c r="L243" s="1067"/>
    </row>
    <row r="244" spans="1:27" ht="200.45" customHeight="1" x14ac:dyDescent="0.25">
      <c r="A244" s="691">
        <v>27</v>
      </c>
      <c r="B244" s="691" t="str">
        <f>[95]Source!E2517</f>
        <v>343</v>
      </c>
      <c r="C244" s="692" t="str">
        <f>[95]Source!F2517</f>
        <v>МКЭ-33-1005/8-1 от 26.07.2018г.</v>
      </c>
      <c r="D244" s="692" t="s">
        <v>731</v>
      </c>
      <c r="E244" s="693" t="str">
        <f>[95]Source!H2517</f>
        <v>шт.</v>
      </c>
      <c r="F244" s="694">
        <f>[95]Source!I2517</f>
        <v>3</v>
      </c>
      <c r="G244" s="697">
        <f>J244/F244</f>
        <v>2553.38</v>
      </c>
      <c r="H244" s="696"/>
      <c r="I244" s="694">
        <f>[95]Source!AW2520</f>
        <v>1</v>
      </c>
      <c r="J244" s="697">
        <f>L244/K244</f>
        <v>7660.15</v>
      </c>
      <c r="K244" s="694">
        <v>5.58</v>
      </c>
      <c r="L244" s="697">
        <f>13968.5*1.02*F244</f>
        <v>42743.61</v>
      </c>
      <c r="Q244" s="718">
        <f>ROUND(([95]Source!DN2517/100)*ROUND((ROUND(([95]Source!AF2517*[95]Source!AV2517*[95]Source!I2517),2)),2), 2)</f>
        <v>0</v>
      </c>
      <c r="R244" s="718">
        <f>[95]Source!X2517</f>
        <v>0</v>
      </c>
      <c r="S244" s="718">
        <f>ROUND(([95]Source!DO2517/100)*ROUND((ROUND(([95]Source!AF2517*[95]Source!AV2517*[95]Source!I2517),2)),2), 2)</f>
        <v>0</v>
      </c>
      <c r="T244" s="718">
        <f>[95]Source!Y2517</f>
        <v>0</v>
      </c>
      <c r="U244" s="718">
        <f>ROUND((175/100)*ROUND((ROUND(([95]Source!AE2517*[95]Source!AV2517*[95]Source!I2517),2)),2), 2)</f>
        <v>0</v>
      </c>
      <c r="V244" s="718">
        <f>ROUND((157/100)*ROUND(ROUND((ROUND(([95]Source!AE2517*[95]Source!AV2517*[95]Source!I2517),2)*[95]Source!BS2517),2), 2), 2)</f>
        <v>0</v>
      </c>
    </row>
    <row r="245" spans="1:27" ht="14.25" x14ac:dyDescent="0.2">
      <c r="A245" s="737"/>
      <c r="B245" s="737"/>
      <c r="C245" s="737"/>
      <c r="D245" s="737"/>
      <c r="E245" s="737"/>
      <c r="F245" s="737"/>
      <c r="G245" s="737"/>
      <c r="H245" s="737"/>
      <c r="I245" s="1067">
        <f>J244</f>
        <v>7660.15</v>
      </c>
      <c r="J245" s="1067"/>
      <c r="K245" s="1067">
        <f>L244</f>
        <v>42743.61</v>
      </c>
      <c r="L245" s="1067"/>
      <c r="O245" s="736">
        <f>J244</f>
        <v>7660.15</v>
      </c>
      <c r="P245" s="736">
        <f>L244</f>
        <v>42743.61</v>
      </c>
      <c r="X245" s="718">
        <f>IF([95]Source!BI2517&lt;=1,J244-0, 0)</f>
        <v>7660.15</v>
      </c>
      <c r="Y245" s="718">
        <f>IF([95]Source!BI2517=2,J244-0, 0)</f>
        <v>0</v>
      </c>
      <c r="Z245" s="718">
        <f>IF([95]Source!BI2517=3,J244-0, 0)</f>
        <v>0</v>
      </c>
      <c r="AA245" s="718">
        <f>IF([95]Source!BI2517=4,J244,0)</f>
        <v>0</v>
      </c>
    </row>
    <row r="246" spans="1:27" ht="240" x14ac:dyDescent="0.25">
      <c r="A246" s="691">
        <v>28</v>
      </c>
      <c r="B246" s="691" t="str">
        <f>[95]Source!E2521</f>
        <v>345</v>
      </c>
      <c r="C246" s="692" t="s">
        <v>580</v>
      </c>
      <c r="D246" s="692" t="s">
        <v>492</v>
      </c>
      <c r="E246" s="693" t="str">
        <f>[95]Source!H2521</f>
        <v>шт.</v>
      </c>
      <c r="F246" s="694">
        <f>[95]Source!I2521</f>
        <v>1</v>
      </c>
      <c r="G246" s="697">
        <f>J246/F246</f>
        <v>2625.25</v>
      </c>
      <c r="H246" s="696"/>
      <c r="I246" s="694">
        <f>[95]Source!AW2522</f>
        <v>1</v>
      </c>
      <c r="J246" s="697">
        <f>L246/K246</f>
        <v>2625.25</v>
      </c>
      <c r="K246" s="694">
        <v>5.58</v>
      </c>
      <c r="L246" s="697">
        <f>14361.64*1.02*F246</f>
        <v>14648.87</v>
      </c>
      <c r="Q246" s="718">
        <f>ROUND(([95]Source!DN2521/100)*ROUND((ROUND(([95]Source!AF2521*[95]Source!AV2521*[95]Source!I2521),2)),2), 2)</f>
        <v>0</v>
      </c>
      <c r="R246" s="718">
        <f>[95]Source!X2521</f>
        <v>0</v>
      </c>
      <c r="S246" s="718">
        <f>ROUND(([95]Source!DO2521/100)*ROUND((ROUND(([95]Source!AF2521*[95]Source!AV2521*[95]Source!I2521),2)),2), 2)</f>
        <v>0</v>
      </c>
      <c r="T246" s="718">
        <f>[95]Source!Y2521</f>
        <v>0</v>
      </c>
      <c r="U246" s="718">
        <f>ROUND((175/100)*ROUND((ROUND(([95]Source!AE2521*[95]Source!AV2521*[95]Source!I2521),2)),2), 2)</f>
        <v>0</v>
      </c>
      <c r="V246" s="718">
        <f>ROUND((157/100)*ROUND(ROUND((ROUND(([95]Source!AE2521*[95]Source!AV2521*[95]Source!I2521),2)*[95]Source!BS2521),2), 2), 2)</f>
        <v>0</v>
      </c>
    </row>
    <row r="247" spans="1:27" ht="14.25" x14ac:dyDescent="0.2">
      <c r="A247" s="737"/>
      <c r="B247" s="737"/>
      <c r="C247" s="737"/>
      <c r="D247" s="737"/>
      <c r="E247" s="737"/>
      <c r="F247" s="737"/>
      <c r="G247" s="737"/>
      <c r="H247" s="737"/>
      <c r="I247" s="1067">
        <f>J246</f>
        <v>2625.25</v>
      </c>
      <c r="J247" s="1067"/>
      <c r="K247" s="1067">
        <f>L246</f>
        <v>14648.87</v>
      </c>
      <c r="L247" s="1067"/>
      <c r="O247" s="736">
        <f>J246</f>
        <v>2625.25</v>
      </c>
      <c r="P247" s="736">
        <f>L246</f>
        <v>14648.87</v>
      </c>
      <c r="X247" s="718">
        <f>IF([95]Source!BI2521&lt;=1,J246-0, 0)</f>
        <v>2625.25</v>
      </c>
      <c r="Y247" s="718">
        <f>IF([95]Source!BI2521=2,J246-0, 0)</f>
        <v>0</v>
      </c>
      <c r="Z247" s="718">
        <f>IF([95]Source!BI2521=3,J246-0, 0)</f>
        <v>0</v>
      </c>
      <c r="AA247" s="718">
        <f>IF([95]Source!BI2521=4,J246,0)</f>
        <v>0</v>
      </c>
    </row>
    <row r="248" spans="1:27" ht="142.15" customHeight="1" x14ac:dyDescent="0.25">
      <c r="A248" s="691">
        <v>29</v>
      </c>
      <c r="B248" s="691" t="str">
        <f>[95]Source!E2525</f>
        <v>347</v>
      </c>
      <c r="C248" s="692" t="str">
        <f>[95]Source!F2525</f>
        <v>МКЭ-28-2762/6-7  20.04.2017</v>
      </c>
      <c r="D248" s="692" t="s">
        <v>493</v>
      </c>
      <c r="E248" s="693" t="str">
        <f>[95]Source!H2525</f>
        <v>шт.</v>
      </c>
      <c r="F248" s="694">
        <f>[95]Source!I2525</f>
        <v>2</v>
      </c>
      <c r="G248" s="697">
        <f>J248/F248</f>
        <v>2489.2800000000002</v>
      </c>
      <c r="H248" s="696"/>
      <c r="I248" s="694">
        <f>[95]Source!AW2524</f>
        <v>1</v>
      </c>
      <c r="J248" s="697">
        <f>L248/K248</f>
        <v>4978.55</v>
      </c>
      <c r="K248" s="694">
        <v>5.58</v>
      </c>
      <c r="L248" s="697">
        <f>13617.8*1.02*F248</f>
        <v>27780.31</v>
      </c>
      <c r="Q248" s="718">
        <f>ROUND(([95]Source!DN2525/100)*ROUND((ROUND(([95]Source!AF2525*[95]Source!AV2525*[95]Source!I2525),2)),2), 2)</f>
        <v>0</v>
      </c>
      <c r="R248" s="718">
        <f>[95]Source!X2525</f>
        <v>0</v>
      </c>
      <c r="S248" s="718">
        <f>ROUND(([95]Source!DO2525/100)*ROUND((ROUND(([95]Source!AF2525*[95]Source!AV2525*[95]Source!I2525),2)),2), 2)</f>
        <v>0</v>
      </c>
      <c r="T248" s="718">
        <f>[95]Source!Y2525</f>
        <v>0</v>
      </c>
      <c r="U248" s="718">
        <f>ROUND((175/100)*ROUND((ROUND(([95]Source!AE2525*[95]Source!AV2525*[95]Source!I2525),2)),2), 2)</f>
        <v>0</v>
      </c>
      <c r="V248" s="718">
        <f>ROUND((157/100)*ROUND(ROUND((ROUND(([95]Source!AE2525*[95]Source!AV2525*[95]Source!I2525),2)*[95]Source!BS2525),2), 2), 2)</f>
        <v>0</v>
      </c>
    </row>
    <row r="249" spans="1:27" ht="14.25" x14ac:dyDescent="0.2">
      <c r="A249" s="737"/>
      <c r="B249" s="737"/>
      <c r="C249" s="737"/>
      <c r="D249" s="737"/>
      <c r="E249" s="737"/>
      <c r="F249" s="737"/>
      <c r="G249" s="737"/>
      <c r="H249" s="737"/>
      <c r="I249" s="1067">
        <f>J248</f>
        <v>4978.55</v>
      </c>
      <c r="J249" s="1067"/>
      <c r="K249" s="1067">
        <f>L248</f>
        <v>27780.31</v>
      </c>
      <c r="L249" s="1067"/>
      <c r="O249" s="736">
        <f>J248</f>
        <v>4978.55</v>
      </c>
      <c r="P249" s="736">
        <f>L248</f>
        <v>27780.31</v>
      </c>
      <c r="X249" s="718">
        <f>IF([95]Source!BI2525&lt;=1,J248-0, 0)</f>
        <v>4978.55</v>
      </c>
      <c r="Y249" s="718">
        <f>IF([95]Source!BI2525=2,J248-0, 0)</f>
        <v>0</v>
      </c>
      <c r="Z249" s="718">
        <f>IF([95]Source!BI2525=3,J248-0, 0)</f>
        <v>0</v>
      </c>
      <c r="AA249" s="718">
        <f>IF([95]Source!BI2525=4,J248,0)</f>
        <v>0</v>
      </c>
    </row>
    <row r="250" spans="1:27" ht="172.15" customHeight="1" x14ac:dyDescent="0.25">
      <c r="A250" s="691">
        <v>30</v>
      </c>
      <c r="B250" s="691" t="str">
        <f>[95]Source!E2527</f>
        <v>348</v>
      </c>
      <c r="C250" s="692" t="str">
        <f>[95]Source!F2527</f>
        <v>МКЭ-33-1005/8-1 от 26.07.2018г.</v>
      </c>
      <c r="D250" s="692" t="s">
        <v>494</v>
      </c>
      <c r="E250" s="693" t="str">
        <f>[95]Source!H2527</f>
        <v>шт.</v>
      </c>
      <c r="F250" s="694">
        <f>[95]Source!I2527</f>
        <v>1</v>
      </c>
      <c r="G250" s="697">
        <f>J250/F250</f>
        <v>2696.11</v>
      </c>
      <c r="H250" s="696"/>
      <c r="I250" s="694">
        <f>[95]Source!AW2526</f>
        <v>1</v>
      </c>
      <c r="J250" s="697">
        <f>L250/K250</f>
        <v>2696.11</v>
      </c>
      <c r="K250" s="694">
        <v>5.58</v>
      </c>
      <c r="L250" s="697">
        <f>14749.33*1.02*F250</f>
        <v>15044.32</v>
      </c>
      <c r="Q250" s="718">
        <f>ROUND(([95]Source!DN2527/100)*ROUND((ROUND(([95]Source!AF2527*[95]Source!AV2527*[95]Source!I2527),2)),2), 2)</f>
        <v>0</v>
      </c>
      <c r="R250" s="718">
        <f>[95]Source!X2527</f>
        <v>0</v>
      </c>
      <c r="S250" s="718">
        <f>ROUND(([95]Source!DO2527/100)*ROUND((ROUND(([95]Source!AF2527*[95]Source!AV2527*[95]Source!I2527),2)),2), 2)</f>
        <v>0</v>
      </c>
      <c r="T250" s="718">
        <f>[95]Source!Y2527</f>
        <v>0</v>
      </c>
      <c r="U250" s="718">
        <f>ROUND((175/100)*ROUND((ROUND(([95]Source!AE2527*[95]Source!AV2527*[95]Source!I2527),2)),2), 2)</f>
        <v>0</v>
      </c>
      <c r="V250" s="718">
        <f>ROUND((157/100)*ROUND(ROUND((ROUND(([95]Source!AE2527*[95]Source!AV2527*[95]Source!I2527),2)*[95]Source!BS2527),2), 2), 2)</f>
        <v>0</v>
      </c>
    </row>
    <row r="251" spans="1:27" ht="14.25" x14ac:dyDescent="0.2">
      <c r="A251" s="737"/>
      <c r="B251" s="737"/>
      <c r="C251" s="737"/>
      <c r="D251" s="737"/>
      <c r="E251" s="737"/>
      <c r="F251" s="737"/>
      <c r="G251" s="737"/>
      <c r="H251" s="737"/>
      <c r="I251" s="1067">
        <f>J250</f>
        <v>2696.11</v>
      </c>
      <c r="J251" s="1067"/>
      <c r="K251" s="1067">
        <f>L250</f>
        <v>15044.32</v>
      </c>
      <c r="L251" s="1067"/>
      <c r="O251" s="736">
        <f>J250</f>
        <v>2696.11</v>
      </c>
      <c r="P251" s="736">
        <f>L250</f>
        <v>15044.32</v>
      </c>
      <c r="X251" s="718">
        <f>IF([95]Source!BI2527&lt;=1,J250-0, 0)</f>
        <v>2696.11</v>
      </c>
      <c r="Y251" s="718">
        <f>IF([95]Source!BI2527=2,J250-0, 0)</f>
        <v>0</v>
      </c>
      <c r="Z251" s="718">
        <f>IF([95]Source!BI2527=3,J250-0, 0)</f>
        <v>0</v>
      </c>
      <c r="AA251" s="718">
        <f>IF([95]Source!BI2527=4,J250,0)</f>
        <v>0</v>
      </c>
    </row>
    <row r="252" spans="1:27" ht="178.15" customHeight="1" x14ac:dyDescent="0.25">
      <c r="A252" s="691">
        <v>31</v>
      </c>
      <c r="B252" s="691" t="str">
        <f>[95]Source!E2531</f>
        <v>350</v>
      </c>
      <c r="C252" s="692" t="str">
        <f>[95]Source!F2531</f>
        <v>МКЭ-33-1005/8-1 от 26.07.2018г.</v>
      </c>
      <c r="D252" s="692" t="s">
        <v>495</v>
      </c>
      <c r="E252" s="693" t="str">
        <f>[95]Source!H2531</f>
        <v>шт.</v>
      </c>
      <c r="F252" s="694">
        <f>[95]Source!I2531</f>
        <v>4</v>
      </c>
      <c r="G252" s="697">
        <f>J252/F252</f>
        <v>2696.12</v>
      </c>
      <c r="H252" s="696"/>
      <c r="I252" s="694">
        <f>[95]Source!AW2528</f>
        <v>1</v>
      </c>
      <c r="J252" s="697">
        <f>L252/K252</f>
        <v>10784.46</v>
      </c>
      <c r="K252" s="694">
        <v>5.58</v>
      </c>
      <c r="L252" s="697">
        <f>14749.33*1.02*F252</f>
        <v>60177.27</v>
      </c>
      <c r="Q252" s="718">
        <f>ROUND(([95]Source!DN2531/100)*ROUND((ROUND(([95]Source!AF2531*[95]Source!AV2531*[95]Source!I2531),2)),2), 2)</f>
        <v>0</v>
      </c>
      <c r="R252" s="718">
        <f>[95]Source!X2531</f>
        <v>0</v>
      </c>
      <c r="S252" s="718">
        <f>ROUND(([95]Source!DO2531/100)*ROUND((ROUND(([95]Source!AF2531*[95]Source!AV2531*[95]Source!I2531),2)),2), 2)</f>
        <v>0</v>
      </c>
      <c r="T252" s="718">
        <f>[95]Source!Y2531</f>
        <v>0</v>
      </c>
      <c r="U252" s="718">
        <f>ROUND((175/100)*ROUND((ROUND(([95]Source!AE2531*[95]Source!AV2531*[95]Source!I2531),2)),2), 2)</f>
        <v>0</v>
      </c>
      <c r="V252" s="718">
        <f>ROUND((157/100)*ROUND(ROUND((ROUND(([95]Source!AE2531*[95]Source!AV2531*[95]Source!I2531),2)*[95]Source!BS2531),2), 2), 2)</f>
        <v>0</v>
      </c>
    </row>
    <row r="253" spans="1:27" ht="14.25" x14ac:dyDescent="0.2">
      <c r="A253" s="737"/>
      <c r="B253" s="737"/>
      <c r="C253" s="737"/>
      <c r="D253" s="737"/>
      <c r="E253" s="737"/>
      <c r="F253" s="737"/>
      <c r="G253" s="737"/>
      <c r="H253" s="737"/>
      <c r="I253" s="1067">
        <f>J252</f>
        <v>10784.46</v>
      </c>
      <c r="J253" s="1067"/>
      <c r="K253" s="1067">
        <f>L252</f>
        <v>60177.27</v>
      </c>
      <c r="L253" s="1067"/>
      <c r="O253" s="736">
        <f>J252</f>
        <v>10784.46</v>
      </c>
      <c r="P253" s="736">
        <f>L252</f>
        <v>60177.27</v>
      </c>
      <c r="X253" s="718">
        <f>IF([95]Source!BI2531&lt;=1,J252-0, 0)</f>
        <v>10784.46</v>
      </c>
      <c r="Y253" s="718">
        <f>IF([95]Source!BI2531=2,J252-0, 0)</f>
        <v>0</v>
      </c>
      <c r="Z253" s="718">
        <f>IF([95]Source!BI2531=3,J252-0, 0)</f>
        <v>0</v>
      </c>
      <c r="AA253" s="718">
        <f>IF([95]Source!BI2531=4,J252,0)</f>
        <v>0</v>
      </c>
    </row>
    <row r="254" spans="1:27" ht="184.15" customHeight="1" x14ac:dyDescent="0.25">
      <c r="A254" s="691">
        <v>32</v>
      </c>
      <c r="B254" s="691" t="str">
        <f>[95]Source!E2539</f>
        <v>354</v>
      </c>
      <c r="C254" s="692" t="str">
        <f>[95]Source!F2539</f>
        <v>МКЭ-33-1005/8-1 от 26.07.2018г.</v>
      </c>
      <c r="D254" s="692" t="s">
        <v>496</v>
      </c>
      <c r="E254" s="693" t="str">
        <f>[95]Source!H2539</f>
        <v>шт.</v>
      </c>
      <c r="F254" s="694">
        <f>[95]Source!I2539</f>
        <v>1</v>
      </c>
      <c r="G254" s="697">
        <f>J254/F254</f>
        <v>2749.89</v>
      </c>
      <c r="H254" s="696"/>
      <c r="I254" s="694">
        <f>[95]Source!AW2530</f>
        <v>1</v>
      </c>
      <c r="J254" s="697">
        <f>L254/K254</f>
        <v>2749.89</v>
      </c>
      <c r="K254" s="694">
        <v>5.58</v>
      </c>
      <c r="L254" s="697">
        <f>15043.53*1.02*F254</f>
        <v>15344.4</v>
      </c>
      <c r="Q254" s="718">
        <f>ROUND(([95]Source!DN2539/100)*ROUND((ROUND(([95]Source!AF2539*[95]Source!AV2539*[95]Source!I2539),2)),2), 2)</f>
        <v>0</v>
      </c>
      <c r="R254" s="718">
        <f>[95]Source!X2539</f>
        <v>0</v>
      </c>
      <c r="S254" s="718">
        <f>ROUND(([95]Source!DO2539/100)*ROUND((ROUND(([95]Source!AF2539*[95]Source!AV2539*[95]Source!I2539),2)),2), 2)</f>
        <v>0</v>
      </c>
      <c r="T254" s="718">
        <f>[95]Source!Y2539</f>
        <v>0</v>
      </c>
      <c r="U254" s="718">
        <f>ROUND((175/100)*ROUND((ROUND(([95]Source!AE2539*[95]Source!AV2539*[95]Source!I2539),2)),2), 2)</f>
        <v>0</v>
      </c>
      <c r="V254" s="718">
        <f>ROUND((157/100)*ROUND(ROUND((ROUND(([95]Source!AE2539*[95]Source!AV2539*[95]Source!I2539),2)*[95]Source!BS2539),2), 2), 2)</f>
        <v>0</v>
      </c>
    </row>
    <row r="255" spans="1:27" ht="14.25" x14ac:dyDescent="0.2">
      <c r="A255" s="737"/>
      <c r="B255" s="737"/>
      <c r="C255" s="737"/>
      <c r="D255" s="737"/>
      <c r="E255" s="737"/>
      <c r="F255" s="737"/>
      <c r="G255" s="737"/>
      <c r="H255" s="737"/>
      <c r="I255" s="1067">
        <f>J254</f>
        <v>2749.89</v>
      </c>
      <c r="J255" s="1067"/>
      <c r="K255" s="1067">
        <f>L254</f>
        <v>15344.4</v>
      </c>
      <c r="L255" s="1067"/>
      <c r="O255" s="736">
        <f>J254</f>
        <v>2749.89</v>
      </c>
      <c r="P255" s="736">
        <f>L254</f>
        <v>15344.4</v>
      </c>
      <c r="X255" s="718">
        <f>IF([95]Source!BI2539&lt;=1,J254-0, 0)</f>
        <v>2749.89</v>
      </c>
      <c r="Y255" s="718">
        <f>IF([95]Source!BI2539=2,J254-0, 0)</f>
        <v>0</v>
      </c>
      <c r="Z255" s="718">
        <f>IF([95]Source!BI2539=3,J254-0, 0)</f>
        <v>0</v>
      </c>
      <c r="AA255" s="718">
        <f>IF([95]Source!BI2539=4,J254,0)</f>
        <v>0</v>
      </c>
    </row>
    <row r="256" spans="1:27" ht="175.15" customHeight="1" x14ac:dyDescent="0.25">
      <c r="A256" s="691">
        <v>33</v>
      </c>
      <c r="B256" s="691" t="str">
        <f>[95]Source!E2543</f>
        <v>356</v>
      </c>
      <c r="C256" s="692" t="str">
        <f>[95]Source!F2543</f>
        <v>МКЭ-33-1005/8-1 от 26.07.2018г.</v>
      </c>
      <c r="D256" s="692" t="s">
        <v>497</v>
      </c>
      <c r="E256" s="693" t="str">
        <f>[95]Source!H2543</f>
        <v>шт.</v>
      </c>
      <c r="F256" s="694">
        <f>[95]Source!I2543</f>
        <v>1</v>
      </c>
      <c r="G256" s="697">
        <f>J256/F256</f>
        <v>2670.96</v>
      </c>
      <c r="H256" s="696"/>
      <c r="I256" s="694">
        <f>[95]Source!AW2532</f>
        <v>1</v>
      </c>
      <c r="J256" s="697">
        <f>L256/K256</f>
        <v>2670.96</v>
      </c>
      <c r="K256" s="694">
        <v>5.58</v>
      </c>
      <c r="L256" s="697">
        <f>14611.73*1.02*F256</f>
        <v>14903.96</v>
      </c>
      <c r="Q256" s="718">
        <f>ROUND(([95]Source!DN2543/100)*ROUND((ROUND(([95]Source!AF2543*[95]Source!AV2543*[95]Source!I2543),2)),2), 2)</f>
        <v>0</v>
      </c>
      <c r="R256" s="718">
        <f>[95]Source!X2543</f>
        <v>0</v>
      </c>
      <c r="S256" s="718">
        <f>ROUND(([95]Source!DO2543/100)*ROUND((ROUND(([95]Source!AF2543*[95]Source!AV2543*[95]Source!I2543),2)),2), 2)</f>
        <v>0</v>
      </c>
      <c r="T256" s="718">
        <f>[95]Source!Y2543</f>
        <v>0</v>
      </c>
      <c r="U256" s="718">
        <f>ROUND((175/100)*ROUND((ROUND(([95]Source!AE2543*[95]Source!AV2543*[95]Source!I2543),2)),2), 2)</f>
        <v>0</v>
      </c>
      <c r="V256" s="718">
        <f>ROUND((157/100)*ROUND(ROUND((ROUND(([95]Source!AE2543*[95]Source!AV2543*[95]Source!I2543),2)*[95]Source!BS2543),2), 2), 2)</f>
        <v>0</v>
      </c>
    </row>
    <row r="257" spans="1:27" ht="14.25" x14ac:dyDescent="0.2">
      <c r="A257" s="737"/>
      <c r="B257" s="737"/>
      <c r="C257" s="737"/>
      <c r="D257" s="737"/>
      <c r="E257" s="737"/>
      <c r="F257" s="737"/>
      <c r="G257" s="737"/>
      <c r="H257" s="737"/>
      <c r="I257" s="1067">
        <f>J256</f>
        <v>2670.96</v>
      </c>
      <c r="J257" s="1067"/>
      <c r="K257" s="1067">
        <f>L256</f>
        <v>14903.96</v>
      </c>
      <c r="L257" s="1067"/>
      <c r="O257" s="736">
        <f>J256</f>
        <v>2670.96</v>
      </c>
      <c r="P257" s="736">
        <f>L256</f>
        <v>14903.96</v>
      </c>
      <c r="X257" s="718">
        <f>IF([95]Source!BI2543&lt;=1,J256-0, 0)</f>
        <v>2670.96</v>
      </c>
      <c r="Y257" s="718">
        <f>IF([95]Source!BI2543=2,J256-0, 0)</f>
        <v>0</v>
      </c>
      <c r="Z257" s="718">
        <f>IF([95]Source!BI2543=3,J256-0, 0)</f>
        <v>0</v>
      </c>
      <c r="AA257" s="718">
        <f>IF([95]Source!BI2543=4,J256,0)</f>
        <v>0</v>
      </c>
    </row>
    <row r="258" spans="1:27" ht="45" x14ac:dyDescent="0.25">
      <c r="A258" s="691">
        <v>34</v>
      </c>
      <c r="B258" s="691" t="str">
        <f>[95]Source!E2559</f>
        <v>364</v>
      </c>
      <c r="C258" s="692" t="str">
        <f>[95]Source!F2559</f>
        <v>3.20-11-16</v>
      </c>
      <c r="D258" s="692" t="s">
        <v>498</v>
      </c>
      <c r="E258" s="693" t="str">
        <f>[95]Source!H2559</f>
        <v>1 клапан</v>
      </c>
      <c r="F258" s="694">
        <f>[95]Source!I2559</f>
        <v>2</v>
      </c>
      <c r="G258" s="695"/>
      <c r="H258" s="696"/>
      <c r="I258" s="694"/>
      <c r="J258" s="697"/>
      <c r="K258" s="694"/>
      <c r="L258" s="697"/>
      <c r="Q258" s="718">
        <f>ROUND(([95]Source!DN2559/100)*ROUND((ROUND(([95]Source!AF2559*[95]Source!AV2559*[95]Source!I2559),2)),2), 2)</f>
        <v>296.5</v>
      </c>
      <c r="R258" s="718">
        <f>[95]Source!X2559</f>
        <v>5747.36</v>
      </c>
      <c r="S258" s="718">
        <f>ROUND(([95]Source!DO2559/100)*ROUND((ROUND(([95]Source!AF2559*[95]Source!AV2559*[95]Source!I2559),2)),2), 2)</f>
        <v>222.97</v>
      </c>
      <c r="T258" s="718">
        <f>[95]Source!Y2559</f>
        <v>2586.31</v>
      </c>
      <c r="U258" s="718">
        <f>ROUND((175/100)*ROUND((ROUND(([95]Source!AE2559*[95]Source!AV2559*[95]Source!I2559),2)),2), 2)</f>
        <v>11.53</v>
      </c>
      <c r="V258" s="718">
        <f>ROUND((157/100)*ROUND(ROUND((ROUND(([95]Source!AE2559*[95]Source!AV2559*[95]Source!I2559),2)*[95]Source!BS2559),2), 2), 2)</f>
        <v>250.7</v>
      </c>
    </row>
    <row r="259" spans="1:27" ht="15" x14ac:dyDescent="0.25">
      <c r="A259" s="691"/>
      <c r="B259" s="691"/>
      <c r="C259" s="692"/>
      <c r="D259" s="692" t="s">
        <v>84</v>
      </c>
      <c r="E259" s="693"/>
      <c r="F259" s="694"/>
      <c r="G259" s="695">
        <f>[95]Source!AO2559</f>
        <v>63.39</v>
      </c>
      <c r="H259" s="696" t="str">
        <f>[95]Source!DG2559</f>
        <v>)*1,05)*1,67</v>
      </c>
      <c r="I259" s="694">
        <f>[95]Source!AV2559</f>
        <v>1.0669999999999999</v>
      </c>
      <c r="J259" s="697">
        <f>ROUND((ROUND(([95]Source!AF2559*[95]Source!AV2559*[95]Source!I2559),2)),2)</f>
        <v>237.2</v>
      </c>
      <c r="K259" s="694">
        <f>IF([95]Source!BA2559&lt;&gt; 0, [95]Source!BA2559, 1)</f>
        <v>24.23</v>
      </c>
      <c r="L259" s="697">
        <f>[95]Source!S2559</f>
        <v>5747.36</v>
      </c>
      <c r="W259" s="718">
        <f>J259</f>
        <v>237.2</v>
      </c>
    </row>
    <row r="260" spans="1:27" ht="15" x14ac:dyDescent="0.25">
      <c r="A260" s="691"/>
      <c r="B260" s="691"/>
      <c r="C260" s="692"/>
      <c r="D260" s="692" t="s">
        <v>85</v>
      </c>
      <c r="E260" s="693"/>
      <c r="F260" s="694"/>
      <c r="G260" s="695">
        <f>[95]Source!AM2559</f>
        <v>7.44</v>
      </c>
      <c r="H260" s="696" t="str">
        <f>[95]Source!DE2559</f>
        <v>)*1,05</v>
      </c>
      <c r="I260" s="694">
        <f>[95]Source!AV2559</f>
        <v>1.0669999999999999</v>
      </c>
      <c r="J260" s="697">
        <f>(ROUND((ROUND(((([95]Source!ET2559*1.05))*[95]Source!AV2559*[95]Source!I2559),2)),2)+ROUND((ROUND((([95]Source!AE2559-(([95]Source!EU2559*1.05)))*[95]Source!AV2559*[95]Source!I2559),2)),2))-J269</f>
        <v>16.670000000000002</v>
      </c>
      <c r="K260" s="694">
        <f>IF([95]Source!BB2559&lt;&gt; 0, [95]Source!BB2559, 1)</f>
        <v>9.98</v>
      </c>
      <c r="L260" s="697">
        <f>[95]Source!Q2559-L269</f>
        <v>166.32</v>
      </c>
    </row>
    <row r="261" spans="1:27" ht="15" x14ac:dyDescent="0.25">
      <c r="A261" s="691"/>
      <c r="B261" s="691"/>
      <c r="C261" s="692"/>
      <c r="D261" s="692" t="s">
        <v>86</v>
      </c>
      <c r="E261" s="693"/>
      <c r="F261" s="694"/>
      <c r="G261" s="695">
        <f>[95]Source!AN2559</f>
        <v>1.76</v>
      </c>
      <c r="H261" s="696" t="str">
        <f>[95]Source!DE2559</f>
        <v>)*1,05</v>
      </c>
      <c r="I261" s="694">
        <f>[95]Source!AV2559</f>
        <v>1.0669999999999999</v>
      </c>
      <c r="J261" s="700">
        <f>ROUND((ROUND(([95]Source!AE2559*[95]Source!AV2559*[95]Source!I2559),2)),2)-J270</f>
        <v>3.95</v>
      </c>
      <c r="K261" s="694">
        <f>IF([95]Source!BS2559&lt;&gt; 0, [95]Source!BS2559, 1)</f>
        <v>24.23</v>
      </c>
      <c r="L261" s="700">
        <f>[95]Source!R2559-L270</f>
        <v>95.66</v>
      </c>
      <c r="W261" s="718">
        <f>J261</f>
        <v>3.95</v>
      </c>
    </row>
    <row r="262" spans="1:27" ht="15" x14ac:dyDescent="0.25">
      <c r="A262" s="691"/>
      <c r="B262" s="691"/>
      <c r="C262" s="692"/>
      <c r="D262" s="692" t="s">
        <v>87</v>
      </c>
      <c r="E262" s="693"/>
      <c r="F262" s="694"/>
      <c r="G262" s="695">
        <f>[95]Source!AL2559</f>
        <v>24.35</v>
      </c>
      <c r="H262" s="696" t="str">
        <f>[95]Source!DD2559</f>
        <v/>
      </c>
      <c r="I262" s="694">
        <f>[95]Source!AW2559</f>
        <v>1</v>
      </c>
      <c r="J262" s="697">
        <f>ROUND((ROUND(([95]Source!AC2559*[95]Source!AW2559*[95]Source!I2559),2)),2)</f>
        <v>48.7</v>
      </c>
      <c r="K262" s="694">
        <f>IF([95]Source!BC2559&lt;&gt; 0, [95]Source!BC2559, 1)</f>
        <v>7.3</v>
      </c>
      <c r="L262" s="697">
        <f>[95]Source!P2559</f>
        <v>355.51</v>
      </c>
    </row>
    <row r="263" spans="1:27" ht="15" x14ac:dyDescent="0.25">
      <c r="A263" s="691"/>
      <c r="B263" s="691"/>
      <c r="C263" s="692"/>
      <c r="D263" s="692" t="s">
        <v>88</v>
      </c>
      <c r="E263" s="693" t="s">
        <v>89</v>
      </c>
      <c r="F263" s="694">
        <f>[95]Source!DN2559</f>
        <v>125</v>
      </c>
      <c r="G263" s="695"/>
      <c r="H263" s="696"/>
      <c r="I263" s="694"/>
      <c r="J263" s="697">
        <f>SUM(Q258:Q262)</f>
        <v>296.5</v>
      </c>
      <c r="K263" s="694">
        <f>[95]Source!BZ2559</f>
        <v>100</v>
      </c>
      <c r="L263" s="697">
        <f>SUM(R258:R262)</f>
        <v>5747.36</v>
      </c>
    </row>
    <row r="264" spans="1:27" ht="15" x14ac:dyDescent="0.25">
      <c r="A264" s="691"/>
      <c r="B264" s="691"/>
      <c r="C264" s="692"/>
      <c r="D264" s="692" t="s">
        <v>90</v>
      </c>
      <c r="E264" s="693" t="s">
        <v>89</v>
      </c>
      <c r="F264" s="694">
        <f>[95]Source!DO2559</f>
        <v>94</v>
      </c>
      <c r="G264" s="695"/>
      <c r="H264" s="696"/>
      <c r="I264" s="694"/>
      <c r="J264" s="697">
        <f>SUM(S258:S263)</f>
        <v>222.97</v>
      </c>
      <c r="K264" s="694">
        <f>[95]Source!CA2559</f>
        <v>45</v>
      </c>
      <c r="L264" s="697">
        <f>SUM(T258:T263)</f>
        <v>2586.31</v>
      </c>
    </row>
    <row r="265" spans="1:27" ht="15" x14ac:dyDescent="0.25">
      <c r="A265" s="691"/>
      <c r="B265" s="691"/>
      <c r="C265" s="692"/>
      <c r="D265" s="692" t="s">
        <v>91</v>
      </c>
      <c r="E265" s="693" t="s">
        <v>89</v>
      </c>
      <c r="F265" s="694">
        <f>175</f>
        <v>175</v>
      </c>
      <c r="G265" s="695"/>
      <c r="H265" s="696"/>
      <c r="I265" s="694"/>
      <c r="J265" s="697">
        <f>SUM(U258:U264)-J271</f>
        <v>6.91</v>
      </c>
      <c r="K265" s="694">
        <f>157</f>
        <v>157</v>
      </c>
      <c r="L265" s="697">
        <f>SUM(V258:V264)-L271</f>
        <v>150.19</v>
      </c>
    </row>
    <row r="266" spans="1:27" ht="15" x14ac:dyDescent="0.25">
      <c r="A266" s="691"/>
      <c r="B266" s="691"/>
      <c r="C266" s="692"/>
      <c r="D266" s="692" t="s">
        <v>92</v>
      </c>
      <c r="E266" s="693" t="s">
        <v>93</v>
      </c>
      <c r="F266" s="694">
        <f>[95]Source!AQ2559</f>
        <v>5.46</v>
      </c>
      <c r="G266" s="695"/>
      <c r="H266" s="696" t="str">
        <f>[95]Source!DI2559</f>
        <v>)*1,05</v>
      </c>
      <c r="I266" s="694">
        <f>[95]Source!AV2559</f>
        <v>1.0669999999999999</v>
      </c>
      <c r="J266" s="697">
        <f>[95]Source!U2559</f>
        <v>12.23</v>
      </c>
      <c r="K266" s="694"/>
      <c r="L266" s="697"/>
    </row>
    <row r="267" spans="1:27" ht="14.25" x14ac:dyDescent="0.2">
      <c r="I267" s="1067">
        <f>J259+J260+J262+J263+J264+J265</f>
        <v>828.95</v>
      </c>
      <c r="J267" s="1067"/>
      <c r="K267" s="1067">
        <f>L259+L260+L262+L263+L264+L265</f>
        <v>14753.05</v>
      </c>
      <c r="L267" s="1067"/>
      <c r="O267" s="736">
        <f>J259+J260+J262+J263+J264+J265</f>
        <v>828.95</v>
      </c>
      <c r="P267" s="736">
        <f>L259+L260+L262+L263+L264+L265</f>
        <v>14753.05</v>
      </c>
      <c r="X267" s="718">
        <f>IF([95]Source!BI2559&lt;=1,J259+J260+J262+J263+J264+J265-0, 0)</f>
        <v>828.95</v>
      </c>
      <c r="Y267" s="718">
        <f>IF([95]Source!BI2559=2,J259+J260+J262+J263+J264+J265-0, 0)</f>
        <v>0</v>
      </c>
      <c r="Z267" s="718">
        <f>IF([95]Source!BI2559=3,J259+J260+J262+J263+J264+J265-0, 0)</f>
        <v>0</v>
      </c>
      <c r="AA267" s="718">
        <f>IF([95]Source!BI2559=4,J259+J260+J262+J263+J264+J265,0)</f>
        <v>0</v>
      </c>
    </row>
    <row r="268" spans="1:27" ht="30" x14ac:dyDescent="0.25">
      <c r="A268" s="701"/>
      <c r="B268" s="701"/>
      <c r="C268" s="702"/>
      <c r="D268" s="702" t="s">
        <v>94</v>
      </c>
      <c r="E268" s="693"/>
      <c r="F268" s="703"/>
      <c r="G268" s="704"/>
      <c r="H268" s="693"/>
      <c r="I268" s="703"/>
      <c r="J268" s="700"/>
      <c r="K268" s="703"/>
      <c r="L268" s="700"/>
    </row>
    <row r="269" spans="1:27" ht="15" x14ac:dyDescent="0.25">
      <c r="A269" s="701"/>
      <c r="B269" s="701"/>
      <c r="C269" s="702"/>
      <c r="D269" s="702" t="s">
        <v>85</v>
      </c>
      <c r="E269" s="693"/>
      <c r="F269" s="703"/>
      <c r="G269" s="704">
        <f t="shared" ref="G269:L269" si="10">G270</f>
        <v>1.76</v>
      </c>
      <c r="H269" s="705" t="str">
        <f t="shared" si="10"/>
        <v>)*(1.67-1)*1.05</v>
      </c>
      <c r="I269" s="703">
        <f t="shared" si="10"/>
        <v>1.0669999999999999</v>
      </c>
      <c r="J269" s="700">
        <f t="shared" si="10"/>
        <v>2.64</v>
      </c>
      <c r="K269" s="703">
        <f t="shared" si="10"/>
        <v>24.23</v>
      </c>
      <c r="L269" s="700">
        <f t="shared" si="10"/>
        <v>64.02</v>
      </c>
    </row>
    <row r="270" spans="1:27" ht="15" x14ac:dyDescent="0.25">
      <c r="A270" s="701"/>
      <c r="B270" s="701"/>
      <c r="C270" s="702"/>
      <c r="D270" s="702" t="s">
        <v>86</v>
      </c>
      <c r="E270" s="693"/>
      <c r="F270" s="703"/>
      <c r="G270" s="704">
        <f>[95]Source!AN2559</f>
        <v>1.76</v>
      </c>
      <c r="H270" s="705" t="s">
        <v>491</v>
      </c>
      <c r="I270" s="703">
        <f>[95]Source!AV2559</f>
        <v>1.0669999999999999</v>
      </c>
      <c r="J270" s="700">
        <f>ROUND(F258*G270*I270*(1.67-1)*1.05, 2)</f>
        <v>2.64</v>
      </c>
      <c r="K270" s="703">
        <f>IF([95]Source!BS2559&lt;&gt; 0, [95]Source!BS2559, 1)</f>
        <v>24.23</v>
      </c>
      <c r="L270" s="700">
        <f>ROUND(F258*G270*I270*(1.67-1)*1.05*K270, 2)</f>
        <v>64.02</v>
      </c>
      <c r="W270" s="718">
        <f>J270</f>
        <v>2.64</v>
      </c>
    </row>
    <row r="271" spans="1:27" ht="15" x14ac:dyDescent="0.25">
      <c r="A271" s="701"/>
      <c r="B271" s="701"/>
      <c r="C271" s="702"/>
      <c r="D271" s="702" t="s">
        <v>91</v>
      </c>
      <c r="E271" s="693" t="s">
        <v>89</v>
      </c>
      <c r="F271" s="703">
        <f>175</f>
        <v>175</v>
      </c>
      <c r="G271" s="704"/>
      <c r="H271" s="693"/>
      <c r="I271" s="703"/>
      <c r="J271" s="700">
        <f>ROUND(J270*(F271/100), 2)</f>
        <v>4.62</v>
      </c>
      <c r="K271" s="703">
        <f>157</f>
        <v>157</v>
      </c>
      <c r="L271" s="700">
        <f>ROUND(L270*(K271/100), 2)</f>
        <v>100.51</v>
      </c>
    </row>
    <row r="272" spans="1:27" ht="14.25" x14ac:dyDescent="0.2">
      <c r="I272" s="1067">
        <f>J271+J270</f>
        <v>7.26</v>
      </c>
      <c r="J272" s="1067"/>
      <c r="K272" s="1067">
        <f>L271+L270</f>
        <v>164.53</v>
      </c>
      <c r="L272" s="1067"/>
      <c r="O272" s="736">
        <f>I272</f>
        <v>7.26</v>
      </c>
      <c r="P272" s="736">
        <f>K272</f>
        <v>164.53</v>
      </c>
      <c r="X272" s="718">
        <f>IF([95]Source!BI2559&lt;=1,I272, 0)</f>
        <v>7.26</v>
      </c>
      <c r="Y272" s="718">
        <f>IF([95]Source!BI2559=2,I272, 0)</f>
        <v>0</v>
      </c>
      <c r="Z272" s="718">
        <f>IF([95]Source!BI2559=3,I272, 0)</f>
        <v>0</v>
      </c>
      <c r="AA272" s="718">
        <f>IF([95]Source!BI2559=4,I272, 0)</f>
        <v>0</v>
      </c>
    </row>
    <row r="274" spans="1:27" ht="15" x14ac:dyDescent="0.25">
      <c r="A274" s="706"/>
      <c r="B274" s="706"/>
      <c r="C274" s="707"/>
      <c r="D274" s="707" t="s">
        <v>96</v>
      </c>
      <c r="E274" s="708"/>
      <c r="F274" s="709"/>
      <c r="G274" s="710"/>
      <c r="H274" s="711"/>
      <c r="I274" s="1067">
        <f>I267+I272</f>
        <v>836.21</v>
      </c>
      <c r="J274" s="1067"/>
      <c r="K274" s="1067">
        <f>K267+K272</f>
        <v>14917.58</v>
      </c>
      <c r="L274" s="1067"/>
    </row>
    <row r="275" spans="1:27" ht="240" x14ac:dyDescent="0.25">
      <c r="A275" s="691">
        <v>35</v>
      </c>
      <c r="B275" s="691" t="str">
        <f>[95]Source!E2563</f>
        <v>366</v>
      </c>
      <c r="C275" s="692" t="str">
        <f>[95]Source!F2563</f>
        <v>МКЭ-33-1714/7-1 от 14.09.2017г.</v>
      </c>
      <c r="D275" s="692" t="s">
        <v>499</v>
      </c>
      <c r="E275" s="693" t="str">
        <f>[95]Source!H2563</f>
        <v>шт.</v>
      </c>
      <c r="F275" s="694">
        <f>[95]Source!I2563</f>
        <v>1</v>
      </c>
      <c r="G275" s="697">
        <f>J275/F275</f>
        <v>2799.41</v>
      </c>
      <c r="H275" s="696"/>
      <c r="I275" s="694">
        <f>[95]Source!AW2551</f>
        <v>1</v>
      </c>
      <c r="J275" s="697">
        <f>L275/K275</f>
        <v>2799.41</v>
      </c>
      <c r="K275" s="694">
        <v>5.58</v>
      </c>
      <c r="L275" s="697">
        <f>15314.39*1.02*F275</f>
        <v>15620.68</v>
      </c>
      <c r="Q275" s="718">
        <f>ROUND(([95]Source!DN2563/100)*ROUND((ROUND(([95]Source!AF2563*[95]Source!AV2563*[95]Source!I2563),2)),2), 2)</f>
        <v>0</v>
      </c>
      <c r="R275" s="718">
        <f>[95]Source!X2563</f>
        <v>0</v>
      </c>
      <c r="S275" s="718">
        <f>ROUND(([95]Source!DO2563/100)*ROUND((ROUND(([95]Source!AF2563*[95]Source!AV2563*[95]Source!I2563),2)),2), 2)</f>
        <v>0</v>
      </c>
      <c r="T275" s="718">
        <f>[95]Source!Y2563</f>
        <v>0</v>
      </c>
      <c r="U275" s="718">
        <f>ROUND((175/100)*ROUND((ROUND(([95]Source!AE2563*[95]Source!AV2563*[95]Source!I2563),2)),2), 2)</f>
        <v>0</v>
      </c>
      <c r="V275" s="718">
        <f>ROUND((157/100)*ROUND(ROUND((ROUND(([95]Source!AE2563*[95]Source!AV2563*[95]Source!I2563),2)*[95]Source!BS2563),2), 2), 2)</f>
        <v>0</v>
      </c>
    </row>
    <row r="276" spans="1:27" ht="14.25" x14ac:dyDescent="0.2">
      <c r="A276" s="737"/>
      <c r="B276" s="737"/>
      <c r="C276" s="737"/>
      <c r="D276" s="737"/>
      <c r="E276" s="737"/>
      <c r="F276" s="737"/>
      <c r="G276" s="737"/>
      <c r="H276" s="737"/>
      <c r="I276" s="1067">
        <f>J275</f>
        <v>2799.41</v>
      </c>
      <c r="J276" s="1067"/>
      <c r="K276" s="1067">
        <f>L275</f>
        <v>15620.68</v>
      </c>
      <c r="L276" s="1067"/>
      <c r="O276" s="736">
        <f>J275</f>
        <v>2799.41</v>
      </c>
      <c r="P276" s="736">
        <f>L275</f>
        <v>15620.68</v>
      </c>
      <c r="X276" s="718">
        <f>IF([95]Source!BI2563&lt;=1,J275-0, 0)</f>
        <v>2799.41</v>
      </c>
      <c r="Y276" s="718">
        <f>IF([95]Source!BI2563=2,J275-0, 0)</f>
        <v>0</v>
      </c>
      <c r="Z276" s="718">
        <f>IF([95]Source!BI2563=3,J275-0, 0)</f>
        <v>0</v>
      </c>
      <c r="AA276" s="718">
        <f>IF([95]Source!BI2563=4,J275,0)</f>
        <v>0</v>
      </c>
    </row>
    <row r="277" spans="1:27" ht="222.6" customHeight="1" x14ac:dyDescent="0.25">
      <c r="A277" s="691">
        <v>36</v>
      </c>
      <c r="B277" s="691" t="str">
        <f>[95]Source!E2577</f>
        <v>373</v>
      </c>
      <c r="C277" s="692" t="str">
        <f>[95]Source!F2577</f>
        <v>МКЭ-33-1714/7-1 от 14.09.2017г.</v>
      </c>
      <c r="D277" s="692" t="s">
        <v>500</v>
      </c>
      <c r="E277" s="693" t="str">
        <f>[95]Source!H2577</f>
        <v>шт.</v>
      </c>
      <c r="F277" s="694">
        <f>[95]Source!I2577</f>
        <v>1</v>
      </c>
      <c r="G277" s="697">
        <f>J277/F277</f>
        <v>3014.71</v>
      </c>
      <c r="H277" s="696"/>
      <c r="I277" s="694">
        <f>[95]Source!AW2553</f>
        <v>1</v>
      </c>
      <c r="J277" s="697">
        <f>L277/K277</f>
        <v>3014.71</v>
      </c>
      <c r="K277" s="694">
        <v>5.58</v>
      </c>
      <c r="L277" s="697">
        <f>16492.25*1.02*F277</f>
        <v>16822.099999999999</v>
      </c>
      <c r="Q277" s="718">
        <f>ROUND(([95]Source!DN2577/100)*ROUND((ROUND(([95]Source!AF2577*[95]Source!AV2577*[95]Source!I2577),2)),2), 2)</f>
        <v>0</v>
      </c>
      <c r="R277" s="718">
        <f>[95]Source!X2577</f>
        <v>0</v>
      </c>
      <c r="S277" s="718">
        <f>ROUND(([95]Source!DO2577/100)*ROUND((ROUND(([95]Source!AF2577*[95]Source!AV2577*[95]Source!I2577),2)),2), 2)</f>
        <v>0</v>
      </c>
      <c r="T277" s="718">
        <f>[95]Source!Y2577</f>
        <v>0</v>
      </c>
      <c r="U277" s="718">
        <f>ROUND((175/100)*ROUND((ROUND(([95]Source!AE2577*[95]Source!AV2577*[95]Source!I2577),2)),2), 2)</f>
        <v>0</v>
      </c>
      <c r="V277" s="718">
        <f>ROUND((157/100)*ROUND(ROUND((ROUND(([95]Source!AE2577*[95]Source!AV2577*[95]Source!I2577),2)*[95]Source!BS2577),2), 2), 2)</f>
        <v>0</v>
      </c>
    </row>
    <row r="278" spans="1:27" ht="14.25" x14ac:dyDescent="0.2">
      <c r="A278" s="737"/>
      <c r="B278" s="737"/>
      <c r="C278" s="737"/>
      <c r="D278" s="737"/>
      <c r="E278" s="737"/>
      <c r="F278" s="737"/>
      <c r="G278" s="737"/>
      <c r="H278" s="737"/>
      <c r="I278" s="1067">
        <f>J277</f>
        <v>3014.71</v>
      </c>
      <c r="J278" s="1067"/>
      <c r="K278" s="1067">
        <f>L277</f>
        <v>16822.099999999999</v>
      </c>
      <c r="L278" s="1067"/>
      <c r="O278" s="736">
        <f>J277</f>
        <v>3014.71</v>
      </c>
      <c r="P278" s="736">
        <f>L277</f>
        <v>16822.099999999999</v>
      </c>
      <c r="X278" s="718">
        <f>IF([95]Source!BI2577&lt;=1,J277-0, 0)</f>
        <v>3014.71</v>
      </c>
      <c r="Y278" s="718">
        <f>IF([95]Source!BI2577=2,J277-0, 0)</f>
        <v>0</v>
      </c>
      <c r="Z278" s="718">
        <f>IF([95]Source!BI2577=3,J277-0, 0)</f>
        <v>0</v>
      </c>
      <c r="AA278" s="718">
        <f>IF([95]Source!BI2577=4,J277,0)</f>
        <v>0</v>
      </c>
    </row>
    <row r="279" spans="1:27" ht="45" x14ac:dyDescent="0.25">
      <c r="A279" s="691">
        <v>37</v>
      </c>
      <c r="B279" s="691" t="str">
        <f>[95]Source!E2599</f>
        <v>384</v>
      </c>
      <c r="C279" s="692" t="str">
        <f>[95]Source!F2599</f>
        <v>3.20-11-15</v>
      </c>
      <c r="D279" s="692" t="s">
        <v>490</v>
      </c>
      <c r="E279" s="693" t="str">
        <f>[95]Source!H2599</f>
        <v>1 клапан</v>
      </c>
      <c r="F279" s="694">
        <f>[95]Source!I2599</f>
        <v>1</v>
      </c>
      <c r="G279" s="695"/>
      <c r="H279" s="696"/>
      <c r="I279" s="694"/>
      <c r="J279" s="697"/>
      <c r="K279" s="694"/>
      <c r="L279" s="697"/>
      <c r="Q279" s="718">
        <f>ROUND(([95]Source!DN2599/100)*ROUND((ROUND(([95]Source!AF2599*[95]Source!AV2599*[95]Source!I2599),2)),2), 2)</f>
        <v>110.58</v>
      </c>
      <c r="R279" s="718">
        <f>[95]Source!X2599</f>
        <v>2143.39</v>
      </c>
      <c r="S279" s="718">
        <f>ROUND(([95]Source!DO2599/100)*ROUND((ROUND(([95]Source!AF2599*[95]Source!AV2599*[95]Source!I2599),2)),2), 2)</f>
        <v>83.15</v>
      </c>
      <c r="T279" s="718">
        <f>[95]Source!Y2599</f>
        <v>964.53</v>
      </c>
      <c r="U279" s="718">
        <f>ROUND((175/100)*ROUND((ROUND(([95]Source!AE2599*[95]Source!AV2599*[95]Source!I2599),2)),2), 2)</f>
        <v>1.1399999999999999</v>
      </c>
      <c r="V279" s="718">
        <f>ROUND((157/100)*ROUND(ROUND((ROUND(([95]Source!AE2599*[95]Source!AV2599*[95]Source!I2599),2)*[95]Source!BS2599),2), 2), 2)</f>
        <v>24.73</v>
      </c>
    </row>
    <row r="280" spans="1:27" ht="15" x14ac:dyDescent="0.25">
      <c r="A280" s="691"/>
      <c r="B280" s="691"/>
      <c r="C280" s="692"/>
      <c r="D280" s="692" t="s">
        <v>84</v>
      </c>
      <c r="E280" s="693"/>
      <c r="F280" s="694"/>
      <c r="G280" s="695">
        <f>[95]Source!AO2599</f>
        <v>47.28</v>
      </c>
      <c r="H280" s="696" t="str">
        <f>[95]Source!DG2599</f>
        <v>)*1,05)*1,67</v>
      </c>
      <c r="I280" s="694">
        <f>[95]Source!AV2599</f>
        <v>1.0669999999999999</v>
      </c>
      <c r="J280" s="697">
        <f>ROUND((ROUND(([95]Source!AF2599*[95]Source!AV2599*[95]Source!I2599),2)),2)</f>
        <v>88.46</v>
      </c>
      <c r="K280" s="694">
        <f>IF([95]Source!BA2599&lt;&gt; 0, [95]Source!BA2599, 1)</f>
        <v>24.23</v>
      </c>
      <c r="L280" s="697">
        <f>[95]Source!S2599</f>
        <v>2143.39</v>
      </c>
      <c r="W280" s="718">
        <f>J280</f>
        <v>88.46</v>
      </c>
    </row>
    <row r="281" spans="1:27" ht="15" x14ac:dyDescent="0.25">
      <c r="A281" s="691"/>
      <c r="B281" s="691"/>
      <c r="C281" s="692"/>
      <c r="D281" s="692" t="s">
        <v>85</v>
      </c>
      <c r="E281" s="693"/>
      <c r="F281" s="694"/>
      <c r="G281" s="695">
        <f>[95]Source!AM2599</f>
        <v>1.49</v>
      </c>
      <c r="H281" s="696" t="str">
        <f>[95]Source!DE2599</f>
        <v>)*1,05</v>
      </c>
      <c r="I281" s="694">
        <f>[95]Source!AV2599</f>
        <v>1.0669999999999999</v>
      </c>
      <c r="J281" s="697">
        <f>(ROUND((ROUND(((([95]Source!ET2599*1.05))*[95]Source!AV2599*[95]Source!I2599),2)),2)+ROUND((ROUND((([95]Source!AE2599-(([95]Source!EU2599*1.05)))*[95]Source!AV2599*[95]Source!I2599),2)),2))-J291</f>
        <v>1.67</v>
      </c>
      <c r="K281" s="694">
        <f>IF([95]Source!BB2599&lt;&gt; 0, [95]Source!BB2599, 1)</f>
        <v>9.9499999999999993</v>
      </c>
      <c r="L281" s="697">
        <f>[95]Source!Q2599-L291</f>
        <v>16.55</v>
      </c>
    </row>
    <row r="282" spans="1:27" ht="15" x14ac:dyDescent="0.25">
      <c r="A282" s="691"/>
      <c r="B282" s="691"/>
      <c r="C282" s="692"/>
      <c r="D282" s="692" t="s">
        <v>86</v>
      </c>
      <c r="E282" s="693"/>
      <c r="F282" s="694"/>
      <c r="G282" s="695">
        <f>[95]Source!AN2599</f>
        <v>0.35</v>
      </c>
      <c r="H282" s="696" t="str">
        <f>[95]Source!DE2599</f>
        <v>)*1,05</v>
      </c>
      <c r="I282" s="694">
        <f>[95]Source!AV2599</f>
        <v>1.0669999999999999</v>
      </c>
      <c r="J282" s="700">
        <f>ROUND((ROUND(([95]Source!AE2599*[95]Source!AV2599*[95]Source!I2599),2)),2)-J292</f>
        <v>0.39</v>
      </c>
      <c r="K282" s="694">
        <f>IF([95]Source!BS2599&lt;&gt; 0, [95]Source!BS2599, 1)</f>
        <v>24.23</v>
      </c>
      <c r="L282" s="700">
        <f>[95]Source!R2599-L292</f>
        <v>9.3800000000000008</v>
      </c>
      <c r="W282" s="718">
        <f>J282</f>
        <v>0.39</v>
      </c>
    </row>
    <row r="283" spans="1:27" ht="15" x14ac:dyDescent="0.25">
      <c r="A283" s="691"/>
      <c r="B283" s="691"/>
      <c r="C283" s="692"/>
      <c r="D283" s="692" t="s">
        <v>87</v>
      </c>
      <c r="E283" s="693"/>
      <c r="F283" s="694"/>
      <c r="G283" s="695">
        <f>[95]Source!AL2599</f>
        <v>15.67</v>
      </c>
      <c r="H283" s="696" t="str">
        <f>[95]Source!DD2599</f>
        <v/>
      </c>
      <c r="I283" s="694">
        <f>[95]Source!AW2599</f>
        <v>1</v>
      </c>
      <c r="J283" s="697">
        <f>ROUND((ROUND(([95]Source!AC2599*[95]Source!AW2599*[95]Source!I2599),2)),2)</f>
        <v>15.67</v>
      </c>
      <c r="K283" s="694">
        <f>IF([95]Source!BC2599&lt;&gt; 0, [95]Source!BC2599, 1)</f>
        <v>8.25</v>
      </c>
      <c r="L283" s="697">
        <f>[95]Source!P2599</f>
        <v>129.28</v>
      </c>
    </row>
    <row r="284" spans="1:27" ht="195" x14ac:dyDescent="0.25">
      <c r="A284" s="691">
        <v>38</v>
      </c>
      <c r="B284" s="691" t="str">
        <f>[95]Source!E2605</f>
        <v>384,3</v>
      </c>
      <c r="C284" s="692" t="str">
        <f>[95]Source!F2605</f>
        <v>МКЭ-28-1205/6-7  26.10.2016</v>
      </c>
      <c r="D284" s="692" t="s">
        <v>501</v>
      </c>
      <c r="E284" s="693" t="str">
        <f>[95]Source!H2605</f>
        <v>шт.</v>
      </c>
      <c r="F284" s="694">
        <f>[95]Source!I2605</f>
        <v>1</v>
      </c>
      <c r="G284" s="695">
        <f>[95]Source!AK2605</f>
        <v>5674.12</v>
      </c>
      <c r="H284" s="734"/>
      <c r="I284" s="694">
        <f>[95]Source!AW2605</f>
        <v>1</v>
      </c>
      <c r="J284" s="697">
        <f>L284/K284</f>
        <v>5674.12</v>
      </c>
      <c r="K284" s="694">
        <f>IF([95]Source!BC2605&lt;&gt; 0, [95]Source!BC2605, 1)</f>
        <v>5.58</v>
      </c>
      <c r="L284" s="697">
        <f>31040.75*1.02*F284</f>
        <v>31661.57</v>
      </c>
      <c r="Q284" s="718">
        <f>ROUND(([95]Source!DN2605/100)*ROUND((ROUND(([95]Source!AF2605*[95]Source!AV2605*[95]Source!I2605),2)),2), 2)</f>
        <v>0</v>
      </c>
      <c r="R284" s="718">
        <f>[95]Source!X2605</f>
        <v>0</v>
      </c>
      <c r="S284" s="718">
        <f>ROUND(([95]Source!DO2605/100)*ROUND((ROUND(([95]Source!AF2605*[95]Source!AV2605*[95]Source!I2605),2)),2), 2)</f>
        <v>0</v>
      </c>
      <c r="T284" s="718">
        <f>[95]Source!Y2605</f>
        <v>0</v>
      </c>
      <c r="U284" s="718">
        <f>ROUND((175/100)*ROUND((ROUND(([95]Source!AE2605*[95]Source!AV2605*[95]Source!I2605),2)),2), 2)</f>
        <v>0</v>
      </c>
      <c r="V284" s="718">
        <f>ROUND((157/100)*ROUND(ROUND((ROUND(([95]Source!AE2605*[95]Source!AV2605*[95]Source!I2605),2)*[95]Source!BS2605),2), 2), 2)</f>
        <v>0</v>
      </c>
      <c r="X284" s="718">
        <f>IF([95]Source!BI2605&lt;=1,J284, 0)</f>
        <v>5674.12</v>
      </c>
      <c r="Y284" s="718">
        <f>IF([95]Source!BI2605=2,J284, 0)</f>
        <v>0</v>
      </c>
      <c r="Z284" s="718">
        <f>IF([95]Source!BI2605=3,J284, 0)</f>
        <v>0</v>
      </c>
      <c r="AA284" s="718">
        <f>IF([95]Source!BI2605=4,J284, 0)</f>
        <v>0</v>
      </c>
    </row>
    <row r="285" spans="1:27" ht="15" x14ac:dyDescent="0.25">
      <c r="A285" s="691"/>
      <c r="B285" s="691"/>
      <c r="C285" s="692"/>
      <c r="D285" s="692" t="s">
        <v>88</v>
      </c>
      <c r="E285" s="693" t="s">
        <v>89</v>
      </c>
      <c r="F285" s="694">
        <f>[95]Source!DN2599</f>
        <v>125</v>
      </c>
      <c r="G285" s="695"/>
      <c r="H285" s="696"/>
      <c r="I285" s="694"/>
      <c r="J285" s="697">
        <f>SUM(Q279:Q284)</f>
        <v>110.58</v>
      </c>
      <c r="K285" s="694">
        <f>[95]Source!BZ2599</f>
        <v>100</v>
      </c>
      <c r="L285" s="697">
        <f>SUM(R279:R284)</f>
        <v>2143.39</v>
      </c>
    </row>
    <row r="286" spans="1:27" ht="15" x14ac:dyDescent="0.25">
      <c r="A286" s="691"/>
      <c r="B286" s="691"/>
      <c r="C286" s="692"/>
      <c r="D286" s="692" t="s">
        <v>90</v>
      </c>
      <c r="E286" s="693" t="s">
        <v>89</v>
      </c>
      <c r="F286" s="694">
        <f>[95]Source!DO2599</f>
        <v>94</v>
      </c>
      <c r="G286" s="695"/>
      <c r="H286" s="696"/>
      <c r="I286" s="694"/>
      <c r="J286" s="697">
        <f>SUM(S279:S285)</f>
        <v>83.15</v>
      </c>
      <c r="K286" s="694">
        <f>[95]Source!CA2599</f>
        <v>45</v>
      </c>
      <c r="L286" s="697">
        <f>SUM(T279:T285)</f>
        <v>964.53</v>
      </c>
    </row>
    <row r="287" spans="1:27" ht="15" x14ac:dyDescent="0.25">
      <c r="A287" s="691"/>
      <c r="B287" s="691"/>
      <c r="C287" s="692"/>
      <c r="D287" s="692" t="s">
        <v>91</v>
      </c>
      <c r="E287" s="693" t="s">
        <v>89</v>
      </c>
      <c r="F287" s="694">
        <f>175</f>
        <v>175</v>
      </c>
      <c r="G287" s="695"/>
      <c r="H287" s="696"/>
      <c r="I287" s="694"/>
      <c r="J287" s="697">
        <f>SUM(U279:U286)-J293</f>
        <v>0.68</v>
      </c>
      <c r="K287" s="694">
        <f>157</f>
        <v>157</v>
      </c>
      <c r="L287" s="697">
        <f>SUM(V279:V286)-L293</f>
        <v>14.73</v>
      </c>
    </row>
    <row r="288" spans="1:27" ht="15" x14ac:dyDescent="0.25">
      <c r="A288" s="691"/>
      <c r="B288" s="691"/>
      <c r="C288" s="692"/>
      <c r="D288" s="692" t="s">
        <v>92</v>
      </c>
      <c r="E288" s="693" t="s">
        <v>93</v>
      </c>
      <c r="F288" s="694">
        <f>[95]Source!AQ2599</f>
        <v>4.0199999999999996</v>
      </c>
      <c r="G288" s="695"/>
      <c r="H288" s="696" t="str">
        <f>[95]Source!DI2599</f>
        <v>)*1,05</v>
      </c>
      <c r="I288" s="694">
        <f>[95]Source!AV2599</f>
        <v>1.0669999999999999</v>
      </c>
      <c r="J288" s="697">
        <f>[95]Source!U2599</f>
        <v>4.5</v>
      </c>
      <c r="K288" s="694"/>
      <c r="L288" s="697"/>
    </row>
    <row r="289" spans="1:27" ht="14.25" x14ac:dyDescent="0.2">
      <c r="I289" s="1067">
        <f>J280+J281+J283+J285+J286+J287+SUM(J284:J284)</f>
        <v>5974.33</v>
      </c>
      <c r="J289" s="1067"/>
      <c r="K289" s="1067">
        <f>L280+L281+L283+L285+L286+L287+SUM(L284:L284)</f>
        <v>37073.440000000002</v>
      </c>
      <c r="L289" s="1067"/>
      <c r="O289" s="736">
        <f>J280+J281+J283+J285+J286+J287+SUM(J284:J284)</f>
        <v>5974.33</v>
      </c>
      <c r="P289" s="736">
        <f>L280+L281+L283+L285+L286+L287+SUM(L284:L284)</f>
        <v>37073.440000000002</v>
      </c>
      <c r="X289" s="718">
        <f>IF([95]Source!BI2599&lt;=1,J280+J281+J283+J285+J286+J287-0, 0)</f>
        <v>300.20999999999998</v>
      </c>
      <c r="Y289" s="718">
        <f>IF([95]Source!BI2599=2,J280+J281+J283+J285+J286+J287-0, 0)</f>
        <v>0</v>
      </c>
      <c r="Z289" s="718">
        <f>IF([95]Source!BI2599=3,J280+J281+J283+J285+J286+J287-0, 0)</f>
        <v>0</v>
      </c>
      <c r="AA289" s="718">
        <f>IF([95]Source!BI2599=4,J280+J281+J283+J285+J286+J287,0)</f>
        <v>0</v>
      </c>
    </row>
    <row r="290" spans="1:27" ht="30" x14ac:dyDescent="0.25">
      <c r="A290" s="701"/>
      <c r="B290" s="701"/>
      <c r="C290" s="702"/>
      <c r="D290" s="702" t="s">
        <v>94</v>
      </c>
      <c r="E290" s="693"/>
      <c r="F290" s="703"/>
      <c r="G290" s="704"/>
      <c r="H290" s="693"/>
      <c r="I290" s="703"/>
      <c r="J290" s="700"/>
      <c r="K290" s="703"/>
      <c r="L290" s="700"/>
    </row>
    <row r="291" spans="1:27" ht="15" x14ac:dyDescent="0.25">
      <c r="A291" s="701"/>
      <c r="B291" s="701"/>
      <c r="C291" s="702"/>
      <c r="D291" s="702" t="s">
        <v>85</v>
      </c>
      <c r="E291" s="693"/>
      <c r="F291" s="703"/>
      <c r="G291" s="704">
        <f t="shared" ref="G291:L291" si="11">G292</f>
        <v>0.35</v>
      </c>
      <c r="H291" s="705" t="str">
        <f t="shared" si="11"/>
        <v>)*(1.67-1)*1.05</v>
      </c>
      <c r="I291" s="703">
        <f t="shared" si="11"/>
        <v>1.0669999999999999</v>
      </c>
      <c r="J291" s="700">
        <f t="shared" si="11"/>
        <v>0.26</v>
      </c>
      <c r="K291" s="703">
        <f t="shared" si="11"/>
        <v>24.23</v>
      </c>
      <c r="L291" s="700">
        <f t="shared" si="11"/>
        <v>6.37</v>
      </c>
    </row>
    <row r="292" spans="1:27" ht="15" x14ac:dyDescent="0.25">
      <c r="A292" s="701"/>
      <c r="B292" s="701"/>
      <c r="C292" s="702"/>
      <c r="D292" s="702" t="s">
        <v>86</v>
      </c>
      <c r="E292" s="693"/>
      <c r="F292" s="703"/>
      <c r="G292" s="704">
        <f>[95]Source!AN2599</f>
        <v>0.35</v>
      </c>
      <c r="H292" s="705" t="s">
        <v>491</v>
      </c>
      <c r="I292" s="703">
        <f>[95]Source!AV2599</f>
        <v>1.0669999999999999</v>
      </c>
      <c r="J292" s="700">
        <f>ROUND(F279*G292*I292*(1.67-1)*1.05, 2)</f>
        <v>0.26</v>
      </c>
      <c r="K292" s="703">
        <f>IF([95]Source!BS2599&lt;&gt; 0, [95]Source!BS2599, 1)</f>
        <v>24.23</v>
      </c>
      <c r="L292" s="700">
        <f>ROUND(F279*G292*I292*(1.67-1)*1.05*K292, 2)</f>
        <v>6.37</v>
      </c>
      <c r="W292" s="718">
        <f>J292</f>
        <v>0.26</v>
      </c>
    </row>
    <row r="293" spans="1:27" ht="15" x14ac:dyDescent="0.25">
      <c r="A293" s="701"/>
      <c r="B293" s="701"/>
      <c r="C293" s="702"/>
      <c r="D293" s="702" t="s">
        <v>91</v>
      </c>
      <c r="E293" s="693" t="s">
        <v>89</v>
      </c>
      <c r="F293" s="703">
        <f>175</f>
        <v>175</v>
      </c>
      <c r="G293" s="704"/>
      <c r="H293" s="693"/>
      <c r="I293" s="703"/>
      <c r="J293" s="700">
        <f>ROUND(J292*(F293/100), 2)</f>
        <v>0.46</v>
      </c>
      <c r="K293" s="703">
        <f>157</f>
        <v>157</v>
      </c>
      <c r="L293" s="700">
        <f>ROUND(L292*(K293/100), 2)</f>
        <v>10</v>
      </c>
    </row>
    <row r="294" spans="1:27" ht="14.25" x14ac:dyDescent="0.2">
      <c r="I294" s="1067">
        <f>J293+J292</f>
        <v>0.72</v>
      </c>
      <c r="J294" s="1067"/>
      <c r="K294" s="1067">
        <f>L293+L292</f>
        <v>16.37</v>
      </c>
      <c r="L294" s="1067"/>
      <c r="O294" s="736">
        <f>I294</f>
        <v>0.72</v>
      </c>
      <c r="P294" s="736">
        <f>K294</f>
        <v>16.37</v>
      </c>
      <c r="X294" s="718">
        <f>IF([95]Source!BI2599&lt;=1,I294, 0)</f>
        <v>0.72</v>
      </c>
      <c r="Y294" s="718">
        <f>IF([95]Source!BI2599=2,I294, 0)</f>
        <v>0</v>
      </c>
      <c r="Z294" s="718">
        <f>IF([95]Source!BI2599=3,I294, 0)</f>
        <v>0</v>
      </c>
      <c r="AA294" s="718">
        <f>IF([95]Source!BI2599=4,I294, 0)</f>
        <v>0</v>
      </c>
    </row>
    <row r="296" spans="1:27" ht="15" x14ac:dyDescent="0.25">
      <c r="A296" s="706"/>
      <c r="B296" s="706"/>
      <c r="C296" s="707"/>
      <c r="D296" s="707" t="s">
        <v>96</v>
      </c>
      <c r="E296" s="708"/>
      <c r="F296" s="709"/>
      <c r="G296" s="710"/>
      <c r="H296" s="711"/>
      <c r="I296" s="1067">
        <f>I289+I294</f>
        <v>5975.05</v>
      </c>
      <c r="J296" s="1067"/>
      <c r="K296" s="1067">
        <f>K289+K294</f>
        <v>37089.81</v>
      </c>
      <c r="L296" s="1067"/>
    </row>
    <row r="297" spans="1:27" ht="45" x14ac:dyDescent="0.25">
      <c r="A297" s="691">
        <v>39</v>
      </c>
      <c r="B297" s="691" t="str">
        <f>[95]Source!E2615</f>
        <v>388</v>
      </c>
      <c r="C297" s="692" t="str">
        <f>[95]Source!F2615</f>
        <v>3.20-11-16</v>
      </c>
      <c r="D297" s="692" t="s">
        <v>498</v>
      </c>
      <c r="E297" s="693" t="str">
        <f>[95]Source!H2615</f>
        <v>1 клапан</v>
      </c>
      <c r="F297" s="694">
        <f>[95]Source!I2615</f>
        <v>1</v>
      </c>
      <c r="G297" s="695"/>
      <c r="H297" s="696"/>
      <c r="I297" s="694"/>
      <c r="J297" s="697"/>
      <c r="K297" s="694"/>
      <c r="L297" s="697"/>
      <c r="Q297" s="718">
        <f>ROUND(([95]Source!DN2615/100)*ROUND((ROUND(([95]Source!AF2615*[95]Source!AV2615*[95]Source!I2615),2)),2), 2)</f>
        <v>148.25</v>
      </c>
      <c r="R297" s="718">
        <f>[95]Source!X2615</f>
        <v>2873.68</v>
      </c>
      <c r="S297" s="718">
        <f>ROUND(([95]Source!DO2615/100)*ROUND((ROUND(([95]Source!AF2615*[95]Source!AV2615*[95]Source!I2615),2)),2), 2)</f>
        <v>111.48</v>
      </c>
      <c r="T297" s="718">
        <f>[95]Source!Y2615</f>
        <v>1293.1600000000001</v>
      </c>
      <c r="U297" s="718">
        <f>ROUND((175/100)*ROUND((ROUND(([95]Source!AE2615*[95]Source!AV2615*[95]Source!I2615),2)),2), 2)</f>
        <v>5.76</v>
      </c>
      <c r="V297" s="718">
        <f>ROUND((157/100)*ROUND(ROUND((ROUND(([95]Source!AE2615*[95]Source!AV2615*[95]Source!I2615),2)*[95]Source!BS2615),2), 2), 2)</f>
        <v>125.16</v>
      </c>
    </row>
    <row r="298" spans="1:27" ht="15" x14ac:dyDescent="0.25">
      <c r="A298" s="691"/>
      <c r="B298" s="691"/>
      <c r="C298" s="692"/>
      <c r="D298" s="692" t="s">
        <v>84</v>
      </c>
      <c r="E298" s="693"/>
      <c r="F298" s="694"/>
      <c r="G298" s="695">
        <f>[95]Source!AO2615</f>
        <v>63.39</v>
      </c>
      <c r="H298" s="696" t="str">
        <f>[95]Source!DG2615</f>
        <v>)*1,05)*1,67</v>
      </c>
      <c r="I298" s="694">
        <f>[95]Source!AV2615</f>
        <v>1.0669999999999999</v>
      </c>
      <c r="J298" s="697">
        <f>ROUND((ROUND(([95]Source!AF2615*[95]Source!AV2615*[95]Source!I2615),2)),2)</f>
        <v>118.6</v>
      </c>
      <c r="K298" s="694">
        <f>IF([95]Source!BA2615&lt;&gt; 0, [95]Source!BA2615, 1)</f>
        <v>24.23</v>
      </c>
      <c r="L298" s="697">
        <f>[95]Source!S2615</f>
        <v>2873.68</v>
      </c>
      <c r="W298" s="718">
        <f>J298</f>
        <v>118.6</v>
      </c>
    </row>
    <row r="299" spans="1:27" ht="15" x14ac:dyDescent="0.25">
      <c r="A299" s="691"/>
      <c r="B299" s="691"/>
      <c r="C299" s="692"/>
      <c r="D299" s="692" t="s">
        <v>85</v>
      </c>
      <c r="E299" s="693"/>
      <c r="F299" s="694"/>
      <c r="G299" s="695">
        <f>[95]Source!AM2615</f>
        <v>7.44</v>
      </c>
      <c r="H299" s="696" t="str">
        <f>[95]Source!DE2615</f>
        <v>)*1,05</v>
      </c>
      <c r="I299" s="694">
        <f>[95]Source!AV2615</f>
        <v>1.0669999999999999</v>
      </c>
      <c r="J299" s="697">
        <f>(ROUND((ROUND(((([95]Source!ET2615*1.05))*[95]Source!AV2615*[95]Source!I2615),2)),2)+ROUND((ROUND((([95]Source!AE2615-(([95]Source!EU2615*1.05)))*[95]Source!AV2615*[95]Source!I2615),2)),2))-J308</f>
        <v>8.34</v>
      </c>
      <c r="K299" s="694">
        <f>IF([95]Source!BB2615&lt;&gt; 0, [95]Source!BB2615, 1)</f>
        <v>9.98</v>
      </c>
      <c r="L299" s="697">
        <f>[95]Source!Q2615-L308</f>
        <v>83.2</v>
      </c>
    </row>
    <row r="300" spans="1:27" ht="15" x14ac:dyDescent="0.25">
      <c r="A300" s="691"/>
      <c r="B300" s="691"/>
      <c r="C300" s="692"/>
      <c r="D300" s="692" t="s">
        <v>86</v>
      </c>
      <c r="E300" s="693"/>
      <c r="F300" s="694"/>
      <c r="G300" s="695">
        <f>[95]Source!AN2615</f>
        <v>1.76</v>
      </c>
      <c r="H300" s="696" t="str">
        <f>[95]Source!DE2615</f>
        <v>)*1,05</v>
      </c>
      <c r="I300" s="694">
        <f>[95]Source!AV2615</f>
        <v>1.0669999999999999</v>
      </c>
      <c r="J300" s="700">
        <f>ROUND((ROUND(([95]Source!AE2615*[95]Source!AV2615*[95]Source!I2615),2)),2)-J309</f>
        <v>1.97</v>
      </c>
      <c r="K300" s="694">
        <f>IF([95]Source!BS2615&lt;&gt; 0, [95]Source!BS2615, 1)</f>
        <v>24.23</v>
      </c>
      <c r="L300" s="700">
        <f>[95]Source!R2615-L309</f>
        <v>47.71</v>
      </c>
      <c r="W300" s="718">
        <f>J300</f>
        <v>1.97</v>
      </c>
    </row>
    <row r="301" spans="1:27" ht="15" x14ac:dyDescent="0.25">
      <c r="A301" s="691"/>
      <c r="B301" s="691"/>
      <c r="C301" s="692"/>
      <c r="D301" s="692" t="s">
        <v>87</v>
      </c>
      <c r="E301" s="693"/>
      <c r="F301" s="694"/>
      <c r="G301" s="695">
        <f>[95]Source!AL2615</f>
        <v>24.35</v>
      </c>
      <c r="H301" s="696" t="str">
        <f>[95]Source!DD2615</f>
        <v/>
      </c>
      <c r="I301" s="694">
        <f>[95]Source!AW2615</f>
        <v>1</v>
      </c>
      <c r="J301" s="697">
        <f>ROUND((ROUND(([95]Source!AC2615*[95]Source!AW2615*[95]Source!I2615),2)),2)</f>
        <v>24.35</v>
      </c>
      <c r="K301" s="694">
        <f>IF([95]Source!BC2615&lt;&gt; 0, [95]Source!BC2615, 1)</f>
        <v>7.3</v>
      </c>
      <c r="L301" s="697">
        <f>[95]Source!P2615</f>
        <v>177.76</v>
      </c>
    </row>
    <row r="302" spans="1:27" ht="15" x14ac:dyDescent="0.25">
      <c r="A302" s="691"/>
      <c r="B302" s="691"/>
      <c r="C302" s="692"/>
      <c r="D302" s="692" t="s">
        <v>88</v>
      </c>
      <c r="E302" s="693" t="s">
        <v>89</v>
      </c>
      <c r="F302" s="694">
        <f>[95]Source!DN2615</f>
        <v>125</v>
      </c>
      <c r="G302" s="695"/>
      <c r="H302" s="696"/>
      <c r="I302" s="694"/>
      <c r="J302" s="697">
        <f>SUM(Q297:Q301)</f>
        <v>148.25</v>
      </c>
      <c r="K302" s="694">
        <f>[95]Source!BZ2615</f>
        <v>100</v>
      </c>
      <c r="L302" s="697">
        <f>SUM(R297:R301)</f>
        <v>2873.68</v>
      </c>
    </row>
    <row r="303" spans="1:27" ht="15" x14ac:dyDescent="0.25">
      <c r="A303" s="691"/>
      <c r="B303" s="691"/>
      <c r="C303" s="692"/>
      <c r="D303" s="692" t="s">
        <v>90</v>
      </c>
      <c r="E303" s="693" t="s">
        <v>89</v>
      </c>
      <c r="F303" s="694">
        <f>[95]Source!DO2615</f>
        <v>94</v>
      </c>
      <c r="G303" s="695"/>
      <c r="H303" s="696"/>
      <c r="I303" s="694"/>
      <c r="J303" s="697">
        <f>SUM(S297:S302)</f>
        <v>111.48</v>
      </c>
      <c r="K303" s="694">
        <f>[95]Source!CA2615</f>
        <v>45</v>
      </c>
      <c r="L303" s="697">
        <f>SUM(T297:T302)</f>
        <v>1293.1600000000001</v>
      </c>
    </row>
    <row r="304" spans="1:27" ht="15" x14ac:dyDescent="0.25">
      <c r="A304" s="691"/>
      <c r="B304" s="691"/>
      <c r="C304" s="692"/>
      <c r="D304" s="692" t="s">
        <v>91</v>
      </c>
      <c r="E304" s="693" t="s">
        <v>89</v>
      </c>
      <c r="F304" s="694">
        <f>175</f>
        <v>175</v>
      </c>
      <c r="G304" s="695"/>
      <c r="H304" s="696"/>
      <c r="I304" s="694"/>
      <c r="J304" s="697">
        <f>SUM(U297:U303)-J310</f>
        <v>3.45</v>
      </c>
      <c r="K304" s="694">
        <f>157</f>
        <v>157</v>
      </c>
      <c r="L304" s="697">
        <f>SUM(V297:V303)-L310</f>
        <v>74.900000000000006</v>
      </c>
    </row>
    <row r="305" spans="1:27" ht="15" x14ac:dyDescent="0.25">
      <c r="A305" s="691"/>
      <c r="B305" s="691"/>
      <c r="C305" s="692"/>
      <c r="D305" s="692" t="s">
        <v>92</v>
      </c>
      <c r="E305" s="693" t="s">
        <v>93</v>
      </c>
      <c r="F305" s="694">
        <f>[95]Source!AQ2615</f>
        <v>5.46</v>
      </c>
      <c r="G305" s="695"/>
      <c r="H305" s="696" t="str">
        <f>[95]Source!DI2615</f>
        <v>)*1,05</v>
      </c>
      <c r="I305" s="694">
        <f>[95]Source!AV2615</f>
        <v>1.0669999999999999</v>
      </c>
      <c r="J305" s="697">
        <f>[95]Source!U2615</f>
        <v>6.12</v>
      </c>
      <c r="K305" s="694"/>
      <c r="L305" s="697"/>
    </row>
    <row r="306" spans="1:27" ht="14.25" x14ac:dyDescent="0.2">
      <c r="I306" s="1067">
        <f>J298+J299+J301+J302+J303+J304</f>
        <v>414.47</v>
      </c>
      <c r="J306" s="1067"/>
      <c r="K306" s="1067">
        <f>L298+L299+L301+L302+L303+L304</f>
        <v>7376.38</v>
      </c>
      <c r="L306" s="1067"/>
      <c r="O306" s="736">
        <f>J298+J299+J301+J302+J303+J304</f>
        <v>414.47</v>
      </c>
      <c r="P306" s="736">
        <f>L298+L299+L301+L302+L303+L304</f>
        <v>7376.38</v>
      </c>
      <c r="X306" s="718">
        <f>IF([95]Source!BI2615&lt;=1,J298+J299+J301+J302+J303+J304-0, 0)</f>
        <v>414.47</v>
      </c>
      <c r="Y306" s="718">
        <f>IF([95]Source!BI2615=2,J298+J299+J301+J302+J303+J304-0, 0)</f>
        <v>0</v>
      </c>
      <c r="Z306" s="718">
        <f>IF([95]Source!BI2615=3,J298+J299+J301+J302+J303+J304-0, 0)</f>
        <v>0</v>
      </c>
      <c r="AA306" s="718">
        <f>IF([95]Source!BI2615=4,J298+J299+J301+J302+J303+J304,0)</f>
        <v>0</v>
      </c>
    </row>
    <row r="307" spans="1:27" ht="30" x14ac:dyDescent="0.25">
      <c r="A307" s="701"/>
      <c r="B307" s="701"/>
      <c r="C307" s="702"/>
      <c r="D307" s="702" t="s">
        <v>94</v>
      </c>
      <c r="E307" s="693"/>
      <c r="F307" s="703"/>
      <c r="G307" s="704"/>
      <c r="H307" s="693"/>
      <c r="I307" s="703"/>
      <c r="J307" s="700"/>
      <c r="K307" s="703"/>
      <c r="L307" s="700"/>
    </row>
    <row r="308" spans="1:27" ht="15" x14ac:dyDescent="0.25">
      <c r="A308" s="701"/>
      <c r="B308" s="701"/>
      <c r="C308" s="702"/>
      <c r="D308" s="702" t="s">
        <v>85</v>
      </c>
      <c r="E308" s="693"/>
      <c r="F308" s="703"/>
      <c r="G308" s="704">
        <f t="shared" ref="G308:L308" si="12">G309</f>
        <v>1.76</v>
      </c>
      <c r="H308" s="705" t="str">
        <f t="shared" si="12"/>
        <v>)*(1.67-1)*1.05</v>
      </c>
      <c r="I308" s="703">
        <f t="shared" si="12"/>
        <v>1.0669999999999999</v>
      </c>
      <c r="J308" s="700">
        <f t="shared" si="12"/>
        <v>1.32</v>
      </c>
      <c r="K308" s="703">
        <f t="shared" si="12"/>
        <v>24.23</v>
      </c>
      <c r="L308" s="700">
        <f t="shared" si="12"/>
        <v>32.01</v>
      </c>
    </row>
    <row r="309" spans="1:27" ht="15" x14ac:dyDescent="0.25">
      <c r="A309" s="701"/>
      <c r="B309" s="701"/>
      <c r="C309" s="702"/>
      <c r="D309" s="702" t="s">
        <v>86</v>
      </c>
      <c r="E309" s="693"/>
      <c r="F309" s="703"/>
      <c r="G309" s="704">
        <f>[95]Source!AN2615</f>
        <v>1.76</v>
      </c>
      <c r="H309" s="705" t="s">
        <v>491</v>
      </c>
      <c r="I309" s="703">
        <f>[95]Source!AV2615</f>
        <v>1.0669999999999999</v>
      </c>
      <c r="J309" s="700">
        <f>ROUND(F297*G309*I309*(1.67-1)*1.05, 2)</f>
        <v>1.32</v>
      </c>
      <c r="K309" s="703">
        <f>IF([95]Source!BS2615&lt;&gt; 0, [95]Source!BS2615, 1)</f>
        <v>24.23</v>
      </c>
      <c r="L309" s="700">
        <f>ROUND(F297*G309*I309*(1.67-1)*1.05*K309, 2)</f>
        <v>32.01</v>
      </c>
      <c r="W309" s="718">
        <f>J309</f>
        <v>1.32</v>
      </c>
    </row>
    <row r="310" spans="1:27" ht="15" x14ac:dyDescent="0.25">
      <c r="A310" s="701"/>
      <c r="B310" s="701"/>
      <c r="C310" s="702"/>
      <c r="D310" s="702" t="s">
        <v>91</v>
      </c>
      <c r="E310" s="693" t="s">
        <v>89</v>
      </c>
      <c r="F310" s="703">
        <f>175</f>
        <v>175</v>
      </c>
      <c r="G310" s="704"/>
      <c r="H310" s="693"/>
      <c r="I310" s="703"/>
      <c r="J310" s="700">
        <f>ROUND(J309*(F310/100), 2)</f>
        <v>2.31</v>
      </c>
      <c r="K310" s="703">
        <f>157</f>
        <v>157</v>
      </c>
      <c r="L310" s="700">
        <f>ROUND(L309*(K310/100), 2)</f>
        <v>50.26</v>
      </c>
    </row>
    <row r="311" spans="1:27" ht="14.25" x14ac:dyDescent="0.2">
      <c r="I311" s="1067">
        <f>J310+J309</f>
        <v>3.63</v>
      </c>
      <c r="J311" s="1067"/>
      <c r="K311" s="1067">
        <f>L310+L309</f>
        <v>82.27</v>
      </c>
      <c r="L311" s="1067"/>
      <c r="O311" s="736">
        <f>I311</f>
        <v>3.63</v>
      </c>
      <c r="P311" s="736">
        <f>K311</f>
        <v>82.27</v>
      </c>
      <c r="X311" s="718">
        <f>IF([95]Source!BI2615&lt;=1,I311, 0)</f>
        <v>3.63</v>
      </c>
      <c r="Y311" s="718">
        <f>IF([95]Source!BI2615=2,I311, 0)</f>
        <v>0</v>
      </c>
      <c r="Z311" s="718">
        <f>IF([95]Source!BI2615=3,I311, 0)</f>
        <v>0</v>
      </c>
      <c r="AA311" s="718">
        <f>IF([95]Source!BI2615=4,I311, 0)</f>
        <v>0</v>
      </c>
    </row>
    <row r="313" spans="1:27" ht="15" x14ac:dyDescent="0.25">
      <c r="A313" s="706"/>
      <c r="B313" s="706"/>
      <c r="C313" s="707"/>
      <c r="D313" s="707" t="s">
        <v>96</v>
      </c>
      <c r="E313" s="708"/>
      <c r="F313" s="709"/>
      <c r="G313" s="710"/>
      <c r="H313" s="711"/>
      <c r="I313" s="1067">
        <f>I306+I311</f>
        <v>418.1</v>
      </c>
      <c r="J313" s="1067"/>
      <c r="K313" s="1067">
        <f>K306+K311</f>
        <v>7458.65</v>
      </c>
      <c r="L313" s="1067"/>
    </row>
    <row r="314" spans="1:27" ht="163.9" customHeight="1" x14ac:dyDescent="0.25">
      <c r="A314" s="691">
        <v>40</v>
      </c>
      <c r="B314" s="691" t="str">
        <f>[95]Source!E2619</f>
        <v>390</v>
      </c>
      <c r="C314" s="692" t="str">
        <f>[95]Source!F2619</f>
        <v>МКЭ-28-2762/6-7  20.04.2017</v>
      </c>
      <c r="D314" s="692" t="s">
        <v>502</v>
      </c>
      <c r="E314" s="693" t="str">
        <f>[95]Source!H2619</f>
        <v>шт.</v>
      </c>
      <c r="F314" s="694">
        <f>[95]Source!I2619</f>
        <v>1</v>
      </c>
      <c r="G314" s="697">
        <f>J314/F314</f>
        <v>5806.84</v>
      </c>
      <c r="H314" s="696"/>
      <c r="I314" s="694">
        <f>[95]Source!AW2590</f>
        <v>1</v>
      </c>
      <c r="J314" s="697">
        <f>L314/K314</f>
        <v>5806.84</v>
      </c>
      <c r="K314" s="694">
        <v>5.58</v>
      </c>
      <c r="L314" s="697">
        <f>31766.82*1.02*F314</f>
        <v>32402.16</v>
      </c>
      <c r="Q314" s="718">
        <f>ROUND(([95]Source!DN2619/100)*ROUND((ROUND(([95]Source!AF2619*[95]Source!AV2619*[95]Source!I2619),2)),2), 2)</f>
        <v>0</v>
      </c>
      <c r="R314" s="718">
        <f>[95]Source!X2619</f>
        <v>0</v>
      </c>
      <c r="S314" s="718">
        <f>ROUND(([95]Source!DO2619/100)*ROUND((ROUND(([95]Source!AF2619*[95]Source!AV2619*[95]Source!I2619),2)),2), 2)</f>
        <v>0</v>
      </c>
      <c r="T314" s="718">
        <f>[95]Source!Y2619</f>
        <v>0</v>
      </c>
      <c r="U314" s="718">
        <f>ROUND((175/100)*ROUND((ROUND(([95]Source!AE2619*[95]Source!AV2619*[95]Source!I2619),2)),2), 2)</f>
        <v>0</v>
      </c>
      <c r="V314" s="718">
        <f>ROUND((157/100)*ROUND(ROUND((ROUND(([95]Source!AE2619*[95]Source!AV2619*[95]Source!I2619),2)*[95]Source!BS2619),2), 2), 2)</f>
        <v>0</v>
      </c>
    </row>
    <row r="315" spans="1:27" ht="14.25" x14ac:dyDescent="0.2">
      <c r="A315" s="737"/>
      <c r="B315" s="737"/>
      <c r="C315" s="737"/>
      <c r="D315" s="737"/>
      <c r="E315" s="737"/>
      <c r="F315" s="737"/>
      <c r="G315" s="737"/>
      <c r="H315" s="737"/>
      <c r="I315" s="1067">
        <f>J314</f>
        <v>5806.84</v>
      </c>
      <c r="J315" s="1067"/>
      <c r="K315" s="1067">
        <f>L314</f>
        <v>32402.16</v>
      </c>
      <c r="L315" s="1067"/>
      <c r="O315" s="736">
        <f>J314</f>
        <v>5806.84</v>
      </c>
      <c r="P315" s="736">
        <f>L314</f>
        <v>32402.16</v>
      </c>
      <c r="X315" s="718">
        <f>IF([95]Source!BI2619&lt;=1,J314-0, 0)</f>
        <v>5806.84</v>
      </c>
      <c r="Y315" s="718">
        <f>IF([95]Source!BI2619=2,J314-0, 0)</f>
        <v>0</v>
      </c>
      <c r="Z315" s="718">
        <f>IF([95]Source!BI2619=3,J314-0, 0)</f>
        <v>0</v>
      </c>
      <c r="AA315" s="718">
        <f>IF([95]Source!BI2619=4,J314,0)</f>
        <v>0</v>
      </c>
    </row>
    <row r="316" spans="1:27" ht="67.150000000000006" customHeight="1" x14ac:dyDescent="0.25">
      <c r="A316" s="691">
        <v>41</v>
      </c>
      <c r="B316" s="691" t="str">
        <f>[95]Source!E2689</f>
        <v>424</v>
      </c>
      <c r="C316" s="692" t="str">
        <f>[95]Source!F2689</f>
        <v>1.19-10-1</v>
      </c>
      <c r="D316" s="692" t="s">
        <v>503</v>
      </c>
      <c r="E316" s="693" t="str">
        <f>[95]Source!H2689</f>
        <v>шт.</v>
      </c>
      <c r="F316" s="694">
        <f>[95]Source!I2689</f>
        <v>8</v>
      </c>
      <c r="G316" s="695">
        <f>[95]Source!AL2689</f>
        <v>351.97</v>
      </c>
      <c r="H316" s="696" t="str">
        <f>[95]Source!DD2689</f>
        <v/>
      </c>
      <c r="I316" s="694">
        <f>[95]Source!AW2689</f>
        <v>1</v>
      </c>
      <c r="J316" s="697">
        <f>ROUND((ROUND(([95]Source!AC2689*[95]Source!AW2689*[95]Source!I2689),2)),2)</f>
        <v>2815.76</v>
      </c>
      <c r="K316" s="694">
        <f>IF([95]Source!BC2689&lt;&gt; 0, [95]Source!BC2689, 1)</f>
        <v>1.98</v>
      </c>
      <c r="L316" s="697">
        <f>[95]Source!P2689</f>
        <v>5575.2</v>
      </c>
      <c r="Q316" s="718">
        <f>ROUND(([95]Source!DN2689/100)*ROUND((ROUND(([95]Source!AF2689*[95]Source!AV2689*[95]Source!I2689),2)),2), 2)</f>
        <v>0</v>
      </c>
      <c r="R316" s="718">
        <f>[95]Source!X2689</f>
        <v>0</v>
      </c>
      <c r="S316" s="718">
        <f>ROUND(([95]Source!DO2689/100)*ROUND((ROUND(([95]Source!AF2689*[95]Source!AV2689*[95]Source!I2689),2)),2), 2)</f>
        <v>0</v>
      </c>
      <c r="T316" s="718">
        <f>[95]Source!Y2689</f>
        <v>0</v>
      </c>
      <c r="U316" s="718">
        <f>ROUND((175/100)*ROUND((ROUND(([95]Source!AE2689*[95]Source!AV2689*[95]Source!I2689),2)),2), 2)</f>
        <v>0</v>
      </c>
      <c r="V316" s="718">
        <f>ROUND((157/100)*ROUND(ROUND((ROUND(([95]Source!AE2689*[95]Source!AV2689*[95]Source!I2689),2)*[95]Source!BS2689),2), 2), 2)</f>
        <v>0</v>
      </c>
    </row>
    <row r="317" spans="1:27" ht="14.25" x14ac:dyDescent="0.2">
      <c r="A317" s="737"/>
      <c r="B317" s="737"/>
      <c r="C317" s="737"/>
      <c r="D317" s="737"/>
      <c r="E317" s="737"/>
      <c r="F317" s="737"/>
      <c r="G317" s="737"/>
      <c r="H317" s="737"/>
      <c r="I317" s="1067">
        <f>J316</f>
        <v>2815.76</v>
      </c>
      <c r="J317" s="1067"/>
      <c r="K317" s="1067">
        <f>L316</f>
        <v>5575.2</v>
      </c>
      <c r="L317" s="1067"/>
      <c r="O317" s="736">
        <f>J316</f>
        <v>2815.76</v>
      </c>
      <c r="P317" s="736">
        <f>L316</f>
        <v>5575.2</v>
      </c>
      <c r="X317" s="718">
        <f>IF([95]Source!BI2689&lt;=1,J316-0, 0)</f>
        <v>2815.76</v>
      </c>
      <c r="Y317" s="718">
        <f>IF([95]Source!BI2689=2,J316-0, 0)</f>
        <v>0</v>
      </c>
      <c r="Z317" s="718">
        <f>IF([95]Source!BI2689=3,J316-0, 0)</f>
        <v>0</v>
      </c>
      <c r="AA317" s="718">
        <f>IF([95]Source!BI2689=4,J316,0)</f>
        <v>0</v>
      </c>
    </row>
    <row r="318" spans="1:27" ht="65.45" customHeight="1" x14ac:dyDescent="0.25">
      <c r="A318" s="691">
        <v>42</v>
      </c>
      <c r="B318" s="691" t="str">
        <f>[95]Source!E2693</f>
        <v>426</v>
      </c>
      <c r="C318" s="692" t="str">
        <f>[95]Source!F2693</f>
        <v>1.19-10-6</v>
      </c>
      <c r="D318" s="692" t="s">
        <v>504</v>
      </c>
      <c r="E318" s="693" t="str">
        <f>[95]Source!H2693</f>
        <v>шт.</v>
      </c>
      <c r="F318" s="694">
        <f>[95]Source!I2693</f>
        <v>4</v>
      </c>
      <c r="G318" s="695">
        <f>[95]Source!AL2693</f>
        <v>388.77</v>
      </c>
      <c r="H318" s="696" t="str">
        <f>[95]Source!DD2693</f>
        <v/>
      </c>
      <c r="I318" s="694">
        <f>[95]Source!AW2693</f>
        <v>1</v>
      </c>
      <c r="J318" s="697">
        <f>ROUND((ROUND(([95]Source!AC2693*[95]Source!AW2693*[95]Source!I2693),2)),2)</f>
        <v>1555.08</v>
      </c>
      <c r="K318" s="694">
        <f>IF([95]Source!BC2693&lt;&gt; 0, [95]Source!BC2693, 1)</f>
        <v>1.67</v>
      </c>
      <c r="L318" s="697">
        <f>[95]Source!P2693</f>
        <v>2596.98</v>
      </c>
      <c r="Q318" s="718">
        <f>ROUND(([95]Source!DN2693/100)*ROUND((ROUND(([95]Source!AF2693*[95]Source!AV2693*[95]Source!I2693),2)),2), 2)</f>
        <v>0</v>
      </c>
      <c r="R318" s="718">
        <f>[95]Source!X2693</f>
        <v>0</v>
      </c>
      <c r="S318" s="718">
        <f>ROUND(([95]Source!DO2693/100)*ROUND((ROUND(([95]Source!AF2693*[95]Source!AV2693*[95]Source!I2693),2)),2), 2)</f>
        <v>0</v>
      </c>
      <c r="T318" s="718">
        <f>[95]Source!Y2693</f>
        <v>0</v>
      </c>
      <c r="U318" s="718">
        <f>ROUND((175/100)*ROUND((ROUND(([95]Source!AE2693*[95]Source!AV2693*[95]Source!I2693),2)),2), 2)</f>
        <v>0</v>
      </c>
      <c r="V318" s="718">
        <f>ROUND((157/100)*ROUND(ROUND((ROUND(([95]Source!AE2693*[95]Source!AV2693*[95]Source!I2693),2)*[95]Source!BS2693),2), 2), 2)</f>
        <v>0</v>
      </c>
    </row>
    <row r="319" spans="1:27" ht="14.25" x14ac:dyDescent="0.2">
      <c r="A319" s="737"/>
      <c r="B319" s="737"/>
      <c r="C319" s="737"/>
      <c r="D319" s="737"/>
      <c r="E319" s="737"/>
      <c r="F319" s="737"/>
      <c r="G319" s="737"/>
      <c r="H319" s="737"/>
      <c r="I319" s="1067">
        <f>J318</f>
        <v>1555.08</v>
      </c>
      <c r="J319" s="1067"/>
      <c r="K319" s="1067">
        <f>L318</f>
        <v>2596.98</v>
      </c>
      <c r="L319" s="1067"/>
      <c r="O319" s="736">
        <f>J318</f>
        <v>1555.08</v>
      </c>
      <c r="P319" s="736">
        <f>L318</f>
        <v>2596.98</v>
      </c>
      <c r="X319" s="718">
        <f>IF([95]Source!BI2693&lt;=1,J318-0, 0)</f>
        <v>1555.08</v>
      </c>
      <c r="Y319" s="718">
        <f>IF([95]Source!BI2693=2,J318-0, 0)</f>
        <v>0</v>
      </c>
      <c r="Z319" s="718">
        <f>IF([95]Source!BI2693=3,J318-0, 0)</f>
        <v>0</v>
      </c>
      <c r="AA319" s="718">
        <f>IF([95]Source!BI2693=4,J318,0)</f>
        <v>0</v>
      </c>
    </row>
    <row r="320" spans="1:27" ht="66.599999999999994" customHeight="1" x14ac:dyDescent="0.25">
      <c r="A320" s="691">
        <v>43</v>
      </c>
      <c r="B320" s="691" t="str">
        <f>[95]Source!E2695</f>
        <v>427</v>
      </c>
      <c r="C320" s="692" t="str">
        <f>[95]Source!F2695</f>
        <v>1.19-10-7</v>
      </c>
      <c r="D320" s="692" t="s">
        <v>505</v>
      </c>
      <c r="E320" s="693" t="str">
        <f>[95]Source!H2695</f>
        <v>шт.</v>
      </c>
      <c r="F320" s="694">
        <f>[95]Source!I2695</f>
        <v>12</v>
      </c>
      <c r="G320" s="695">
        <f>[95]Source!AL2695</f>
        <v>443.7</v>
      </c>
      <c r="H320" s="696" t="str">
        <f>[95]Source!DD2695</f>
        <v/>
      </c>
      <c r="I320" s="694">
        <f>[95]Source!AW2695</f>
        <v>1</v>
      </c>
      <c r="J320" s="697">
        <f>ROUND((ROUND(([95]Source!AC2695*[95]Source!AW2695*[95]Source!I2695),2)),2)</f>
        <v>5324.4</v>
      </c>
      <c r="K320" s="694">
        <f>IF([95]Source!BC2695&lt;&gt; 0, [95]Source!BC2695, 1)</f>
        <v>3.11</v>
      </c>
      <c r="L320" s="697">
        <f>[95]Source!P2695</f>
        <v>16558.88</v>
      </c>
      <c r="Q320" s="718">
        <f>ROUND(([95]Source!DN2695/100)*ROUND((ROUND(([95]Source!AF2695*[95]Source!AV2695*[95]Source!I2695),2)),2), 2)</f>
        <v>0</v>
      </c>
      <c r="R320" s="718">
        <f>[95]Source!X2695</f>
        <v>0</v>
      </c>
      <c r="S320" s="718">
        <f>ROUND(([95]Source!DO2695/100)*ROUND((ROUND(([95]Source!AF2695*[95]Source!AV2695*[95]Source!I2695),2)),2), 2)</f>
        <v>0</v>
      </c>
      <c r="T320" s="718">
        <f>[95]Source!Y2695</f>
        <v>0</v>
      </c>
      <c r="U320" s="718">
        <f>ROUND((175/100)*ROUND((ROUND(([95]Source!AE2695*[95]Source!AV2695*[95]Source!I2695),2)),2), 2)</f>
        <v>0</v>
      </c>
      <c r="V320" s="718">
        <f>ROUND((157/100)*ROUND(ROUND((ROUND(([95]Source!AE2695*[95]Source!AV2695*[95]Source!I2695),2)*[95]Source!BS2695),2), 2), 2)</f>
        <v>0</v>
      </c>
    </row>
    <row r="321" spans="1:27" ht="14.25" x14ac:dyDescent="0.2">
      <c r="A321" s="737"/>
      <c r="B321" s="737"/>
      <c r="C321" s="737"/>
      <c r="D321" s="737"/>
      <c r="E321" s="737"/>
      <c r="F321" s="737"/>
      <c r="G321" s="737"/>
      <c r="H321" s="737"/>
      <c r="I321" s="1067">
        <f>J320</f>
        <v>5324.4</v>
      </c>
      <c r="J321" s="1067"/>
      <c r="K321" s="1067">
        <f>L320</f>
        <v>16558.88</v>
      </c>
      <c r="L321" s="1067"/>
      <c r="O321" s="736">
        <f>J320</f>
        <v>5324.4</v>
      </c>
      <c r="P321" s="736">
        <f>L320</f>
        <v>16558.88</v>
      </c>
      <c r="X321" s="718">
        <f>IF([95]Source!BI2695&lt;=1,J320-0, 0)</f>
        <v>5324.4</v>
      </c>
      <c r="Y321" s="718">
        <f>IF([95]Source!BI2695=2,J320-0, 0)</f>
        <v>0</v>
      </c>
      <c r="Z321" s="718">
        <f>IF([95]Source!BI2695=3,J320-0, 0)</f>
        <v>0</v>
      </c>
      <c r="AA321" s="718">
        <f>IF([95]Source!BI2695=4,J320,0)</f>
        <v>0</v>
      </c>
    </row>
    <row r="322" spans="1:27" ht="65.45" customHeight="1" x14ac:dyDescent="0.25">
      <c r="A322" s="691">
        <v>44</v>
      </c>
      <c r="B322" s="691" t="str">
        <f>[95]Source!E2697</f>
        <v>428</v>
      </c>
      <c r="C322" s="692" t="str">
        <f>[95]Source!F2697</f>
        <v>1.19-10-8</v>
      </c>
      <c r="D322" s="692" t="s">
        <v>506</v>
      </c>
      <c r="E322" s="693" t="str">
        <f>[95]Source!H2697</f>
        <v>шт.</v>
      </c>
      <c r="F322" s="694">
        <f>[95]Source!I2697</f>
        <v>6</v>
      </c>
      <c r="G322" s="695">
        <f>[95]Source!AL2697</f>
        <v>654.78</v>
      </c>
      <c r="H322" s="696" t="str">
        <f>[95]Source!DD2697</f>
        <v/>
      </c>
      <c r="I322" s="694">
        <f>[95]Source!AW2697</f>
        <v>1</v>
      </c>
      <c r="J322" s="697">
        <f>ROUND((ROUND(([95]Source!AC2697*[95]Source!AW2697*[95]Source!I2697),2)),2)</f>
        <v>3928.68</v>
      </c>
      <c r="K322" s="694">
        <f>IF([95]Source!BC2697&lt;&gt; 0, [95]Source!BC2697, 1)</f>
        <v>2.44</v>
      </c>
      <c r="L322" s="697">
        <f>[95]Source!P2697</f>
        <v>9585.98</v>
      </c>
      <c r="Q322" s="718">
        <f>ROUND(([95]Source!DN2697/100)*ROUND((ROUND(([95]Source!AF2697*[95]Source!AV2697*[95]Source!I2697),2)),2), 2)</f>
        <v>0</v>
      </c>
      <c r="R322" s="718">
        <f>[95]Source!X2697</f>
        <v>0</v>
      </c>
      <c r="S322" s="718">
        <f>ROUND(([95]Source!DO2697/100)*ROUND((ROUND(([95]Source!AF2697*[95]Source!AV2697*[95]Source!I2697),2)),2), 2)</f>
        <v>0</v>
      </c>
      <c r="T322" s="718">
        <f>[95]Source!Y2697</f>
        <v>0</v>
      </c>
      <c r="U322" s="718">
        <f>ROUND((175/100)*ROUND((ROUND(([95]Source!AE2697*[95]Source!AV2697*[95]Source!I2697),2)),2), 2)</f>
        <v>0</v>
      </c>
      <c r="V322" s="718">
        <f>ROUND((157/100)*ROUND(ROUND((ROUND(([95]Source!AE2697*[95]Source!AV2697*[95]Source!I2697),2)*[95]Source!BS2697),2), 2), 2)</f>
        <v>0</v>
      </c>
    </row>
    <row r="323" spans="1:27" ht="14.25" x14ac:dyDescent="0.2">
      <c r="A323" s="737"/>
      <c r="B323" s="737"/>
      <c r="C323" s="737"/>
      <c r="D323" s="737"/>
      <c r="E323" s="737"/>
      <c r="F323" s="737"/>
      <c r="G323" s="737"/>
      <c r="H323" s="737"/>
      <c r="I323" s="1067">
        <f>J322</f>
        <v>3928.68</v>
      </c>
      <c r="J323" s="1067"/>
      <c r="K323" s="1067">
        <f>L322</f>
        <v>9585.98</v>
      </c>
      <c r="L323" s="1067"/>
      <c r="O323" s="736">
        <f>J322</f>
        <v>3928.68</v>
      </c>
      <c r="P323" s="736">
        <f>L322</f>
        <v>9585.98</v>
      </c>
      <c r="X323" s="718">
        <f>IF([95]Source!BI2697&lt;=1,J322-0, 0)</f>
        <v>3928.68</v>
      </c>
      <c r="Y323" s="718">
        <f>IF([95]Source!BI2697=2,J322-0, 0)</f>
        <v>0</v>
      </c>
      <c r="Z323" s="718">
        <f>IF([95]Source!BI2697=3,J322-0, 0)</f>
        <v>0</v>
      </c>
      <c r="AA323" s="718">
        <f>IF([95]Source!BI2697=4,J322,0)</f>
        <v>0</v>
      </c>
    </row>
    <row r="324" spans="1:27" ht="73.150000000000006" customHeight="1" x14ac:dyDescent="0.25">
      <c r="A324" s="691">
        <v>45</v>
      </c>
      <c r="B324" s="691" t="str">
        <f>[95]Source!E2701</f>
        <v>430</v>
      </c>
      <c r="C324" s="692" t="str">
        <f>[95]Source!F2701</f>
        <v>1.19-10-10</v>
      </c>
      <c r="D324" s="692" t="s">
        <v>507</v>
      </c>
      <c r="E324" s="693" t="str">
        <f>[95]Source!H2701</f>
        <v>шт.</v>
      </c>
      <c r="F324" s="694">
        <f>[95]Source!I2701</f>
        <v>7</v>
      </c>
      <c r="G324" s="695">
        <f>[95]Source!AL2701</f>
        <v>1051.44</v>
      </c>
      <c r="H324" s="696" t="str">
        <f>[95]Source!DD2701</f>
        <v/>
      </c>
      <c r="I324" s="694">
        <f>[95]Source!AW2701</f>
        <v>1</v>
      </c>
      <c r="J324" s="697">
        <f>ROUND((ROUND(([95]Source!AC2701*[95]Source!AW2701*[95]Source!I2701),2)),2)</f>
        <v>7360.08</v>
      </c>
      <c r="K324" s="694">
        <f>IF([95]Source!BC2701&lt;&gt; 0, [95]Source!BC2701, 1)</f>
        <v>2.94</v>
      </c>
      <c r="L324" s="697">
        <f>[95]Source!P2701</f>
        <v>21638.639999999999</v>
      </c>
      <c r="Q324" s="718">
        <f>ROUND(([95]Source!DN2701/100)*ROUND((ROUND(([95]Source!AF2701*[95]Source!AV2701*[95]Source!I2701),2)),2), 2)</f>
        <v>0</v>
      </c>
      <c r="R324" s="718">
        <f>[95]Source!X2701</f>
        <v>0</v>
      </c>
      <c r="S324" s="718">
        <f>ROUND(([95]Source!DO2701/100)*ROUND((ROUND(([95]Source!AF2701*[95]Source!AV2701*[95]Source!I2701),2)),2), 2)</f>
        <v>0</v>
      </c>
      <c r="T324" s="718">
        <f>[95]Source!Y2701</f>
        <v>0</v>
      </c>
      <c r="U324" s="718">
        <f>ROUND((175/100)*ROUND((ROUND(([95]Source!AE2701*[95]Source!AV2701*[95]Source!I2701),2)),2), 2)</f>
        <v>0</v>
      </c>
      <c r="V324" s="718">
        <f>ROUND((157/100)*ROUND(ROUND((ROUND(([95]Source!AE2701*[95]Source!AV2701*[95]Source!I2701),2)*[95]Source!BS2701),2), 2), 2)</f>
        <v>0</v>
      </c>
    </row>
    <row r="325" spans="1:27" ht="14.25" x14ac:dyDescent="0.2">
      <c r="A325" s="737"/>
      <c r="B325" s="737"/>
      <c r="C325" s="737"/>
      <c r="D325" s="737"/>
      <c r="E325" s="737"/>
      <c r="F325" s="737"/>
      <c r="G325" s="737"/>
      <c r="H325" s="737"/>
      <c r="I325" s="1067">
        <f>J324</f>
        <v>7360.08</v>
      </c>
      <c r="J325" s="1067"/>
      <c r="K325" s="1067">
        <f>L324</f>
        <v>21638.639999999999</v>
      </c>
      <c r="L325" s="1067"/>
      <c r="O325" s="736">
        <f>J324</f>
        <v>7360.08</v>
      </c>
      <c r="P325" s="736">
        <f>L324</f>
        <v>21638.639999999999</v>
      </c>
      <c r="X325" s="718">
        <f>IF([95]Source!BI2701&lt;=1,J324-0, 0)</f>
        <v>7360.08</v>
      </c>
      <c r="Y325" s="718">
        <f>IF([95]Source!BI2701=2,J324-0, 0)</f>
        <v>0</v>
      </c>
      <c r="Z325" s="718">
        <f>IF([95]Source!BI2701=3,J324-0, 0)</f>
        <v>0</v>
      </c>
      <c r="AA325" s="718">
        <f>IF([95]Source!BI2701=4,J324,0)</f>
        <v>0</v>
      </c>
    </row>
    <row r="326" spans="1:27" ht="75" x14ac:dyDescent="0.25">
      <c r="A326" s="691">
        <v>46</v>
      </c>
      <c r="B326" s="691" t="str">
        <f>[95]Source!E2703</f>
        <v>431</v>
      </c>
      <c r="C326" s="692" t="str">
        <f>[95]Source!F2703</f>
        <v>3.20-1-1</v>
      </c>
      <c r="D326" s="692" t="s">
        <v>508</v>
      </c>
      <c r="E326" s="693" t="str">
        <f>[95]Source!H2703</f>
        <v>100 м2 поверхности воздуховодов</v>
      </c>
      <c r="F326" s="694">
        <f>[95]Source!I2703</f>
        <v>0.1114</v>
      </c>
      <c r="G326" s="695"/>
      <c r="H326" s="696"/>
      <c r="I326" s="694"/>
      <c r="J326" s="697"/>
      <c r="K326" s="694"/>
      <c r="L326" s="697"/>
      <c r="Q326" s="718">
        <f>ROUND(([95]Source!DN2703/100)*ROUND((ROUND(([95]Source!AF2703*[95]Source!AV2703*[95]Source!I2703),2)),2), 2)</f>
        <v>432.56</v>
      </c>
      <c r="R326" s="718">
        <f>[95]Source!X2703</f>
        <v>8384.7900000000009</v>
      </c>
      <c r="S326" s="718">
        <f>ROUND(([95]Source!DO2703/100)*ROUND((ROUND(([95]Source!AF2703*[95]Source!AV2703*[95]Source!I2703),2)),2), 2)</f>
        <v>325.29000000000002</v>
      </c>
      <c r="T326" s="718">
        <f>[95]Source!Y2703</f>
        <v>3773.16</v>
      </c>
      <c r="U326" s="718">
        <f>ROUND((175/100)*ROUND((ROUND(([95]Source!AE2703*[95]Source!AV2703*[95]Source!I2703),2)),2), 2)</f>
        <v>6.81</v>
      </c>
      <c r="V326" s="718">
        <f>ROUND((157/100)*ROUND(ROUND((ROUND(([95]Source!AE2703*[95]Source!AV2703*[95]Source!I2703),2)*[95]Source!BS2703),2), 2), 2)</f>
        <v>147.97</v>
      </c>
    </row>
    <row r="327" spans="1:27" ht="15" x14ac:dyDescent="0.25">
      <c r="A327" s="691"/>
      <c r="B327" s="691"/>
      <c r="C327" s="692"/>
      <c r="D327" s="692" t="s">
        <v>84</v>
      </c>
      <c r="E327" s="693"/>
      <c r="F327" s="694"/>
      <c r="G327" s="695">
        <f>[95]Source!AO2703</f>
        <v>1743.28</v>
      </c>
      <c r="H327" s="696" t="str">
        <f>[95]Source!DG2703</f>
        <v>)*1,67</v>
      </c>
      <c r="I327" s="694">
        <f>[95]Source!AV2703</f>
        <v>1.0669999999999999</v>
      </c>
      <c r="J327" s="697">
        <f>ROUND((ROUND(([95]Source!AF2703*[95]Source!AV2703*[95]Source!I2703),2)),2)</f>
        <v>346.05</v>
      </c>
      <c r="K327" s="694">
        <f>IF([95]Source!BA2703&lt;&gt; 0, [95]Source!BA2703, 1)</f>
        <v>24.23</v>
      </c>
      <c r="L327" s="697">
        <f>[95]Source!S2703</f>
        <v>8384.7900000000009</v>
      </c>
      <c r="W327" s="718">
        <f>J327</f>
        <v>346.05</v>
      </c>
    </row>
    <row r="328" spans="1:27" ht="15" x14ac:dyDescent="0.25">
      <c r="A328" s="691"/>
      <c r="B328" s="691"/>
      <c r="C328" s="692"/>
      <c r="D328" s="692" t="s">
        <v>85</v>
      </c>
      <c r="E328" s="693"/>
      <c r="F328" s="694"/>
      <c r="G328" s="695">
        <f>[95]Source!AM2703</f>
        <v>158.18</v>
      </c>
      <c r="H328" s="696" t="str">
        <f>[95]Source!DE2703</f>
        <v/>
      </c>
      <c r="I328" s="694">
        <f>[95]Source!AV2703</f>
        <v>1.0669999999999999</v>
      </c>
      <c r="J328" s="697">
        <f>(ROUND((ROUND((([95]Source!ET2703)*[95]Source!AV2703*[95]Source!I2703),2)),2)+ROUND((ROUND((([95]Source!AE2703-([95]Source!EU2703))*[95]Source!AV2703*[95]Source!I2703),2)),2))-J338</f>
        <v>18.8</v>
      </c>
      <c r="K328" s="694">
        <f>IF([95]Source!BB2703&lt;&gt; 0, [95]Source!BB2703, 1)</f>
        <v>8.6</v>
      </c>
      <c r="L328" s="697">
        <f>[95]Source!Q2703-L338</f>
        <v>161.69999999999999</v>
      </c>
    </row>
    <row r="329" spans="1:27" ht="15" x14ac:dyDescent="0.25">
      <c r="A329" s="691"/>
      <c r="B329" s="691"/>
      <c r="C329" s="692"/>
      <c r="D329" s="692" t="s">
        <v>86</v>
      </c>
      <c r="E329" s="693"/>
      <c r="F329" s="694"/>
      <c r="G329" s="695">
        <f>[95]Source!AN2703</f>
        <v>19.579999999999998</v>
      </c>
      <c r="H329" s="696" t="str">
        <f>[95]Source!DE2703</f>
        <v/>
      </c>
      <c r="I329" s="694">
        <f>[95]Source!AV2703</f>
        <v>1.0669999999999999</v>
      </c>
      <c r="J329" s="700">
        <f>ROUND((ROUND(([95]Source!AE2703*[95]Source!AV2703*[95]Source!I2703),2)),2)-J339</f>
        <v>2.33</v>
      </c>
      <c r="K329" s="694">
        <f>IF([95]Source!BS2703&lt;&gt; 0, [95]Source!BS2703, 1)</f>
        <v>24.23</v>
      </c>
      <c r="L329" s="700">
        <f>[95]Source!R2703-L339</f>
        <v>56.47</v>
      </c>
      <c r="W329" s="718">
        <f>J329</f>
        <v>2.33</v>
      </c>
    </row>
    <row r="330" spans="1:27" ht="15" x14ac:dyDescent="0.25">
      <c r="A330" s="691"/>
      <c r="B330" s="691"/>
      <c r="C330" s="692"/>
      <c r="D330" s="692" t="s">
        <v>87</v>
      </c>
      <c r="E330" s="693"/>
      <c r="F330" s="694"/>
      <c r="G330" s="695">
        <f>[95]Source!AL2703</f>
        <v>499.52</v>
      </c>
      <c r="H330" s="696" t="str">
        <f>[95]Source!DD2703</f>
        <v/>
      </c>
      <c r="I330" s="694">
        <f>[95]Source!AW2703</f>
        <v>1</v>
      </c>
      <c r="J330" s="697">
        <f>ROUND((ROUND(([95]Source!AC2703*[95]Source!AW2703*[95]Source!I2703),2)),2)</f>
        <v>55.65</v>
      </c>
      <c r="K330" s="694">
        <f>IF([95]Source!BC2703&lt;&gt; 0, [95]Source!BC2703, 1)</f>
        <v>3.66</v>
      </c>
      <c r="L330" s="697">
        <f>[95]Source!P2703</f>
        <v>203.68</v>
      </c>
    </row>
    <row r="331" spans="1:27" ht="45" x14ac:dyDescent="0.25">
      <c r="A331" s="691">
        <v>47</v>
      </c>
      <c r="B331" s="691" t="str">
        <f>[95]Source!E2705</f>
        <v>431,1</v>
      </c>
      <c r="C331" s="692" t="str">
        <f>[95]Source!F2705</f>
        <v>1.19-3-5</v>
      </c>
      <c r="D331" s="692" t="s">
        <v>509</v>
      </c>
      <c r="E331" s="693" t="str">
        <f>[95]Source!H2705</f>
        <v>м2</v>
      </c>
      <c r="F331" s="694">
        <f>[95]Source!I2705</f>
        <v>11.14</v>
      </c>
      <c r="G331" s="695">
        <f>[95]Source!AK2705</f>
        <v>147.69999999999999</v>
      </c>
      <c r="H331" s="734" t="s">
        <v>42</v>
      </c>
      <c r="I331" s="694">
        <f>[95]Source!AW2705</f>
        <v>1</v>
      </c>
      <c r="J331" s="697">
        <f>ROUND((ROUND(([95]Source!AC2705*[95]Source!AW2705*[95]Source!I2705),2)),2)+(ROUND((ROUND((([95]Source!ET2705)*[95]Source!AV2705*[95]Source!I2705),2)),2)+ROUND((ROUND((([95]Source!AE2705-([95]Source!EU2705))*[95]Source!AV2705*[95]Source!I2705),2)),2))+ROUND((ROUND(([95]Source!AF2705*[95]Source!AV2705*[95]Source!I2705),2)),2)</f>
        <v>1645.38</v>
      </c>
      <c r="K331" s="694">
        <f>IF([95]Source!BC2705&lt;&gt; 0, [95]Source!BC2705, 1)</f>
        <v>2.11</v>
      </c>
      <c r="L331" s="697">
        <f>[95]Source!O2705</f>
        <v>3471.75</v>
      </c>
      <c r="Q331" s="718">
        <f>ROUND(([95]Source!DN2705/100)*ROUND((ROUND(([95]Source!AF2705*[95]Source!AV2705*[95]Source!I2705),2)),2), 2)</f>
        <v>0</v>
      </c>
      <c r="R331" s="718">
        <f>[95]Source!X2705</f>
        <v>0</v>
      </c>
      <c r="S331" s="718">
        <f>ROUND(([95]Source!DO2705/100)*ROUND((ROUND(([95]Source!AF2705*[95]Source!AV2705*[95]Source!I2705),2)),2), 2)</f>
        <v>0</v>
      </c>
      <c r="T331" s="718">
        <f>[95]Source!Y2705</f>
        <v>0</v>
      </c>
      <c r="U331" s="718">
        <f>ROUND((175/100)*ROUND((ROUND(([95]Source!AE2705*[95]Source!AV2705*[95]Source!I2705),2)),2), 2)</f>
        <v>0</v>
      </c>
      <c r="V331" s="718">
        <f>ROUND((157/100)*ROUND(ROUND((ROUND(([95]Source!AE2705*[95]Source!AV2705*[95]Source!I2705),2)*[95]Source!BS2705),2), 2), 2)</f>
        <v>0</v>
      </c>
      <c r="X331" s="718">
        <f>IF([95]Source!BI2705&lt;=1,J331, 0)</f>
        <v>1645.38</v>
      </c>
      <c r="Y331" s="718">
        <f>IF([95]Source!BI2705=2,J331, 0)</f>
        <v>0</v>
      </c>
      <c r="Z331" s="718">
        <f>IF([95]Source!BI2705=3,J331, 0)</f>
        <v>0</v>
      </c>
      <c r="AA331" s="718">
        <f>IF([95]Source!BI2705=4,J331, 0)</f>
        <v>0</v>
      </c>
    </row>
    <row r="332" spans="1:27" ht="15" x14ac:dyDescent="0.25">
      <c r="A332" s="691"/>
      <c r="B332" s="691"/>
      <c r="C332" s="692"/>
      <c r="D332" s="692" t="s">
        <v>88</v>
      </c>
      <c r="E332" s="693" t="s">
        <v>89</v>
      </c>
      <c r="F332" s="694">
        <f>[95]Source!DN2703</f>
        <v>125</v>
      </c>
      <c r="G332" s="695"/>
      <c r="H332" s="696"/>
      <c r="I332" s="694"/>
      <c r="J332" s="697">
        <f>SUM(Q326:Q331)</f>
        <v>432.56</v>
      </c>
      <c r="K332" s="694">
        <f>[95]Source!BZ2703</f>
        <v>100</v>
      </c>
      <c r="L332" s="697">
        <f>SUM(R326:R331)</f>
        <v>8384.7900000000009</v>
      </c>
    </row>
    <row r="333" spans="1:27" ht="15" x14ac:dyDescent="0.25">
      <c r="A333" s="691"/>
      <c r="B333" s="691"/>
      <c r="C333" s="692"/>
      <c r="D333" s="692" t="s">
        <v>90</v>
      </c>
      <c r="E333" s="693" t="s">
        <v>89</v>
      </c>
      <c r="F333" s="694">
        <f>[95]Source!DO2703</f>
        <v>94</v>
      </c>
      <c r="G333" s="695"/>
      <c r="H333" s="696"/>
      <c r="I333" s="694"/>
      <c r="J333" s="697">
        <f>SUM(S326:S332)</f>
        <v>325.29000000000002</v>
      </c>
      <c r="K333" s="694">
        <f>[95]Source!CA2703</f>
        <v>45</v>
      </c>
      <c r="L333" s="697">
        <f>SUM(T326:T332)</f>
        <v>3773.16</v>
      </c>
    </row>
    <row r="334" spans="1:27" ht="15" x14ac:dyDescent="0.25">
      <c r="A334" s="691"/>
      <c r="B334" s="691"/>
      <c r="C334" s="692"/>
      <c r="D334" s="692" t="s">
        <v>91</v>
      </c>
      <c r="E334" s="693" t="s">
        <v>89</v>
      </c>
      <c r="F334" s="694">
        <f>175</f>
        <v>175</v>
      </c>
      <c r="G334" s="695"/>
      <c r="H334" s="696"/>
      <c r="I334" s="694"/>
      <c r="J334" s="697">
        <f>SUM(U326:U333)-J340</f>
        <v>4.08</v>
      </c>
      <c r="K334" s="694">
        <f>157</f>
        <v>157</v>
      </c>
      <c r="L334" s="697">
        <f>SUM(V326:V333)-L340</f>
        <v>88.66</v>
      </c>
    </row>
    <row r="335" spans="1:27" ht="15" x14ac:dyDescent="0.25">
      <c r="A335" s="691"/>
      <c r="B335" s="691"/>
      <c r="C335" s="692"/>
      <c r="D335" s="692" t="s">
        <v>92</v>
      </c>
      <c r="E335" s="693" t="s">
        <v>93</v>
      </c>
      <c r="F335" s="694">
        <f>[95]Source!AQ2703</f>
        <v>154</v>
      </c>
      <c r="G335" s="695"/>
      <c r="H335" s="696" t="str">
        <f>[95]Source!DI2703</f>
        <v/>
      </c>
      <c r="I335" s="694">
        <f>[95]Source!AV2703</f>
        <v>1.0669999999999999</v>
      </c>
      <c r="J335" s="697">
        <f>[95]Source!U2703</f>
        <v>18.309999999999999</v>
      </c>
      <c r="K335" s="694"/>
      <c r="L335" s="697"/>
    </row>
    <row r="336" spans="1:27" ht="14.25" x14ac:dyDescent="0.2">
      <c r="I336" s="1067">
        <f>J327+J328+J330+J332+J333+J334+SUM(J331:J331)</f>
        <v>2827.81</v>
      </c>
      <c r="J336" s="1067"/>
      <c r="K336" s="1067">
        <f>L327+L328+L330+L332+L333+L334+SUM(L331:L331)</f>
        <v>24468.53</v>
      </c>
      <c r="L336" s="1067"/>
      <c r="O336" s="736">
        <f>J327+J328+J330+J332+J333+J334+SUM(J331:J331)</f>
        <v>2827.81</v>
      </c>
      <c r="P336" s="736">
        <f>L327+L328+L330+L332+L333+L334+SUM(L331:L331)</f>
        <v>24468.53</v>
      </c>
      <c r="X336" s="718">
        <f>IF([95]Source!BI2703&lt;=1,J327+J328+J330+J332+J333+J334-0, 0)</f>
        <v>1182.43</v>
      </c>
      <c r="Y336" s="718">
        <f>IF([95]Source!BI2703=2,J327+J328+J330+J332+J333+J334-0, 0)</f>
        <v>0</v>
      </c>
      <c r="Z336" s="718">
        <f>IF([95]Source!BI2703=3,J327+J328+J330+J332+J333+J334-0, 0)</f>
        <v>0</v>
      </c>
      <c r="AA336" s="718">
        <f>IF([95]Source!BI2703=4,J327+J328+J330+J332+J333+J334,0)</f>
        <v>0</v>
      </c>
    </row>
    <row r="337" spans="1:27" ht="30" x14ac:dyDescent="0.25">
      <c r="A337" s="701"/>
      <c r="B337" s="701"/>
      <c r="C337" s="702"/>
      <c r="D337" s="702" t="s">
        <v>94</v>
      </c>
      <c r="E337" s="693"/>
      <c r="F337" s="703"/>
      <c r="G337" s="704"/>
      <c r="H337" s="693"/>
      <c r="I337" s="703"/>
      <c r="J337" s="700"/>
      <c r="K337" s="703"/>
      <c r="L337" s="700"/>
    </row>
    <row r="338" spans="1:27" ht="15" x14ac:dyDescent="0.25">
      <c r="A338" s="701"/>
      <c r="B338" s="701"/>
      <c r="C338" s="702"/>
      <c r="D338" s="702" t="s">
        <v>85</v>
      </c>
      <c r="E338" s="693"/>
      <c r="F338" s="703"/>
      <c r="G338" s="704">
        <f t="shared" ref="G338:L338" si="13">G339</f>
        <v>19.579999999999998</v>
      </c>
      <c r="H338" s="705" t="str">
        <f t="shared" si="13"/>
        <v>)*(1.67-1)</v>
      </c>
      <c r="I338" s="703">
        <f t="shared" si="13"/>
        <v>1.0669999999999999</v>
      </c>
      <c r="J338" s="700">
        <f t="shared" si="13"/>
        <v>1.56</v>
      </c>
      <c r="K338" s="703">
        <f t="shared" si="13"/>
        <v>24.23</v>
      </c>
      <c r="L338" s="700">
        <f t="shared" si="13"/>
        <v>37.78</v>
      </c>
    </row>
    <row r="339" spans="1:27" ht="15" x14ac:dyDescent="0.25">
      <c r="A339" s="701"/>
      <c r="B339" s="701"/>
      <c r="C339" s="702"/>
      <c r="D339" s="702" t="s">
        <v>86</v>
      </c>
      <c r="E339" s="693"/>
      <c r="F339" s="703"/>
      <c r="G339" s="704">
        <f>[95]Source!AN2703</f>
        <v>19.579999999999998</v>
      </c>
      <c r="H339" s="705" t="s">
        <v>95</v>
      </c>
      <c r="I339" s="703">
        <f>[95]Source!AV2703</f>
        <v>1.0669999999999999</v>
      </c>
      <c r="J339" s="700">
        <f>ROUND(F326*G339*I339*(1.67-1), 2)</f>
        <v>1.56</v>
      </c>
      <c r="K339" s="703">
        <f>IF([95]Source!BS2703&lt;&gt; 0, [95]Source!BS2703, 1)</f>
        <v>24.23</v>
      </c>
      <c r="L339" s="700">
        <f>ROUND(F326*G339*I339*(1.67-1)*K339, 2)</f>
        <v>37.78</v>
      </c>
      <c r="W339" s="718">
        <f>J339</f>
        <v>1.56</v>
      </c>
    </row>
    <row r="340" spans="1:27" ht="15" x14ac:dyDescent="0.25">
      <c r="A340" s="701"/>
      <c r="B340" s="701"/>
      <c r="C340" s="702"/>
      <c r="D340" s="702" t="s">
        <v>91</v>
      </c>
      <c r="E340" s="693" t="s">
        <v>89</v>
      </c>
      <c r="F340" s="703">
        <f>175</f>
        <v>175</v>
      </c>
      <c r="G340" s="704"/>
      <c r="H340" s="693"/>
      <c r="I340" s="703"/>
      <c r="J340" s="700">
        <f>ROUND(J339*(F340/100), 2)</f>
        <v>2.73</v>
      </c>
      <c r="K340" s="703">
        <f>157</f>
        <v>157</v>
      </c>
      <c r="L340" s="700">
        <f>ROUND(L339*(K340/100), 2)</f>
        <v>59.31</v>
      </c>
    </row>
    <row r="341" spans="1:27" ht="14.25" x14ac:dyDescent="0.2">
      <c r="I341" s="1067">
        <f>J340+J339</f>
        <v>4.29</v>
      </c>
      <c r="J341" s="1067"/>
      <c r="K341" s="1067">
        <f>L340+L339</f>
        <v>97.09</v>
      </c>
      <c r="L341" s="1067"/>
      <c r="O341" s="736">
        <f>I341</f>
        <v>4.29</v>
      </c>
      <c r="P341" s="736">
        <f>K341</f>
        <v>97.09</v>
      </c>
      <c r="X341" s="718">
        <f>IF([95]Source!BI2703&lt;=1,I341, 0)</f>
        <v>4.29</v>
      </c>
      <c r="Y341" s="718">
        <f>IF([95]Source!BI2703=2,I341, 0)</f>
        <v>0</v>
      </c>
      <c r="Z341" s="718">
        <f>IF([95]Source!BI2703=3,I341, 0)</f>
        <v>0</v>
      </c>
      <c r="AA341" s="718">
        <f>IF([95]Source!BI2703=4,I341, 0)</f>
        <v>0</v>
      </c>
    </row>
    <row r="343" spans="1:27" ht="15" x14ac:dyDescent="0.25">
      <c r="A343" s="706"/>
      <c r="B343" s="706"/>
      <c r="C343" s="707"/>
      <c r="D343" s="707" t="s">
        <v>96</v>
      </c>
      <c r="E343" s="708"/>
      <c r="F343" s="709"/>
      <c r="G343" s="710"/>
      <c r="H343" s="711"/>
      <c r="I343" s="1067">
        <f>I336+I341</f>
        <v>2832.1</v>
      </c>
      <c r="J343" s="1067"/>
      <c r="K343" s="1067">
        <f>K336+K341</f>
        <v>24565.62</v>
      </c>
      <c r="L343" s="1067"/>
    </row>
    <row r="344" spans="1:27" ht="75" x14ac:dyDescent="0.25">
      <c r="A344" s="691">
        <v>48</v>
      </c>
      <c r="B344" s="691" t="str">
        <f>[95]Source!E2707</f>
        <v>432</v>
      </c>
      <c r="C344" s="692" t="str">
        <f>[95]Source!F2707</f>
        <v>3.20-1-4</v>
      </c>
      <c r="D344" s="692" t="s">
        <v>464</v>
      </c>
      <c r="E344" s="693" t="str">
        <f>[95]Source!H2707</f>
        <v>100 м2 поверхности воздуховодов</v>
      </c>
      <c r="F344" s="694">
        <f>[95]Source!I2707</f>
        <v>0.1191</v>
      </c>
      <c r="G344" s="695"/>
      <c r="H344" s="696"/>
      <c r="I344" s="694"/>
      <c r="J344" s="697"/>
      <c r="K344" s="694"/>
      <c r="L344" s="697"/>
      <c r="Q344" s="718">
        <f>ROUND(([95]Source!DN2707/100)*ROUND((ROUND(([95]Source!AF2707*[95]Source!AV2707*[95]Source!I2707),2)),2), 2)</f>
        <v>462.45</v>
      </c>
      <c r="R344" s="718">
        <f>[95]Source!X2707</f>
        <v>8964.1299999999992</v>
      </c>
      <c r="S344" s="718">
        <f>ROUND(([95]Source!DO2707/100)*ROUND((ROUND(([95]Source!AF2707*[95]Source!AV2707*[95]Source!I2707),2)),2), 2)</f>
        <v>347.76</v>
      </c>
      <c r="T344" s="718">
        <f>[95]Source!Y2707</f>
        <v>4033.86</v>
      </c>
      <c r="U344" s="718">
        <f>ROUND((175/100)*ROUND((ROUND(([95]Source!AE2707*[95]Source!AV2707*[95]Source!I2707),2)),2), 2)</f>
        <v>7.33</v>
      </c>
      <c r="V344" s="718">
        <f>ROUND((157/100)*ROUND(ROUND((ROUND(([95]Source!AE2707*[95]Source!AV2707*[95]Source!I2707),2)*[95]Source!BS2707),2), 2), 2)</f>
        <v>159.38999999999999</v>
      </c>
    </row>
    <row r="345" spans="1:27" ht="15" x14ac:dyDescent="0.25">
      <c r="A345" s="691"/>
      <c r="B345" s="691"/>
      <c r="C345" s="692"/>
      <c r="D345" s="692" t="s">
        <v>84</v>
      </c>
      <c r="E345" s="693"/>
      <c r="F345" s="694"/>
      <c r="G345" s="695">
        <f>[95]Source!AO2707</f>
        <v>1743.28</v>
      </c>
      <c r="H345" s="696" t="str">
        <f>[95]Source!DG2707</f>
        <v>)*1,67</v>
      </c>
      <c r="I345" s="694">
        <f>[95]Source!AV2707</f>
        <v>1.0669999999999999</v>
      </c>
      <c r="J345" s="697">
        <f>ROUND((ROUND(([95]Source!AF2707*[95]Source!AV2707*[95]Source!I2707),2)),2)</f>
        <v>369.96</v>
      </c>
      <c r="K345" s="694">
        <f>IF([95]Source!BA2707&lt;&gt; 0, [95]Source!BA2707, 1)</f>
        <v>24.23</v>
      </c>
      <c r="L345" s="697">
        <f>[95]Source!S2707</f>
        <v>8964.1299999999992</v>
      </c>
      <c r="W345" s="718">
        <f>J345</f>
        <v>369.96</v>
      </c>
    </row>
    <row r="346" spans="1:27" ht="15" x14ac:dyDescent="0.25">
      <c r="A346" s="691"/>
      <c r="B346" s="691"/>
      <c r="C346" s="692"/>
      <c r="D346" s="692" t="s">
        <v>85</v>
      </c>
      <c r="E346" s="693"/>
      <c r="F346" s="694"/>
      <c r="G346" s="695">
        <f>[95]Source!AM2707</f>
        <v>158.94999999999999</v>
      </c>
      <c r="H346" s="696" t="str">
        <f>[95]Source!DE2707</f>
        <v/>
      </c>
      <c r="I346" s="694">
        <f>[95]Source!AV2707</f>
        <v>1.0669999999999999</v>
      </c>
      <c r="J346" s="697">
        <f>(ROUND((ROUND((([95]Source!ET2707)*[95]Source!AV2707*[95]Source!I2707),2)),2)+ROUND((ROUND((([95]Source!AE2707-([95]Source!EU2707))*[95]Source!AV2707*[95]Source!I2707),2)),2))-J356</f>
        <v>20.2</v>
      </c>
      <c r="K346" s="694">
        <f>IF([95]Source!BB2707&lt;&gt; 0, [95]Source!BB2707, 1)</f>
        <v>8.6</v>
      </c>
      <c r="L346" s="697">
        <f>[95]Source!Q2707-L356</f>
        <v>173.73</v>
      </c>
    </row>
    <row r="347" spans="1:27" ht="15" x14ac:dyDescent="0.25">
      <c r="A347" s="691"/>
      <c r="B347" s="691"/>
      <c r="C347" s="692"/>
      <c r="D347" s="692" t="s">
        <v>86</v>
      </c>
      <c r="E347" s="693"/>
      <c r="F347" s="694"/>
      <c r="G347" s="695">
        <f>[95]Source!AN2707</f>
        <v>19.73</v>
      </c>
      <c r="H347" s="696" t="str">
        <f>[95]Source!DE2707</f>
        <v/>
      </c>
      <c r="I347" s="694">
        <f>[95]Source!AV2707</f>
        <v>1.0669999999999999</v>
      </c>
      <c r="J347" s="700">
        <f>ROUND((ROUND(([95]Source!AE2707*[95]Source!AV2707*[95]Source!I2707),2)),2)-J357</f>
        <v>2.5099999999999998</v>
      </c>
      <c r="K347" s="694">
        <f>IF([95]Source!BS2707&lt;&gt; 0, [95]Source!BS2707, 1)</f>
        <v>24.23</v>
      </c>
      <c r="L347" s="700">
        <f>[95]Source!R2707-L357</f>
        <v>60.82</v>
      </c>
      <c r="W347" s="718">
        <f>J347</f>
        <v>2.5099999999999998</v>
      </c>
    </row>
    <row r="348" spans="1:27" ht="15" x14ac:dyDescent="0.25">
      <c r="A348" s="691"/>
      <c r="B348" s="691"/>
      <c r="C348" s="692"/>
      <c r="D348" s="692" t="s">
        <v>87</v>
      </c>
      <c r="E348" s="693"/>
      <c r="F348" s="694"/>
      <c r="G348" s="695">
        <f>[95]Source!AL2707</f>
        <v>499.52</v>
      </c>
      <c r="H348" s="696" t="str">
        <f>[95]Source!DD2707</f>
        <v/>
      </c>
      <c r="I348" s="694">
        <f>[95]Source!AW2707</f>
        <v>1</v>
      </c>
      <c r="J348" s="697">
        <f>ROUND((ROUND(([95]Source!AC2707*[95]Source!AW2707*[95]Source!I2707),2)),2)</f>
        <v>59.49</v>
      </c>
      <c r="K348" s="694">
        <f>IF([95]Source!BC2707&lt;&gt; 0, [95]Source!BC2707, 1)</f>
        <v>3.66</v>
      </c>
      <c r="L348" s="697">
        <f>[95]Source!P2707</f>
        <v>217.73</v>
      </c>
    </row>
    <row r="349" spans="1:27" ht="59.45" customHeight="1" x14ac:dyDescent="0.25">
      <c r="A349" s="691">
        <v>49</v>
      </c>
      <c r="B349" s="691" t="str">
        <f>[95]Source!E2709</f>
        <v>432,1</v>
      </c>
      <c r="C349" s="692" t="str">
        <f>[95]Source!F2709</f>
        <v>1.19-3-6</v>
      </c>
      <c r="D349" s="692" t="s">
        <v>465</v>
      </c>
      <c r="E349" s="693" t="str">
        <f>[95]Source!H2709</f>
        <v>м2</v>
      </c>
      <c r="F349" s="694">
        <f>[95]Source!I2709</f>
        <v>11.91</v>
      </c>
      <c r="G349" s="695">
        <f>[95]Source!AK2709</f>
        <v>156.05000000000001</v>
      </c>
      <c r="H349" s="734" t="s">
        <v>42</v>
      </c>
      <c r="I349" s="694">
        <f>[95]Source!AW2709</f>
        <v>1</v>
      </c>
      <c r="J349" s="697">
        <f>ROUND((ROUND(([95]Source!AC2709*[95]Source!AW2709*[95]Source!I2709),2)),2)+(ROUND((ROUND((([95]Source!ET2709)*[95]Source!AV2709*[95]Source!I2709),2)),2)+ROUND((ROUND((([95]Source!AE2709-([95]Source!EU2709))*[95]Source!AV2709*[95]Source!I2709),2)),2))+ROUND((ROUND(([95]Source!AF2709*[95]Source!AV2709*[95]Source!I2709),2)),2)</f>
        <v>1858.56</v>
      </c>
      <c r="K349" s="694">
        <f>IF([95]Source!BC2709&lt;&gt; 0, [95]Source!BC2709, 1)</f>
        <v>2.4900000000000002</v>
      </c>
      <c r="L349" s="697">
        <f>[95]Source!O2709</f>
        <v>4627.8100000000004</v>
      </c>
      <c r="Q349" s="718">
        <f>ROUND(([95]Source!DN2709/100)*ROUND((ROUND(([95]Source!AF2709*[95]Source!AV2709*[95]Source!I2709),2)),2), 2)</f>
        <v>0</v>
      </c>
      <c r="R349" s="718">
        <f>[95]Source!X2709</f>
        <v>0</v>
      </c>
      <c r="S349" s="718">
        <f>ROUND(([95]Source!DO2709/100)*ROUND((ROUND(([95]Source!AF2709*[95]Source!AV2709*[95]Source!I2709),2)),2), 2)</f>
        <v>0</v>
      </c>
      <c r="T349" s="718">
        <f>[95]Source!Y2709</f>
        <v>0</v>
      </c>
      <c r="U349" s="718">
        <f>ROUND((175/100)*ROUND((ROUND(([95]Source!AE2709*[95]Source!AV2709*[95]Source!I2709),2)),2), 2)</f>
        <v>0</v>
      </c>
      <c r="V349" s="718">
        <f>ROUND((157/100)*ROUND(ROUND((ROUND(([95]Source!AE2709*[95]Source!AV2709*[95]Source!I2709),2)*[95]Source!BS2709),2), 2), 2)</f>
        <v>0</v>
      </c>
      <c r="X349" s="718">
        <f>IF([95]Source!BI2709&lt;=1,J349, 0)</f>
        <v>1858.56</v>
      </c>
      <c r="Y349" s="718">
        <f>IF([95]Source!BI2709=2,J349, 0)</f>
        <v>0</v>
      </c>
      <c r="Z349" s="718">
        <f>IF([95]Source!BI2709=3,J349, 0)</f>
        <v>0</v>
      </c>
      <c r="AA349" s="718">
        <f>IF([95]Source!BI2709=4,J349, 0)</f>
        <v>0</v>
      </c>
    </row>
    <row r="350" spans="1:27" ht="15" x14ac:dyDescent="0.25">
      <c r="A350" s="691"/>
      <c r="B350" s="691"/>
      <c r="C350" s="692"/>
      <c r="D350" s="692" t="s">
        <v>88</v>
      </c>
      <c r="E350" s="693" t="s">
        <v>89</v>
      </c>
      <c r="F350" s="694">
        <f>[95]Source!DN2707</f>
        <v>125</v>
      </c>
      <c r="G350" s="695"/>
      <c r="H350" s="696"/>
      <c r="I350" s="694"/>
      <c r="J350" s="697">
        <f>SUM(Q344:Q349)</f>
        <v>462.45</v>
      </c>
      <c r="K350" s="694">
        <f>[95]Source!BZ2707</f>
        <v>100</v>
      </c>
      <c r="L350" s="697">
        <f>SUM(R344:R349)</f>
        <v>8964.1299999999992</v>
      </c>
    </row>
    <row r="351" spans="1:27" ht="15" x14ac:dyDescent="0.25">
      <c r="A351" s="691"/>
      <c r="B351" s="691"/>
      <c r="C351" s="692"/>
      <c r="D351" s="692" t="s">
        <v>90</v>
      </c>
      <c r="E351" s="693" t="s">
        <v>89</v>
      </c>
      <c r="F351" s="694">
        <f>[95]Source!DO2707</f>
        <v>94</v>
      </c>
      <c r="G351" s="695"/>
      <c r="H351" s="696"/>
      <c r="I351" s="694"/>
      <c r="J351" s="697">
        <f>SUM(S344:S350)</f>
        <v>347.76</v>
      </c>
      <c r="K351" s="694">
        <f>[95]Source!CA2707</f>
        <v>45</v>
      </c>
      <c r="L351" s="697">
        <f>SUM(T344:T350)</f>
        <v>4033.86</v>
      </c>
    </row>
    <row r="352" spans="1:27" ht="15" x14ac:dyDescent="0.25">
      <c r="A352" s="691"/>
      <c r="B352" s="691"/>
      <c r="C352" s="692"/>
      <c r="D352" s="692" t="s">
        <v>91</v>
      </c>
      <c r="E352" s="693" t="s">
        <v>89</v>
      </c>
      <c r="F352" s="694">
        <f>175</f>
        <v>175</v>
      </c>
      <c r="G352" s="695"/>
      <c r="H352" s="696"/>
      <c r="I352" s="694"/>
      <c r="J352" s="697">
        <f>SUM(U344:U351)-J358</f>
        <v>4.3899999999999997</v>
      </c>
      <c r="K352" s="694">
        <f>157</f>
        <v>157</v>
      </c>
      <c r="L352" s="697">
        <f>SUM(V344:V351)-L358</f>
        <v>95.49</v>
      </c>
    </row>
    <row r="353" spans="1:27" ht="15" x14ac:dyDescent="0.25">
      <c r="A353" s="691"/>
      <c r="B353" s="691"/>
      <c r="C353" s="692"/>
      <c r="D353" s="692" t="s">
        <v>92</v>
      </c>
      <c r="E353" s="693" t="s">
        <v>93</v>
      </c>
      <c r="F353" s="694">
        <f>[95]Source!AQ2707</f>
        <v>154</v>
      </c>
      <c r="G353" s="695"/>
      <c r="H353" s="696" t="str">
        <f>[95]Source!DI2707</f>
        <v/>
      </c>
      <c r="I353" s="694">
        <f>[95]Source!AV2707</f>
        <v>1.0669999999999999</v>
      </c>
      <c r="J353" s="697">
        <f>[95]Source!U2707</f>
        <v>19.57</v>
      </c>
      <c r="K353" s="694"/>
      <c r="L353" s="697"/>
    </row>
    <row r="354" spans="1:27" ht="14.25" x14ac:dyDescent="0.2">
      <c r="I354" s="1067">
        <f>J345+J346+J348+J350+J351+J352+SUM(J349:J349)</f>
        <v>3122.81</v>
      </c>
      <c r="J354" s="1067"/>
      <c r="K354" s="1067">
        <f>L345+L346+L348+L350+L351+L352+SUM(L349:L349)</f>
        <v>27076.880000000001</v>
      </c>
      <c r="L354" s="1067"/>
      <c r="O354" s="736">
        <f>J345+J346+J348+J350+J351+J352+SUM(J349:J349)</f>
        <v>3122.81</v>
      </c>
      <c r="P354" s="736">
        <f>L345+L346+L348+L350+L351+L352+SUM(L349:L349)</f>
        <v>27076.880000000001</v>
      </c>
      <c r="X354" s="718">
        <f>IF([95]Source!BI2707&lt;=1,J345+J346+J348+J350+J351+J352-0, 0)</f>
        <v>1264.25</v>
      </c>
      <c r="Y354" s="718">
        <f>IF([95]Source!BI2707=2,J345+J346+J348+J350+J351+J352-0, 0)</f>
        <v>0</v>
      </c>
      <c r="Z354" s="718">
        <f>IF([95]Source!BI2707=3,J345+J346+J348+J350+J351+J352-0, 0)</f>
        <v>0</v>
      </c>
      <c r="AA354" s="718">
        <f>IF([95]Source!BI2707=4,J345+J346+J348+J350+J351+J352,0)</f>
        <v>0</v>
      </c>
    </row>
    <row r="355" spans="1:27" ht="30" x14ac:dyDescent="0.25">
      <c r="A355" s="701"/>
      <c r="B355" s="701"/>
      <c r="C355" s="702"/>
      <c r="D355" s="702" t="s">
        <v>94</v>
      </c>
      <c r="E355" s="693"/>
      <c r="F355" s="703"/>
      <c r="G355" s="704"/>
      <c r="H355" s="693"/>
      <c r="I355" s="703"/>
      <c r="J355" s="700"/>
      <c r="K355" s="703"/>
      <c r="L355" s="700"/>
    </row>
    <row r="356" spans="1:27" ht="15" x14ac:dyDescent="0.25">
      <c r="A356" s="701"/>
      <c r="B356" s="701"/>
      <c r="C356" s="702"/>
      <c r="D356" s="702" t="s">
        <v>85</v>
      </c>
      <c r="E356" s="693"/>
      <c r="F356" s="703"/>
      <c r="G356" s="704">
        <f t="shared" ref="G356:L356" si="14">G357</f>
        <v>19.73</v>
      </c>
      <c r="H356" s="705" t="str">
        <f t="shared" si="14"/>
        <v>)*(1.67-1)</v>
      </c>
      <c r="I356" s="703">
        <f t="shared" si="14"/>
        <v>1.0669999999999999</v>
      </c>
      <c r="J356" s="700">
        <f t="shared" si="14"/>
        <v>1.68</v>
      </c>
      <c r="K356" s="703">
        <f t="shared" si="14"/>
        <v>24.23</v>
      </c>
      <c r="L356" s="700">
        <f t="shared" si="14"/>
        <v>40.700000000000003</v>
      </c>
    </row>
    <row r="357" spans="1:27" ht="15" x14ac:dyDescent="0.25">
      <c r="A357" s="701"/>
      <c r="B357" s="701"/>
      <c r="C357" s="702"/>
      <c r="D357" s="702" t="s">
        <v>86</v>
      </c>
      <c r="E357" s="693"/>
      <c r="F357" s="703"/>
      <c r="G357" s="704">
        <f>[95]Source!AN2707</f>
        <v>19.73</v>
      </c>
      <c r="H357" s="705" t="s">
        <v>95</v>
      </c>
      <c r="I357" s="703">
        <f>[95]Source!AV2707</f>
        <v>1.0669999999999999</v>
      </c>
      <c r="J357" s="700">
        <f>ROUND(F344*G357*I357*(1.67-1), 2)</f>
        <v>1.68</v>
      </c>
      <c r="K357" s="703">
        <f>IF([95]Source!BS2707&lt;&gt; 0, [95]Source!BS2707, 1)</f>
        <v>24.23</v>
      </c>
      <c r="L357" s="700">
        <f>ROUND(F344*G357*I357*(1.67-1)*K357, 2)</f>
        <v>40.700000000000003</v>
      </c>
      <c r="W357" s="718">
        <f>J357</f>
        <v>1.68</v>
      </c>
    </row>
    <row r="358" spans="1:27" ht="15" x14ac:dyDescent="0.25">
      <c r="A358" s="701"/>
      <c r="B358" s="701"/>
      <c r="C358" s="702"/>
      <c r="D358" s="702" t="s">
        <v>91</v>
      </c>
      <c r="E358" s="693" t="s">
        <v>89</v>
      </c>
      <c r="F358" s="703">
        <f>175</f>
        <v>175</v>
      </c>
      <c r="G358" s="704"/>
      <c r="H358" s="693"/>
      <c r="I358" s="703"/>
      <c r="J358" s="700">
        <f>ROUND(J357*(F358/100), 2)</f>
        <v>2.94</v>
      </c>
      <c r="K358" s="703">
        <f>157</f>
        <v>157</v>
      </c>
      <c r="L358" s="700">
        <f>ROUND(L357*(K358/100), 2)</f>
        <v>63.9</v>
      </c>
    </row>
    <row r="359" spans="1:27" ht="14.25" x14ac:dyDescent="0.2">
      <c r="I359" s="1067">
        <f>J358+J357</f>
        <v>4.62</v>
      </c>
      <c r="J359" s="1067"/>
      <c r="K359" s="1067">
        <f>L358+L357</f>
        <v>104.6</v>
      </c>
      <c r="L359" s="1067"/>
      <c r="O359" s="736">
        <f>I359</f>
        <v>4.62</v>
      </c>
      <c r="P359" s="736">
        <f>K359</f>
        <v>104.6</v>
      </c>
      <c r="X359" s="718">
        <f>IF([95]Source!BI2707&lt;=1,I359, 0)</f>
        <v>4.62</v>
      </c>
      <c r="Y359" s="718">
        <f>IF([95]Source!BI2707=2,I359, 0)</f>
        <v>0</v>
      </c>
      <c r="Z359" s="718">
        <f>IF([95]Source!BI2707=3,I359, 0)</f>
        <v>0</v>
      </c>
      <c r="AA359" s="718">
        <f>IF([95]Source!BI2707=4,I359, 0)</f>
        <v>0</v>
      </c>
    </row>
    <row r="361" spans="1:27" ht="15" x14ac:dyDescent="0.25">
      <c r="A361" s="706"/>
      <c r="B361" s="706"/>
      <c r="C361" s="707"/>
      <c r="D361" s="707" t="s">
        <v>96</v>
      </c>
      <c r="E361" s="708"/>
      <c r="F361" s="709"/>
      <c r="G361" s="710"/>
      <c r="H361" s="711"/>
      <c r="I361" s="1067">
        <f>I354+I359</f>
        <v>3127.43</v>
      </c>
      <c r="J361" s="1067"/>
      <c r="K361" s="1067">
        <f>K354+K359</f>
        <v>27181.48</v>
      </c>
      <c r="L361" s="1067"/>
    </row>
    <row r="362" spans="1:27" ht="75" x14ac:dyDescent="0.25">
      <c r="A362" s="691">
        <v>50</v>
      </c>
      <c r="B362" s="691" t="str">
        <f>[95]Source!E2711</f>
        <v>433</v>
      </c>
      <c r="C362" s="692" t="str">
        <f>[95]Source!F2711</f>
        <v>3.20-1-2</v>
      </c>
      <c r="D362" s="692" t="s">
        <v>466</v>
      </c>
      <c r="E362" s="693" t="str">
        <f>[95]Source!H2711</f>
        <v>100 м2 поверхности воздуховодов</v>
      </c>
      <c r="F362" s="694">
        <f>[95]Source!I2711</f>
        <v>0.17100000000000001</v>
      </c>
      <c r="G362" s="695"/>
      <c r="H362" s="696"/>
      <c r="I362" s="694"/>
      <c r="J362" s="697"/>
      <c r="K362" s="694"/>
      <c r="L362" s="697"/>
      <c r="Q362" s="718">
        <f>ROUND(([95]Source!DN2711/100)*ROUND((ROUND(([95]Source!AF2711*[95]Source!AV2711*[95]Source!I2711),2)),2), 2)</f>
        <v>663.98</v>
      </c>
      <c r="R362" s="718">
        <f>[95]Source!X2711</f>
        <v>12870.49</v>
      </c>
      <c r="S362" s="718">
        <f>ROUND(([95]Source!DO2711/100)*ROUND((ROUND(([95]Source!AF2711*[95]Source!AV2711*[95]Source!I2711),2)),2), 2)</f>
        <v>499.31</v>
      </c>
      <c r="T362" s="718">
        <f>[95]Source!Y2711</f>
        <v>5791.72</v>
      </c>
      <c r="U362" s="718">
        <f>ROUND((175/100)*ROUND((ROUND(([95]Source!AE2711*[95]Source!AV2711*[95]Source!I2711),2)),2), 2)</f>
        <v>10.45</v>
      </c>
      <c r="V362" s="718">
        <f>ROUND((157/100)*ROUND(ROUND((ROUND(([95]Source!AE2711*[95]Source!AV2711*[95]Source!I2711),2)*[95]Source!BS2711),2), 2), 2)</f>
        <v>227.1</v>
      </c>
    </row>
    <row r="363" spans="1:27" ht="15" x14ac:dyDescent="0.25">
      <c r="A363" s="691"/>
      <c r="B363" s="691"/>
      <c r="C363" s="692"/>
      <c r="D363" s="692" t="s">
        <v>84</v>
      </c>
      <c r="E363" s="693"/>
      <c r="F363" s="694"/>
      <c r="G363" s="695">
        <f>[95]Source!AO2711</f>
        <v>1743.28</v>
      </c>
      <c r="H363" s="696" t="str">
        <f>[95]Source!DG2711</f>
        <v>)*1,67</v>
      </c>
      <c r="I363" s="694">
        <f>[95]Source!AV2711</f>
        <v>1.0669999999999999</v>
      </c>
      <c r="J363" s="697">
        <f>ROUND((ROUND(([95]Source!AF2711*[95]Source!AV2711*[95]Source!I2711),2)),2)</f>
        <v>531.17999999999995</v>
      </c>
      <c r="K363" s="694">
        <f>IF([95]Source!BA2711&lt;&gt; 0, [95]Source!BA2711, 1)</f>
        <v>24.23</v>
      </c>
      <c r="L363" s="697">
        <f>[95]Source!S2711</f>
        <v>12870.49</v>
      </c>
      <c r="W363" s="718">
        <f>J363</f>
        <v>531.17999999999995</v>
      </c>
    </row>
    <row r="364" spans="1:27" ht="15" x14ac:dyDescent="0.25">
      <c r="A364" s="691"/>
      <c r="B364" s="691"/>
      <c r="C364" s="692"/>
      <c r="D364" s="692" t="s">
        <v>85</v>
      </c>
      <c r="E364" s="693"/>
      <c r="F364" s="694"/>
      <c r="G364" s="695">
        <f>[95]Source!AM2711</f>
        <v>158.18</v>
      </c>
      <c r="H364" s="696" t="str">
        <f>[95]Source!DE2711</f>
        <v/>
      </c>
      <c r="I364" s="694">
        <f>[95]Source!AV2711</f>
        <v>1.0669999999999999</v>
      </c>
      <c r="J364" s="697">
        <f>(ROUND((ROUND((([95]Source!ET2711)*[95]Source!AV2711*[95]Source!I2711),2)),2)+ROUND((ROUND((([95]Source!AE2711-([95]Source!EU2711))*[95]Source!AV2711*[95]Source!I2711),2)),2))-J374</f>
        <v>28.86</v>
      </c>
      <c r="K364" s="694">
        <f>IF([95]Source!BB2711&lt;&gt; 0, [95]Source!BB2711, 1)</f>
        <v>8.6</v>
      </c>
      <c r="L364" s="697">
        <f>[95]Source!Q2711-L374</f>
        <v>248.11</v>
      </c>
    </row>
    <row r="365" spans="1:27" ht="15" x14ac:dyDescent="0.25">
      <c r="A365" s="691"/>
      <c r="B365" s="691"/>
      <c r="C365" s="692"/>
      <c r="D365" s="692" t="s">
        <v>86</v>
      </c>
      <c r="E365" s="693"/>
      <c r="F365" s="694"/>
      <c r="G365" s="695">
        <f>[95]Source!AN2711</f>
        <v>19.579999999999998</v>
      </c>
      <c r="H365" s="696" t="str">
        <f>[95]Source!DE2711</f>
        <v/>
      </c>
      <c r="I365" s="694">
        <f>[95]Source!AV2711</f>
        <v>1.0669999999999999</v>
      </c>
      <c r="J365" s="700">
        <f>ROUND((ROUND(([95]Source!AE2711*[95]Source!AV2711*[95]Source!I2711),2)),2)-J375</f>
        <v>3.58</v>
      </c>
      <c r="K365" s="694">
        <f>IF([95]Source!BS2711&lt;&gt; 0, [95]Source!BS2711, 1)</f>
        <v>24.23</v>
      </c>
      <c r="L365" s="700">
        <f>[95]Source!R2711-L375</f>
        <v>86.65</v>
      </c>
      <c r="W365" s="718">
        <f>J365</f>
        <v>3.58</v>
      </c>
    </row>
    <row r="366" spans="1:27" ht="15" x14ac:dyDescent="0.25">
      <c r="A366" s="691"/>
      <c r="B366" s="691"/>
      <c r="C366" s="692"/>
      <c r="D366" s="692" t="s">
        <v>87</v>
      </c>
      <c r="E366" s="693"/>
      <c r="F366" s="694"/>
      <c r="G366" s="695">
        <f>[95]Source!AL2711</f>
        <v>499.52</v>
      </c>
      <c r="H366" s="696" t="str">
        <f>[95]Source!DD2711</f>
        <v/>
      </c>
      <c r="I366" s="694">
        <f>[95]Source!AW2711</f>
        <v>1</v>
      </c>
      <c r="J366" s="697">
        <f>ROUND((ROUND(([95]Source!AC2711*[95]Source!AW2711*[95]Source!I2711),2)),2)</f>
        <v>85.42</v>
      </c>
      <c r="K366" s="694">
        <f>IF([95]Source!BC2711&lt;&gt; 0, [95]Source!BC2711, 1)</f>
        <v>3.66</v>
      </c>
      <c r="L366" s="697">
        <f>[95]Source!P2711</f>
        <v>312.64</v>
      </c>
    </row>
    <row r="367" spans="1:27" ht="53.45" customHeight="1" x14ac:dyDescent="0.25">
      <c r="A367" s="691">
        <v>51</v>
      </c>
      <c r="B367" s="691" t="str">
        <f>[95]Source!E2713</f>
        <v>433,1</v>
      </c>
      <c r="C367" s="692" t="str">
        <f>[95]Source!F2713</f>
        <v>1.19-3-12</v>
      </c>
      <c r="D367" s="692" t="s">
        <v>467</v>
      </c>
      <c r="E367" s="693" t="str">
        <f>[95]Source!H2713</f>
        <v>м2</v>
      </c>
      <c r="F367" s="694">
        <f>[95]Source!I2713</f>
        <v>17.100000000000001</v>
      </c>
      <c r="G367" s="695">
        <f>[95]Source!AK2713</f>
        <v>125.64</v>
      </c>
      <c r="H367" s="734" t="s">
        <v>42</v>
      </c>
      <c r="I367" s="694">
        <f>[95]Source!AW2713</f>
        <v>1</v>
      </c>
      <c r="J367" s="697">
        <f>ROUND((ROUND(([95]Source!AC2713*[95]Source!AW2713*[95]Source!I2713),2)),2)+(ROUND((ROUND((([95]Source!ET2713)*[95]Source!AV2713*[95]Source!I2713),2)),2)+ROUND((ROUND((([95]Source!AE2713-([95]Source!EU2713))*[95]Source!AV2713*[95]Source!I2713),2)),2))+ROUND((ROUND(([95]Source!AF2713*[95]Source!AV2713*[95]Source!I2713),2)),2)</f>
        <v>2148.44</v>
      </c>
      <c r="K367" s="694">
        <f>IF([95]Source!BC2713&lt;&gt; 0, [95]Source!BC2713, 1)</f>
        <v>3.84</v>
      </c>
      <c r="L367" s="697">
        <f>[95]Source!O2713</f>
        <v>8250.01</v>
      </c>
      <c r="Q367" s="718">
        <f>ROUND(([95]Source!DN2713/100)*ROUND((ROUND(([95]Source!AF2713*[95]Source!AV2713*[95]Source!I2713),2)),2), 2)</f>
        <v>0</v>
      </c>
      <c r="R367" s="718">
        <f>[95]Source!X2713</f>
        <v>0</v>
      </c>
      <c r="S367" s="718">
        <f>ROUND(([95]Source!DO2713/100)*ROUND((ROUND(([95]Source!AF2713*[95]Source!AV2713*[95]Source!I2713),2)),2), 2)</f>
        <v>0</v>
      </c>
      <c r="T367" s="718">
        <f>[95]Source!Y2713</f>
        <v>0</v>
      </c>
      <c r="U367" s="718">
        <f>ROUND((175/100)*ROUND((ROUND(([95]Source!AE2713*[95]Source!AV2713*[95]Source!I2713),2)),2), 2)</f>
        <v>0</v>
      </c>
      <c r="V367" s="718">
        <f>ROUND((157/100)*ROUND(ROUND((ROUND(([95]Source!AE2713*[95]Source!AV2713*[95]Source!I2713),2)*[95]Source!BS2713),2), 2), 2)</f>
        <v>0</v>
      </c>
      <c r="X367" s="718">
        <f>IF([95]Source!BI2713&lt;=1,J367, 0)</f>
        <v>2148.44</v>
      </c>
      <c r="Y367" s="718">
        <f>IF([95]Source!BI2713=2,J367, 0)</f>
        <v>0</v>
      </c>
      <c r="Z367" s="718">
        <f>IF([95]Source!BI2713=3,J367, 0)</f>
        <v>0</v>
      </c>
      <c r="AA367" s="718">
        <f>IF([95]Source!BI2713=4,J367, 0)</f>
        <v>0</v>
      </c>
    </row>
    <row r="368" spans="1:27" ht="15" x14ac:dyDescent="0.25">
      <c r="A368" s="691"/>
      <c r="B368" s="691"/>
      <c r="C368" s="692"/>
      <c r="D368" s="692" t="s">
        <v>88</v>
      </c>
      <c r="E368" s="693" t="s">
        <v>89</v>
      </c>
      <c r="F368" s="694">
        <f>[95]Source!DN2711</f>
        <v>125</v>
      </c>
      <c r="G368" s="695"/>
      <c r="H368" s="696"/>
      <c r="I368" s="694"/>
      <c r="J368" s="697">
        <f>SUM(Q362:Q367)</f>
        <v>663.98</v>
      </c>
      <c r="K368" s="694">
        <f>[95]Source!BZ2711</f>
        <v>100</v>
      </c>
      <c r="L368" s="697">
        <f>SUM(R362:R367)</f>
        <v>12870.49</v>
      </c>
    </row>
    <row r="369" spans="1:27" ht="15" x14ac:dyDescent="0.25">
      <c r="A369" s="691"/>
      <c r="B369" s="691"/>
      <c r="C369" s="692"/>
      <c r="D369" s="692" t="s">
        <v>90</v>
      </c>
      <c r="E369" s="693" t="s">
        <v>89</v>
      </c>
      <c r="F369" s="694">
        <f>[95]Source!DO2711</f>
        <v>94</v>
      </c>
      <c r="G369" s="695"/>
      <c r="H369" s="696"/>
      <c r="I369" s="694"/>
      <c r="J369" s="697">
        <f>SUM(S362:S368)</f>
        <v>499.31</v>
      </c>
      <c r="K369" s="694">
        <f>[95]Source!CA2711</f>
        <v>45</v>
      </c>
      <c r="L369" s="697">
        <f>SUM(T362:T368)</f>
        <v>5791.72</v>
      </c>
    </row>
    <row r="370" spans="1:27" ht="15" x14ac:dyDescent="0.25">
      <c r="A370" s="691"/>
      <c r="B370" s="691"/>
      <c r="C370" s="692"/>
      <c r="D370" s="692" t="s">
        <v>91</v>
      </c>
      <c r="E370" s="693" t="s">
        <v>89</v>
      </c>
      <c r="F370" s="694">
        <f>175</f>
        <v>175</v>
      </c>
      <c r="G370" s="695"/>
      <c r="H370" s="696"/>
      <c r="I370" s="694"/>
      <c r="J370" s="697">
        <f>SUM(U362:U369)-J376</f>
        <v>6.27</v>
      </c>
      <c r="K370" s="694">
        <f>157</f>
        <v>157</v>
      </c>
      <c r="L370" s="697">
        <f>SUM(V362:V369)-L376</f>
        <v>136.04</v>
      </c>
    </row>
    <row r="371" spans="1:27" ht="15" x14ac:dyDescent="0.25">
      <c r="A371" s="691"/>
      <c r="B371" s="691"/>
      <c r="C371" s="692"/>
      <c r="D371" s="692" t="s">
        <v>92</v>
      </c>
      <c r="E371" s="693" t="s">
        <v>93</v>
      </c>
      <c r="F371" s="694">
        <f>[95]Source!AQ2711</f>
        <v>154</v>
      </c>
      <c r="G371" s="695"/>
      <c r="H371" s="696" t="str">
        <f>[95]Source!DI2711</f>
        <v/>
      </c>
      <c r="I371" s="694">
        <f>[95]Source!AV2711</f>
        <v>1.0669999999999999</v>
      </c>
      <c r="J371" s="697">
        <f>[95]Source!U2711</f>
        <v>28.1</v>
      </c>
      <c r="K371" s="694"/>
      <c r="L371" s="697"/>
    </row>
    <row r="372" spans="1:27" ht="14.25" x14ac:dyDescent="0.2">
      <c r="I372" s="1067">
        <f>J363+J364+J366+J368+J369+J370+SUM(J367:J367)</f>
        <v>3963.46</v>
      </c>
      <c r="J372" s="1067"/>
      <c r="K372" s="1067">
        <f>L363+L364+L366+L368+L369+L370+SUM(L367:L367)</f>
        <v>40479.5</v>
      </c>
      <c r="L372" s="1067"/>
      <c r="O372" s="736">
        <f>J363+J364+J366+J368+J369+J370+SUM(J367:J367)</f>
        <v>3963.46</v>
      </c>
      <c r="P372" s="736">
        <f>L363+L364+L366+L368+L369+L370+SUM(L367:L367)</f>
        <v>40479.5</v>
      </c>
      <c r="X372" s="718">
        <f>IF([95]Source!BI2711&lt;=1,J363+J364+J366+J368+J369+J370-0, 0)</f>
        <v>1815.02</v>
      </c>
      <c r="Y372" s="718">
        <f>IF([95]Source!BI2711=2,J363+J364+J366+J368+J369+J370-0, 0)</f>
        <v>0</v>
      </c>
      <c r="Z372" s="718">
        <f>IF([95]Source!BI2711=3,J363+J364+J366+J368+J369+J370-0, 0)</f>
        <v>0</v>
      </c>
      <c r="AA372" s="718">
        <f>IF([95]Source!BI2711=4,J363+J364+J366+J368+J369+J370,0)</f>
        <v>0</v>
      </c>
    </row>
    <row r="373" spans="1:27" ht="30" x14ac:dyDescent="0.25">
      <c r="A373" s="701"/>
      <c r="B373" s="701"/>
      <c r="C373" s="702"/>
      <c r="D373" s="702" t="s">
        <v>94</v>
      </c>
      <c r="E373" s="693"/>
      <c r="F373" s="703"/>
      <c r="G373" s="704"/>
      <c r="H373" s="693"/>
      <c r="I373" s="703"/>
      <c r="J373" s="700"/>
      <c r="K373" s="703"/>
      <c r="L373" s="700"/>
    </row>
    <row r="374" spans="1:27" ht="15" x14ac:dyDescent="0.25">
      <c r="A374" s="701"/>
      <c r="B374" s="701"/>
      <c r="C374" s="702"/>
      <c r="D374" s="702" t="s">
        <v>85</v>
      </c>
      <c r="E374" s="693"/>
      <c r="F374" s="703"/>
      <c r="G374" s="704">
        <f t="shared" ref="G374:L374" si="15">G375</f>
        <v>19.579999999999998</v>
      </c>
      <c r="H374" s="705" t="str">
        <f t="shared" si="15"/>
        <v>)*(1.67-1)</v>
      </c>
      <c r="I374" s="703">
        <f t="shared" si="15"/>
        <v>1.0669999999999999</v>
      </c>
      <c r="J374" s="700">
        <f t="shared" si="15"/>
        <v>2.39</v>
      </c>
      <c r="K374" s="703">
        <f t="shared" si="15"/>
        <v>24.23</v>
      </c>
      <c r="L374" s="700">
        <f t="shared" si="15"/>
        <v>58</v>
      </c>
    </row>
    <row r="375" spans="1:27" ht="15" x14ac:dyDescent="0.25">
      <c r="A375" s="701"/>
      <c r="B375" s="701"/>
      <c r="C375" s="702"/>
      <c r="D375" s="702" t="s">
        <v>86</v>
      </c>
      <c r="E375" s="693"/>
      <c r="F375" s="703"/>
      <c r="G375" s="704">
        <f>[95]Source!AN2711</f>
        <v>19.579999999999998</v>
      </c>
      <c r="H375" s="705" t="s">
        <v>95</v>
      </c>
      <c r="I375" s="703">
        <f>[95]Source!AV2711</f>
        <v>1.0669999999999999</v>
      </c>
      <c r="J375" s="700">
        <f>ROUND(F362*G375*I375*(1.67-1), 2)</f>
        <v>2.39</v>
      </c>
      <c r="K375" s="703">
        <f>IF([95]Source!BS2711&lt;&gt; 0, [95]Source!BS2711, 1)</f>
        <v>24.23</v>
      </c>
      <c r="L375" s="700">
        <f>ROUND(F362*G375*I375*(1.67-1)*K375, 2)</f>
        <v>58</v>
      </c>
      <c r="W375" s="718">
        <f>J375</f>
        <v>2.39</v>
      </c>
    </row>
    <row r="376" spans="1:27" ht="15" x14ac:dyDescent="0.25">
      <c r="A376" s="701"/>
      <c r="B376" s="701"/>
      <c r="C376" s="702"/>
      <c r="D376" s="702" t="s">
        <v>91</v>
      </c>
      <c r="E376" s="693" t="s">
        <v>89</v>
      </c>
      <c r="F376" s="703">
        <f>175</f>
        <v>175</v>
      </c>
      <c r="G376" s="704"/>
      <c r="H376" s="693"/>
      <c r="I376" s="703"/>
      <c r="J376" s="700">
        <f>ROUND(J375*(F376/100), 2)</f>
        <v>4.18</v>
      </c>
      <c r="K376" s="703">
        <f>157</f>
        <v>157</v>
      </c>
      <c r="L376" s="700">
        <f>ROUND(L375*(K376/100), 2)</f>
        <v>91.06</v>
      </c>
    </row>
    <row r="377" spans="1:27" ht="14.25" x14ac:dyDescent="0.2">
      <c r="I377" s="1067">
        <f>J376+J375</f>
        <v>6.57</v>
      </c>
      <c r="J377" s="1067"/>
      <c r="K377" s="1067">
        <f>L376+L375</f>
        <v>149.06</v>
      </c>
      <c r="L377" s="1067"/>
      <c r="O377" s="736">
        <f>I377</f>
        <v>6.57</v>
      </c>
      <c r="P377" s="736">
        <f>K377</f>
        <v>149.06</v>
      </c>
      <c r="X377" s="718">
        <f>IF([95]Source!BI2711&lt;=1,I377, 0)</f>
        <v>6.57</v>
      </c>
      <c r="Y377" s="718">
        <f>IF([95]Source!BI2711=2,I377, 0)</f>
        <v>0</v>
      </c>
      <c r="Z377" s="718">
        <f>IF([95]Source!BI2711=3,I377, 0)</f>
        <v>0</v>
      </c>
      <c r="AA377" s="718">
        <f>IF([95]Source!BI2711=4,I377, 0)</f>
        <v>0</v>
      </c>
    </row>
    <row r="379" spans="1:27" ht="15" x14ac:dyDescent="0.25">
      <c r="A379" s="706"/>
      <c r="B379" s="706"/>
      <c r="C379" s="707"/>
      <c r="D379" s="707" t="s">
        <v>96</v>
      </c>
      <c r="E379" s="708"/>
      <c r="F379" s="709"/>
      <c r="G379" s="710"/>
      <c r="H379" s="711"/>
      <c r="I379" s="1067">
        <f>I372+I377</f>
        <v>3970.03</v>
      </c>
      <c r="J379" s="1067"/>
      <c r="K379" s="1067">
        <f>K372+K377</f>
        <v>40628.559999999998</v>
      </c>
      <c r="L379" s="1067"/>
    </row>
    <row r="380" spans="1:27" ht="75" x14ac:dyDescent="0.25">
      <c r="A380" s="691">
        <v>52</v>
      </c>
      <c r="B380" s="691" t="str">
        <f>[95]Source!E2715</f>
        <v>434</v>
      </c>
      <c r="C380" s="692" t="str">
        <f>[95]Source!F2715</f>
        <v>3.20-1-3</v>
      </c>
      <c r="D380" s="692" t="s">
        <v>510</v>
      </c>
      <c r="E380" s="693" t="str">
        <f>[95]Source!H2715</f>
        <v>100 м2 поверхности воздуховодов</v>
      </c>
      <c r="F380" s="694">
        <f>[95]Source!I2715</f>
        <v>0.27529999999999999</v>
      </c>
      <c r="G380" s="695"/>
      <c r="H380" s="696"/>
      <c r="I380" s="694"/>
      <c r="J380" s="697"/>
      <c r="K380" s="694"/>
      <c r="L380" s="697"/>
      <c r="Q380" s="718">
        <f>ROUND(([95]Source!DN2715/100)*ROUND((ROUND(([95]Source!AF2715*[95]Source!AV2715*[95]Source!I2715),2)),2), 2)</f>
        <v>978.73</v>
      </c>
      <c r="R380" s="718">
        <f>[95]Source!X2715</f>
        <v>18971.61</v>
      </c>
      <c r="S380" s="718">
        <f>ROUND(([95]Source!DO2715/100)*ROUND((ROUND(([95]Source!AF2715*[95]Source!AV2715*[95]Source!I2715),2)),2), 2)</f>
        <v>736</v>
      </c>
      <c r="T380" s="718">
        <f>[95]Source!Y2715</f>
        <v>8537.2199999999993</v>
      </c>
      <c r="U380" s="718">
        <f>ROUND((175/100)*ROUND((ROUND(([95]Source!AE2715*[95]Source!AV2715*[95]Source!I2715),2)),2), 2)</f>
        <v>13.25</v>
      </c>
      <c r="V380" s="718">
        <f>ROUND((157/100)*ROUND(ROUND((ROUND(([95]Source!AE2715*[95]Source!AV2715*[95]Source!I2715),2)*[95]Source!BS2715),2), 2), 2)</f>
        <v>287.97000000000003</v>
      </c>
    </row>
    <row r="381" spans="1:27" ht="15" x14ac:dyDescent="0.25">
      <c r="A381" s="691"/>
      <c r="B381" s="691"/>
      <c r="C381" s="692"/>
      <c r="D381" s="692" t="s">
        <v>84</v>
      </c>
      <c r="E381" s="693"/>
      <c r="F381" s="694"/>
      <c r="G381" s="695">
        <f>[95]Source!AO2715</f>
        <v>1596.12</v>
      </c>
      <c r="H381" s="696" t="str">
        <f>[95]Source!DG2715</f>
        <v>)*1,67</v>
      </c>
      <c r="I381" s="694">
        <f>[95]Source!AV2715</f>
        <v>1.0669999999999999</v>
      </c>
      <c r="J381" s="697">
        <f>ROUND((ROUND(([95]Source!AF2715*[95]Source!AV2715*[95]Source!I2715),2)),2)</f>
        <v>782.98</v>
      </c>
      <c r="K381" s="694">
        <f>IF([95]Source!BA2715&lt;&gt; 0, [95]Source!BA2715, 1)</f>
        <v>24.23</v>
      </c>
      <c r="L381" s="697">
        <f>[95]Source!S2715</f>
        <v>18971.61</v>
      </c>
      <c r="W381" s="718">
        <f>J381</f>
        <v>782.98</v>
      </c>
    </row>
    <row r="382" spans="1:27" ht="15" x14ac:dyDescent="0.25">
      <c r="A382" s="691"/>
      <c r="B382" s="691"/>
      <c r="C382" s="692"/>
      <c r="D382" s="692" t="s">
        <v>85</v>
      </c>
      <c r="E382" s="693"/>
      <c r="F382" s="694"/>
      <c r="G382" s="695">
        <f>[95]Source!AM2715</f>
        <v>125.93</v>
      </c>
      <c r="H382" s="696" t="str">
        <f>[95]Source!DE2715</f>
        <v/>
      </c>
      <c r="I382" s="694">
        <f>[95]Source!AV2715</f>
        <v>1.0669999999999999</v>
      </c>
      <c r="J382" s="697">
        <f>(ROUND((ROUND((([95]Source!ET2715)*[95]Source!AV2715*[95]Source!I2715),2)),2)+ROUND((ROUND((([95]Source!AE2715-([95]Source!EU2715))*[95]Source!AV2715*[95]Source!I2715),2)),2))-J392</f>
        <v>36.99</v>
      </c>
      <c r="K382" s="694">
        <f>IF([95]Source!BB2715&lt;&gt; 0, [95]Source!BB2715, 1)</f>
        <v>8.59</v>
      </c>
      <c r="L382" s="697">
        <f>[95]Source!Q2715-L392</f>
        <v>317.82</v>
      </c>
    </row>
    <row r="383" spans="1:27" ht="15" x14ac:dyDescent="0.25">
      <c r="A383" s="691"/>
      <c r="B383" s="691"/>
      <c r="C383" s="692"/>
      <c r="D383" s="692" t="s">
        <v>86</v>
      </c>
      <c r="E383" s="693"/>
      <c r="F383" s="694"/>
      <c r="G383" s="695">
        <f>[95]Source!AN2715</f>
        <v>15.43</v>
      </c>
      <c r="H383" s="696" t="str">
        <f>[95]Source!DE2715</f>
        <v/>
      </c>
      <c r="I383" s="694">
        <f>[95]Source!AV2715</f>
        <v>1.0669999999999999</v>
      </c>
      <c r="J383" s="700">
        <f>ROUND((ROUND(([95]Source!AE2715*[95]Source!AV2715*[95]Source!I2715),2)),2)-J393</f>
        <v>4.53</v>
      </c>
      <c r="K383" s="694">
        <f>IF([95]Source!BS2715&lt;&gt; 0, [95]Source!BS2715, 1)</f>
        <v>24.23</v>
      </c>
      <c r="L383" s="700">
        <f>[95]Source!R2715-L393</f>
        <v>109.84</v>
      </c>
      <c r="W383" s="718">
        <f>J383</f>
        <v>4.53</v>
      </c>
    </row>
    <row r="384" spans="1:27" ht="15" x14ac:dyDescent="0.25">
      <c r="A384" s="691"/>
      <c r="B384" s="691"/>
      <c r="C384" s="692"/>
      <c r="D384" s="692" t="s">
        <v>87</v>
      </c>
      <c r="E384" s="693"/>
      <c r="F384" s="694"/>
      <c r="G384" s="695">
        <f>[95]Source!AL2715</f>
        <v>499.17</v>
      </c>
      <c r="H384" s="696" t="str">
        <f>[95]Source!DD2715</f>
        <v/>
      </c>
      <c r="I384" s="694">
        <f>[95]Source!AW2715</f>
        <v>1</v>
      </c>
      <c r="J384" s="697">
        <f>ROUND((ROUND(([95]Source!AC2715*[95]Source!AW2715*[95]Source!I2715),2)),2)</f>
        <v>137.41999999999999</v>
      </c>
      <c r="K384" s="694">
        <f>IF([95]Source!BC2715&lt;&gt; 0, [95]Source!BC2715, 1)</f>
        <v>3.65</v>
      </c>
      <c r="L384" s="697">
        <f>[95]Source!P2715</f>
        <v>501.58</v>
      </c>
    </row>
    <row r="385" spans="1:27" ht="52.9" customHeight="1" x14ac:dyDescent="0.25">
      <c r="A385" s="691">
        <v>53</v>
      </c>
      <c r="B385" s="691" t="str">
        <f>[95]Source!E2717</f>
        <v>434,1</v>
      </c>
      <c r="C385" s="692" t="str">
        <f>[95]Source!F2717</f>
        <v>1.19-3-12</v>
      </c>
      <c r="D385" s="692" t="s">
        <v>467</v>
      </c>
      <c r="E385" s="693" t="str">
        <f>[95]Source!H2717</f>
        <v>м2</v>
      </c>
      <c r="F385" s="694">
        <f>[95]Source!I2717</f>
        <v>27.53</v>
      </c>
      <c r="G385" s="695">
        <f>[95]Source!AK2717</f>
        <v>125.64</v>
      </c>
      <c r="H385" s="734" t="s">
        <v>42</v>
      </c>
      <c r="I385" s="694">
        <f>[95]Source!AW2717</f>
        <v>1</v>
      </c>
      <c r="J385" s="697">
        <f>ROUND((ROUND(([95]Source!AC2717*[95]Source!AW2717*[95]Source!I2717),2)),2)+(ROUND((ROUND((([95]Source!ET2717)*[95]Source!AV2717*[95]Source!I2717),2)),2)+ROUND((ROUND((([95]Source!AE2717-([95]Source!EU2717))*[95]Source!AV2717*[95]Source!I2717),2)),2))+ROUND((ROUND(([95]Source!AF2717*[95]Source!AV2717*[95]Source!I2717),2)),2)</f>
        <v>3458.87</v>
      </c>
      <c r="K385" s="694">
        <f>IF([95]Source!BC2717&lt;&gt; 0, [95]Source!BC2717, 1)</f>
        <v>3.84</v>
      </c>
      <c r="L385" s="697">
        <f>[95]Source!O2717</f>
        <v>13282.06</v>
      </c>
      <c r="Q385" s="718">
        <f>ROUND(([95]Source!DN2717/100)*ROUND((ROUND(([95]Source!AF2717*[95]Source!AV2717*[95]Source!I2717),2)),2), 2)</f>
        <v>0</v>
      </c>
      <c r="R385" s="718">
        <f>[95]Source!X2717</f>
        <v>0</v>
      </c>
      <c r="S385" s="718">
        <f>ROUND(([95]Source!DO2717/100)*ROUND((ROUND(([95]Source!AF2717*[95]Source!AV2717*[95]Source!I2717),2)),2), 2)</f>
        <v>0</v>
      </c>
      <c r="T385" s="718">
        <f>[95]Source!Y2717</f>
        <v>0</v>
      </c>
      <c r="U385" s="718">
        <f>ROUND((175/100)*ROUND((ROUND(([95]Source!AE2717*[95]Source!AV2717*[95]Source!I2717),2)),2), 2)</f>
        <v>0</v>
      </c>
      <c r="V385" s="718">
        <f>ROUND((157/100)*ROUND(ROUND((ROUND(([95]Source!AE2717*[95]Source!AV2717*[95]Source!I2717),2)*[95]Source!BS2717),2), 2), 2)</f>
        <v>0</v>
      </c>
      <c r="X385" s="718">
        <f>IF([95]Source!BI2717&lt;=1,J385, 0)</f>
        <v>3458.87</v>
      </c>
      <c r="Y385" s="718">
        <f>IF([95]Source!BI2717=2,J385, 0)</f>
        <v>0</v>
      </c>
      <c r="Z385" s="718">
        <f>IF([95]Source!BI2717=3,J385, 0)</f>
        <v>0</v>
      </c>
      <c r="AA385" s="718">
        <f>IF([95]Source!BI2717=4,J385, 0)</f>
        <v>0</v>
      </c>
    </row>
    <row r="386" spans="1:27" ht="15" x14ac:dyDescent="0.25">
      <c r="A386" s="691"/>
      <c r="B386" s="691"/>
      <c r="C386" s="692"/>
      <c r="D386" s="692" t="s">
        <v>88</v>
      </c>
      <c r="E386" s="693" t="s">
        <v>89</v>
      </c>
      <c r="F386" s="694">
        <f>[95]Source!DN2715</f>
        <v>125</v>
      </c>
      <c r="G386" s="695"/>
      <c r="H386" s="696"/>
      <c r="I386" s="694"/>
      <c r="J386" s="697">
        <f>SUM(Q380:Q385)</f>
        <v>978.73</v>
      </c>
      <c r="K386" s="694">
        <f>[95]Source!BZ2715</f>
        <v>100</v>
      </c>
      <c r="L386" s="697">
        <f>SUM(R380:R385)</f>
        <v>18971.61</v>
      </c>
    </row>
    <row r="387" spans="1:27" ht="15" x14ac:dyDescent="0.25">
      <c r="A387" s="691"/>
      <c r="B387" s="691"/>
      <c r="C387" s="692"/>
      <c r="D387" s="692" t="s">
        <v>90</v>
      </c>
      <c r="E387" s="693" t="s">
        <v>89</v>
      </c>
      <c r="F387" s="694">
        <f>[95]Source!DO2715</f>
        <v>94</v>
      </c>
      <c r="G387" s="695"/>
      <c r="H387" s="696"/>
      <c r="I387" s="694"/>
      <c r="J387" s="697">
        <f>SUM(S380:S386)</f>
        <v>736</v>
      </c>
      <c r="K387" s="694">
        <f>[95]Source!CA2715</f>
        <v>45</v>
      </c>
      <c r="L387" s="697">
        <f>SUM(T380:T386)</f>
        <v>8537.2199999999993</v>
      </c>
    </row>
    <row r="388" spans="1:27" ht="15" x14ac:dyDescent="0.25">
      <c r="A388" s="691"/>
      <c r="B388" s="691"/>
      <c r="C388" s="692"/>
      <c r="D388" s="692" t="s">
        <v>91</v>
      </c>
      <c r="E388" s="693" t="s">
        <v>89</v>
      </c>
      <c r="F388" s="694">
        <f>175</f>
        <v>175</v>
      </c>
      <c r="G388" s="695"/>
      <c r="H388" s="696"/>
      <c r="I388" s="694"/>
      <c r="J388" s="697">
        <f>SUM(U380:U387)-J394</f>
        <v>7.93</v>
      </c>
      <c r="K388" s="694">
        <f>157</f>
        <v>157</v>
      </c>
      <c r="L388" s="697">
        <f>SUM(V380:V387)-L394</f>
        <v>172.45</v>
      </c>
    </row>
    <row r="389" spans="1:27" ht="15" x14ac:dyDescent="0.25">
      <c r="A389" s="691"/>
      <c r="B389" s="691"/>
      <c r="C389" s="692"/>
      <c r="D389" s="692" t="s">
        <v>92</v>
      </c>
      <c r="E389" s="693" t="s">
        <v>93</v>
      </c>
      <c r="F389" s="694">
        <f>[95]Source!AQ2715</f>
        <v>141</v>
      </c>
      <c r="G389" s="695"/>
      <c r="H389" s="696" t="str">
        <f>[95]Source!DI2715</f>
        <v/>
      </c>
      <c r="I389" s="694">
        <f>[95]Source!AV2715</f>
        <v>1.0669999999999999</v>
      </c>
      <c r="J389" s="697">
        <f>[95]Source!U2715</f>
        <v>41.42</v>
      </c>
      <c r="K389" s="694"/>
      <c r="L389" s="697"/>
    </row>
    <row r="390" spans="1:27" ht="14.25" x14ac:dyDescent="0.2">
      <c r="I390" s="1067">
        <f>J381+J382+J384+J386+J387+J388+SUM(J385:J385)</f>
        <v>6138.92</v>
      </c>
      <c r="J390" s="1067"/>
      <c r="K390" s="1067">
        <f>L381+L382+L384+L386+L387+L388+SUM(L385:L385)</f>
        <v>60754.35</v>
      </c>
      <c r="L390" s="1067"/>
      <c r="O390" s="736">
        <f>J381+J382+J384+J386+J387+J388+SUM(J385:J385)</f>
        <v>6138.92</v>
      </c>
      <c r="P390" s="736">
        <f>L381+L382+L384+L386+L387+L388+SUM(L385:L385)</f>
        <v>60754.35</v>
      </c>
      <c r="X390" s="718">
        <f>IF([95]Source!BI2715&lt;=1,J381+J382+J384+J386+J387+J388-0, 0)</f>
        <v>2680.05</v>
      </c>
      <c r="Y390" s="718">
        <f>IF([95]Source!BI2715=2,J381+J382+J384+J386+J387+J388-0, 0)</f>
        <v>0</v>
      </c>
      <c r="Z390" s="718">
        <f>IF([95]Source!BI2715=3,J381+J382+J384+J386+J387+J388-0, 0)</f>
        <v>0</v>
      </c>
      <c r="AA390" s="718">
        <f>IF([95]Source!BI2715=4,J381+J382+J384+J386+J387+J388,0)</f>
        <v>0</v>
      </c>
    </row>
    <row r="391" spans="1:27" ht="30" x14ac:dyDescent="0.25">
      <c r="A391" s="701"/>
      <c r="B391" s="701"/>
      <c r="C391" s="702"/>
      <c r="D391" s="702" t="s">
        <v>94</v>
      </c>
      <c r="E391" s="693"/>
      <c r="F391" s="703"/>
      <c r="G391" s="704"/>
      <c r="H391" s="693"/>
      <c r="I391" s="703"/>
      <c r="J391" s="700"/>
      <c r="K391" s="703"/>
      <c r="L391" s="700"/>
    </row>
    <row r="392" spans="1:27" ht="15" x14ac:dyDescent="0.25">
      <c r="A392" s="701"/>
      <c r="B392" s="701"/>
      <c r="C392" s="702"/>
      <c r="D392" s="702" t="s">
        <v>85</v>
      </c>
      <c r="E392" s="693"/>
      <c r="F392" s="703"/>
      <c r="G392" s="704">
        <f t="shared" ref="G392:L392" si="16">G393</f>
        <v>15.43</v>
      </c>
      <c r="H392" s="705" t="str">
        <f t="shared" si="16"/>
        <v>)*(1.67-1)</v>
      </c>
      <c r="I392" s="703">
        <f t="shared" si="16"/>
        <v>1.0669999999999999</v>
      </c>
      <c r="J392" s="700">
        <f t="shared" si="16"/>
        <v>3.04</v>
      </c>
      <c r="K392" s="703">
        <f t="shared" si="16"/>
        <v>24.23</v>
      </c>
      <c r="L392" s="700">
        <f t="shared" si="16"/>
        <v>73.58</v>
      </c>
    </row>
    <row r="393" spans="1:27" ht="15" x14ac:dyDescent="0.25">
      <c r="A393" s="701"/>
      <c r="B393" s="701"/>
      <c r="C393" s="702"/>
      <c r="D393" s="702" t="s">
        <v>86</v>
      </c>
      <c r="E393" s="693"/>
      <c r="F393" s="703"/>
      <c r="G393" s="704">
        <f>[95]Source!AN2715</f>
        <v>15.43</v>
      </c>
      <c r="H393" s="705" t="s">
        <v>95</v>
      </c>
      <c r="I393" s="703">
        <f>[95]Source!AV2715</f>
        <v>1.0669999999999999</v>
      </c>
      <c r="J393" s="700">
        <f>ROUND(F380*G393*I393*(1.67-1), 2)</f>
        <v>3.04</v>
      </c>
      <c r="K393" s="703">
        <f>IF([95]Source!BS2715&lt;&gt; 0, [95]Source!BS2715, 1)</f>
        <v>24.23</v>
      </c>
      <c r="L393" s="700">
        <f>ROUND(F380*G393*I393*(1.67-1)*K393, 2)</f>
        <v>73.58</v>
      </c>
      <c r="W393" s="718">
        <f>J393</f>
        <v>3.04</v>
      </c>
    </row>
    <row r="394" spans="1:27" ht="15" x14ac:dyDescent="0.25">
      <c r="A394" s="701"/>
      <c r="B394" s="701"/>
      <c r="C394" s="702"/>
      <c r="D394" s="702" t="s">
        <v>91</v>
      </c>
      <c r="E394" s="693" t="s">
        <v>89</v>
      </c>
      <c r="F394" s="703">
        <f>175</f>
        <v>175</v>
      </c>
      <c r="G394" s="704"/>
      <c r="H394" s="693"/>
      <c r="I394" s="703"/>
      <c r="J394" s="700">
        <f>ROUND(J393*(F394/100), 2)</f>
        <v>5.32</v>
      </c>
      <c r="K394" s="703">
        <f>157</f>
        <v>157</v>
      </c>
      <c r="L394" s="700">
        <f>ROUND(L393*(K394/100), 2)</f>
        <v>115.52</v>
      </c>
    </row>
    <row r="395" spans="1:27" ht="14.25" x14ac:dyDescent="0.2">
      <c r="I395" s="1067">
        <f>J394+J393</f>
        <v>8.36</v>
      </c>
      <c r="J395" s="1067"/>
      <c r="K395" s="1067">
        <f>L394+L393</f>
        <v>189.1</v>
      </c>
      <c r="L395" s="1067"/>
      <c r="O395" s="736">
        <f>I395</f>
        <v>8.36</v>
      </c>
      <c r="P395" s="736">
        <f>K395</f>
        <v>189.1</v>
      </c>
      <c r="X395" s="718">
        <f>IF([95]Source!BI2715&lt;=1,I395, 0)</f>
        <v>8.36</v>
      </c>
      <c r="Y395" s="718">
        <f>IF([95]Source!BI2715=2,I395, 0)</f>
        <v>0</v>
      </c>
      <c r="Z395" s="718">
        <f>IF([95]Source!BI2715=3,I395, 0)</f>
        <v>0</v>
      </c>
      <c r="AA395" s="718">
        <f>IF([95]Source!BI2715=4,I395, 0)</f>
        <v>0</v>
      </c>
    </row>
    <row r="397" spans="1:27" ht="15" x14ac:dyDescent="0.25">
      <c r="A397" s="706"/>
      <c r="B397" s="706"/>
      <c r="C397" s="707"/>
      <c r="D397" s="707" t="s">
        <v>96</v>
      </c>
      <c r="E397" s="708"/>
      <c r="F397" s="709"/>
      <c r="G397" s="710"/>
      <c r="H397" s="711"/>
      <c r="I397" s="1067">
        <f>I390+I395</f>
        <v>6147.28</v>
      </c>
      <c r="J397" s="1067"/>
      <c r="K397" s="1067">
        <f>K390+K395</f>
        <v>60943.45</v>
      </c>
      <c r="L397" s="1067"/>
    </row>
    <row r="398" spans="1:27" ht="75" x14ac:dyDescent="0.25">
      <c r="A398" s="691">
        <v>54</v>
      </c>
      <c r="B398" s="691" t="str">
        <f>[95]Source!E2719</f>
        <v>435</v>
      </c>
      <c r="C398" s="692" t="str">
        <f>[95]Source!F2719</f>
        <v>3.20-1-5</v>
      </c>
      <c r="D398" s="692" t="s">
        <v>511</v>
      </c>
      <c r="E398" s="693" t="str">
        <f>[95]Source!H2719</f>
        <v>100 м2 поверхности воздуховодов</v>
      </c>
      <c r="F398" s="694">
        <f>[95]Source!I2719</f>
        <v>1.4E-2</v>
      </c>
      <c r="G398" s="695"/>
      <c r="H398" s="696"/>
      <c r="I398" s="694"/>
      <c r="J398" s="697"/>
      <c r="K398" s="694"/>
      <c r="L398" s="697"/>
      <c r="Q398" s="718">
        <f>ROUND(([95]Source!DN2719/100)*ROUND((ROUND(([95]Source!AF2719*[95]Source!AV2719*[95]Source!I2719),2)),2), 2)</f>
        <v>49.78</v>
      </c>
      <c r="R398" s="718">
        <f>[95]Source!X2719</f>
        <v>964.84</v>
      </c>
      <c r="S398" s="718">
        <f>ROUND(([95]Source!DO2719/100)*ROUND((ROUND(([95]Source!AF2719*[95]Source!AV2719*[95]Source!I2719),2)),2), 2)</f>
        <v>37.43</v>
      </c>
      <c r="T398" s="718">
        <f>[95]Source!Y2719</f>
        <v>434.18</v>
      </c>
      <c r="U398" s="718">
        <f>ROUND((175/100)*ROUND((ROUND(([95]Source!AE2719*[95]Source!AV2719*[95]Source!I2719),2)),2), 2)</f>
        <v>0.68</v>
      </c>
      <c r="V398" s="718">
        <f>ROUND((157/100)*ROUND(ROUND((ROUND(([95]Source!AE2719*[95]Source!AV2719*[95]Source!I2719),2)*[95]Source!BS2719),2), 2), 2)</f>
        <v>14.84</v>
      </c>
    </row>
    <row r="399" spans="1:27" ht="15" x14ac:dyDescent="0.25">
      <c r="A399" s="691"/>
      <c r="B399" s="691"/>
      <c r="C399" s="692"/>
      <c r="D399" s="692" t="s">
        <v>84</v>
      </c>
      <c r="E399" s="693"/>
      <c r="F399" s="694"/>
      <c r="G399" s="695">
        <f>[95]Source!AO2719</f>
        <v>1596.12</v>
      </c>
      <c r="H399" s="696" t="str">
        <f>[95]Source!DG2719</f>
        <v>)*1,67</v>
      </c>
      <c r="I399" s="694">
        <f>[95]Source!AV2719</f>
        <v>1.0669999999999999</v>
      </c>
      <c r="J399" s="697">
        <f>ROUND((ROUND(([95]Source!AF2719*[95]Source!AV2719*[95]Source!I2719),2)),2)</f>
        <v>39.82</v>
      </c>
      <c r="K399" s="694">
        <f>IF([95]Source!BA2719&lt;&gt; 0, [95]Source!BA2719, 1)</f>
        <v>24.23</v>
      </c>
      <c r="L399" s="697">
        <f>[95]Source!S2719</f>
        <v>964.84</v>
      </c>
      <c r="W399" s="718">
        <f>J399</f>
        <v>39.82</v>
      </c>
    </row>
    <row r="400" spans="1:27" ht="15" x14ac:dyDescent="0.25">
      <c r="A400" s="691"/>
      <c r="B400" s="691"/>
      <c r="C400" s="692"/>
      <c r="D400" s="692" t="s">
        <v>85</v>
      </c>
      <c r="E400" s="693"/>
      <c r="F400" s="694"/>
      <c r="G400" s="695">
        <f>[95]Source!AM2719</f>
        <v>128.62</v>
      </c>
      <c r="H400" s="696" t="str">
        <f>[95]Source!DE2719</f>
        <v/>
      </c>
      <c r="I400" s="694">
        <f>[95]Source!AV2719</f>
        <v>1.0669999999999999</v>
      </c>
      <c r="J400" s="697">
        <f>(ROUND((ROUND((([95]Source!ET2719)*[95]Source!AV2719*[95]Source!I2719),2)),2)+ROUND((ROUND((([95]Source!AE2719-([95]Source!EU2719))*[95]Source!AV2719*[95]Source!I2719),2)),2))-J410</f>
        <v>1.92</v>
      </c>
      <c r="K400" s="694">
        <f>IF([95]Source!BB2719&lt;&gt; 0, [95]Source!BB2719, 1)</f>
        <v>8.59</v>
      </c>
      <c r="L400" s="697">
        <f>[95]Source!Q2719-L410</f>
        <v>16.55</v>
      </c>
    </row>
    <row r="401" spans="1:27" ht="15" x14ac:dyDescent="0.25">
      <c r="A401" s="691"/>
      <c r="B401" s="691"/>
      <c r="C401" s="692"/>
      <c r="D401" s="692" t="s">
        <v>86</v>
      </c>
      <c r="E401" s="693"/>
      <c r="F401" s="694"/>
      <c r="G401" s="695">
        <f>[95]Source!AN2719</f>
        <v>15.75</v>
      </c>
      <c r="H401" s="696" t="str">
        <f>[95]Source!DE2719</f>
        <v/>
      </c>
      <c r="I401" s="694">
        <f>[95]Source!AV2719</f>
        <v>1.0669999999999999</v>
      </c>
      <c r="J401" s="700">
        <f>ROUND((ROUND(([95]Source!AE2719*[95]Source!AV2719*[95]Source!I2719),2)),2)-J411</f>
        <v>0.23</v>
      </c>
      <c r="K401" s="694">
        <f>IF([95]Source!BS2719&lt;&gt; 0, [95]Source!BS2719, 1)</f>
        <v>24.23</v>
      </c>
      <c r="L401" s="700">
        <f>[95]Source!R2719-L411</f>
        <v>5.63</v>
      </c>
      <c r="W401" s="718">
        <f>J401</f>
        <v>0.23</v>
      </c>
    </row>
    <row r="402" spans="1:27" ht="15" x14ac:dyDescent="0.25">
      <c r="A402" s="691"/>
      <c r="B402" s="691"/>
      <c r="C402" s="692"/>
      <c r="D402" s="692" t="s">
        <v>87</v>
      </c>
      <c r="E402" s="693"/>
      <c r="F402" s="694"/>
      <c r="G402" s="695">
        <f>[95]Source!AL2719</f>
        <v>427.67</v>
      </c>
      <c r="H402" s="696" t="str">
        <f>[95]Source!DD2719</f>
        <v/>
      </c>
      <c r="I402" s="694">
        <f>[95]Source!AW2719</f>
        <v>1</v>
      </c>
      <c r="J402" s="697">
        <f>ROUND((ROUND(([95]Source!AC2719*[95]Source!AW2719*[95]Source!I2719),2)),2)</f>
        <v>5.99</v>
      </c>
      <c r="K402" s="694">
        <f>IF([95]Source!BC2719&lt;&gt; 0, [95]Source!BC2719, 1)</f>
        <v>3.55</v>
      </c>
      <c r="L402" s="697">
        <f>[95]Source!P2719</f>
        <v>21.26</v>
      </c>
    </row>
    <row r="403" spans="1:27" ht="45" x14ac:dyDescent="0.25">
      <c r="A403" s="691">
        <v>55</v>
      </c>
      <c r="B403" s="691" t="str">
        <f>[95]Source!E2721</f>
        <v>435,1</v>
      </c>
      <c r="C403" s="692" t="str">
        <f>[95]Source!F2721</f>
        <v>1.19-3-6</v>
      </c>
      <c r="D403" s="692" t="s">
        <v>465</v>
      </c>
      <c r="E403" s="693" t="str">
        <f>[95]Source!H2721</f>
        <v>м2</v>
      </c>
      <c r="F403" s="694">
        <f>[95]Source!I2721</f>
        <v>1.4</v>
      </c>
      <c r="G403" s="695">
        <f>[95]Source!AK2721</f>
        <v>156.05000000000001</v>
      </c>
      <c r="H403" s="734" t="s">
        <v>42</v>
      </c>
      <c r="I403" s="694">
        <f>[95]Source!AW2721</f>
        <v>1</v>
      </c>
      <c r="J403" s="697">
        <f>ROUND((ROUND(([95]Source!AC2721*[95]Source!AW2721*[95]Source!I2721),2)),2)+(ROUND((ROUND((([95]Source!ET2721)*[95]Source!AV2721*[95]Source!I2721),2)),2)+ROUND((ROUND((([95]Source!AE2721-([95]Source!EU2721))*[95]Source!AV2721*[95]Source!I2721),2)),2))+ROUND((ROUND(([95]Source!AF2721*[95]Source!AV2721*[95]Source!I2721),2)),2)</f>
        <v>218.47</v>
      </c>
      <c r="K403" s="694">
        <f>IF([95]Source!BC2721&lt;&gt; 0, [95]Source!BC2721, 1)</f>
        <v>2.4900000000000002</v>
      </c>
      <c r="L403" s="697">
        <f>[95]Source!O2721</f>
        <v>543.99</v>
      </c>
      <c r="Q403" s="718">
        <f>ROUND(([95]Source!DN2721/100)*ROUND((ROUND(([95]Source!AF2721*[95]Source!AV2721*[95]Source!I2721),2)),2), 2)</f>
        <v>0</v>
      </c>
      <c r="R403" s="718">
        <f>[95]Source!X2721</f>
        <v>0</v>
      </c>
      <c r="S403" s="718">
        <f>ROUND(([95]Source!DO2721/100)*ROUND((ROUND(([95]Source!AF2721*[95]Source!AV2721*[95]Source!I2721),2)),2), 2)</f>
        <v>0</v>
      </c>
      <c r="T403" s="718">
        <f>[95]Source!Y2721</f>
        <v>0</v>
      </c>
      <c r="U403" s="718">
        <f>ROUND((175/100)*ROUND((ROUND(([95]Source!AE2721*[95]Source!AV2721*[95]Source!I2721),2)),2), 2)</f>
        <v>0</v>
      </c>
      <c r="V403" s="718">
        <f>ROUND((157/100)*ROUND(ROUND((ROUND(([95]Source!AE2721*[95]Source!AV2721*[95]Source!I2721),2)*[95]Source!BS2721),2), 2), 2)</f>
        <v>0</v>
      </c>
      <c r="X403" s="718">
        <f>IF([95]Source!BI2721&lt;=1,J403, 0)</f>
        <v>218.47</v>
      </c>
      <c r="Y403" s="718">
        <f>IF([95]Source!BI2721=2,J403, 0)</f>
        <v>0</v>
      </c>
      <c r="Z403" s="718">
        <f>IF([95]Source!BI2721=3,J403, 0)</f>
        <v>0</v>
      </c>
      <c r="AA403" s="718">
        <f>IF([95]Source!BI2721=4,J403, 0)</f>
        <v>0</v>
      </c>
    </row>
    <row r="404" spans="1:27" ht="15" x14ac:dyDescent="0.25">
      <c r="A404" s="691"/>
      <c r="B404" s="691"/>
      <c r="C404" s="692"/>
      <c r="D404" s="692" t="s">
        <v>88</v>
      </c>
      <c r="E404" s="693" t="s">
        <v>89</v>
      </c>
      <c r="F404" s="694">
        <f>[95]Source!DN2719</f>
        <v>125</v>
      </c>
      <c r="G404" s="695"/>
      <c r="H404" s="696"/>
      <c r="I404" s="694"/>
      <c r="J404" s="697">
        <f>SUM(Q398:Q403)</f>
        <v>49.78</v>
      </c>
      <c r="K404" s="694">
        <f>[95]Source!BZ2719</f>
        <v>100</v>
      </c>
      <c r="L404" s="697">
        <f>SUM(R398:R403)</f>
        <v>964.84</v>
      </c>
    </row>
    <row r="405" spans="1:27" ht="15" x14ac:dyDescent="0.25">
      <c r="A405" s="691"/>
      <c r="B405" s="691"/>
      <c r="C405" s="692"/>
      <c r="D405" s="692" t="s">
        <v>90</v>
      </c>
      <c r="E405" s="693" t="s">
        <v>89</v>
      </c>
      <c r="F405" s="694">
        <f>[95]Source!DO2719</f>
        <v>94</v>
      </c>
      <c r="G405" s="695"/>
      <c r="H405" s="696"/>
      <c r="I405" s="694"/>
      <c r="J405" s="697">
        <f>SUM(S398:S404)</f>
        <v>37.43</v>
      </c>
      <c r="K405" s="694">
        <f>[95]Source!CA2719</f>
        <v>45</v>
      </c>
      <c r="L405" s="697">
        <f>SUM(T398:T404)</f>
        <v>434.18</v>
      </c>
    </row>
    <row r="406" spans="1:27" ht="15" x14ac:dyDescent="0.25">
      <c r="A406" s="691"/>
      <c r="B406" s="691"/>
      <c r="C406" s="692"/>
      <c r="D406" s="692" t="s">
        <v>91</v>
      </c>
      <c r="E406" s="693" t="s">
        <v>89</v>
      </c>
      <c r="F406" s="694">
        <f>175</f>
        <v>175</v>
      </c>
      <c r="G406" s="695"/>
      <c r="H406" s="696"/>
      <c r="I406" s="694"/>
      <c r="J406" s="697">
        <f>SUM(U398:U405)-J412</f>
        <v>0.4</v>
      </c>
      <c r="K406" s="694">
        <f>157</f>
        <v>157</v>
      </c>
      <c r="L406" s="697">
        <f>SUM(V398:V405)-L412</f>
        <v>8.84</v>
      </c>
    </row>
    <row r="407" spans="1:27" ht="15" x14ac:dyDescent="0.25">
      <c r="A407" s="691"/>
      <c r="B407" s="691"/>
      <c r="C407" s="692"/>
      <c r="D407" s="692" t="s">
        <v>92</v>
      </c>
      <c r="E407" s="693" t="s">
        <v>93</v>
      </c>
      <c r="F407" s="694">
        <f>[95]Source!AQ2719</f>
        <v>141</v>
      </c>
      <c r="G407" s="695"/>
      <c r="H407" s="696" t="str">
        <f>[95]Source!DI2719</f>
        <v/>
      </c>
      <c r="I407" s="694">
        <f>[95]Source!AV2719</f>
        <v>1.0669999999999999</v>
      </c>
      <c r="J407" s="697">
        <f>[95]Source!U2719</f>
        <v>2.11</v>
      </c>
      <c r="K407" s="694"/>
      <c r="L407" s="697"/>
    </row>
    <row r="408" spans="1:27" ht="14.25" x14ac:dyDescent="0.2">
      <c r="I408" s="1067">
        <f>J399+J400+J402+J404+J405+J406+SUM(J403:J403)</f>
        <v>353.81</v>
      </c>
      <c r="J408" s="1067"/>
      <c r="K408" s="1067">
        <f>L399+L400+L402+L404+L405+L406+SUM(L403:L403)</f>
        <v>2954.5</v>
      </c>
      <c r="L408" s="1067"/>
      <c r="O408" s="736">
        <f>J399+J400+J402+J404+J405+J406+SUM(J403:J403)</f>
        <v>353.81</v>
      </c>
      <c r="P408" s="736">
        <f>L399+L400+L402+L404+L405+L406+SUM(L403:L403)</f>
        <v>2954.5</v>
      </c>
      <c r="X408" s="718">
        <f>IF([95]Source!BI2719&lt;=1,J399+J400+J402+J404+J405+J406-0, 0)</f>
        <v>135.34</v>
      </c>
      <c r="Y408" s="718">
        <f>IF([95]Source!BI2719=2,J399+J400+J402+J404+J405+J406-0, 0)</f>
        <v>0</v>
      </c>
      <c r="Z408" s="718">
        <f>IF([95]Source!BI2719=3,J399+J400+J402+J404+J405+J406-0, 0)</f>
        <v>0</v>
      </c>
      <c r="AA408" s="718">
        <f>IF([95]Source!BI2719=4,J399+J400+J402+J404+J405+J406,0)</f>
        <v>0</v>
      </c>
    </row>
    <row r="409" spans="1:27" ht="30" x14ac:dyDescent="0.25">
      <c r="A409" s="701"/>
      <c r="B409" s="701"/>
      <c r="C409" s="702"/>
      <c r="D409" s="702" t="s">
        <v>94</v>
      </c>
      <c r="E409" s="693"/>
      <c r="F409" s="703"/>
      <c r="G409" s="704"/>
      <c r="H409" s="693"/>
      <c r="I409" s="703"/>
      <c r="J409" s="700"/>
      <c r="K409" s="703"/>
      <c r="L409" s="700"/>
    </row>
    <row r="410" spans="1:27" ht="15" x14ac:dyDescent="0.25">
      <c r="A410" s="701"/>
      <c r="B410" s="701"/>
      <c r="C410" s="702"/>
      <c r="D410" s="702" t="s">
        <v>85</v>
      </c>
      <c r="E410" s="693"/>
      <c r="F410" s="703"/>
      <c r="G410" s="704">
        <f t="shared" ref="G410:L410" si="17">G411</f>
        <v>15.75</v>
      </c>
      <c r="H410" s="705" t="str">
        <f t="shared" si="17"/>
        <v>)*(1.67-1)</v>
      </c>
      <c r="I410" s="703">
        <f t="shared" si="17"/>
        <v>1.0669999999999999</v>
      </c>
      <c r="J410" s="700">
        <f t="shared" si="17"/>
        <v>0.16</v>
      </c>
      <c r="K410" s="703">
        <f t="shared" si="17"/>
        <v>24.23</v>
      </c>
      <c r="L410" s="700">
        <f t="shared" si="17"/>
        <v>3.82</v>
      </c>
    </row>
    <row r="411" spans="1:27" ht="15" x14ac:dyDescent="0.25">
      <c r="A411" s="701"/>
      <c r="B411" s="701"/>
      <c r="C411" s="702"/>
      <c r="D411" s="702" t="s">
        <v>86</v>
      </c>
      <c r="E411" s="693"/>
      <c r="F411" s="703"/>
      <c r="G411" s="704">
        <f>[95]Source!AN2719</f>
        <v>15.75</v>
      </c>
      <c r="H411" s="705" t="s">
        <v>95</v>
      </c>
      <c r="I411" s="703">
        <f>[95]Source!AV2719</f>
        <v>1.0669999999999999</v>
      </c>
      <c r="J411" s="700">
        <f>ROUND(F398*G411*I411*(1.67-1), 2)</f>
        <v>0.16</v>
      </c>
      <c r="K411" s="703">
        <f>IF([95]Source!BS2719&lt;&gt; 0, [95]Source!BS2719, 1)</f>
        <v>24.23</v>
      </c>
      <c r="L411" s="700">
        <f>ROUND(F398*G411*I411*(1.67-1)*K411, 2)</f>
        <v>3.82</v>
      </c>
      <c r="W411" s="718">
        <f>J411</f>
        <v>0.16</v>
      </c>
    </row>
    <row r="412" spans="1:27" ht="15" x14ac:dyDescent="0.25">
      <c r="A412" s="701"/>
      <c r="B412" s="701"/>
      <c r="C412" s="702"/>
      <c r="D412" s="702" t="s">
        <v>91</v>
      </c>
      <c r="E412" s="693" t="s">
        <v>89</v>
      </c>
      <c r="F412" s="703">
        <f>175</f>
        <v>175</v>
      </c>
      <c r="G412" s="704"/>
      <c r="H412" s="693"/>
      <c r="I412" s="703"/>
      <c r="J412" s="700">
        <f>ROUND(J411*(F412/100), 2)</f>
        <v>0.28000000000000003</v>
      </c>
      <c r="K412" s="703">
        <f>157</f>
        <v>157</v>
      </c>
      <c r="L412" s="700">
        <f>ROUND(L411*(K412/100), 2)</f>
        <v>6</v>
      </c>
    </row>
    <row r="413" spans="1:27" ht="14.25" x14ac:dyDescent="0.2">
      <c r="I413" s="1067">
        <f>J412+J411</f>
        <v>0.44</v>
      </c>
      <c r="J413" s="1067"/>
      <c r="K413" s="1067">
        <f>L412+L411</f>
        <v>9.82</v>
      </c>
      <c r="L413" s="1067"/>
      <c r="O413" s="736">
        <f>I413</f>
        <v>0.44</v>
      </c>
      <c r="P413" s="736">
        <f>K413</f>
        <v>9.82</v>
      </c>
      <c r="X413" s="718">
        <f>IF([95]Source!BI2719&lt;=1,I413, 0)</f>
        <v>0.44</v>
      </c>
      <c r="Y413" s="718">
        <f>IF([95]Source!BI2719=2,I413, 0)</f>
        <v>0</v>
      </c>
      <c r="Z413" s="718">
        <f>IF([95]Source!BI2719=3,I413, 0)</f>
        <v>0</v>
      </c>
      <c r="AA413" s="718">
        <f>IF([95]Source!BI2719=4,I413, 0)</f>
        <v>0</v>
      </c>
    </row>
    <row r="415" spans="1:27" ht="15" x14ac:dyDescent="0.25">
      <c r="A415" s="706"/>
      <c r="B415" s="706"/>
      <c r="C415" s="707"/>
      <c r="D415" s="707" t="s">
        <v>96</v>
      </c>
      <c r="E415" s="708"/>
      <c r="F415" s="709"/>
      <c r="G415" s="710"/>
      <c r="H415" s="711"/>
      <c r="I415" s="1067">
        <f>I408+I413</f>
        <v>354.25</v>
      </c>
      <c r="J415" s="1067"/>
      <c r="K415" s="1067">
        <f>K408+K413</f>
        <v>2964.32</v>
      </c>
      <c r="L415" s="1067"/>
    </row>
    <row r="416" spans="1:27" ht="75" x14ac:dyDescent="0.25">
      <c r="A416" s="691">
        <v>56</v>
      </c>
      <c r="B416" s="691" t="str">
        <f>[95]Source!E2735</f>
        <v>439</v>
      </c>
      <c r="C416" s="692" t="str">
        <f>[95]Source!F2735</f>
        <v>3.20-1-10</v>
      </c>
      <c r="D416" s="692" t="s">
        <v>468</v>
      </c>
      <c r="E416" s="693" t="str">
        <f>[95]Source!H2735</f>
        <v>100 м2 поверхности воздуховодов</v>
      </c>
      <c r="F416" s="694">
        <f>[95]Source!I2735</f>
        <v>0.55100000000000005</v>
      </c>
      <c r="G416" s="695"/>
      <c r="H416" s="696"/>
      <c r="I416" s="694"/>
      <c r="J416" s="697"/>
      <c r="K416" s="694"/>
      <c r="L416" s="697"/>
      <c r="Q416" s="718">
        <f>ROUND(([95]Source!DN2735/100)*ROUND((ROUND(([95]Source!AF2735*[95]Source!AV2735*[95]Source!I2735),2)),2), 2)</f>
        <v>1694.91</v>
      </c>
      <c r="R416" s="718">
        <f>[95]Source!X2735</f>
        <v>32854.18</v>
      </c>
      <c r="S416" s="718">
        <f>ROUND(([95]Source!DO2735/100)*ROUND((ROUND(([95]Source!AF2735*[95]Source!AV2735*[95]Source!I2735),2)),2), 2)</f>
        <v>1274.57</v>
      </c>
      <c r="T416" s="718">
        <f>[95]Source!Y2735</f>
        <v>14784.38</v>
      </c>
      <c r="U416" s="718">
        <f>ROUND((175/100)*ROUND((ROUND(([95]Source!AE2735*[95]Source!AV2735*[95]Source!I2735),2)),2), 2)</f>
        <v>24.55</v>
      </c>
      <c r="V416" s="718">
        <f>ROUND((157/100)*ROUND(ROUND((ROUND(([95]Source!AE2735*[95]Source!AV2735*[95]Source!I2735),2)*[95]Source!BS2735),2), 2), 2)</f>
        <v>533.72</v>
      </c>
    </row>
    <row r="417" spans="1:27" ht="15" x14ac:dyDescent="0.25">
      <c r="A417" s="691"/>
      <c r="B417" s="691"/>
      <c r="C417" s="692"/>
      <c r="D417" s="692" t="s">
        <v>84</v>
      </c>
      <c r="E417" s="693"/>
      <c r="F417" s="694"/>
      <c r="G417" s="695">
        <f>[95]Source!AO2735</f>
        <v>1381.04</v>
      </c>
      <c r="H417" s="696" t="str">
        <f>[95]Source!DG2735</f>
        <v>)*1,67</v>
      </c>
      <c r="I417" s="694">
        <f>[95]Source!AV2735</f>
        <v>1.0669999999999999</v>
      </c>
      <c r="J417" s="697">
        <f>ROUND((ROUND(([95]Source!AF2735*[95]Source!AV2735*[95]Source!I2735),2)),2)</f>
        <v>1355.93</v>
      </c>
      <c r="K417" s="694">
        <f>IF([95]Source!BA2735&lt;&gt; 0, [95]Source!BA2735, 1)</f>
        <v>24.23</v>
      </c>
      <c r="L417" s="697">
        <f>[95]Source!S2735</f>
        <v>32854.18</v>
      </c>
      <c r="W417" s="718">
        <f>J417</f>
        <v>1355.93</v>
      </c>
    </row>
    <row r="418" spans="1:27" ht="15" x14ac:dyDescent="0.25">
      <c r="A418" s="691"/>
      <c r="B418" s="691"/>
      <c r="C418" s="692"/>
      <c r="D418" s="692" t="s">
        <v>85</v>
      </c>
      <c r="E418" s="693"/>
      <c r="F418" s="694"/>
      <c r="G418" s="695">
        <f>[95]Source!AM2735</f>
        <v>116.7</v>
      </c>
      <c r="H418" s="696" t="str">
        <f>[95]Source!DE2735</f>
        <v/>
      </c>
      <c r="I418" s="694">
        <f>[95]Source!AV2735</f>
        <v>1.0669999999999999</v>
      </c>
      <c r="J418" s="697">
        <f>(ROUND((ROUND((([95]Source!ET2735)*[95]Source!AV2735*[95]Source!I2735),2)),2)+ROUND((ROUND((([95]Source!AE2735-([95]Source!EU2735))*[95]Source!AV2735*[95]Source!I2735),2)),2))-J427</f>
        <v>68.61</v>
      </c>
      <c r="K418" s="694">
        <f>IF([95]Source!BB2735&lt;&gt; 0, [95]Source!BB2735, 1)</f>
        <v>8.59</v>
      </c>
      <c r="L418" s="697">
        <f>[95]Source!Q2735-L427</f>
        <v>589.38</v>
      </c>
    </row>
    <row r="419" spans="1:27" ht="15" x14ac:dyDescent="0.25">
      <c r="A419" s="691"/>
      <c r="B419" s="691"/>
      <c r="C419" s="692"/>
      <c r="D419" s="692" t="s">
        <v>86</v>
      </c>
      <c r="E419" s="693"/>
      <c r="F419" s="694"/>
      <c r="G419" s="695">
        <f>[95]Source!AN2735</f>
        <v>14.29</v>
      </c>
      <c r="H419" s="696" t="str">
        <f>[95]Source!DE2735</f>
        <v/>
      </c>
      <c r="I419" s="694">
        <f>[95]Source!AV2735</f>
        <v>1.0669999999999999</v>
      </c>
      <c r="J419" s="700">
        <f>ROUND((ROUND(([95]Source!AE2735*[95]Source!AV2735*[95]Source!I2735),2)),2)-J428</f>
        <v>8.4</v>
      </c>
      <c r="K419" s="694">
        <f>IF([95]Source!BS2735&lt;&gt; 0, [95]Source!BS2735, 1)</f>
        <v>24.23</v>
      </c>
      <c r="L419" s="700">
        <f>[95]Source!R2735-L428</f>
        <v>203.56</v>
      </c>
      <c r="W419" s="718">
        <f>J419</f>
        <v>8.4</v>
      </c>
    </row>
    <row r="420" spans="1:27" ht="15" x14ac:dyDescent="0.25">
      <c r="A420" s="691"/>
      <c r="B420" s="691"/>
      <c r="C420" s="692"/>
      <c r="D420" s="692" t="s">
        <v>87</v>
      </c>
      <c r="E420" s="693"/>
      <c r="F420" s="694"/>
      <c r="G420" s="695">
        <f>[95]Source!AL2735</f>
        <v>599.72</v>
      </c>
      <c r="H420" s="696" t="str">
        <f>[95]Source!DD2735</f>
        <v/>
      </c>
      <c r="I420" s="694">
        <f>[95]Source!AW2735</f>
        <v>1</v>
      </c>
      <c r="J420" s="697">
        <f>ROUND((ROUND(([95]Source!AC2735*[95]Source!AW2735*[95]Source!I2735),2)),2)</f>
        <v>330.45</v>
      </c>
      <c r="K420" s="694">
        <f>IF([95]Source!BC2735&lt;&gt; 0, [95]Source!BC2735, 1)</f>
        <v>4.18</v>
      </c>
      <c r="L420" s="697">
        <f>[95]Source!P2735</f>
        <v>1381.28</v>
      </c>
    </row>
    <row r="421" spans="1:27" ht="15" x14ac:dyDescent="0.25">
      <c r="A421" s="691"/>
      <c r="B421" s="691"/>
      <c r="C421" s="692"/>
      <c r="D421" s="692" t="s">
        <v>88</v>
      </c>
      <c r="E421" s="693" t="s">
        <v>89</v>
      </c>
      <c r="F421" s="694">
        <f>[95]Source!DN2735</f>
        <v>125</v>
      </c>
      <c r="G421" s="695"/>
      <c r="H421" s="696"/>
      <c r="I421" s="694"/>
      <c r="J421" s="697">
        <f>SUM(Q416:Q420)</f>
        <v>1694.91</v>
      </c>
      <c r="K421" s="694">
        <f>[95]Source!BZ2735</f>
        <v>100</v>
      </c>
      <c r="L421" s="697">
        <f>SUM(R416:R420)</f>
        <v>32854.18</v>
      </c>
    </row>
    <row r="422" spans="1:27" ht="15" x14ac:dyDescent="0.25">
      <c r="A422" s="691"/>
      <c r="B422" s="691"/>
      <c r="C422" s="692"/>
      <c r="D422" s="692" t="s">
        <v>90</v>
      </c>
      <c r="E422" s="693" t="s">
        <v>89</v>
      </c>
      <c r="F422" s="694">
        <f>[95]Source!DO2735</f>
        <v>94</v>
      </c>
      <c r="G422" s="695"/>
      <c r="H422" s="696"/>
      <c r="I422" s="694"/>
      <c r="J422" s="697">
        <f>SUM(S416:S421)</f>
        <v>1274.57</v>
      </c>
      <c r="K422" s="694">
        <f>[95]Source!CA2735</f>
        <v>45</v>
      </c>
      <c r="L422" s="697">
        <f>SUM(T416:T421)</f>
        <v>14784.38</v>
      </c>
    </row>
    <row r="423" spans="1:27" ht="15" x14ac:dyDescent="0.25">
      <c r="A423" s="691"/>
      <c r="B423" s="691"/>
      <c r="C423" s="692"/>
      <c r="D423" s="692" t="s">
        <v>91</v>
      </c>
      <c r="E423" s="693" t="s">
        <v>89</v>
      </c>
      <c r="F423" s="694">
        <f>175</f>
        <v>175</v>
      </c>
      <c r="G423" s="695"/>
      <c r="H423" s="696"/>
      <c r="I423" s="694"/>
      <c r="J423" s="697">
        <f>SUM(U416:U422)-J429</f>
        <v>14.7</v>
      </c>
      <c r="K423" s="694">
        <f>157</f>
        <v>157</v>
      </c>
      <c r="L423" s="697">
        <f>SUM(V416:V422)-L429</f>
        <v>319.58999999999997</v>
      </c>
    </row>
    <row r="424" spans="1:27" ht="15" x14ac:dyDescent="0.25">
      <c r="A424" s="691"/>
      <c r="B424" s="691"/>
      <c r="C424" s="692"/>
      <c r="D424" s="692" t="s">
        <v>92</v>
      </c>
      <c r="E424" s="693" t="s">
        <v>93</v>
      </c>
      <c r="F424" s="694">
        <f>[95]Source!AQ2735</f>
        <v>122</v>
      </c>
      <c r="G424" s="695"/>
      <c r="H424" s="696" t="str">
        <f>[95]Source!DI2735</f>
        <v/>
      </c>
      <c r="I424" s="694">
        <f>[95]Source!AV2735</f>
        <v>1.0669999999999999</v>
      </c>
      <c r="J424" s="697">
        <f>[95]Source!U2735</f>
        <v>71.73</v>
      </c>
      <c r="K424" s="694"/>
      <c r="L424" s="697"/>
    </row>
    <row r="425" spans="1:27" ht="14.25" x14ac:dyDescent="0.2">
      <c r="I425" s="1067">
        <f>J417+J418+J420+J421+J422+J423</f>
        <v>4739.17</v>
      </c>
      <c r="J425" s="1067"/>
      <c r="K425" s="1067">
        <f>L417+L418+L420+L421+L422+L423</f>
        <v>82782.990000000005</v>
      </c>
      <c r="L425" s="1067"/>
      <c r="O425" s="736">
        <f>J417+J418+J420+J421+J422+J423</f>
        <v>4739.17</v>
      </c>
      <c r="P425" s="736">
        <f>L417+L418+L420+L421+L422+L423</f>
        <v>82782.990000000005</v>
      </c>
      <c r="X425" s="718">
        <f>IF([95]Source!BI2735&lt;=1,J417+J418+J420+J421+J422+J423-0, 0)</f>
        <v>4739.17</v>
      </c>
      <c r="Y425" s="718">
        <f>IF([95]Source!BI2735=2,J417+J418+J420+J421+J422+J423-0, 0)</f>
        <v>0</v>
      </c>
      <c r="Z425" s="718">
        <f>IF([95]Source!BI2735=3,J417+J418+J420+J421+J422+J423-0, 0)</f>
        <v>0</v>
      </c>
      <c r="AA425" s="718">
        <f>IF([95]Source!BI2735=4,J417+J418+J420+J421+J422+J423,0)</f>
        <v>0</v>
      </c>
    </row>
    <row r="426" spans="1:27" ht="30" x14ac:dyDescent="0.25">
      <c r="A426" s="701"/>
      <c r="B426" s="701"/>
      <c r="C426" s="702"/>
      <c r="D426" s="702" t="s">
        <v>94</v>
      </c>
      <c r="E426" s="693"/>
      <c r="F426" s="703"/>
      <c r="G426" s="704"/>
      <c r="H426" s="693"/>
      <c r="I426" s="703"/>
      <c r="J426" s="700"/>
      <c r="K426" s="703"/>
      <c r="L426" s="700"/>
    </row>
    <row r="427" spans="1:27" ht="15" x14ac:dyDescent="0.25">
      <c r="A427" s="701"/>
      <c r="B427" s="701"/>
      <c r="C427" s="702"/>
      <c r="D427" s="702" t="s">
        <v>85</v>
      </c>
      <c r="E427" s="693"/>
      <c r="F427" s="703"/>
      <c r="G427" s="704">
        <f t="shared" ref="G427:L427" si="18">G428</f>
        <v>14.29</v>
      </c>
      <c r="H427" s="705" t="str">
        <f t="shared" si="18"/>
        <v>)*(1.67-1)</v>
      </c>
      <c r="I427" s="703">
        <f t="shared" si="18"/>
        <v>1.0669999999999999</v>
      </c>
      <c r="J427" s="700">
        <f t="shared" si="18"/>
        <v>5.63</v>
      </c>
      <c r="K427" s="703">
        <f t="shared" si="18"/>
        <v>24.23</v>
      </c>
      <c r="L427" s="700">
        <f t="shared" si="18"/>
        <v>136.38999999999999</v>
      </c>
    </row>
    <row r="428" spans="1:27" ht="15" x14ac:dyDescent="0.25">
      <c r="A428" s="701"/>
      <c r="B428" s="701"/>
      <c r="C428" s="702"/>
      <c r="D428" s="702" t="s">
        <v>86</v>
      </c>
      <c r="E428" s="693"/>
      <c r="F428" s="703"/>
      <c r="G428" s="704">
        <f>[95]Source!AN2735</f>
        <v>14.29</v>
      </c>
      <c r="H428" s="705" t="s">
        <v>95</v>
      </c>
      <c r="I428" s="703">
        <f>[95]Source!AV2735</f>
        <v>1.0669999999999999</v>
      </c>
      <c r="J428" s="700">
        <f>ROUND(F416*G428*I428*(1.67-1), 2)</f>
        <v>5.63</v>
      </c>
      <c r="K428" s="703">
        <f>IF([95]Source!BS2735&lt;&gt; 0, [95]Source!BS2735, 1)</f>
        <v>24.23</v>
      </c>
      <c r="L428" s="700">
        <f>ROUND(F416*G428*I428*(1.67-1)*K428, 2)</f>
        <v>136.38999999999999</v>
      </c>
      <c r="W428" s="718">
        <f>J428</f>
        <v>5.63</v>
      </c>
    </row>
    <row r="429" spans="1:27" ht="15" x14ac:dyDescent="0.25">
      <c r="A429" s="701"/>
      <c r="B429" s="701"/>
      <c r="C429" s="702"/>
      <c r="D429" s="702" t="s">
        <v>91</v>
      </c>
      <c r="E429" s="693" t="s">
        <v>89</v>
      </c>
      <c r="F429" s="703">
        <f>175</f>
        <v>175</v>
      </c>
      <c r="G429" s="704"/>
      <c r="H429" s="693"/>
      <c r="I429" s="703"/>
      <c r="J429" s="700">
        <f>ROUND(J428*(F429/100), 2)</f>
        <v>9.85</v>
      </c>
      <c r="K429" s="703">
        <f>157</f>
        <v>157</v>
      </c>
      <c r="L429" s="700">
        <f>ROUND(L428*(K429/100), 2)</f>
        <v>214.13</v>
      </c>
    </row>
    <row r="430" spans="1:27" ht="14.25" x14ac:dyDescent="0.2">
      <c r="I430" s="1067">
        <f>J429+J428</f>
        <v>15.48</v>
      </c>
      <c r="J430" s="1067"/>
      <c r="K430" s="1067">
        <f>L429+L428</f>
        <v>350.52</v>
      </c>
      <c r="L430" s="1067"/>
      <c r="O430" s="736">
        <f>I430</f>
        <v>15.48</v>
      </c>
      <c r="P430" s="736">
        <f>K430</f>
        <v>350.52</v>
      </c>
      <c r="X430" s="718">
        <f>IF([95]Source!BI2735&lt;=1,I430, 0)</f>
        <v>15.48</v>
      </c>
      <c r="Y430" s="718">
        <f>IF([95]Source!BI2735=2,I430, 0)</f>
        <v>0</v>
      </c>
      <c r="Z430" s="718">
        <f>IF([95]Source!BI2735=3,I430, 0)</f>
        <v>0</v>
      </c>
      <c r="AA430" s="718">
        <f>IF([95]Source!BI2735=4,I430, 0)</f>
        <v>0</v>
      </c>
    </row>
    <row r="432" spans="1:27" ht="15" x14ac:dyDescent="0.25">
      <c r="A432" s="706"/>
      <c r="B432" s="706"/>
      <c r="C432" s="707"/>
      <c r="D432" s="707" t="s">
        <v>96</v>
      </c>
      <c r="E432" s="708"/>
      <c r="F432" s="709"/>
      <c r="G432" s="710"/>
      <c r="H432" s="711"/>
      <c r="I432" s="1067">
        <f>I425+I430</f>
        <v>4754.6499999999996</v>
      </c>
      <c r="J432" s="1067"/>
      <c r="K432" s="1067">
        <f>K425+K430</f>
        <v>83133.509999999995</v>
      </c>
      <c r="L432" s="1067"/>
    </row>
    <row r="433" spans="1:27" ht="52.9" customHeight="1" x14ac:dyDescent="0.25">
      <c r="A433" s="691">
        <v>57</v>
      </c>
      <c r="B433" s="691" t="str">
        <f>[95]Source!E2737</f>
        <v>440</v>
      </c>
      <c r="C433" s="692" t="str">
        <f>[95]Source!F2737</f>
        <v>1.19-3-12</v>
      </c>
      <c r="D433" s="692" t="s">
        <v>467</v>
      </c>
      <c r="E433" s="693" t="str">
        <f>[95]Source!H2737</f>
        <v>м2</v>
      </c>
      <c r="F433" s="694">
        <f>[95]Source!I2737</f>
        <v>13.14</v>
      </c>
      <c r="G433" s="695">
        <f>[95]Source!AL2737</f>
        <v>125.64</v>
      </c>
      <c r="H433" s="696" t="str">
        <f>[95]Source!DD2737</f>
        <v/>
      </c>
      <c r="I433" s="694">
        <f>[95]Source!AW2737</f>
        <v>1</v>
      </c>
      <c r="J433" s="697">
        <f>ROUND((ROUND(([95]Source!AC2737*[95]Source!AW2737*[95]Source!I2737),2)),2)</f>
        <v>1650.91</v>
      </c>
      <c r="K433" s="694">
        <f>IF([95]Source!BC2737&lt;&gt; 0, [95]Source!BC2737, 1)</f>
        <v>3.84</v>
      </c>
      <c r="L433" s="697">
        <f>[95]Source!P2737</f>
        <v>6339.49</v>
      </c>
      <c r="Q433" s="718">
        <f>ROUND(([95]Source!DN2737/100)*ROUND((ROUND(([95]Source!AF2737*[95]Source!AV2737*[95]Source!I2737),2)),2), 2)</f>
        <v>0</v>
      </c>
      <c r="R433" s="718">
        <f>[95]Source!X2737</f>
        <v>0</v>
      </c>
      <c r="S433" s="718">
        <f>ROUND(([95]Source!DO2737/100)*ROUND((ROUND(([95]Source!AF2737*[95]Source!AV2737*[95]Source!I2737),2)),2), 2)</f>
        <v>0</v>
      </c>
      <c r="T433" s="718">
        <f>[95]Source!Y2737</f>
        <v>0</v>
      </c>
      <c r="U433" s="718">
        <f>ROUND((175/100)*ROUND((ROUND(([95]Source!AE2737*[95]Source!AV2737*[95]Source!I2737),2)),2), 2)</f>
        <v>0</v>
      </c>
      <c r="V433" s="718">
        <f>ROUND((157/100)*ROUND(ROUND((ROUND(([95]Source!AE2737*[95]Source!AV2737*[95]Source!I2737),2)*[95]Source!BS2737),2), 2), 2)</f>
        <v>0</v>
      </c>
    </row>
    <row r="434" spans="1:27" ht="14.25" x14ac:dyDescent="0.2">
      <c r="A434" s="737"/>
      <c r="B434" s="737"/>
      <c r="C434" s="737"/>
      <c r="D434" s="737"/>
      <c r="E434" s="737"/>
      <c r="F434" s="737"/>
      <c r="G434" s="737"/>
      <c r="H434" s="737"/>
      <c r="I434" s="1067">
        <f>J433</f>
        <v>1650.91</v>
      </c>
      <c r="J434" s="1067"/>
      <c r="K434" s="1067">
        <f>L433</f>
        <v>6339.49</v>
      </c>
      <c r="L434" s="1067"/>
      <c r="O434" s="736">
        <f>J433</f>
        <v>1650.91</v>
      </c>
      <c r="P434" s="736">
        <f>L433</f>
        <v>6339.49</v>
      </c>
      <c r="X434" s="718">
        <f>IF([95]Source!BI2737&lt;=1,J433-0, 0)</f>
        <v>1650.91</v>
      </c>
      <c r="Y434" s="718">
        <f>IF([95]Source!BI2737=2,J433-0, 0)</f>
        <v>0</v>
      </c>
      <c r="Z434" s="718">
        <f>IF([95]Source!BI2737=3,J433-0, 0)</f>
        <v>0</v>
      </c>
      <c r="AA434" s="718">
        <f>IF([95]Source!BI2737=4,J433,0)</f>
        <v>0</v>
      </c>
    </row>
    <row r="435" spans="1:27" ht="57.6" customHeight="1" x14ac:dyDescent="0.25">
      <c r="A435" s="691">
        <v>58</v>
      </c>
      <c r="B435" s="691" t="str">
        <f>[95]Source!E2739</f>
        <v>441</v>
      </c>
      <c r="C435" s="692" t="str">
        <f>[95]Source!F2739</f>
        <v>1.19-3-13</v>
      </c>
      <c r="D435" s="692" t="s">
        <v>469</v>
      </c>
      <c r="E435" s="693" t="str">
        <f>[95]Source!H2739</f>
        <v>м2</v>
      </c>
      <c r="F435" s="694">
        <f>[95]Source!I2739</f>
        <v>41.96</v>
      </c>
      <c r="G435" s="695">
        <f>[95]Source!AL2739</f>
        <v>157.54</v>
      </c>
      <c r="H435" s="696" t="str">
        <f>[95]Source!DD2739</f>
        <v/>
      </c>
      <c r="I435" s="694">
        <f>[95]Source!AW2739</f>
        <v>1</v>
      </c>
      <c r="J435" s="697">
        <f>ROUND((ROUND(([95]Source!AC2739*[95]Source!AW2739*[95]Source!I2739),2)),2)</f>
        <v>6610.38</v>
      </c>
      <c r="K435" s="694">
        <f>IF([95]Source!BC2739&lt;&gt; 0, [95]Source!BC2739, 1)</f>
        <v>3.07</v>
      </c>
      <c r="L435" s="697">
        <f>[95]Source!P2739</f>
        <v>20293.87</v>
      </c>
      <c r="Q435" s="718">
        <f>ROUND(([95]Source!DN2739/100)*ROUND((ROUND(([95]Source!AF2739*[95]Source!AV2739*[95]Source!I2739),2)),2), 2)</f>
        <v>0</v>
      </c>
      <c r="R435" s="718">
        <f>[95]Source!X2739</f>
        <v>0</v>
      </c>
      <c r="S435" s="718">
        <f>ROUND(([95]Source!DO2739/100)*ROUND((ROUND(([95]Source!AF2739*[95]Source!AV2739*[95]Source!I2739),2)),2), 2)</f>
        <v>0</v>
      </c>
      <c r="T435" s="718">
        <f>[95]Source!Y2739</f>
        <v>0</v>
      </c>
      <c r="U435" s="718">
        <f>ROUND((175/100)*ROUND((ROUND(([95]Source!AE2739*[95]Source!AV2739*[95]Source!I2739),2)),2), 2)</f>
        <v>0</v>
      </c>
      <c r="V435" s="718">
        <f>ROUND((157/100)*ROUND(ROUND((ROUND(([95]Source!AE2739*[95]Source!AV2739*[95]Source!I2739),2)*[95]Source!BS2739),2), 2), 2)</f>
        <v>0</v>
      </c>
    </row>
    <row r="436" spans="1:27" ht="14.25" x14ac:dyDescent="0.2">
      <c r="A436" s="737"/>
      <c r="B436" s="737"/>
      <c r="C436" s="737"/>
      <c r="D436" s="737"/>
      <c r="E436" s="737"/>
      <c r="F436" s="737"/>
      <c r="G436" s="737"/>
      <c r="H436" s="737"/>
      <c r="I436" s="1067">
        <f>J435</f>
        <v>6610.38</v>
      </c>
      <c r="J436" s="1067"/>
      <c r="K436" s="1067">
        <f>L435</f>
        <v>20293.87</v>
      </c>
      <c r="L436" s="1067"/>
      <c r="O436" s="736">
        <f>J435</f>
        <v>6610.38</v>
      </c>
      <c r="P436" s="736">
        <f>L435</f>
        <v>20293.87</v>
      </c>
      <c r="X436" s="718">
        <f>IF([95]Source!BI2739&lt;=1,J435-0, 0)</f>
        <v>6610.38</v>
      </c>
      <c r="Y436" s="718">
        <f>IF([95]Source!BI2739=2,J435-0, 0)</f>
        <v>0</v>
      </c>
      <c r="Z436" s="718">
        <f>IF([95]Source!BI2739=3,J435-0, 0)</f>
        <v>0</v>
      </c>
      <c r="AA436" s="718">
        <f>IF([95]Source!BI2739=4,J435,0)</f>
        <v>0</v>
      </c>
    </row>
    <row r="437" spans="1:27" ht="75" x14ac:dyDescent="0.25">
      <c r="A437" s="691">
        <v>59</v>
      </c>
      <c r="B437" s="691" t="str">
        <f>[95]Source!E2741</f>
        <v>442</v>
      </c>
      <c r="C437" s="692" t="str">
        <f>[95]Source!F2741</f>
        <v>3.20-1-11</v>
      </c>
      <c r="D437" s="692" t="s">
        <v>470</v>
      </c>
      <c r="E437" s="693" t="str">
        <f>[95]Source!H2741</f>
        <v>100 м2 поверхности воздуховодов</v>
      </c>
      <c r="F437" s="694">
        <f>[95]Source!I2741</f>
        <v>0.3422</v>
      </c>
      <c r="G437" s="695"/>
      <c r="H437" s="696"/>
      <c r="I437" s="694"/>
      <c r="J437" s="697"/>
      <c r="K437" s="694"/>
      <c r="L437" s="697"/>
      <c r="Q437" s="718">
        <f>ROUND(([95]Source!DN2741/100)*ROUND((ROUND(([95]Source!AF2741*[95]Source!AV2741*[95]Source!I2741),2)),2), 2)</f>
        <v>792.06</v>
      </c>
      <c r="R437" s="718">
        <f>[95]Source!X2741</f>
        <v>15353.34</v>
      </c>
      <c r="S437" s="718">
        <f>ROUND(([95]Source!DO2741/100)*ROUND((ROUND(([95]Source!AF2741*[95]Source!AV2741*[95]Source!I2741),2)),2), 2)</f>
        <v>595.63</v>
      </c>
      <c r="T437" s="718">
        <f>[95]Source!Y2741</f>
        <v>6909</v>
      </c>
      <c r="U437" s="718">
        <f>ROUND((175/100)*ROUND((ROUND(([95]Source!AE2741*[95]Source!AV2741*[95]Source!I2741),2)),2), 2)</f>
        <v>11.41</v>
      </c>
      <c r="V437" s="718">
        <f>ROUND((157/100)*ROUND(ROUND((ROUND(([95]Source!AE2741*[95]Source!AV2741*[95]Source!I2741),2)*[95]Source!BS2741),2), 2), 2)</f>
        <v>248.03</v>
      </c>
    </row>
    <row r="438" spans="1:27" ht="15" x14ac:dyDescent="0.25">
      <c r="A438" s="691"/>
      <c r="B438" s="691"/>
      <c r="C438" s="692"/>
      <c r="D438" s="692" t="s">
        <v>84</v>
      </c>
      <c r="E438" s="693"/>
      <c r="F438" s="694"/>
      <c r="G438" s="695">
        <f>[95]Source!AO2741</f>
        <v>1039.18</v>
      </c>
      <c r="H438" s="696" t="str">
        <f>[95]Source!DG2741</f>
        <v>)*1,67</v>
      </c>
      <c r="I438" s="694">
        <f>[95]Source!AV2741</f>
        <v>1.0669999999999999</v>
      </c>
      <c r="J438" s="697">
        <f>ROUND((ROUND(([95]Source!AF2741*[95]Source!AV2741*[95]Source!I2741),2)),2)</f>
        <v>633.65</v>
      </c>
      <c r="K438" s="694">
        <f>IF([95]Source!BA2741&lt;&gt; 0, [95]Source!BA2741, 1)</f>
        <v>24.23</v>
      </c>
      <c r="L438" s="697">
        <f>[95]Source!S2741</f>
        <v>15353.34</v>
      </c>
      <c r="W438" s="718">
        <f>J438</f>
        <v>633.65</v>
      </c>
    </row>
    <row r="439" spans="1:27" ht="15" x14ac:dyDescent="0.25">
      <c r="A439" s="691"/>
      <c r="B439" s="691"/>
      <c r="C439" s="692"/>
      <c r="D439" s="692" t="s">
        <v>85</v>
      </c>
      <c r="E439" s="693"/>
      <c r="F439" s="694"/>
      <c r="G439" s="695">
        <f>[95]Source!AM2741</f>
        <v>87.46</v>
      </c>
      <c r="H439" s="696" t="str">
        <f>[95]Source!DE2741</f>
        <v/>
      </c>
      <c r="I439" s="694">
        <f>[95]Source!AV2741</f>
        <v>1.0669999999999999</v>
      </c>
      <c r="J439" s="697">
        <f>(ROUND((ROUND((([95]Source!ET2741)*[95]Source!AV2741*[95]Source!I2741),2)),2)+ROUND((ROUND((([95]Source!AE2741-([95]Source!EU2741))*[95]Source!AV2741*[95]Source!I2741),2)),2))-J449</f>
        <v>31.93</v>
      </c>
      <c r="K439" s="694">
        <f>IF([95]Source!BB2741&lt;&gt; 0, [95]Source!BB2741, 1)</f>
        <v>8.6</v>
      </c>
      <c r="L439" s="697">
        <f>[95]Source!Q2741-L449</f>
        <v>274.70999999999998</v>
      </c>
    </row>
    <row r="440" spans="1:27" ht="15" x14ac:dyDescent="0.25">
      <c r="A440" s="691"/>
      <c r="B440" s="691"/>
      <c r="C440" s="692"/>
      <c r="D440" s="692" t="s">
        <v>86</v>
      </c>
      <c r="E440" s="693"/>
      <c r="F440" s="694"/>
      <c r="G440" s="695">
        <f>[95]Source!AN2741</f>
        <v>10.69</v>
      </c>
      <c r="H440" s="696" t="str">
        <f>[95]Source!DE2741</f>
        <v/>
      </c>
      <c r="I440" s="694">
        <f>[95]Source!AV2741</f>
        <v>1.0669999999999999</v>
      </c>
      <c r="J440" s="700">
        <f>ROUND((ROUND(([95]Source!AE2741*[95]Source!AV2741*[95]Source!I2741),2)),2)-J450</f>
        <v>3.9</v>
      </c>
      <c r="K440" s="694">
        <f>IF([95]Source!BS2741&lt;&gt; 0, [95]Source!BS2741, 1)</f>
        <v>24.23</v>
      </c>
      <c r="L440" s="700">
        <f>[95]Source!R2741-L450</f>
        <v>94.61</v>
      </c>
      <c r="W440" s="718">
        <f>J440</f>
        <v>3.9</v>
      </c>
    </row>
    <row r="441" spans="1:27" ht="15" x14ac:dyDescent="0.25">
      <c r="A441" s="691"/>
      <c r="B441" s="691"/>
      <c r="C441" s="692"/>
      <c r="D441" s="692" t="s">
        <v>87</v>
      </c>
      <c r="E441" s="693"/>
      <c r="F441" s="694"/>
      <c r="G441" s="695">
        <f>[95]Source!AL2741</f>
        <v>409.71</v>
      </c>
      <c r="H441" s="696" t="str">
        <f>[95]Source!DD2741</f>
        <v/>
      </c>
      <c r="I441" s="694">
        <f>[95]Source!AW2741</f>
        <v>1</v>
      </c>
      <c r="J441" s="697">
        <f>ROUND((ROUND(([95]Source!AC2741*[95]Source!AW2741*[95]Source!I2741),2)),2)</f>
        <v>140.19999999999999</v>
      </c>
      <c r="K441" s="694">
        <f>IF([95]Source!BC2741&lt;&gt; 0, [95]Source!BC2741, 1)</f>
        <v>3.31</v>
      </c>
      <c r="L441" s="697">
        <f>[95]Source!P2741</f>
        <v>464.06</v>
      </c>
    </row>
    <row r="442" spans="1:27" ht="58.9" customHeight="1" x14ac:dyDescent="0.25">
      <c r="A442" s="691">
        <v>60</v>
      </c>
      <c r="B442" s="691" t="str">
        <f>[95]Source!E2743</f>
        <v>442,1</v>
      </c>
      <c r="C442" s="692" t="str">
        <f>[95]Source!F2743</f>
        <v>1.19-3-13</v>
      </c>
      <c r="D442" s="692" t="s">
        <v>469</v>
      </c>
      <c r="E442" s="693" t="str">
        <f>[95]Source!H2743</f>
        <v>м2</v>
      </c>
      <c r="F442" s="694">
        <f>[95]Source!I2743</f>
        <v>34.22</v>
      </c>
      <c r="G442" s="695">
        <f>[95]Source!AK2743</f>
        <v>157.54</v>
      </c>
      <c r="H442" s="734" t="s">
        <v>42</v>
      </c>
      <c r="I442" s="694">
        <f>[95]Source!AW2743</f>
        <v>1</v>
      </c>
      <c r="J442" s="697">
        <f>ROUND((ROUND(([95]Source!AC2743*[95]Source!AW2743*[95]Source!I2743),2)),2)+(ROUND((ROUND((([95]Source!ET2743)*[95]Source!AV2743*[95]Source!I2743),2)),2)+ROUND((ROUND((([95]Source!AE2743-([95]Source!EU2743))*[95]Source!AV2743*[95]Source!I2743),2)),2))+ROUND((ROUND(([95]Source!AF2743*[95]Source!AV2743*[95]Source!I2743),2)),2)</f>
        <v>5391.02</v>
      </c>
      <c r="K442" s="694">
        <f>IF([95]Source!BC2743&lt;&gt; 0, [95]Source!BC2743, 1)</f>
        <v>3.07</v>
      </c>
      <c r="L442" s="697">
        <f>[95]Source!O2743</f>
        <v>16550.43</v>
      </c>
      <c r="Q442" s="718">
        <f>ROUND(([95]Source!DN2743/100)*ROUND((ROUND(([95]Source!AF2743*[95]Source!AV2743*[95]Source!I2743),2)),2), 2)</f>
        <v>0</v>
      </c>
      <c r="R442" s="718">
        <f>[95]Source!X2743</f>
        <v>0</v>
      </c>
      <c r="S442" s="718">
        <f>ROUND(([95]Source!DO2743/100)*ROUND((ROUND(([95]Source!AF2743*[95]Source!AV2743*[95]Source!I2743),2)),2), 2)</f>
        <v>0</v>
      </c>
      <c r="T442" s="718">
        <f>[95]Source!Y2743</f>
        <v>0</v>
      </c>
      <c r="U442" s="718">
        <f>ROUND((175/100)*ROUND((ROUND(([95]Source!AE2743*[95]Source!AV2743*[95]Source!I2743),2)),2), 2)</f>
        <v>0</v>
      </c>
      <c r="V442" s="718">
        <f>ROUND((157/100)*ROUND(ROUND((ROUND(([95]Source!AE2743*[95]Source!AV2743*[95]Source!I2743),2)*[95]Source!BS2743),2), 2), 2)</f>
        <v>0</v>
      </c>
      <c r="X442" s="718">
        <f>IF([95]Source!BI2743&lt;=1,J442, 0)</f>
        <v>5391.02</v>
      </c>
      <c r="Y442" s="718">
        <f>IF([95]Source!BI2743=2,J442, 0)</f>
        <v>0</v>
      </c>
      <c r="Z442" s="718">
        <f>IF([95]Source!BI2743=3,J442, 0)</f>
        <v>0</v>
      </c>
      <c r="AA442" s="718">
        <f>IF([95]Source!BI2743=4,J442, 0)</f>
        <v>0</v>
      </c>
    </row>
    <row r="443" spans="1:27" ht="15" x14ac:dyDescent="0.25">
      <c r="A443" s="691"/>
      <c r="B443" s="691"/>
      <c r="C443" s="692"/>
      <c r="D443" s="692" t="s">
        <v>88</v>
      </c>
      <c r="E443" s="693" t="s">
        <v>89</v>
      </c>
      <c r="F443" s="694">
        <f>[95]Source!DN2741</f>
        <v>125</v>
      </c>
      <c r="G443" s="695"/>
      <c r="H443" s="696"/>
      <c r="I443" s="694"/>
      <c r="J443" s="697">
        <f>SUM(Q437:Q442)</f>
        <v>792.06</v>
      </c>
      <c r="K443" s="694">
        <f>[95]Source!BZ2741</f>
        <v>100</v>
      </c>
      <c r="L443" s="697">
        <f>SUM(R437:R442)</f>
        <v>15353.34</v>
      </c>
    </row>
    <row r="444" spans="1:27" ht="15" x14ac:dyDescent="0.25">
      <c r="A444" s="691"/>
      <c r="B444" s="691"/>
      <c r="C444" s="692"/>
      <c r="D444" s="692" t="s">
        <v>90</v>
      </c>
      <c r="E444" s="693" t="s">
        <v>89</v>
      </c>
      <c r="F444" s="694">
        <f>[95]Source!DO2741</f>
        <v>94</v>
      </c>
      <c r="G444" s="695"/>
      <c r="H444" s="696"/>
      <c r="I444" s="694"/>
      <c r="J444" s="697">
        <f>SUM(S437:S443)</f>
        <v>595.63</v>
      </c>
      <c r="K444" s="694">
        <f>[95]Source!CA2741</f>
        <v>45</v>
      </c>
      <c r="L444" s="697">
        <f>SUM(T437:T443)</f>
        <v>6909</v>
      </c>
    </row>
    <row r="445" spans="1:27" ht="15" x14ac:dyDescent="0.25">
      <c r="A445" s="691"/>
      <c r="B445" s="691"/>
      <c r="C445" s="692"/>
      <c r="D445" s="692" t="s">
        <v>91</v>
      </c>
      <c r="E445" s="693" t="s">
        <v>89</v>
      </c>
      <c r="F445" s="694">
        <f>175</f>
        <v>175</v>
      </c>
      <c r="G445" s="695"/>
      <c r="H445" s="696"/>
      <c r="I445" s="694"/>
      <c r="J445" s="697">
        <f>SUM(U437:U444)-J451</f>
        <v>6.82</v>
      </c>
      <c r="K445" s="694">
        <f>157</f>
        <v>157</v>
      </c>
      <c r="L445" s="697">
        <f>SUM(V437:V444)-L451</f>
        <v>148.54</v>
      </c>
    </row>
    <row r="446" spans="1:27" ht="15" x14ac:dyDescent="0.25">
      <c r="A446" s="691"/>
      <c r="B446" s="691"/>
      <c r="C446" s="692"/>
      <c r="D446" s="692" t="s">
        <v>92</v>
      </c>
      <c r="E446" s="693" t="s">
        <v>93</v>
      </c>
      <c r="F446" s="694">
        <f>[95]Source!AQ2741</f>
        <v>91.8</v>
      </c>
      <c r="G446" s="695"/>
      <c r="H446" s="696" t="str">
        <f>[95]Source!DI2741</f>
        <v/>
      </c>
      <c r="I446" s="694">
        <f>[95]Source!AV2741</f>
        <v>1.0669999999999999</v>
      </c>
      <c r="J446" s="697">
        <f>[95]Source!U2741</f>
        <v>33.520000000000003</v>
      </c>
      <c r="K446" s="694"/>
      <c r="L446" s="697"/>
    </row>
    <row r="447" spans="1:27" ht="14.25" x14ac:dyDescent="0.2">
      <c r="I447" s="1067">
        <f>J438+J439+J441+J443+J444+J445+SUM(J442:J442)</f>
        <v>7591.31</v>
      </c>
      <c r="J447" s="1067"/>
      <c r="K447" s="1067">
        <f>L438+L439+L441+L443+L444+L445+SUM(L442:L442)</f>
        <v>55053.42</v>
      </c>
      <c r="L447" s="1067"/>
      <c r="O447" s="736">
        <f>J438+J439+J441+J443+J444+J445+SUM(J442:J442)</f>
        <v>7591.31</v>
      </c>
      <c r="P447" s="736">
        <f>L438+L439+L441+L443+L444+L445+SUM(L442:L442)</f>
        <v>55053.42</v>
      </c>
      <c r="X447" s="718">
        <f>IF([95]Source!BI2741&lt;=1,J438+J439+J441+J443+J444+J445-0, 0)</f>
        <v>2200.29</v>
      </c>
      <c r="Y447" s="718">
        <f>IF([95]Source!BI2741=2,J438+J439+J441+J443+J444+J445-0, 0)</f>
        <v>0</v>
      </c>
      <c r="Z447" s="718">
        <f>IF([95]Source!BI2741=3,J438+J439+J441+J443+J444+J445-0, 0)</f>
        <v>0</v>
      </c>
      <c r="AA447" s="718">
        <f>IF([95]Source!BI2741=4,J438+J439+J441+J443+J444+J445,0)</f>
        <v>0</v>
      </c>
    </row>
    <row r="448" spans="1:27" ht="30" x14ac:dyDescent="0.25">
      <c r="A448" s="701"/>
      <c r="B448" s="701"/>
      <c r="C448" s="702"/>
      <c r="D448" s="702" t="s">
        <v>94</v>
      </c>
      <c r="E448" s="693"/>
      <c r="F448" s="703"/>
      <c r="G448" s="704"/>
      <c r="H448" s="693"/>
      <c r="I448" s="703"/>
      <c r="J448" s="700"/>
      <c r="K448" s="703"/>
      <c r="L448" s="700"/>
    </row>
    <row r="449" spans="1:27" ht="15" x14ac:dyDescent="0.25">
      <c r="A449" s="701"/>
      <c r="B449" s="701"/>
      <c r="C449" s="702"/>
      <c r="D449" s="702" t="s">
        <v>85</v>
      </c>
      <c r="E449" s="693"/>
      <c r="F449" s="703"/>
      <c r="G449" s="704">
        <f t="shared" ref="G449:L449" si="19">G450</f>
        <v>10.69</v>
      </c>
      <c r="H449" s="705" t="str">
        <f t="shared" si="19"/>
        <v>)*(1.67-1)</v>
      </c>
      <c r="I449" s="703">
        <f t="shared" si="19"/>
        <v>1.0669999999999999</v>
      </c>
      <c r="J449" s="700">
        <f t="shared" si="19"/>
        <v>2.62</v>
      </c>
      <c r="K449" s="703">
        <f t="shared" si="19"/>
        <v>24.23</v>
      </c>
      <c r="L449" s="700">
        <f t="shared" si="19"/>
        <v>63.37</v>
      </c>
    </row>
    <row r="450" spans="1:27" ht="15" x14ac:dyDescent="0.25">
      <c r="A450" s="701"/>
      <c r="B450" s="701"/>
      <c r="C450" s="702"/>
      <c r="D450" s="702" t="s">
        <v>86</v>
      </c>
      <c r="E450" s="693"/>
      <c r="F450" s="703"/>
      <c r="G450" s="704">
        <f>[95]Source!AN2741</f>
        <v>10.69</v>
      </c>
      <c r="H450" s="705" t="s">
        <v>95</v>
      </c>
      <c r="I450" s="703">
        <f>[95]Source!AV2741</f>
        <v>1.0669999999999999</v>
      </c>
      <c r="J450" s="700">
        <f>ROUND(F437*G450*I450*(1.67-1), 2)</f>
        <v>2.62</v>
      </c>
      <c r="K450" s="703">
        <f>IF([95]Source!BS2741&lt;&gt; 0, [95]Source!BS2741, 1)</f>
        <v>24.23</v>
      </c>
      <c r="L450" s="700">
        <f>ROUND(F437*G450*I450*(1.67-1)*K450, 2)</f>
        <v>63.37</v>
      </c>
      <c r="W450" s="718">
        <f>J450</f>
        <v>2.62</v>
      </c>
    </row>
    <row r="451" spans="1:27" ht="15" x14ac:dyDescent="0.25">
      <c r="A451" s="701"/>
      <c r="B451" s="701"/>
      <c r="C451" s="702"/>
      <c r="D451" s="702" t="s">
        <v>91</v>
      </c>
      <c r="E451" s="693" t="s">
        <v>89</v>
      </c>
      <c r="F451" s="703">
        <f>175</f>
        <v>175</v>
      </c>
      <c r="G451" s="704"/>
      <c r="H451" s="693"/>
      <c r="I451" s="703"/>
      <c r="J451" s="700">
        <f>ROUND(J450*(F451/100), 2)</f>
        <v>4.59</v>
      </c>
      <c r="K451" s="703">
        <f>157</f>
        <v>157</v>
      </c>
      <c r="L451" s="700">
        <f>ROUND(L450*(K451/100), 2)</f>
        <v>99.49</v>
      </c>
    </row>
    <row r="452" spans="1:27" ht="14.25" x14ac:dyDescent="0.2">
      <c r="I452" s="1067">
        <f>J451+J450</f>
        <v>7.21</v>
      </c>
      <c r="J452" s="1067"/>
      <c r="K452" s="1067">
        <f>L451+L450</f>
        <v>162.86000000000001</v>
      </c>
      <c r="L452" s="1067"/>
      <c r="O452" s="736">
        <f>I452</f>
        <v>7.21</v>
      </c>
      <c r="P452" s="736">
        <f>K452</f>
        <v>162.86000000000001</v>
      </c>
      <c r="X452" s="718">
        <f>IF([95]Source!BI2741&lt;=1,I452, 0)</f>
        <v>7.21</v>
      </c>
      <c r="Y452" s="718">
        <f>IF([95]Source!BI2741=2,I452, 0)</f>
        <v>0</v>
      </c>
      <c r="Z452" s="718">
        <f>IF([95]Source!BI2741=3,I452, 0)</f>
        <v>0</v>
      </c>
      <c r="AA452" s="718">
        <f>IF([95]Source!BI2741=4,I452, 0)</f>
        <v>0</v>
      </c>
    </row>
    <row r="454" spans="1:27" ht="15" x14ac:dyDescent="0.25">
      <c r="A454" s="706"/>
      <c r="B454" s="706"/>
      <c r="C454" s="707"/>
      <c r="D454" s="707" t="s">
        <v>96</v>
      </c>
      <c r="E454" s="708"/>
      <c r="F454" s="709"/>
      <c r="G454" s="710"/>
      <c r="H454" s="711"/>
      <c r="I454" s="1067">
        <f>I447+I452</f>
        <v>7598.52</v>
      </c>
      <c r="J454" s="1067"/>
      <c r="K454" s="1067">
        <f>K447+K452</f>
        <v>55216.28</v>
      </c>
      <c r="L454" s="1067"/>
    </row>
    <row r="455" spans="1:27" ht="75" x14ac:dyDescent="0.25">
      <c r="A455" s="691">
        <v>61</v>
      </c>
      <c r="B455" s="691" t="str">
        <f>[95]Source!E2745</f>
        <v>443</v>
      </c>
      <c r="C455" s="692" t="str">
        <f>[95]Source!F2745</f>
        <v>3.20-1-12</v>
      </c>
      <c r="D455" s="692" t="s">
        <v>471</v>
      </c>
      <c r="E455" s="693" t="str">
        <f>[95]Source!H2745</f>
        <v>100 м2 поверхности воздуховодов</v>
      </c>
      <c r="F455" s="694">
        <f>[95]Source!I2745</f>
        <v>0.12920000000000001</v>
      </c>
      <c r="G455" s="695"/>
      <c r="H455" s="696"/>
      <c r="I455" s="694"/>
      <c r="J455" s="697"/>
      <c r="K455" s="694"/>
      <c r="L455" s="697"/>
      <c r="Q455" s="718">
        <f>ROUND(([95]Source!DN2745/100)*ROUND((ROUND(([95]Source!AF2745*[95]Source!AV2745*[95]Source!I2745),2)),2), 2)</f>
        <v>241.71</v>
      </c>
      <c r="R455" s="718">
        <f>[95]Source!X2745</f>
        <v>4685.3599999999997</v>
      </c>
      <c r="S455" s="718">
        <f>ROUND(([95]Source!DO2745/100)*ROUND((ROUND(([95]Source!AF2745*[95]Source!AV2745*[95]Source!I2745),2)),2), 2)</f>
        <v>181.77</v>
      </c>
      <c r="T455" s="718">
        <f>[95]Source!Y2745</f>
        <v>2108.41</v>
      </c>
      <c r="U455" s="718">
        <f>ROUND((175/100)*ROUND((ROUND(([95]Source!AE2745*[95]Source!AV2745*[95]Source!I2745),2)),2), 2)</f>
        <v>4.57</v>
      </c>
      <c r="V455" s="718">
        <f>ROUND((157/100)*ROUND(ROUND((ROUND(([95]Source!AE2745*[95]Source!AV2745*[95]Source!I2745),2)*[95]Source!BS2745),2), 2), 2)</f>
        <v>99.29</v>
      </c>
    </row>
    <row r="456" spans="1:27" ht="15" x14ac:dyDescent="0.25">
      <c r="A456" s="691"/>
      <c r="B456" s="691"/>
      <c r="C456" s="692"/>
      <c r="D456" s="692" t="s">
        <v>84</v>
      </c>
      <c r="E456" s="693"/>
      <c r="F456" s="694"/>
      <c r="G456" s="695">
        <f>[95]Source!AO2745</f>
        <v>839.94</v>
      </c>
      <c r="H456" s="696" t="str">
        <f>[95]Source!DG2745</f>
        <v>)*1,67</v>
      </c>
      <c r="I456" s="694">
        <f>[95]Source!AV2745</f>
        <v>1.0669999999999999</v>
      </c>
      <c r="J456" s="697">
        <f>ROUND((ROUND(([95]Source!AF2745*[95]Source!AV2745*[95]Source!I2745),2)),2)</f>
        <v>193.37</v>
      </c>
      <c r="K456" s="694">
        <f>IF([95]Source!BA2745&lt;&gt; 0, [95]Source!BA2745, 1)</f>
        <v>24.23</v>
      </c>
      <c r="L456" s="697">
        <f>[95]Source!S2745</f>
        <v>4685.3599999999997</v>
      </c>
      <c r="W456" s="718">
        <f>J456</f>
        <v>193.37</v>
      </c>
    </row>
    <row r="457" spans="1:27" ht="15" x14ac:dyDescent="0.25">
      <c r="A457" s="691"/>
      <c r="B457" s="691"/>
      <c r="C457" s="692"/>
      <c r="D457" s="692" t="s">
        <v>85</v>
      </c>
      <c r="E457" s="693"/>
      <c r="F457" s="694"/>
      <c r="G457" s="695">
        <f>[95]Source!AM2745</f>
        <v>92.82</v>
      </c>
      <c r="H457" s="696" t="str">
        <f>[95]Source!DE2745</f>
        <v/>
      </c>
      <c r="I457" s="694">
        <f>[95]Source!AV2745</f>
        <v>1.0669999999999999</v>
      </c>
      <c r="J457" s="697">
        <f>(ROUND((ROUND((([95]Source!ET2745)*[95]Source!AV2745*[95]Source!I2745),2)),2)+ROUND((ROUND((([95]Source!AE2745-([95]Source!EU2745))*[95]Source!AV2745*[95]Source!I2745),2)),2))-J467</f>
        <v>12.8</v>
      </c>
      <c r="K457" s="694">
        <f>IF([95]Source!BB2745&lt;&gt; 0, [95]Source!BB2745, 1)</f>
        <v>8.6</v>
      </c>
      <c r="L457" s="697">
        <f>[95]Source!Q2745-L467</f>
        <v>110.14</v>
      </c>
    </row>
    <row r="458" spans="1:27" ht="15" x14ac:dyDescent="0.25">
      <c r="A458" s="691"/>
      <c r="B458" s="691"/>
      <c r="C458" s="692"/>
      <c r="D458" s="692" t="s">
        <v>86</v>
      </c>
      <c r="E458" s="693"/>
      <c r="F458" s="694"/>
      <c r="G458" s="695">
        <f>[95]Source!AN2745</f>
        <v>11.34</v>
      </c>
      <c r="H458" s="696" t="str">
        <f>[95]Source!DE2745</f>
        <v/>
      </c>
      <c r="I458" s="694">
        <f>[95]Source!AV2745</f>
        <v>1.0669999999999999</v>
      </c>
      <c r="J458" s="700">
        <f>ROUND((ROUND(([95]Source!AE2745*[95]Source!AV2745*[95]Source!I2745),2)),2)-J468</f>
        <v>1.56</v>
      </c>
      <c r="K458" s="694">
        <f>IF([95]Source!BS2745&lt;&gt; 0, [95]Source!BS2745, 1)</f>
        <v>24.23</v>
      </c>
      <c r="L458" s="700">
        <f>[95]Source!R2745-L468</f>
        <v>37.86</v>
      </c>
      <c r="W458" s="718">
        <f>J458</f>
        <v>1.56</v>
      </c>
    </row>
    <row r="459" spans="1:27" ht="15" x14ac:dyDescent="0.25">
      <c r="A459" s="691"/>
      <c r="B459" s="691"/>
      <c r="C459" s="692"/>
      <c r="D459" s="692" t="s">
        <v>87</v>
      </c>
      <c r="E459" s="693"/>
      <c r="F459" s="694"/>
      <c r="G459" s="695">
        <f>[95]Source!AL2745</f>
        <v>490.65</v>
      </c>
      <c r="H459" s="696" t="str">
        <f>[95]Source!DD2745</f>
        <v/>
      </c>
      <c r="I459" s="694">
        <f>[95]Source!AW2745</f>
        <v>1</v>
      </c>
      <c r="J459" s="697">
        <f>ROUND((ROUND(([95]Source!AC2745*[95]Source!AW2745*[95]Source!I2745),2)),2)</f>
        <v>63.39</v>
      </c>
      <c r="K459" s="694">
        <f>IF([95]Source!BC2745&lt;&gt; 0, [95]Source!BC2745, 1)</f>
        <v>3.92</v>
      </c>
      <c r="L459" s="697">
        <f>[95]Source!P2745</f>
        <v>248.49</v>
      </c>
    </row>
    <row r="460" spans="1:27" ht="61.15" customHeight="1" x14ac:dyDescent="0.25">
      <c r="A460" s="691">
        <v>62</v>
      </c>
      <c r="B460" s="691" t="str">
        <f>[95]Source!E2747</f>
        <v>443,1</v>
      </c>
      <c r="C460" s="692" t="str">
        <f>[95]Source!F2747</f>
        <v>1.19-3-13</v>
      </c>
      <c r="D460" s="692" t="s">
        <v>469</v>
      </c>
      <c r="E460" s="693" t="str">
        <f>[95]Source!H2747</f>
        <v>м2</v>
      </c>
      <c r="F460" s="694">
        <f>[95]Source!I2747</f>
        <v>12.92</v>
      </c>
      <c r="G460" s="695">
        <f>[95]Source!AK2747</f>
        <v>157.54</v>
      </c>
      <c r="H460" s="734" t="s">
        <v>42</v>
      </c>
      <c r="I460" s="694">
        <f>[95]Source!AW2747</f>
        <v>1</v>
      </c>
      <c r="J460" s="697">
        <f>ROUND((ROUND(([95]Source!AC2747*[95]Source!AW2747*[95]Source!I2747),2)),2)+(ROUND((ROUND((([95]Source!ET2747)*[95]Source!AV2747*[95]Source!I2747),2)),2)+ROUND((ROUND((([95]Source!AE2747-([95]Source!EU2747))*[95]Source!AV2747*[95]Source!I2747),2)),2))+ROUND((ROUND(([95]Source!AF2747*[95]Source!AV2747*[95]Source!I2747),2)),2)</f>
        <v>2035.42</v>
      </c>
      <c r="K460" s="694">
        <f>IF([95]Source!BC2747&lt;&gt; 0, [95]Source!BC2747, 1)</f>
        <v>3.07</v>
      </c>
      <c r="L460" s="697">
        <f>[95]Source!O2747</f>
        <v>6248.74</v>
      </c>
      <c r="Q460" s="718">
        <f>ROUND(([95]Source!DN2747/100)*ROUND((ROUND(([95]Source!AF2747*[95]Source!AV2747*[95]Source!I2747),2)),2), 2)</f>
        <v>0</v>
      </c>
      <c r="R460" s="718">
        <f>[95]Source!X2747</f>
        <v>0</v>
      </c>
      <c r="S460" s="718">
        <f>ROUND(([95]Source!DO2747/100)*ROUND((ROUND(([95]Source!AF2747*[95]Source!AV2747*[95]Source!I2747),2)),2), 2)</f>
        <v>0</v>
      </c>
      <c r="T460" s="718">
        <f>[95]Source!Y2747</f>
        <v>0</v>
      </c>
      <c r="U460" s="718">
        <f>ROUND((175/100)*ROUND((ROUND(([95]Source!AE2747*[95]Source!AV2747*[95]Source!I2747),2)),2), 2)</f>
        <v>0</v>
      </c>
      <c r="V460" s="718">
        <f>ROUND((157/100)*ROUND(ROUND((ROUND(([95]Source!AE2747*[95]Source!AV2747*[95]Source!I2747),2)*[95]Source!BS2747),2), 2), 2)</f>
        <v>0</v>
      </c>
      <c r="X460" s="718">
        <f>IF([95]Source!BI2747&lt;=1,J460, 0)</f>
        <v>2035.42</v>
      </c>
      <c r="Y460" s="718">
        <f>IF([95]Source!BI2747=2,J460, 0)</f>
        <v>0</v>
      </c>
      <c r="Z460" s="718">
        <f>IF([95]Source!BI2747=3,J460, 0)</f>
        <v>0</v>
      </c>
      <c r="AA460" s="718">
        <f>IF([95]Source!BI2747=4,J460, 0)</f>
        <v>0</v>
      </c>
    </row>
    <row r="461" spans="1:27" ht="15" x14ac:dyDescent="0.25">
      <c r="A461" s="691"/>
      <c r="B461" s="691"/>
      <c r="C461" s="692"/>
      <c r="D461" s="692" t="s">
        <v>88</v>
      </c>
      <c r="E461" s="693" t="s">
        <v>89</v>
      </c>
      <c r="F461" s="694">
        <f>[95]Source!DN2745</f>
        <v>125</v>
      </c>
      <c r="G461" s="695"/>
      <c r="H461" s="696"/>
      <c r="I461" s="694"/>
      <c r="J461" s="697">
        <f>SUM(Q455:Q460)</f>
        <v>241.71</v>
      </c>
      <c r="K461" s="694">
        <f>[95]Source!BZ2745</f>
        <v>100</v>
      </c>
      <c r="L461" s="697">
        <f>SUM(R455:R460)</f>
        <v>4685.3599999999997</v>
      </c>
    </row>
    <row r="462" spans="1:27" ht="15" x14ac:dyDescent="0.25">
      <c r="A462" s="691"/>
      <c r="B462" s="691"/>
      <c r="C462" s="692"/>
      <c r="D462" s="692" t="s">
        <v>90</v>
      </c>
      <c r="E462" s="693" t="s">
        <v>89</v>
      </c>
      <c r="F462" s="694">
        <f>[95]Source!DO2745</f>
        <v>94</v>
      </c>
      <c r="G462" s="695"/>
      <c r="H462" s="696"/>
      <c r="I462" s="694"/>
      <c r="J462" s="697">
        <f>SUM(S455:S461)</f>
        <v>181.77</v>
      </c>
      <c r="K462" s="694">
        <f>[95]Source!CA2745</f>
        <v>45</v>
      </c>
      <c r="L462" s="697">
        <f>SUM(T455:T461)</f>
        <v>2108.41</v>
      </c>
    </row>
    <row r="463" spans="1:27" ht="15" x14ac:dyDescent="0.25">
      <c r="A463" s="691"/>
      <c r="B463" s="691"/>
      <c r="C463" s="692"/>
      <c r="D463" s="692" t="s">
        <v>91</v>
      </c>
      <c r="E463" s="693" t="s">
        <v>89</v>
      </c>
      <c r="F463" s="694">
        <f>175</f>
        <v>175</v>
      </c>
      <c r="G463" s="695"/>
      <c r="H463" s="696"/>
      <c r="I463" s="694"/>
      <c r="J463" s="697">
        <f>SUM(U455:U462)-J469</f>
        <v>2.73</v>
      </c>
      <c r="K463" s="694">
        <f>157</f>
        <v>157</v>
      </c>
      <c r="L463" s="697">
        <f>SUM(V455:V462)-L469</f>
        <v>59.44</v>
      </c>
    </row>
    <row r="464" spans="1:27" ht="15" x14ac:dyDescent="0.25">
      <c r="A464" s="691"/>
      <c r="B464" s="691"/>
      <c r="C464" s="692"/>
      <c r="D464" s="692" t="s">
        <v>92</v>
      </c>
      <c r="E464" s="693" t="s">
        <v>93</v>
      </c>
      <c r="F464" s="694">
        <f>[95]Source!AQ2745</f>
        <v>74.2</v>
      </c>
      <c r="G464" s="695"/>
      <c r="H464" s="696" t="str">
        <f>[95]Source!DI2745</f>
        <v/>
      </c>
      <c r="I464" s="694">
        <f>[95]Source!AV2745</f>
        <v>1.0669999999999999</v>
      </c>
      <c r="J464" s="697">
        <f>[95]Source!U2745</f>
        <v>10.23</v>
      </c>
      <c r="K464" s="694"/>
      <c r="L464" s="697"/>
    </row>
    <row r="465" spans="1:27" ht="14.25" x14ac:dyDescent="0.2">
      <c r="I465" s="1067">
        <f>J456+J457+J459+J461+J462+J463+SUM(J460:J460)</f>
        <v>2731.19</v>
      </c>
      <c r="J465" s="1067"/>
      <c r="K465" s="1067">
        <f>L456+L457+L459+L461+L462+L463+SUM(L460:L460)</f>
        <v>18145.939999999999</v>
      </c>
      <c r="L465" s="1067"/>
      <c r="O465" s="736">
        <f>J456+J457+J459+J461+J462+J463+SUM(J460:J460)</f>
        <v>2731.19</v>
      </c>
      <c r="P465" s="736">
        <f>L456+L457+L459+L461+L462+L463+SUM(L460:L460)</f>
        <v>18145.939999999999</v>
      </c>
      <c r="X465" s="718">
        <f>IF([95]Source!BI2745&lt;=1,J456+J457+J459+J461+J462+J463-0, 0)</f>
        <v>695.77</v>
      </c>
      <c r="Y465" s="718">
        <f>IF([95]Source!BI2745=2,J456+J457+J459+J461+J462+J463-0, 0)</f>
        <v>0</v>
      </c>
      <c r="Z465" s="718">
        <f>IF([95]Source!BI2745=3,J456+J457+J459+J461+J462+J463-0, 0)</f>
        <v>0</v>
      </c>
      <c r="AA465" s="718">
        <f>IF([95]Source!BI2745=4,J456+J457+J459+J461+J462+J463,0)</f>
        <v>0</v>
      </c>
    </row>
    <row r="466" spans="1:27" ht="30" x14ac:dyDescent="0.25">
      <c r="A466" s="701"/>
      <c r="B466" s="701"/>
      <c r="C466" s="702"/>
      <c r="D466" s="702" t="s">
        <v>94</v>
      </c>
      <c r="E466" s="693"/>
      <c r="F466" s="703"/>
      <c r="G466" s="704"/>
      <c r="H466" s="693"/>
      <c r="I466" s="703"/>
      <c r="J466" s="700"/>
      <c r="K466" s="703"/>
      <c r="L466" s="700"/>
    </row>
    <row r="467" spans="1:27" ht="15" x14ac:dyDescent="0.25">
      <c r="A467" s="701"/>
      <c r="B467" s="701"/>
      <c r="C467" s="702"/>
      <c r="D467" s="702" t="s">
        <v>85</v>
      </c>
      <c r="E467" s="693"/>
      <c r="F467" s="703"/>
      <c r="G467" s="704">
        <f t="shared" ref="G467:L467" si="20">G468</f>
        <v>11.34</v>
      </c>
      <c r="H467" s="705" t="str">
        <f t="shared" si="20"/>
        <v>)*(1.67-1)</v>
      </c>
      <c r="I467" s="703">
        <f t="shared" si="20"/>
        <v>1.0669999999999999</v>
      </c>
      <c r="J467" s="700">
        <f t="shared" si="20"/>
        <v>1.05</v>
      </c>
      <c r="K467" s="703">
        <f t="shared" si="20"/>
        <v>24.23</v>
      </c>
      <c r="L467" s="700">
        <f t="shared" si="20"/>
        <v>25.38</v>
      </c>
    </row>
    <row r="468" spans="1:27" ht="15" x14ac:dyDescent="0.25">
      <c r="A468" s="701"/>
      <c r="B468" s="701"/>
      <c r="C468" s="702"/>
      <c r="D468" s="702" t="s">
        <v>86</v>
      </c>
      <c r="E468" s="693"/>
      <c r="F468" s="703"/>
      <c r="G468" s="704">
        <f>[95]Source!AN2745</f>
        <v>11.34</v>
      </c>
      <c r="H468" s="705" t="s">
        <v>95</v>
      </c>
      <c r="I468" s="703">
        <f>[95]Source!AV2745</f>
        <v>1.0669999999999999</v>
      </c>
      <c r="J468" s="700">
        <f>ROUND(F455*G468*I468*(1.67-1), 2)</f>
        <v>1.05</v>
      </c>
      <c r="K468" s="703">
        <f>IF([95]Source!BS2745&lt;&gt; 0, [95]Source!BS2745, 1)</f>
        <v>24.23</v>
      </c>
      <c r="L468" s="700">
        <f>ROUND(F455*G468*I468*(1.67-1)*K468, 2)</f>
        <v>25.38</v>
      </c>
      <c r="W468" s="718">
        <f>J468</f>
        <v>1.05</v>
      </c>
    </row>
    <row r="469" spans="1:27" ht="15" x14ac:dyDescent="0.25">
      <c r="A469" s="701"/>
      <c r="B469" s="701"/>
      <c r="C469" s="702"/>
      <c r="D469" s="702" t="s">
        <v>91</v>
      </c>
      <c r="E469" s="693" t="s">
        <v>89</v>
      </c>
      <c r="F469" s="703">
        <f>175</f>
        <v>175</v>
      </c>
      <c r="G469" s="704"/>
      <c r="H469" s="693"/>
      <c r="I469" s="703"/>
      <c r="J469" s="700">
        <f>ROUND(J468*(F469/100), 2)</f>
        <v>1.84</v>
      </c>
      <c r="K469" s="703">
        <f>157</f>
        <v>157</v>
      </c>
      <c r="L469" s="700">
        <f>ROUND(L468*(K469/100), 2)</f>
        <v>39.85</v>
      </c>
    </row>
    <row r="470" spans="1:27" ht="14.25" x14ac:dyDescent="0.2">
      <c r="I470" s="1067">
        <f>J469+J468</f>
        <v>2.89</v>
      </c>
      <c r="J470" s="1067"/>
      <c r="K470" s="1067">
        <f>L469+L468</f>
        <v>65.23</v>
      </c>
      <c r="L470" s="1067"/>
      <c r="O470" s="736">
        <f>I470</f>
        <v>2.89</v>
      </c>
      <c r="P470" s="736">
        <f>K470</f>
        <v>65.23</v>
      </c>
      <c r="X470" s="718">
        <f>IF([95]Source!BI2745&lt;=1,I470, 0)</f>
        <v>2.89</v>
      </c>
      <c r="Y470" s="718">
        <f>IF([95]Source!BI2745=2,I470, 0)</f>
        <v>0</v>
      </c>
      <c r="Z470" s="718">
        <f>IF([95]Source!BI2745=3,I470, 0)</f>
        <v>0</v>
      </c>
      <c r="AA470" s="718">
        <f>IF([95]Source!BI2745=4,I470, 0)</f>
        <v>0</v>
      </c>
    </row>
    <row r="472" spans="1:27" ht="15" x14ac:dyDescent="0.25">
      <c r="A472" s="706"/>
      <c r="B472" s="706"/>
      <c r="C472" s="707"/>
      <c r="D472" s="707" t="s">
        <v>96</v>
      </c>
      <c r="E472" s="708"/>
      <c r="F472" s="709"/>
      <c r="G472" s="710"/>
      <c r="H472" s="711"/>
      <c r="I472" s="1067">
        <f>I465+I470</f>
        <v>2734.08</v>
      </c>
      <c r="J472" s="1067"/>
      <c r="K472" s="1067">
        <f>K465+K470</f>
        <v>18211.169999999998</v>
      </c>
      <c r="L472" s="1067"/>
    </row>
    <row r="473" spans="1:27" ht="75" x14ac:dyDescent="0.25">
      <c r="A473" s="691">
        <v>63</v>
      </c>
      <c r="B473" s="691" t="str">
        <f>[95]Source!E2761</f>
        <v>447</v>
      </c>
      <c r="C473" s="692" t="str">
        <f>[95]Source!F2761</f>
        <v>3.20-1-7</v>
      </c>
      <c r="D473" s="692" t="s">
        <v>472</v>
      </c>
      <c r="E473" s="693" t="str">
        <f>[95]Source!H2761</f>
        <v>100 м2 поверхности воздуховодов</v>
      </c>
      <c r="F473" s="694">
        <f>[95]Source!I2761</f>
        <v>0.2218</v>
      </c>
      <c r="G473" s="695"/>
      <c r="H473" s="696"/>
      <c r="I473" s="694"/>
      <c r="J473" s="697"/>
      <c r="K473" s="694"/>
      <c r="L473" s="697"/>
      <c r="Q473" s="718">
        <f>ROUND(([95]Source!DN2761/100)*ROUND((ROUND(([95]Source!AF2761*[95]Source!AV2761*[95]Source!I2761),2)),2), 2)</f>
        <v>682.28</v>
      </c>
      <c r="R473" s="718">
        <f>[95]Source!X2761</f>
        <v>13225.22</v>
      </c>
      <c r="S473" s="718">
        <f>ROUND(([95]Source!DO2761/100)*ROUND((ROUND(([95]Source!AF2761*[95]Source!AV2761*[95]Source!I2761),2)),2), 2)</f>
        <v>513.07000000000005</v>
      </c>
      <c r="T473" s="718">
        <f>[95]Source!Y2761</f>
        <v>5951.35</v>
      </c>
      <c r="U473" s="718">
        <f>ROUND((175/100)*ROUND((ROUND(([95]Source!AE2761*[95]Source!AV2761*[95]Source!I2761),2)),2), 2)</f>
        <v>7.32</v>
      </c>
      <c r="V473" s="718">
        <f>ROUND((157/100)*ROUND(ROUND((ROUND(([95]Source!AE2761*[95]Source!AV2761*[95]Source!I2761),2)*[95]Source!BS2761),2), 2), 2)</f>
        <v>159.01</v>
      </c>
    </row>
    <row r="474" spans="1:27" ht="15" x14ac:dyDescent="0.25">
      <c r="A474" s="691"/>
      <c r="B474" s="691"/>
      <c r="C474" s="692"/>
      <c r="D474" s="692" t="s">
        <v>84</v>
      </c>
      <c r="E474" s="693"/>
      <c r="F474" s="694"/>
      <c r="G474" s="695">
        <f>[95]Source!AO2761</f>
        <v>1381.04</v>
      </c>
      <c r="H474" s="696" t="str">
        <f>[95]Source!DG2761</f>
        <v>)*1,67</v>
      </c>
      <c r="I474" s="694">
        <f>[95]Source!AV2761</f>
        <v>1.0669999999999999</v>
      </c>
      <c r="J474" s="697">
        <f>ROUND((ROUND(([95]Source!AF2761*[95]Source!AV2761*[95]Source!I2761),2)),2)</f>
        <v>545.82000000000005</v>
      </c>
      <c r="K474" s="694">
        <f>IF([95]Source!BA2761&lt;&gt; 0, [95]Source!BA2761, 1)</f>
        <v>24.23</v>
      </c>
      <c r="L474" s="697">
        <f>[95]Source!S2761</f>
        <v>13225.22</v>
      </c>
      <c r="W474" s="718">
        <f>J474</f>
        <v>545.82000000000005</v>
      </c>
    </row>
    <row r="475" spans="1:27" ht="15" x14ac:dyDescent="0.25">
      <c r="A475" s="691"/>
      <c r="B475" s="691"/>
      <c r="C475" s="692"/>
      <c r="D475" s="692" t="s">
        <v>85</v>
      </c>
      <c r="E475" s="693"/>
      <c r="F475" s="694"/>
      <c r="G475" s="695">
        <f>[95]Source!AM2761</f>
        <v>87.08</v>
      </c>
      <c r="H475" s="696" t="str">
        <f>[95]Source!DE2761</f>
        <v/>
      </c>
      <c r="I475" s="694">
        <f>[95]Source!AV2761</f>
        <v>1.0669999999999999</v>
      </c>
      <c r="J475" s="697">
        <f>(ROUND((ROUND((([95]Source!ET2761)*[95]Source!AV2761*[95]Source!I2761),2)),2)+ROUND((ROUND((([95]Source!AE2761-([95]Source!EU2761))*[95]Source!AV2761*[95]Source!I2761),2)),2))-J485</f>
        <v>20.61</v>
      </c>
      <c r="K475" s="694">
        <f>IF([95]Source!BB2761&lt;&gt; 0, [95]Source!BB2761, 1)</f>
        <v>8.61</v>
      </c>
      <c r="L475" s="697">
        <f>[95]Source!Q2761-L485</f>
        <v>177.51</v>
      </c>
    </row>
    <row r="476" spans="1:27" ht="15" x14ac:dyDescent="0.25">
      <c r="A476" s="691"/>
      <c r="B476" s="691"/>
      <c r="C476" s="692"/>
      <c r="D476" s="692" t="s">
        <v>86</v>
      </c>
      <c r="E476" s="693"/>
      <c r="F476" s="694"/>
      <c r="G476" s="695">
        <f>[95]Source!AN2761</f>
        <v>10.58</v>
      </c>
      <c r="H476" s="696" t="str">
        <f>[95]Source!DE2761</f>
        <v/>
      </c>
      <c r="I476" s="694">
        <f>[95]Source!AV2761</f>
        <v>1.0669999999999999</v>
      </c>
      <c r="J476" s="700">
        <f>ROUND((ROUND(([95]Source!AE2761*[95]Source!AV2761*[95]Source!I2761),2)),2)-J486</f>
        <v>2.5</v>
      </c>
      <c r="K476" s="694">
        <f>IF([95]Source!BS2761&lt;&gt; 0, [95]Source!BS2761, 1)</f>
        <v>24.23</v>
      </c>
      <c r="L476" s="700">
        <f>[95]Source!R2761-L486</f>
        <v>60.63</v>
      </c>
      <c r="W476" s="718">
        <f>J476</f>
        <v>2.5</v>
      </c>
    </row>
    <row r="477" spans="1:27" ht="15" x14ac:dyDescent="0.25">
      <c r="A477" s="691"/>
      <c r="B477" s="691"/>
      <c r="C477" s="692"/>
      <c r="D477" s="692" t="s">
        <v>87</v>
      </c>
      <c r="E477" s="693"/>
      <c r="F477" s="694"/>
      <c r="G477" s="695">
        <f>[95]Source!AL2761</f>
        <v>417.44</v>
      </c>
      <c r="H477" s="696" t="str">
        <f>[95]Source!DD2761</f>
        <v/>
      </c>
      <c r="I477" s="694">
        <f>[95]Source!AW2761</f>
        <v>1</v>
      </c>
      <c r="J477" s="697">
        <f>ROUND((ROUND(([95]Source!AC2761*[95]Source!AW2761*[95]Source!I2761),2)),2)</f>
        <v>92.59</v>
      </c>
      <c r="K477" s="694">
        <f>IF([95]Source!BC2761&lt;&gt; 0, [95]Source!BC2761, 1)</f>
        <v>3.57</v>
      </c>
      <c r="L477" s="697">
        <f>[95]Source!P2761</f>
        <v>330.55</v>
      </c>
    </row>
    <row r="478" spans="1:27" ht="52.9" customHeight="1" x14ac:dyDescent="0.25">
      <c r="A478" s="691">
        <v>64</v>
      </c>
      <c r="B478" s="691" t="str">
        <f>[95]Source!E2763</f>
        <v>447,1</v>
      </c>
      <c r="C478" s="692" t="str">
        <f>[95]Source!F2763</f>
        <v>1.19-3-7</v>
      </c>
      <c r="D478" s="692" t="s">
        <v>473</v>
      </c>
      <c r="E478" s="693" t="str">
        <f>[95]Source!H2763</f>
        <v>м2</v>
      </c>
      <c r="F478" s="694">
        <f>[95]Source!I2763</f>
        <v>22.18</v>
      </c>
      <c r="G478" s="695">
        <f>[95]Source!AK2763</f>
        <v>153.88999999999999</v>
      </c>
      <c r="H478" s="734" t="s">
        <v>42</v>
      </c>
      <c r="I478" s="694">
        <f>[95]Source!AW2763</f>
        <v>1</v>
      </c>
      <c r="J478" s="697">
        <f>ROUND((ROUND(([95]Source!AC2763*[95]Source!AW2763*[95]Source!I2763),2)),2)+(ROUND((ROUND((([95]Source!ET2763)*[95]Source!AV2763*[95]Source!I2763),2)),2)+ROUND((ROUND((([95]Source!AE2763-([95]Source!EU2763))*[95]Source!AV2763*[95]Source!I2763),2)),2))+ROUND((ROUND(([95]Source!AF2763*[95]Source!AV2763*[95]Source!I2763),2)),2)</f>
        <v>3413.28</v>
      </c>
      <c r="K478" s="694">
        <f>IF([95]Source!BC2763&lt;&gt; 0, [95]Source!BC2763, 1)</f>
        <v>2.63</v>
      </c>
      <c r="L478" s="697">
        <f>[95]Source!O2763</f>
        <v>8976.93</v>
      </c>
      <c r="Q478" s="718">
        <f>ROUND(([95]Source!DN2763/100)*ROUND((ROUND(([95]Source!AF2763*[95]Source!AV2763*[95]Source!I2763),2)),2), 2)</f>
        <v>0</v>
      </c>
      <c r="R478" s="718">
        <f>[95]Source!X2763</f>
        <v>0</v>
      </c>
      <c r="S478" s="718">
        <f>ROUND(([95]Source!DO2763/100)*ROUND((ROUND(([95]Source!AF2763*[95]Source!AV2763*[95]Source!I2763),2)),2), 2)</f>
        <v>0</v>
      </c>
      <c r="T478" s="718">
        <f>[95]Source!Y2763</f>
        <v>0</v>
      </c>
      <c r="U478" s="718">
        <f>ROUND((175/100)*ROUND((ROUND(([95]Source!AE2763*[95]Source!AV2763*[95]Source!I2763),2)),2), 2)</f>
        <v>0</v>
      </c>
      <c r="V478" s="718">
        <f>ROUND((157/100)*ROUND(ROUND((ROUND(([95]Source!AE2763*[95]Source!AV2763*[95]Source!I2763),2)*[95]Source!BS2763),2), 2), 2)</f>
        <v>0</v>
      </c>
      <c r="X478" s="718">
        <f>IF([95]Source!BI2763&lt;=1,J478, 0)</f>
        <v>3413.28</v>
      </c>
      <c r="Y478" s="718">
        <f>IF([95]Source!BI2763=2,J478, 0)</f>
        <v>0</v>
      </c>
      <c r="Z478" s="718">
        <f>IF([95]Source!BI2763=3,J478, 0)</f>
        <v>0</v>
      </c>
      <c r="AA478" s="718">
        <f>IF([95]Source!BI2763=4,J478, 0)</f>
        <v>0</v>
      </c>
    </row>
    <row r="479" spans="1:27" ht="15" x14ac:dyDescent="0.25">
      <c r="A479" s="691"/>
      <c r="B479" s="691"/>
      <c r="C479" s="692"/>
      <c r="D479" s="692" t="s">
        <v>88</v>
      </c>
      <c r="E479" s="693" t="s">
        <v>89</v>
      </c>
      <c r="F479" s="694">
        <f>[95]Source!DN2761</f>
        <v>125</v>
      </c>
      <c r="G479" s="695"/>
      <c r="H479" s="696"/>
      <c r="I479" s="694"/>
      <c r="J479" s="697">
        <f>SUM(Q473:Q478)</f>
        <v>682.28</v>
      </c>
      <c r="K479" s="694">
        <f>[95]Source!BZ2761</f>
        <v>100</v>
      </c>
      <c r="L479" s="697">
        <f>SUM(R473:R478)</f>
        <v>13225.22</v>
      </c>
    </row>
    <row r="480" spans="1:27" ht="15" x14ac:dyDescent="0.25">
      <c r="A480" s="691"/>
      <c r="B480" s="691"/>
      <c r="C480" s="692"/>
      <c r="D480" s="692" t="s">
        <v>90</v>
      </c>
      <c r="E480" s="693" t="s">
        <v>89</v>
      </c>
      <c r="F480" s="694">
        <f>[95]Source!DO2761</f>
        <v>94</v>
      </c>
      <c r="G480" s="695"/>
      <c r="H480" s="696"/>
      <c r="I480" s="694"/>
      <c r="J480" s="697">
        <f>SUM(S473:S479)</f>
        <v>513.07000000000005</v>
      </c>
      <c r="K480" s="694">
        <f>[95]Source!CA2761</f>
        <v>45</v>
      </c>
      <c r="L480" s="697">
        <f>SUM(T473:T479)</f>
        <v>5951.35</v>
      </c>
    </row>
    <row r="481" spans="1:27" ht="15" x14ac:dyDescent="0.25">
      <c r="A481" s="691"/>
      <c r="B481" s="691"/>
      <c r="C481" s="692"/>
      <c r="D481" s="692" t="s">
        <v>91</v>
      </c>
      <c r="E481" s="693" t="s">
        <v>89</v>
      </c>
      <c r="F481" s="694">
        <f>175</f>
        <v>175</v>
      </c>
      <c r="G481" s="695"/>
      <c r="H481" s="696"/>
      <c r="I481" s="694"/>
      <c r="J481" s="697">
        <f>SUM(U473:U480)-J487</f>
        <v>4.38</v>
      </c>
      <c r="K481" s="694">
        <f>157</f>
        <v>157</v>
      </c>
      <c r="L481" s="697">
        <f>SUM(V473:V480)-L487</f>
        <v>95.19</v>
      </c>
    </row>
    <row r="482" spans="1:27" ht="15" x14ac:dyDescent="0.25">
      <c r="A482" s="691"/>
      <c r="B482" s="691"/>
      <c r="C482" s="692"/>
      <c r="D482" s="692" t="s">
        <v>92</v>
      </c>
      <c r="E482" s="693" t="s">
        <v>93</v>
      </c>
      <c r="F482" s="694">
        <f>[95]Source!AQ2761</f>
        <v>122</v>
      </c>
      <c r="G482" s="695"/>
      <c r="H482" s="696" t="str">
        <f>[95]Source!DI2761</f>
        <v/>
      </c>
      <c r="I482" s="694">
        <f>[95]Source!AV2761</f>
        <v>1.0669999999999999</v>
      </c>
      <c r="J482" s="697">
        <f>[95]Source!U2761</f>
        <v>28.87</v>
      </c>
      <c r="K482" s="694"/>
      <c r="L482" s="697"/>
    </row>
    <row r="483" spans="1:27" ht="14.25" x14ac:dyDescent="0.2">
      <c r="I483" s="1067">
        <f>J474+J475+J477+J479+J480+J481+SUM(J478:J478)</f>
        <v>5272.03</v>
      </c>
      <c r="J483" s="1067"/>
      <c r="K483" s="1067">
        <f>L474+L475+L477+L479+L480+L481+SUM(L478:L478)</f>
        <v>41981.97</v>
      </c>
      <c r="L483" s="1067"/>
      <c r="O483" s="736">
        <f>J474+J475+J477+J479+J480+J481+SUM(J478:J478)</f>
        <v>5272.03</v>
      </c>
      <c r="P483" s="736">
        <f>L474+L475+L477+L479+L480+L481+SUM(L478:L478)</f>
        <v>41981.97</v>
      </c>
      <c r="X483" s="718">
        <f>IF([95]Source!BI2761&lt;=1,J474+J475+J477+J479+J480+J481-0, 0)</f>
        <v>1858.75</v>
      </c>
      <c r="Y483" s="718">
        <f>IF([95]Source!BI2761=2,J474+J475+J477+J479+J480+J481-0, 0)</f>
        <v>0</v>
      </c>
      <c r="Z483" s="718">
        <f>IF([95]Source!BI2761=3,J474+J475+J477+J479+J480+J481-0, 0)</f>
        <v>0</v>
      </c>
      <c r="AA483" s="718">
        <f>IF([95]Source!BI2761=4,J474+J475+J477+J479+J480+J481,0)</f>
        <v>0</v>
      </c>
    </row>
    <row r="484" spans="1:27" ht="30" x14ac:dyDescent="0.25">
      <c r="A484" s="701"/>
      <c r="B484" s="701"/>
      <c r="C484" s="702"/>
      <c r="D484" s="702" t="s">
        <v>94</v>
      </c>
      <c r="E484" s="693"/>
      <c r="F484" s="703"/>
      <c r="G484" s="704"/>
      <c r="H484" s="693"/>
      <c r="I484" s="703"/>
      <c r="J484" s="700"/>
      <c r="K484" s="703"/>
      <c r="L484" s="700"/>
    </row>
    <row r="485" spans="1:27" ht="15" x14ac:dyDescent="0.25">
      <c r="A485" s="701"/>
      <c r="B485" s="701"/>
      <c r="C485" s="702"/>
      <c r="D485" s="702" t="s">
        <v>85</v>
      </c>
      <c r="E485" s="693"/>
      <c r="F485" s="703"/>
      <c r="G485" s="704">
        <f t="shared" ref="G485:L485" si="21">G486</f>
        <v>10.58</v>
      </c>
      <c r="H485" s="705" t="str">
        <f t="shared" si="21"/>
        <v>)*(1.67-1)</v>
      </c>
      <c r="I485" s="703">
        <f t="shared" si="21"/>
        <v>1.0669999999999999</v>
      </c>
      <c r="J485" s="700">
        <f t="shared" si="21"/>
        <v>1.68</v>
      </c>
      <c r="K485" s="703">
        <f t="shared" si="21"/>
        <v>24.23</v>
      </c>
      <c r="L485" s="700">
        <f t="shared" si="21"/>
        <v>40.65</v>
      </c>
    </row>
    <row r="486" spans="1:27" ht="15" x14ac:dyDescent="0.25">
      <c r="A486" s="701"/>
      <c r="B486" s="701"/>
      <c r="C486" s="702"/>
      <c r="D486" s="702" t="s">
        <v>86</v>
      </c>
      <c r="E486" s="693"/>
      <c r="F486" s="703"/>
      <c r="G486" s="704">
        <f>[95]Source!AN2761</f>
        <v>10.58</v>
      </c>
      <c r="H486" s="705" t="s">
        <v>95</v>
      </c>
      <c r="I486" s="703">
        <f>[95]Source!AV2761</f>
        <v>1.0669999999999999</v>
      </c>
      <c r="J486" s="700">
        <f>ROUND(F473*G486*I486*(1.67-1), 2)</f>
        <v>1.68</v>
      </c>
      <c r="K486" s="703">
        <f>IF([95]Source!BS2761&lt;&gt; 0, [95]Source!BS2761, 1)</f>
        <v>24.23</v>
      </c>
      <c r="L486" s="700">
        <f>ROUND(F473*G486*I486*(1.67-1)*K486, 2)</f>
        <v>40.65</v>
      </c>
      <c r="W486" s="718">
        <f>J486</f>
        <v>1.68</v>
      </c>
    </row>
    <row r="487" spans="1:27" ht="15" x14ac:dyDescent="0.25">
      <c r="A487" s="701"/>
      <c r="B487" s="701"/>
      <c r="C487" s="702"/>
      <c r="D487" s="702" t="s">
        <v>91</v>
      </c>
      <c r="E487" s="693" t="s">
        <v>89</v>
      </c>
      <c r="F487" s="703">
        <f>175</f>
        <v>175</v>
      </c>
      <c r="G487" s="704"/>
      <c r="H487" s="693"/>
      <c r="I487" s="703"/>
      <c r="J487" s="700">
        <f>ROUND(J486*(F487/100), 2)</f>
        <v>2.94</v>
      </c>
      <c r="K487" s="703">
        <f>157</f>
        <v>157</v>
      </c>
      <c r="L487" s="700">
        <f>ROUND(L486*(K487/100), 2)</f>
        <v>63.82</v>
      </c>
    </row>
    <row r="488" spans="1:27" ht="14.25" x14ac:dyDescent="0.2">
      <c r="I488" s="1067">
        <f>J487+J486</f>
        <v>4.62</v>
      </c>
      <c r="J488" s="1067"/>
      <c r="K488" s="1067">
        <f>L487+L486</f>
        <v>104.47</v>
      </c>
      <c r="L488" s="1067"/>
      <c r="O488" s="736">
        <f>I488</f>
        <v>4.62</v>
      </c>
      <c r="P488" s="736">
        <f>K488</f>
        <v>104.47</v>
      </c>
      <c r="X488" s="718">
        <f>IF([95]Source!BI2761&lt;=1,I488, 0)</f>
        <v>4.62</v>
      </c>
      <c r="Y488" s="718">
        <f>IF([95]Source!BI2761=2,I488, 0)</f>
        <v>0</v>
      </c>
      <c r="Z488" s="718">
        <f>IF([95]Source!BI2761=3,I488, 0)</f>
        <v>0</v>
      </c>
      <c r="AA488" s="718">
        <f>IF([95]Source!BI2761=4,I488, 0)</f>
        <v>0</v>
      </c>
    </row>
    <row r="490" spans="1:27" ht="15" x14ac:dyDescent="0.25">
      <c r="A490" s="706"/>
      <c r="B490" s="706"/>
      <c r="C490" s="707"/>
      <c r="D490" s="707" t="s">
        <v>96</v>
      </c>
      <c r="E490" s="708"/>
      <c r="F490" s="709"/>
      <c r="G490" s="710"/>
      <c r="H490" s="711"/>
      <c r="I490" s="1067">
        <f>I483+I488</f>
        <v>5276.65</v>
      </c>
      <c r="J490" s="1067"/>
      <c r="K490" s="1067">
        <f>K483+K488</f>
        <v>42086.44</v>
      </c>
      <c r="L490" s="1067"/>
    </row>
    <row r="491" spans="1:27" ht="75" x14ac:dyDescent="0.25">
      <c r="A491" s="691">
        <v>65</v>
      </c>
      <c r="B491" s="691" t="str">
        <f>[95]Source!E2765</f>
        <v>448</v>
      </c>
      <c r="C491" s="692" t="str">
        <f>[95]Source!F2765</f>
        <v>3.20-1-10</v>
      </c>
      <c r="D491" s="692" t="s">
        <v>468</v>
      </c>
      <c r="E491" s="693" t="str">
        <f>[95]Source!H2765</f>
        <v>100 м2 поверхности воздуховодов</v>
      </c>
      <c r="F491" s="694">
        <f>[95]Source!I2765</f>
        <v>0.39300000000000002</v>
      </c>
      <c r="G491" s="695"/>
      <c r="H491" s="696"/>
      <c r="I491" s="694"/>
      <c r="J491" s="697"/>
      <c r="K491" s="694"/>
      <c r="L491" s="697"/>
      <c r="Q491" s="718">
        <f>ROUND(([95]Source!DN2765/100)*ROUND((ROUND(([95]Source!AF2765*[95]Source!AV2765*[95]Source!I2765),2)),2), 2)</f>
        <v>1208.9000000000001</v>
      </c>
      <c r="R491" s="718">
        <f>[95]Source!X2765</f>
        <v>23433.32</v>
      </c>
      <c r="S491" s="718">
        <f>ROUND(([95]Source!DO2765/100)*ROUND((ROUND(([95]Source!AF2765*[95]Source!AV2765*[95]Source!I2765),2)),2), 2)</f>
        <v>909.09</v>
      </c>
      <c r="T491" s="718">
        <f>[95]Source!Y2765</f>
        <v>10544.99</v>
      </c>
      <c r="U491" s="718">
        <f>ROUND((175/100)*ROUND((ROUND(([95]Source!AE2765*[95]Source!AV2765*[95]Source!I2765),2)),2), 2)</f>
        <v>17.52</v>
      </c>
      <c r="V491" s="718">
        <f>ROUND((157/100)*ROUND(ROUND((ROUND(([95]Source!AE2765*[95]Source!AV2765*[95]Source!I2765),2)*[95]Source!BS2765),2), 2), 2)</f>
        <v>380.79</v>
      </c>
    </row>
    <row r="492" spans="1:27" ht="15" x14ac:dyDescent="0.25">
      <c r="A492" s="691"/>
      <c r="B492" s="691"/>
      <c r="C492" s="692"/>
      <c r="D492" s="692" t="s">
        <v>84</v>
      </c>
      <c r="E492" s="693"/>
      <c r="F492" s="694"/>
      <c r="G492" s="695">
        <f>[95]Source!AO2765</f>
        <v>1381.04</v>
      </c>
      <c r="H492" s="696" t="str">
        <f>[95]Source!DG2765</f>
        <v>)*1,67</v>
      </c>
      <c r="I492" s="694">
        <f>[95]Source!AV2765</f>
        <v>1.0669999999999999</v>
      </c>
      <c r="J492" s="697">
        <f>ROUND((ROUND(([95]Source!AF2765*[95]Source!AV2765*[95]Source!I2765),2)),2)</f>
        <v>967.12</v>
      </c>
      <c r="K492" s="694">
        <f>IF([95]Source!BA2765&lt;&gt; 0, [95]Source!BA2765, 1)</f>
        <v>24.23</v>
      </c>
      <c r="L492" s="697">
        <f>[95]Source!S2765</f>
        <v>23433.32</v>
      </c>
      <c r="W492" s="718">
        <f>J492</f>
        <v>967.12</v>
      </c>
    </row>
    <row r="493" spans="1:27" ht="15" x14ac:dyDescent="0.25">
      <c r="A493" s="691"/>
      <c r="B493" s="691"/>
      <c r="C493" s="692"/>
      <c r="D493" s="692" t="s">
        <v>85</v>
      </c>
      <c r="E493" s="693"/>
      <c r="F493" s="694"/>
      <c r="G493" s="695">
        <f>[95]Source!AM2765</f>
        <v>116.7</v>
      </c>
      <c r="H493" s="696" t="str">
        <f>[95]Source!DE2765</f>
        <v/>
      </c>
      <c r="I493" s="694">
        <f>[95]Source!AV2765</f>
        <v>1.0669999999999999</v>
      </c>
      <c r="J493" s="697">
        <f>(ROUND((ROUND((([95]Source!ET2765)*[95]Source!AV2765*[95]Source!I2765),2)),2)+ROUND((ROUND((([95]Source!AE2765-([95]Source!EU2765))*[95]Source!AV2765*[95]Source!I2765),2)),2))-J502</f>
        <v>48.94</v>
      </c>
      <c r="K493" s="694">
        <f>IF([95]Source!BB2765&lt;&gt; 0, [95]Source!BB2765, 1)</f>
        <v>8.59</v>
      </c>
      <c r="L493" s="697">
        <f>[95]Source!Q2765-L502</f>
        <v>420.27</v>
      </c>
    </row>
    <row r="494" spans="1:27" ht="15" x14ac:dyDescent="0.25">
      <c r="A494" s="691"/>
      <c r="B494" s="691"/>
      <c r="C494" s="692"/>
      <c r="D494" s="692" t="s">
        <v>86</v>
      </c>
      <c r="E494" s="693"/>
      <c r="F494" s="694"/>
      <c r="G494" s="695">
        <f>[95]Source!AN2765</f>
        <v>14.29</v>
      </c>
      <c r="H494" s="696" t="str">
        <f>[95]Source!DE2765</f>
        <v/>
      </c>
      <c r="I494" s="694">
        <f>[95]Source!AV2765</f>
        <v>1.0669999999999999</v>
      </c>
      <c r="J494" s="700">
        <f>ROUND((ROUND(([95]Source!AE2765*[95]Source!AV2765*[95]Source!I2765),2)),2)-J503</f>
        <v>6</v>
      </c>
      <c r="K494" s="694">
        <f>IF([95]Source!BS2765&lt;&gt; 0, [95]Source!BS2765, 1)</f>
        <v>24.23</v>
      </c>
      <c r="L494" s="700">
        <f>[95]Source!R2765-L503</f>
        <v>145.26</v>
      </c>
      <c r="W494" s="718">
        <f>J494</f>
        <v>6</v>
      </c>
    </row>
    <row r="495" spans="1:27" ht="15" x14ac:dyDescent="0.25">
      <c r="A495" s="691"/>
      <c r="B495" s="691"/>
      <c r="C495" s="692"/>
      <c r="D495" s="692" t="s">
        <v>87</v>
      </c>
      <c r="E495" s="693"/>
      <c r="F495" s="694"/>
      <c r="G495" s="695">
        <f>[95]Source!AL2765</f>
        <v>599.72</v>
      </c>
      <c r="H495" s="696" t="str">
        <f>[95]Source!DD2765</f>
        <v/>
      </c>
      <c r="I495" s="694">
        <f>[95]Source!AW2765</f>
        <v>1</v>
      </c>
      <c r="J495" s="697">
        <f>ROUND((ROUND(([95]Source!AC2765*[95]Source!AW2765*[95]Source!I2765),2)),2)</f>
        <v>235.69</v>
      </c>
      <c r="K495" s="694">
        <f>IF([95]Source!BC2765&lt;&gt; 0, [95]Source!BC2765, 1)</f>
        <v>4.18</v>
      </c>
      <c r="L495" s="697">
        <f>[95]Source!P2765</f>
        <v>985.18</v>
      </c>
    </row>
    <row r="496" spans="1:27" ht="15" x14ac:dyDescent="0.25">
      <c r="A496" s="691"/>
      <c r="B496" s="691"/>
      <c r="C496" s="692"/>
      <c r="D496" s="692" t="s">
        <v>88</v>
      </c>
      <c r="E496" s="693" t="s">
        <v>89</v>
      </c>
      <c r="F496" s="694">
        <f>[95]Source!DN2765</f>
        <v>125</v>
      </c>
      <c r="G496" s="695"/>
      <c r="H496" s="696"/>
      <c r="I496" s="694"/>
      <c r="J496" s="697">
        <f>SUM(Q491:Q495)</f>
        <v>1208.9000000000001</v>
      </c>
      <c r="K496" s="694">
        <f>[95]Source!BZ2765</f>
        <v>100</v>
      </c>
      <c r="L496" s="697">
        <f>SUM(R491:R495)</f>
        <v>23433.32</v>
      </c>
    </row>
    <row r="497" spans="1:27" ht="15" x14ac:dyDescent="0.25">
      <c r="A497" s="691"/>
      <c r="B497" s="691"/>
      <c r="C497" s="692"/>
      <c r="D497" s="692" t="s">
        <v>90</v>
      </c>
      <c r="E497" s="693" t="s">
        <v>89</v>
      </c>
      <c r="F497" s="694">
        <f>[95]Source!DO2765</f>
        <v>94</v>
      </c>
      <c r="G497" s="695"/>
      <c r="H497" s="696"/>
      <c r="I497" s="694"/>
      <c r="J497" s="697">
        <f>SUM(S491:S496)</f>
        <v>909.09</v>
      </c>
      <c r="K497" s="694">
        <f>[95]Source!CA2765</f>
        <v>45</v>
      </c>
      <c r="L497" s="697">
        <f>SUM(T491:T496)</f>
        <v>10544.99</v>
      </c>
    </row>
    <row r="498" spans="1:27" ht="15" x14ac:dyDescent="0.25">
      <c r="A498" s="691"/>
      <c r="B498" s="691"/>
      <c r="C498" s="692"/>
      <c r="D498" s="692" t="s">
        <v>91</v>
      </c>
      <c r="E498" s="693" t="s">
        <v>89</v>
      </c>
      <c r="F498" s="694">
        <f>175</f>
        <v>175</v>
      </c>
      <c r="G498" s="695"/>
      <c r="H498" s="696"/>
      <c r="I498" s="694"/>
      <c r="J498" s="697">
        <f>SUM(U491:U497)-J504</f>
        <v>10.5</v>
      </c>
      <c r="K498" s="694">
        <f>157</f>
        <v>157</v>
      </c>
      <c r="L498" s="697">
        <f>SUM(V491:V497)-L504</f>
        <v>228.06</v>
      </c>
    </row>
    <row r="499" spans="1:27" ht="15" x14ac:dyDescent="0.25">
      <c r="A499" s="691"/>
      <c r="B499" s="691"/>
      <c r="C499" s="692"/>
      <c r="D499" s="692" t="s">
        <v>92</v>
      </c>
      <c r="E499" s="693" t="s">
        <v>93</v>
      </c>
      <c r="F499" s="694">
        <f>[95]Source!AQ2765</f>
        <v>122</v>
      </c>
      <c r="G499" s="695"/>
      <c r="H499" s="696" t="str">
        <f>[95]Source!DI2765</f>
        <v/>
      </c>
      <c r="I499" s="694">
        <f>[95]Source!AV2765</f>
        <v>1.0669999999999999</v>
      </c>
      <c r="J499" s="697">
        <f>[95]Source!U2765</f>
        <v>51.16</v>
      </c>
      <c r="K499" s="694"/>
      <c r="L499" s="697"/>
    </row>
    <row r="500" spans="1:27" ht="14.25" x14ac:dyDescent="0.2">
      <c r="I500" s="1067">
        <f>J492+J493+J495+J496+J497+J498</f>
        <v>3380.24</v>
      </c>
      <c r="J500" s="1067"/>
      <c r="K500" s="1067">
        <f>L492+L493+L495+L496+L497+L498</f>
        <v>59045.14</v>
      </c>
      <c r="L500" s="1067"/>
      <c r="O500" s="736">
        <f>J492+J493+J495+J496+J497+J498</f>
        <v>3380.24</v>
      </c>
      <c r="P500" s="736">
        <f>L492+L493+L495+L496+L497+L498</f>
        <v>59045.14</v>
      </c>
      <c r="X500" s="718">
        <f>IF([95]Source!BI2765&lt;=1,J492+J493+J495+J496+J497+J498-0, 0)</f>
        <v>3380.24</v>
      </c>
      <c r="Y500" s="718">
        <f>IF([95]Source!BI2765=2,J492+J493+J495+J496+J497+J498-0, 0)</f>
        <v>0</v>
      </c>
      <c r="Z500" s="718">
        <f>IF([95]Source!BI2765=3,J492+J493+J495+J496+J497+J498-0, 0)</f>
        <v>0</v>
      </c>
      <c r="AA500" s="718">
        <f>IF([95]Source!BI2765=4,J492+J493+J495+J496+J497+J498,0)</f>
        <v>0</v>
      </c>
    </row>
    <row r="501" spans="1:27" ht="30" x14ac:dyDescent="0.25">
      <c r="A501" s="701"/>
      <c r="B501" s="701"/>
      <c r="C501" s="702"/>
      <c r="D501" s="702" t="s">
        <v>94</v>
      </c>
      <c r="E501" s="693"/>
      <c r="F501" s="703"/>
      <c r="G501" s="704"/>
      <c r="H501" s="693"/>
      <c r="I501" s="703"/>
      <c r="J501" s="700"/>
      <c r="K501" s="703"/>
      <c r="L501" s="700"/>
    </row>
    <row r="502" spans="1:27" ht="15" x14ac:dyDescent="0.25">
      <c r="A502" s="701"/>
      <c r="B502" s="701"/>
      <c r="C502" s="702"/>
      <c r="D502" s="702" t="s">
        <v>85</v>
      </c>
      <c r="E502" s="693"/>
      <c r="F502" s="703"/>
      <c r="G502" s="704">
        <f t="shared" ref="G502:L502" si="22">G503</f>
        <v>14.29</v>
      </c>
      <c r="H502" s="705" t="str">
        <f t="shared" si="22"/>
        <v>)*(1.67-1)</v>
      </c>
      <c r="I502" s="703">
        <f t="shared" si="22"/>
        <v>1.0669999999999999</v>
      </c>
      <c r="J502" s="700">
        <f t="shared" si="22"/>
        <v>4.01</v>
      </c>
      <c r="K502" s="703">
        <f t="shared" si="22"/>
        <v>24.23</v>
      </c>
      <c r="L502" s="700">
        <f t="shared" si="22"/>
        <v>97.28</v>
      </c>
    </row>
    <row r="503" spans="1:27" ht="15" x14ac:dyDescent="0.25">
      <c r="A503" s="701"/>
      <c r="B503" s="701"/>
      <c r="C503" s="702"/>
      <c r="D503" s="702" t="s">
        <v>86</v>
      </c>
      <c r="E503" s="693"/>
      <c r="F503" s="703"/>
      <c r="G503" s="704">
        <f>[95]Source!AN2765</f>
        <v>14.29</v>
      </c>
      <c r="H503" s="705" t="s">
        <v>95</v>
      </c>
      <c r="I503" s="703">
        <f>[95]Source!AV2765</f>
        <v>1.0669999999999999</v>
      </c>
      <c r="J503" s="700">
        <f>ROUND(F491*G503*I503*(1.67-1), 2)</f>
        <v>4.01</v>
      </c>
      <c r="K503" s="703">
        <f>IF([95]Source!BS2765&lt;&gt; 0, [95]Source!BS2765, 1)</f>
        <v>24.23</v>
      </c>
      <c r="L503" s="700">
        <f>ROUND(F491*G503*I503*(1.67-1)*K503, 2)</f>
        <v>97.28</v>
      </c>
      <c r="W503" s="718">
        <f>J503</f>
        <v>4.01</v>
      </c>
    </row>
    <row r="504" spans="1:27" ht="15" x14ac:dyDescent="0.25">
      <c r="A504" s="701"/>
      <c r="B504" s="701"/>
      <c r="C504" s="702"/>
      <c r="D504" s="702" t="s">
        <v>91</v>
      </c>
      <c r="E504" s="693" t="s">
        <v>89</v>
      </c>
      <c r="F504" s="703">
        <f>175</f>
        <v>175</v>
      </c>
      <c r="G504" s="704"/>
      <c r="H504" s="693"/>
      <c r="I504" s="703"/>
      <c r="J504" s="700">
        <f>ROUND(J503*(F504/100), 2)</f>
        <v>7.02</v>
      </c>
      <c r="K504" s="703">
        <f>157</f>
        <v>157</v>
      </c>
      <c r="L504" s="700">
        <f>ROUND(L503*(K504/100), 2)</f>
        <v>152.72999999999999</v>
      </c>
    </row>
    <row r="505" spans="1:27" ht="14.25" x14ac:dyDescent="0.2">
      <c r="I505" s="1067">
        <f>J504+J503</f>
        <v>11.03</v>
      </c>
      <c r="J505" s="1067"/>
      <c r="K505" s="1067">
        <f>L504+L503</f>
        <v>250.01</v>
      </c>
      <c r="L505" s="1067"/>
      <c r="O505" s="736">
        <f>I505</f>
        <v>11.03</v>
      </c>
      <c r="P505" s="736">
        <f>K505</f>
        <v>250.01</v>
      </c>
      <c r="X505" s="718">
        <f>IF([95]Source!BI2765&lt;=1,I505, 0)</f>
        <v>11.03</v>
      </c>
      <c r="Y505" s="718">
        <f>IF([95]Source!BI2765=2,I505, 0)</f>
        <v>0</v>
      </c>
      <c r="Z505" s="718">
        <f>IF([95]Source!BI2765=3,I505, 0)</f>
        <v>0</v>
      </c>
      <c r="AA505" s="718">
        <f>IF([95]Source!BI2765=4,I505, 0)</f>
        <v>0</v>
      </c>
    </row>
    <row r="507" spans="1:27" ht="15" x14ac:dyDescent="0.25">
      <c r="A507" s="706"/>
      <c r="B507" s="706"/>
      <c r="C507" s="707"/>
      <c r="D507" s="707" t="s">
        <v>96</v>
      </c>
      <c r="E507" s="708"/>
      <c r="F507" s="709"/>
      <c r="G507" s="710"/>
      <c r="H507" s="711"/>
      <c r="I507" s="1067">
        <f>I500+I505</f>
        <v>3391.27</v>
      </c>
      <c r="J507" s="1067"/>
      <c r="K507" s="1067">
        <f>K500+K505</f>
        <v>59295.15</v>
      </c>
      <c r="L507" s="1067"/>
    </row>
    <row r="508" spans="1:27" ht="51" customHeight="1" x14ac:dyDescent="0.25">
      <c r="A508" s="691">
        <v>66</v>
      </c>
      <c r="B508" s="691" t="str">
        <f>[95]Source!E2767</f>
        <v>449</v>
      </c>
      <c r="C508" s="692" t="str">
        <f>[95]Source!F2767</f>
        <v>1.19-3-12</v>
      </c>
      <c r="D508" s="692" t="s">
        <v>467</v>
      </c>
      <c r="E508" s="693" t="str">
        <f>[95]Source!H2767</f>
        <v>м2</v>
      </c>
      <c r="F508" s="694">
        <f>[95]Source!I2767</f>
        <v>28.13</v>
      </c>
      <c r="G508" s="695">
        <f>[95]Source!AL2767</f>
        <v>125.64</v>
      </c>
      <c r="H508" s="696" t="str">
        <f>[95]Source!DD2767</f>
        <v/>
      </c>
      <c r="I508" s="694">
        <f>[95]Source!AW2767</f>
        <v>1</v>
      </c>
      <c r="J508" s="697">
        <f>ROUND((ROUND(([95]Source!AC2767*[95]Source!AW2767*[95]Source!I2767),2)),2)</f>
        <v>3534.25</v>
      </c>
      <c r="K508" s="694">
        <f>IF([95]Source!BC2767&lt;&gt; 0, [95]Source!BC2767, 1)</f>
        <v>3.84</v>
      </c>
      <c r="L508" s="697">
        <f>[95]Source!P2767</f>
        <v>13571.52</v>
      </c>
      <c r="Q508" s="718">
        <f>ROUND(([95]Source!DN2767/100)*ROUND((ROUND(([95]Source!AF2767*[95]Source!AV2767*[95]Source!I2767),2)),2), 2)</f>
        <v>0</v>
      </c>
      <c r="R508" s="718">
        <f>[95]Source!X2767</f>
        <v>0</v>
      </c>
      <c r="S508" s="718">
        <f>ROUND(([95]Source!DO2767/100)*ROUND((ROUND(([95]Source!AF2767*[95]Source!AV2767*[95]Source!I2767),2)),2), 2)</f>
        <v>0</v>
      </c>
      <c r="T508" s="718">
        <f>[95]Source!Y2767</f>
        <v>0</v>
      </c>
      <c r="U508" s="718">
        <f>ROUND((175/100)*ROUND((ROUND(([95]Source!AE2767*[95]Source!AV2767*[95]Source!I2767),2)),2), 2)</f>
        <v>0</v>
      </c>
      <c r="V508" s="718">
        <f>ROUND((157/100)*ROUND(ROUND((ROUND(([95]Source!AE2767*[95]Source!AV2767*[95]Source!I2767),2)*[95]Source!BS2767),2), 2), 2)</f>
        <v>0</v>
      </c>
    </row>
    <row r="509" spans="1:27" ht="14.25" x14ac:dyDescent="0.2">
      <c r="A509" s="737"/>
      <c r="B509" s="737"/>
      <c r="C509" s="737"/>
      <c r="D509" s="737"/>
      <c r="E509" s="737"/>
      <c r="F509" s="737"/>
      <c r="G509" s="737"/>
      <c r="H509" s="737"/>
      <c r="I509" s="1067">
        <f>J508</f>
        <v>3534.25</v>
      </c>
      <c r="J509" s="1067"/>
      <c r="K509" s="1067">
        <f>L508</f>
        <v>13571.52</v>
      </c>
      <c r="L509" s="1067"/>
      <c r="O509" s="736">
        <f>J508</f>
        <v>3534.25</v>
      </c>
      <c r="P509" s="736">
        <f>L508</f>
        <v>13571.52</v>
      </c>
      <c r="X509" s="718">
        <f>IF([95]Source!BI2767&lt;=1,J508-0, 0)</f>
        <v>3534.25</v>
      </c>
      <c r="Y509" s="718">
        <f>IF([95]Source!BI2767=2,J508-0, 0)</f>
        <v>0</v>
      </c>
      <c r="Z509" s="718">
        <f>IF([95]Source!BI2767=3,J508-0, 0)</f>
        <v>0</v>
      </c>
      <c r="AA509" s="718">
        <f>IF([95]Source!BI2767=4,J508,0)</f>
        <v>0</v>
      </c>
    </row>
    <row r="510" spans="1:27" ht="55.15" customHeight="1" x14ac:dyDescent="0.25">
      <c r="A510" s="691">
        <v>67</v>
      </c>
      <c r="B510" s="691" t="str">
        <f>[95]Source!E2769</f>
        <v>450</v>
      </c>
      <c r="C510" s="692" t="str">
        <f>[95]Source!F2769</f>
        <v>1.19-3-13</v>
      </c>
      <c r="D510" s="692" t="s">
        <v>469</v>
      </c>
      <c r="E510" s="693" t="str">
        <f>[95]Source!H2769</f>
        <v>м2</v>
      </c>
      <c r="F510" s="694">
        <f>[95]Source!I2769</f>
        <v>11.17</v>
      </c>
      <c r="G510" s="695">
        <f>[95]Source!AL2769</f>
        <v>157.54</v>
      </c>
      <c r="H510" s="696" t="str">
        <f>[95]Source!DD2769</f>
        <v/>
      </c>
      <c r="I510" s="694">
        <f>[95]Source!AW2769</f>
        <v>1</v>
      </c>
      <c r="J510" s="697">
        <f>ROUND((ROUND(([95]Source!AC2769*[95]Source!AW2769*[95]Source!I2769),2)),2)</f>
        <v>1759.72</v>
      </c>
      <c r="K510" s="694">
        <f>IF([95]Source!BC2769&lt;&gt; 0, [95]Source!BC2769, 1)</f>
        <v>3.07</v>
      </c>
      <c r="L510" s="697">
        <f>[95]Source!P2769</f>
        <v>5402.34</v>
      </c>
      <c r="Q510" s="718">
        <f>ROUND(([95]Source!DN2769/100)*ROUND((ROUND(([95]Source!AF2769*[95]Source!AV2769*[95]Source!I2769),2)),2), 2)</f>
        <v>0</v>
      </c>
      <c r="R510" s="718">
        <f>[95]Source!X2769</f>
        <v>0</v>
      </c>
      <c r="S510" s="718">
        <f>ROUND(([95]Source!DO2769/100)*ROUND((ROUND(([95]Source!AF2769*[95]Source!AV2769*[95]Source!I2769),2)),2), 2)</f>
        <v>0</v>
      </c>
      <c r="T510" s="718">
        <f>[95]Source!Y2769</f>
        <v>0</v>
      </c>
      <c r="U510" s="718">
        <f>ROUND((175/100)*ROUND((ROUND(([95]Source!AE2769*[95]Source!AV2769*[95]Source!I2769),2)),2), 2)</f>
        <v>0</v>
      </c>
      <c r="V510" s="718">
        <f>ROUND((157/100)*ROUND(ROUND((ROUND(([95]Source!AE2769*[95]Source!AV2769*[95]Source!I2769),2)*[95]Source!BS2769),2), 2), 2)</f>
        <v>0</v>
      </c>
    </row>
    <row r="511" spans="1:27" ht="14.25" x14ac:dyDescent="0.2">
      <c r="A511" s="737"/>
      <c r="B511" s="737"/>
      <c r="C511" s="737"/>
      <c r="D511" s="737"/>
      <c r="E511" s="737"/>
      <c r="F511" s="737"/>
      <c r="G511" s="737"/>
      <c r="H511" s="737"/>
      <c r="I511" s="1067">
        <f>J510</f>
        <v>1759.72</v>
      </c>
      <c r="J511" s="1067"/>
      <c r="K511" s="1067">
        <f>L510</f>
        <v>5402.34</v>
      </c>
      <c r="L511" s="1067"/>
      <c r="O511" s="736">
        <f>J510</f>
        <v>1759.72</v>
      </c>
      <c r="P511" s="736">
        <f>L510</f>
        <v>5402.34</v>
      </c>
      <c r="X511" s="718">
        <f>IF([95]Source!BI2769&lt;=1,J510-0, 0)</f>
        <v>1759.72</v>
      </c>
      <c r="Y511" s="718">
        <f>IF([95]Source!BI2769=2,J510-0, 0)</f>
        <v>0</v>
      </c>
      <c r="Z511" s="718">
        <f>IF([95]Source!BI2769=3,J510-0, 0)</f>
        <v>0</v>
      </c>
      <c r="AA511" s="718">
        <f>IF([95]Source!BI2769=4,J510,0)</f>
        <v>0</v>
      </c>
    </row>
    <row r="512" spans="1:27" ht="75" x14ac:dyDescent="0.25">
      <c r="A512" s="691">
        <v>68</v>
      </c>
      <c r="B512" s="691" t="str">
        <f>[95]Source!E2771</f>
        <v>451</v>
      </c>
      <c r="C512" s="692" t="str">
        <f>[95]Source!F2771</f>
        <v>3.20-1-11</v>
      </c>
      <c r="D512" s="692" t="s">
        <v>470</v>
      </c>
      <c r="E512" s="693" t="str">
        <f>[95]Source!H2771</f>
        <v>100 м2 поверхности воздуховодов</v>
      </c>
      <c r="F512" s="694">
        <f>[95]Source!I2771</f>
        <v>3.9399999999999998E-2</v>
      </c>
      <c r="G512" s="695"/>
      <c r="H512" s="696"/>
      <c r="I512" s="694"/>
      <c r="J512" s="697"/>
      <c r="K512" s="694"/>
      <c r="L512" s="697"/>
      <c r="Q512" s="718">
        <f>ROUND(([95]Source!DN2771/100)*ROUND((ROUND(([95]Source!AF2771*[95]Source!AV2771*[95]Source!I2771),2)),2), 2)</f>
        <v>91.2</v>
      </c>
      <c r="R512" s="718">
        <f>[95]Source!X2771</f>
        <v>1767.82</v>
      </c>
      <c r="S512" s="718">
        <f>ROUND(([95]Source!DO2771/100)*ROUND((ROUND(([95]Source!AF2771*[95]Source!AV2771*[95]Source!I2771),2)),2), 2)</f>
        <v>68.58</v>
      </c>
      <c r="T512" s="718">
        <f>[95]Source!Y2771</f>
        <v>795.52</v>
      </c>
      <c r="U512" s="718">
        <f>ROUND((175/100)*ROUND((ROUND(([95]Source!AE2771*[95]Source!AV2771*[95]Source!I2771),2)),2), 2)</f>
        <v>1.31</v>
      </c>
      <c r="V512" s="718">
        <f>ROUND((157/100)*ROUND(ROUND((ROUND(([95]Source!AE2771*[95]Source!AV2771*[95]Source!I2771),2)*[95]Source!BS2771),2), 2), 2)</f>
        <v>28.53</v>
      </c>
    </row>
    <row r="513" spans="1:27" ht="15" x14ac:dyDescent="0.25">
      <c r="A513" s="691"/>
      <c r="B513" s="691"/>
      <c r="C513" s="692"/>
      <c r="D513" s="692" t="s">
        <v>84</v>
      </c>
      <c r="E513" s="693"/>
      <c r="F513" s="694"/>
      <c r="G513" s="695">
        <f>[95]Source!AO2771</f>
        <v>1039.18</v>
      </c>
      <c r="H513" s="696" t="str">
        <f>[95]Source!DG2771</f>
        <v>)*1,67</v>
      </c>
      <c r="I513" s="694">
        <f>[95]Source!AV2771</f>
        <v>1.0669999999999999</v>
      </c>
      <c r="J513" s="697">
        <f>ROUND((ROUND(([95]Source!AF2771*[95]Source!AV2771*[95]Source!I2771),2)),2)</f>
        <v>72.959999999999994</v>
      </c>
      <c r="K513" s="694">
        <f>IF([95]Source!BA2771&lt;&gt; 0, [95]Source!BA2771, 1)</f>
        <v>24.23</v>
      </c>
      <c r="L513" s="697">
        <f>[95]Source!S2771</f>
        <v>1767.82</v>
      </c>
      <c r="W513" s="718">
        <f>J513</f>
        <v>72.959999999999994</v>
      </c>
    </row>
    <row r="514" spans="1:27" ht="15" x14ac:dyDescent="0.25">
      <c r="A514" s="691"/>
      <c r="B514" s="691"/>
      <c r="C514" s="692"/>
      <c r="D514" s="692" t="s">
        <v>85</v>
      </c>
      <c r="E514" s="693"/>
      <c r="F514" s="694"/>
      <c r="G514" s="695">
        <f>[95]Source!AM2771</f>
        <v>87.46</v>
      </c>
      <c r="H514" s="696" t="str">
        <f>[95]Source!DE2771</f>
        <v/>
      </c>
      <c r="I514" s="694">
        <f>[95]Source!AV2771</f>
        <v>1.0669999999999999</v>
      </c>
      <c r="J514" s="697">
        <f>(ROUND((ROUND((([95]Source!ET2771)*[95]Source!AV2771*[95]Source!I2771),2)),2)+ROUND((ROUND((([95]Source!AE2771-([95]Source!EU2771))*[95]Source!AV2771*[95]Source!I2771),2)),2))-J524</f>
        <v>3.68</v>
      </c>
      <c r="K514" s="694">
        <f>IF([95]Source!BB2771&lt;&gt; 0, [95]Source!BB2771, 1)</f>
        <v>8.6</v>
      </c>
      <c r="L514" s="697">
        <f>[95]Source!Q2771-L524</f>
        <v>31.62</v>
      </c>
    </row>
    <row r="515" spans="1:27" ht="15" x14ac:dyDescent="0.25">
      <c r="A515" s="691"/>
      <c r="B515" s="691"/>
      <c r="C515" s="692"/>
      <c r="D515" s="692" t="s">
        <v>86</v>
      </c>
      <c r="E515" s="693"/>
      <c r="F515" s="694"/>
      <c r="G515" s="695">
        <f>[95]Source!AN2771</f>
        <v>10.69</v>
      </c>
      <c r="H515" s="696" t="str">
        <f>[95]Source!DE2771</f>
        <v/>
      </c>
      <c r="I515" s="694">
        <f>[95]Source!AV2771</f>
        <v>1.0669999999999999</v>
      </c>
      <c r="J515" s="700">
        <f>ROUND((ROUND(([95]Source!AE2771*[95]Source!AV2771*[95]Source!I2771),2)),2)-J525</f>
        <v>0.45</v>
      </c>
      <c r="K515" s="694">
        <f>IF([95]Source!BS2771&lt;&gt; 0, [95]Source!BS2771, 1)</f>
        <v>24.23</v>
      </c>
      <c r="L515" s="700">
        <f>[95]Source!R2771-L525</f>
        <v>10.87</v>
      </c>
      <c r="W515" s="718">
        <f>J515</f>
        <v>0.45</v>
      </c>
    </row>
    <row r="516" spans="1:27" ht="15" x14ac:dyDescent="0.25">
      <c r="A516" s="691"/>
      <c r="B516" s="691"/>
      <c r="C516" s="692"/>
      <c r="D516" s="692" t="s">
        <v>87</v>
      </c>
      <c r="E516" s="693"/>
      <c r="F516" s="694"/>
      <c r="G516" s="695">
        <f>[95]Source!AL2771</f>
        <v>409.71</v>
      </c>
      <c r="H516" s="696" t="str">
        <f>[95]Source!DD2771</f>
        <v/>
      </c>
      <c r="I516" s="694">
        <f>[95]Source!AW2771</f>
        <v>1</v>
      </c>
      <c r="J516" s="697">
        <f>ROUND((ROUND(([95]Source!AC2771*[95]Source!AW2771*[95]Source!I2771),2)),2)</f>
        <v>16.14</v>
      </c>
      <c r="K516" s="694">
        <f>IF([95]Source!BC2771&lt;&gt; 0, [95]Source!BC2771, 1)</f>
        <v>3.31</v>
      </c>
      <c r="L516" s="697">
        <f>[95]Source!P2771</f>
        <v>53.42</v>
      </c>
    </row>
    <row r="517" spans="1:27" ht="59.45" customHeight="1" x14ac:dyDescent="0.25">
      <c r="A517" s="691">
        <v>69</v>
      </c>
      <c r="B517" s="691" t="str">
        <f>[95]Source!E2773</f>
        <v>451,1</v>
      </c>
      <c r="C517" s="692" t="str">
        <f>[95]Source!F2773</f>
        <v>1.19-3-13</v>
      </c>
      <c r="D517" s="692" t="s">
        <v>469</v>
      </c>
      <c r="E517" s="693" t="str">
        <f>[95]Source!H2773</f>
        <v>м2</v>
      </c>
      <c r="F517" s="694">
        <f>[95]Source!I2773</f>
        <v>3.94</v>
      </c>
      <c r="G517" s="695">
        <f>[95]Source!AK2773</f>
        <v>157.54</v>
      </c>
      <c r="H517" s="734" t="s">
        <v>42</v>
      </c>
      <c r="I517" s="694">
        <f>[95]Source!AW2773</f>
        <v>1</v>
      </c>
      <c r="J517" s="697">
        <f>ROUND((ROUND(([95]Source!AC2773*[95]Source!AW2773*[95]Source!I2773),2)),2)+(ROUND((ROUND((([95]Source!ET2773)*[95]Source!AV2773*[95]Source!I2773),2)),2)+ROUND((ROUND((([95]Source!AE2773-([95]Source!EU2773))*[95]Source!AV2773*[95]Source!I2773),2)),2))+ROUND((ROUND(([95]Source!AF2773*[95]Source!AV2773*[95]Source!I2773),2)),2)</f>
        <v>620.71</v>
      </c>
      <c r="K517" s="694">
        <f>IF([95]Source!BC2773&lt;&gt; 0, [95]Source!BC2773, 1)</f>
        <v>3.07</v>
      </c>
      <c r="L517" s="697">
        <f>[95]Source!O2773</f>
        <v>1905.58</v>
      </c>
      <c r="Q517" s="718">
        <f>ROUND(([95]Source!DN2773/100)*ROUND((ROUND(([95]Source!AF2773*[95]Source!AV2773*[95]Source!I2773),2)),2), 2)</f>
        <v>0</v>
      </c>
      <c r="R517" s="718">
        <f>[95]Source!X2773</f>
        <v>0</v>
      </c>
      <c r="S517" s="718">
        <f>ROUND(([95]Source!DO2773/100)*ROUND((ROUND(([95]Source!AF2773*[95]Source!AV2773*[95]Source!I2773),2)),2), 2)</f>
        <v>0</v>
      </c>
      <c r="T517" s="718">
        <f>[95]Source!Y2773</f>
        <v>0</v>
      </c>
      <c r="U517" s="718">
        <f>ROUND((175/100)*ROUND((ROUND(([95]Source!AE2773*[95]Source!AV2773*[95]Source!I2773),2)),2), 2)</f>
        <v>0</v>
      </c>
      <c r="V517" s="718">
        <f>ROUND((157/100)*ROUND(ROUND((ROUND(([95]Source!AE2773*[95]Source!AV2773*[95]Source!I2773),2)*[95]Source!BS2773),2), 2), 2)</f>
        <v>0</v>
      </c>
      <c r="X517" s="718">
        <f>IF([95]Source!BI2773&lt;=1,J517, 0)</f>
        <v>620.71</v>
      </c>
      <c r="Y517" s="718">
        <f>IF([95]Source!BI2773=2,J517, 0)</f>
        <v>0</v>
      </c>
      <c r="Z517" s="718">
        <f>IF([95]Source!BI2773=3,J517, 0)</f>
        <v>0</v>
      </c>
      <c r="AA517" s="718">
        <f>IF([95]Source!BI2773=4,J517, 0)</f>
        <v>0</v>
      </c>
    </row>
    <row r="518" spans="1:27" ht="15" x14ac:dyDescent="0.25">
      <c r="A518" s="691"/>
      <c r="B518" s="691"/>
      <c r="C518" s="692"/>
      <c r="D518" s="692" t="s">
        <v>88</v>
      </c>
      <c r="E518" s="693" t="s">
        <v>89</v>
      </c>
      <c r="F518" s="694">
        <f>[95]Source!DN2771</f>
        <v>125</v>
      </c>
      <c r="G518" s="695"/>
      <c r="H518" s="696"/>
      <c r="I518" s="694"/>
      <c r="J518" s="697">
        <f>SUM(Q512:Q517)</f>
        <v>91.2</v>
      </c>
      <c r="K518" s="694">
        <f>[95]Source!BZ2771</f>
        <v>100</v>
      </c>
      <c r="L518" s="697">
        <f>SUM(R512:R517)</f>
        <v>1767.82</v>
      </c>
    </row>
    <row r="519" spans="1:27" ht="15" x14ac:dyDescent="0.25">
      <c r="A519" s="691"/>
      <c r="B519" s="691"/>
      <c r="C519" s="692"/>
      <c r="D519" s="692" t="s">
        <v>90</v>
      </c>
      <c r="E519" s="693" t="s">
        <v>89</v>
      </c>
      <c r="F519" s="694">
        <f>[95]Source!DO2771</f>
        <v>94</v>
      </c>
      <c r="G519" s="695"/>
      <c r="H519" s="696"/>
      <c r="I519" s="694"/>
      <c r="J519" s="697">
        <f>SUM(S512:S518)</f>
        <v>68.58</v>
      </c>
      <c r="K519" s="694">
        <f>[95]Source!CA2771</f>
        <v>45</v>
      </c>
      <c r="L519" s="697">
        <f>SUM(T512:T518)</f>
        <v>795.52</v>
      </c>
    </row>
    <row r="520" spans="1:27" ht="15" x14ac:dyDescent="0.25">
      <c r="A520" s="691"/>
      <c r="B520" s="691"/>
      <c r="C520" s="692"/>
      <c r="D520" s="692" t="s">
        <v>91</v>
      </c>
      <c r="E520" s="693" t="s">
        <v>89</v>
      </c>
      <c r="F520" s="694">
        <f>175</f>
        <v>175</v>
      </c>
      <c r="G520" s="695"/>
      <c r="H520" s="696"/>
      <c r="I520" s="694"/>
      <c r="J520" s="697">
        <f>SUM(U512:U519)-J526</f>
        <v>0.78</v>
      </c>
      <c r="K520" s="694">
        <f>157</f>
        <v>157</v>
      </c>
      <c r="L520" s="697">
        <f>SUM(V512:V519)-L526</f>
        <v>17.07</v>
      </c>
    </row>
    <row r="521" spans="1:27" ht="15" x14ac:dyDescent="0.25">
      <c r="A521" s="691"/>
      <c r="B521" s="691"/>
      <c r="C521" s="692"/>
      <c r="D521" s="692" t="s">
        <v>92</v>
      </c>
      <c r="E521" s="693" t="s">
        <v>93</v>
      </c>
      <c r="F521" s="694">
        <f>[95]Source!AQ2771</f>
        <v>91.8</v>
      </c>
      <c r="G521" s="695"/>
      <c r="H521" s="696" t="str">
        <f>[95]Source!DI2771</f>
        <v/>
      </c>
      <c r="I521" s="694">
        <f>[95]Source!AV2771</f>
        <v>1.0669999999999999</v>
      </c>
      <c r="J521" s="697">
        <f>[95]Source!U2771</f>
        <v>3.86</v>
      </c>
      <c r="K521" s="694"/>
      <c r="L521" s="697"/>
    </row>
    <row r="522" spans="1:27" ht="14.25" x14ac:dyDescent="0.2">
      <c r="I522" s="1067">
        <f>J513+J514+J516+J518+J519+J520+SUM(J517:J517)</f>
        <v>874.05</v>
      </c>
      <c r="J522" s="1067"/>
      <c r="K522" s="1067">
        <f>L513+L514+L516+L518+L519+L520+SUM(L517:L517)</f>
        <v>6338.85</v>
      </c>
      <c r="L522" s="1067"/>
      <c r="O522" s="736">
        <f>J513+J514+J516+J518+J519+J520+SUM(J517:J517)</f>
        <v>874.05</v>
      </c>
      <c r="P522" s="736">
        <f>L513+L514+L516+L518+L519+L520+SUM(L517:L517)</f>
        <v>6338.85</v>
      </c>
      <c r="X522" s="718">
        <f>IF([95]Source!BI2771&lt;=1,J513+J514+J516+J518+J519+J520-0, 0)</f>
        <v>253.34</v>
      </c>
      <c r="Y522" s="718">
        <f>IF([95]Source!BI2771=2,J513+J514+J516+J518+J519+J520-0, 0)</f>
        <v>0</v>
      </c>
      <c r="Z522" s="718">
        <f>IF([95]Source!BI2771=3,J513+J514+J516+J518+J519+J520-0, 0)</f>
        <v>0</v>
      </c>
      <c r="AA522" s="718">
        <f>IF([95]Source!BI2771=4,J513+J514+J516+J518+J519+J520,0)</f>
        <v>0</v>
      </c>
    </row>
    <row r="523" spans="1:27" ht="30" x14ac:dyDescent="0.25">
      <c r="A523" s="701"/>
      <c r="B523" s="701"/>
      <c r="C523" s="702"/>
      <c r="D523" s="702" t="s">
        <v>94</v>
      </c>
      <c r="E523" s="693"/>
      <c r="F523" s="703"/>
      <c r="G523" s="704"/>
      <c r="H523" s="693"/>
      <c r="I523" s="703"/>
      <c r="J523" s="700"/>
      <c r="K523" s="703"/>
      <c r="L523" s="700"/>
    </row>
    <row r="524" spans="1:27" ht="15" x14ac:dyDescent="0.25">
      <c r="A524" s="701"/>
      <c r="B524" s="701"/>
      <c r="C524" s="702"/>
      <c r="D524" s="702" t="s">
        <v>85</v>
      </c>
      <c r="E524" s="693"/>
      <c r="F524" s="703"/>
      <c r="G524" s="704">
        <f t="shared" ref="G524:L524" si="23">G525</f>
        <v>10.69</v>
      </c>
      <c r="H524" s="705" t="str">
        <f t="shared" si="23"/>
        <v>)*(1.67-1)</v>
      </c>
      <c r="I524" s="703">
        <f t="shared" si="23"/>
        <v>1.0669999999999999</v>
      </c>
      <c r="J524" s="700">
        <f t="shared" si="23"/>
        <v>0.3</v>
      </c>
      <c r="K524" s="703">
        <f t="shared" si="23"/>
        <v>24.23</v>
      </c>
      <c r="L524" s="700">
        <f t="shared" si="23"/>
        <v>7.3</v>
      </c>
    </row>
    <row r="525" spans="1:27" ht="15" x14ac:dyDescent="0.25">
      <c r="A525" s="701"/>
      <c r="B525" s="701"/>
      <c r="C525" s="702"/>
      <c r="D525" s="702" t="s">
        <v>86</v>
      </c>
      <c r="E525" s="693"/>
      <c r="F525" s="703"/>
      <c r="G525" s="704">
        <f>[95]Source!AN2771</f>
        <v>10.69</v>
      </c>
      <c r="H525" s="705" t="s">
        <v>95</v>
      </c>
      <c r="I525" s="703">
        <f>[95]Source!AV2771</f>
        <v>1.0669999999999999</v>
      </c>
      <c r="J525" s="700">
        <f>ROUND(F512*G525*I525*(1.67-1), 2)</f>
        <v>0.3</v>
      </c>
      <c r="K525" s="703">
        <f>IF([95]Source!BS2771&lt;&gt; 0, [95]Source!BS2771, 1)</f>
        <v>24.23</v>
      </c>
      <c r="L525" s="700">
        <f>ROUND(F512*G525*I525*(1.67-1)*K525, 2)</f>
        <v>7.3</v>
      </c>
      <c r="W525" s="718">
        <f>J525</f>
        <v>0.3</v>
      </c>
    </row>
    <row r="526" spans="1:27" ht="15" x14ac:dyDescent="0.25">
      <c r="A526" s="701"/>
      <c r="B526" s="701"/>
      <c r="C526" s="702"/>
      <c r="D526" s="702" t="s">
        <v>91</v>
      </c>
      <c r="E526" s="693" t="s">
        <v>89</v>
      </c>
      <c r="F526" s="703">
        <f>175</f>
        <v>175</v>
      </c>
      <c r="G526" s="704"/>
      <c r="H526" s="693"/>
      <c r="I526" s="703"/>
      <c r="J526" s="700">
        <f>ROUND(J525*(F526/100), 2)</f>
        <v>0.53</v>
      </c>
      <c r="K526" s="703">
        <f>157</f>
        <v>157</v>
      </c>
      <c r="L526" s="700">
        <f>ROUND(L525*(K526/100), 2)</f>
        <v>11.46</v>
      </c>
    </row>
    <row r="527" spans="1:27" ht="14.25" x14ac:dyDescent="0.2">
      <c r="I527" s="1067">
        <f>J526+J525</f>
        <v>0.83</v>
      </c>
      <c r="J527" s="1067"/>
      <c r="K527" s="1067">
        <f>L526+L525</f>
        <v>18.760000000000002</v>
      </c>
      <c r="L527" s="1067"/>
      <c r="O527" s="736">
        <f>I527</f>
        <v>0.83</v>
      </c>
      <c r="P527" s="736">
        <f>K527</f>
        <v>18.760000000000002</v>
      </c>
      <c r="X527" s="718">
        <f>IF([95]Source!BI2771&lt;=1,I527, 0)</f>
        <v>0.83</v>
      </c>
      <c r="Y527" s="718">
        <f>IF([95]Source!BI2771=2,I527, 0)</f>
        <v>0</v>
      </c>
      <c r="Z527" s="718">
        <f>IF([95]Source!BI2771=3,I527, 0)</f>
        <v>0</v>
      </c>
      <c r="AA527" s="718">
        <f>IF([95]Source!BI2771=4,I527, 0)</f>
        <v>0</v>
      </c>
    </row>
    <row r="529" spans="1:27" ht="15" x14ac:dyDescent="0.25">
      <c r="A529" s="706"/>
      <c r="B529" s="706"/>
      <c r="C529" s="707"/>
      <c r="D529" s="707" t="s">
        <v>96</v>
      </c>
      <c r="E529" s="708"/>
      <c r="F529" s="709"/>
      <c r="G529" s="710"/>
      <c r="H529" s="711"/>
      <c r="I529" s="1067">
        <f>I522+I527</f>
        <v>874.88</v>
      </c>
      <c r="J529" s="1067"/>
      <c r="K529" s="1067">
        <f>K522+K527</f>
        <v>6357.61</v>
      </c>
      <c r="L529" s="1067"/>
    </row>
    <row r="530" spans="1:27" ht="75" x14ac:dyDescent="0.25">
      <c r="A530" s="691">
        <v>70</v>
      </c>
      <c r="B530" s="691" t="str">
        <f>[95]Source!E2775</f>
        <v>452</v>
      </c>
      <c r="C530" s="692" t="str">
        <f>[95]Source!F2775</f>
        <v>3.20-1-12</v>
      </c>
      <c r="D530" s="692" t="s">
        <v>471</v>
      </c>
      <c r="E530" s="693" t="str">
        <f>[95]Source!H2775</f>
        <v>100 м2 поверхности воздуховодов</v>
      </c>
      <c r="F530" s="694">
        <f>[95]Source!I2775</f>
        <v>0.1656</v>
      </c>
      <c r="G530" s="695"/>
      <c r="H530" s="696"/>
      <c r="I530" s="694"/>
      <c r="J530" s="697"/>
      <c r="K530" s="694"/>
      <c r="L530" s="697"/>
      <c r="Q530" s="718">
        <f>ROUND(([95]Source!DN2775/100)*ROUND((ROUND(([95]Source!AF2775*[95]Source!AV2775*[95]Source!I2775),2)),2), 2)</f>
        <v>309.81</v>
      </c>
      <c r="R530" s="718">
        <f>[95]Source!X2775</f>
        <v>6005.41</v>
      </c>
      <c r="S530" s="718">
        <f>ROUND(([95]Source!DO2775/100)*ROUND((ROUND(([95]Source!AF2775*[95]Source!AV2775*[95]Source!I2775),2)),2), 2)</f>
        <v>232.98</v>
      </c>
      <c r="T530" s="718">
        <f>[95]Source!Y2775</f>
        <v>2702.43</v>
      </c>
      <c r="U530" s="718">
        <f>ROUND((175/100)*ROUND((ROUND(([95]Source!AE2775*[95]Source!AV2775*[95]Source!I2775),2)),2), 2)</f>
        <v>5.86</v>
      </c>
      <c r="V530" s="718">
        <f>ROUND((157/100)*ROUND(ROUND((ROUND(([95]Source!AE2775*[95]Source!AV2775*[95]Source!I2775),2)*[95]Source!BS2775),2), 2), 2)</f>
        <v>127.44</v>
      </c>
    </row>
    <row r="531" spans="1:27" ht="15" x14ac:dyDescent="0.25">
      <c r="A531" s="691"/>
      <c r="B531" s="691"/>
      <c r="C531" s="692"/>
      <c r="D531" s="692" t="s">
        <v>84</v>
      </c>
      <c r="E531" s="693"/>
      <c r="F531" s="694"/>
      <c r="G531" s="695">
        <f>[95]Source!AO2775</f>
        <v>839.94</v>
      </c>
      <c r="H531" s="696" t="str">
        <f>[95]Source!DG2775</f>
        <v>)*1,67</v>
      </c>
      <c r="I531" s="694">
        <f>[95]Source!AV2775</f>
        <v>1.0669999999999999</v>
      </c>
      <c r="J531" s="697">
        <f>ROUND((ROUND(([95]Source!AF2775*[95]Source!AV2775*[95]Source!I2775),2)),2)</f>
        <v>247.85</v>
      </c>
      <c r="K531" s="694">
        <f>IF([95]Source!BA2775&lt;&gt; 0, [95]Source!BA2775, 1)</f>
        <v>24.23</v>
      </c>
      <c r="L531" s="697">
        <f>[95]Source!S2775</f>
        <v>6005.41</v>
      </c>
      <c r="W531" s="718">
        <f>J531</f>
        <v>247.85</v>
      </c>
    </row>
    <row r="532" spans="1:27" ht="15" x14ac:dyDescent="0.25">
      <c r="A532" s="691"/>
      <c r="B532" s="691"/>
      <c r="C532" s="692"/>
      <c r="D532" s="692" t="s">
        <v>85</v>
      </c>
      <c r="E532" s="693"/>
      <c r="F532" s="694"/>
      <c r="G532" s="695">
        <f>[95]Source!AM2775</f>
        <v>92.82</v>
      </c>
      <c r="H532" s="696" t="str">
        <f>[95]Source!DE2775</f>
        <v/>
      </c>
      <c r="I532" s="694">
        <f>[95]Source!AV2775</f>
        <v>1.0669999999999999</v>
      </c>
      <c r="J532" s="697">
        <f>(ROUND((ROUND((([95]Source!ET2775)*[95]Source!AV2775*[95]Source!I2775),2)),2)+ROUND((ROUND((([95]Source!AE2775-([95]Source!EU2775))*[95]Source!AV2775*[95]Source!I2775),2)),2))-J542</f>
        <v>16.399999999999999</v>
      </c>
      <c r="K532" s="694">
        <f>IF([95]Source!BB2775&lt;&gt; 0, [95]Source!BB2775, 1)</f>
        <v>8.6</v>
      </c>
      <c r="L532" s="697">
        <f>[95]Source!Q2775-L542</f>
        <v>140.97999999999999</v>
      </c>
    </row>
    <row r="533" spans="1:27" ht="15" x14ac:dyDescent="0.25">
      <c r="A533" s="691"/>
      <c r="B533" s="691"/>
      <c r="C533" s="692"/>
      <c r="D533" s="692" t="s">
        <v>86</v>
      </c>
      <c r="E533" s="693"/>
      <c r="F533" s="694"/>
      <c r="G533" s="695">
        <f>[95]Source!AN2775</f>
        <v>11.34</v>
      </c>
      <c r="H533" s="696" t="str">
        <f>[95]Source!DE2775</f>
        <v/>
      </c>
      <c r="I533" s="694">
        <f>[95]Source!AV2775</f>
        <v>1.0669999999999999</v>
      </c>
      <c r="J533" s="700">
        <f>ROUND((ROUND(([95]Source!AE2775*[95]Source!AV2775*[95]Source!I2775),2)),2)-J543</f>
        <v>2.0099999999999998</v>
      </c>
      <c r="K533" s="694">
        <f>IF([95]Source!BS2775&lt;&gt; 0, [95]Source!BS2775, 1)</f>
        <v>24.23</v>
      </c>
      <c r="L533" s="700">
        <f>[95]Source!R2775-L543</f>
        <v>48.64</v>
      </c>
      <c r="W533" s="718">
        <f>J533</f>
        <v>2.0099999999999998</v>
      </c>
    </row>
    <row r="534" spans="1:27" ht="15" x14ac:dyDescent="0.25">
      <c r="A534" s="691"/>
      <c r="B534" s="691"/>
      <c r="C534" s="692"/>
      <c r="D534" s="692" t="s">
        <v>87</v>
      </c>
      <c r="E534" s="693"/>
      <c r="F534" s="694"/>
      <c r="G534" s="695">
        <f>[95]Source!AL2775</f>
        <v>490.65</v>
      </c>
      <c r="H534" s="696" t="str">
        <f>[95]Source!DD2775</f>
        <v/>
      </c>
      <c r="I534" s="694">
        <f>[95]Source!AW2775</f>
        <v>1</v>
      </c>
      <c r="J534" s="697">
        <f>ROUND((ROUND(([95]Source!AC2775*[95]Source!AW2775*[95]Source!I2775),2)),2)</f>
        <v>81.25</v>
      </c>
      <c r="K534" s="694">
        <f>IF([95]Source!BC2775&lt;&gt; 0, [95]Source!BC2775, 1)</f>
        <v>3.92</v>
      </c>
      <c r="L534" s="697">
        <f>[95]Source!P2775</f>
        <v>318.5</v>
      </c>
    </row>
    <row r="535" spans="1:27" ht="57" customHeight="1" x14ac:dyDescent="0.25">
      <c r="A535" s="691">
        <v>71</v>
      </c>
      <c r="B535" s="691" t="str">
        <f>[95]Source!E2777</f>
        <v>452,1</v>
      </c>
      <c r="C535" s="692" t="str">
        <f>[95]Source!F2777</f>
        <v>1.19-3-13</v>
      </c>
      <c r="D535" s="692" t="s">
        <v>469</v>
      </c>
      <c r="E535" s="693" t="str">
        <f>[95]Source!H2777</f>
        <v>м2</v>
      </c>
      <c r="F535" s="694">
        <f>[95]Source!I2777</f>
        <v>16.559999999999999</v>
      </c>
      <c r="G535" s="695">
        <f>[95]Source!AK2777</f>
        <v>157.54</v>
      </c>
      <c r="H535" s="734" t="s">
        <v>42</v>
      </c>
      <c r="I535" s="694">
        <f>[95]Source!AW2777</f>
        <v>1</v>
      </c>
      <c r="J535" s="697">
        <f>ROUND((ROUND(([95]Source!AC2777*[95]Source!AW2777*[95]Source!I2777),2)),2)+(ROUND((ROUND((([95]Source!ET2777)*[95]Source!AV2777*[95]Source!I2777),2)),2)+ROUND((ROUND((([95]Source!AE2777-([95]Source!EU2777))*[95]Source!AV2777*[95]Source!I2777),2)),2))+ROUND((ROUND(([95]Source!AF2777*[95]Source!AV2777*[95]Source!I2777),2)),2)</f>
        <v>2608.86</v>
      </c>
      <c r="K535" s="694">
        <f>IF([95]Source!BC2777&lt;&gt; 0, [95]Source!BC2777, 1)</f>
        <v>3.07</v>
      </c>
      <c r="L535" s="697">
        <f>[95]Source!O2777</f>
        <v>8009.2</v>
      </c>
      <c r="Q535" s="718">
        <f>ROUND(([95]Source!DN2777/100)*ROUND((ROUND(([95]Source!AF2777*[95]Source!AV2777*[95]Source!I2777),2)),2), 2)</f>
        <v>0</v>
      </c>
      <c r="R535" s="718">
        <f>[95]Source!X2777</f>
        <v>0</v>
      </c>
      <c r="S535" s="718">
        <f>ROUND(([95]Source!DO2777/100)*ROUND((ROUND(([95]Source!AF2777*[95]Source!AV2777*[95]Source!I2777),2)),2), 2)</f>
        <v>0</v>
      </c>
      <c r="T535" s="718">
        <f>[95]Source!Y2777</f>
        <v>0</v>
      </c>
      <c r="U535" s="718">
        <f>ROUND((175/100)*ROUND((ROUND(([95]Source!AE2777*[95]Source!AV2777*[95]Source!I2777),2)),2), 2)</f>
        <v>0</v>
      </c>
      <c r="V535" s="718">
        <f>ROUND((157/100)*ROUND(ROUND((ROUND(([95]Source!AE2777*[95]Source!AV2777*[95]Source!I2777),2)*[95]Source!BS2777),2), 2), 2)</f>
        <v>0</v>
      </c>
      <c r="X535" s="718">
        <f>IF([95]Source!BI2777&lt;=1,J535, 0)</f>
        <v>2608.86</v>
      </c>
      <c r="Y535" s="718">
        <f>IF([95]Source!BI2777=2,J535, 0)</f>
        <v>0</v>
      </c>
      <c r="Z535" s="718">
        <f>IF([95]Source!BI2777=3,J535, 0)</f>
        <v>0</v>
      </c>
      <c r="AA535" s="718">
        <f>IF([95]Source!BI2777=4,J535, 0)</f>
        <v>0</v>
      </c>
    </row>
    <row r="536" spans="1:27" ht="15" x14ac:dyDescent="0.25">
      <c r="A536" s="691"/>
      <c r="B536" s="691"/>
      <c r="C536" s="692"/>
      <c r="D536" s="692" t="s">
        <v>88</v>
      </c>
      <c r="E536" s="693" t="s">
        <v>89</v>
      </c>
      <c r="F536" s="694">
        <f>[95]Source!DN2775</f>
        <v>125</v>
      </c>
      <c r="G536" s="695"/>
      <c r="H536" s="696"/>
      <c r="I536" s="694"/>
      <c r="J536" s="697">
        <f>SUM(Q530:Q535)</f>
        <v>309.81</v>
      </c>
      <c r="K536" s="694">
        <f>[95]Source!BZ2775</f>
        <v>100</v>
      </c>
      <c r="L536" s="697">
        <f>SUM(R530:R535)</f>
        <v>6005.41</v>
      </c>
    </row>
    <row r="537" spans="1:27" ht="15" x14ac:dyDescent="0.25">
      <c r="A537" s="691"/>
      <c r="B537" s="691"/>
      <c r="C537" s="692"/>
      <c r="D537" s="692" t="s">
        <v>90</v>
      </c>
      <c r="E537" s="693" t="s">
        <v>89</v>
      </c>
      <c r="F537" s="694">
        <f>[95]Source!DO2775</f>
        <v>94</v>
      </c>
      <c r="G537" s="695"/>
      <c r="H537" s="696"/>
      <c r="I537" s="694"/>
      <c r="J537" s="697">
        <f>SUM(S530:S536)</f>
        <v>232.98</v>
      </c>
      <c r="K537" s="694">
        <f>[95]Source!CA2775</f>
        <v>45</v>
      </c>
      <c r="L537" s="697">
        <f>SUM(T530:T536)</f>
        <v>2702.43</v>
      </c>
    </row>
    <row r="538" spans="1:27" ht="15" x14ac:dyDescent="0.25">
      <c r="A538" s="691"/>
      <c r="B538" s="691"/>
      <c r="C538" s="692"/>
      <c r="D538" s="692" t="s">
        <v>91</v>
      </c>
      <c r="E538" s="693" t="s">
        <v>89</v>
      </c>
      <c r="F538" s="694">
        <f>175</f>
        <v>175</v>
      </c>
      <c r="G538" s="695"/>
      <c r="H538" s="696"/>
      <c r="I538" s="694"/>
      <c r="J538" s="697">
        <f>SUM(U530:U537)-J544</f>
        <v>3.51</v>
      </c>
      <c r="K538" s="694">
        <f>157</f>
        <v>157</v>
      </c>
      <c r="L538" s="697">
        <f>SUM(V530:V537)-L544</f>
        <v>76.37</v>
      </c>
    </row>
    <row r="539" spans="1:27" ht="15" x14ac:dyDescent="0.25">
      <c r="A539" s="691"/>
      <c r="B539" s="691"/>
      <c r="C539" s="692"/>
      <c r="D539" s="692" t="s">
        <v>92</v>
      </c>
      <c r="E539" s="693" t="s">
        <v>93</v>
      </c>
      <c r="F539" s="694">
        <f>[95]Source!AQ2775</f>
        <v>74.2</v>
      </c>
      <c r="G539" s="695"/>
      <c r="H539" s="696" t="str">
        <f>[95]Source!DI2775</f>
        <v/>
      </c>
      <c r="I539" s="694">
        <f>[95]Source!AV2775</f>
        <v>1.0669999999999999</v>
      </c>
      <c r="J539" s="697">
        <f>[95]Source!U2775</f>
        <v>13.11</v>
      </c>
      <c r="K539" s="694"/>
      <c r="L539" s="697"/>
    </row>
    <row r="540" spans="1:27" ht="14.25" x14ac:dyDescent="0.2">
      <c r="I540" s="1067">
        <f>J531+J532+J534+J536+J537+J538+SUM(J535:J535)</f>
        <v>3500.66</v>
      </c>
      <c r="J540" s="1067"/>
      <c r="K540" s="1067">
        <f>L531+L532+L534+L536+L537+L538+SUM(L535:L535)</f>
        <v>23258.3</v>
      </c>
      <c r="L540" s="1067"/>
      <c r="O540" s="736">
        <f>J531+J532+J534+J536+J537+J538+SUM(J535:J535)</f>
        <v>3500.66</v>
      </c>
      <c r="P540" s="736">
        <f>L531+L532+L534+L536+L537+L538+SUM(L535:L535)</f>
        <v>23258.3</v>
      </c>
      <c r="X540" s="718">
        <f>IF([95]Source!BI2775&lt;=1,J531+J532+J534+J536+J537+J538-0, 0)</f>
        <v>891.8</v>
      </c>
      <c r="Y540" s="718">
        <f>IF([95]Source!BI2775=2,J531+J532+J534+J536+J537+J538-0, 0)</f>
        <v>0</v>
      </c>
      <c r="Z540" s="718">
        <f>IF([95]Source!BI2775=3,J531+J532+J534+J536+J537+J538-0, 0)</f>
        <v>0</v>
      </c>
      <c r="AA540" s="718">
        <f>IF([95]Source!BI2775=4,J531+J532+J534+J536+J537+J538,0)</f>
        <v>0</v>
      </c>
    </row>
    <row r="541" spans="1:27" ht="30" x14ac:dyDescent="0.25">
      <c r="A541" s="701"/>
      <c r="B541" s="701"/>
      <c r="C541" s="702"/>
      <c r="D541" s="702" t="s">
        <v>94</v>
      </c>
      <c r="E541" s="693"/>
      <c r="F541" s="703"/>
      <c r="G541" s="704"/>
      <c r="H541" s="693"/>
      <c r="I541" s="703"/>
      <c r="J541" s="700"/>
      <c r="K541" s="703"/>
      <c r="L541" s="700"/>
    </row>
    <row r="542" spans="1:27" ht="15" x14ac:dyDescent="0.25">
      <c r="A542" s="701"/>
      <c r="B542" s="701"/>
      <c r="C542" s="702"/>
      <c r="D542" s="702" t="s">
        <v>85</v>
      </c>
      <c r="E542" s="693"/>
      <c r="F542" s="703"/>
      <c r="G542" s="704">
        <f t="shared" ref="G542:L542" si="24">G543</f>
        <v>11.34</v>
      </c>
      <c r="H542" s="705" t="str">
        <f t="shared" si="24"/>
        <v>)*(1.67-1)</v>
      </c>
      <c r="I542" s="703">
        <f t="shared" si="24"/>
        <v>1.0669999999999999</v>
      </c>
      <c r="J542" s="700">
        <f t="shared" si="24"/>
        <v>1.34</v>
      </c>
      <c r="K542" s="703">
        <f t="shared" si="24"/>
        <v>24.23</v>
      </c>
      <c r="L542" s="700">
        <f t="shared" si="24"/>
        <v>32.53</v>
      </c>
    </row>
    <row r="543" spans="1:27" ht="15" x14ac:dyDescent="0.25">
      <c r="A543" s="701"/>
      <c r="B543" s="701"/>
      <c r="C543" s="702"/>
      <c r="D543" s="702" t="s">
        <v>86</v>
      </c>
      <c r="E543" s="693"/>
      <c r="F543" s="703"/>
      <c r="G543" s="704">
        <f>[95]Source!AN2775</f>
        <v>11.34</v>
      </c>
      <c r="H543" s="705" t="s">
        <v>95</v>
      </c>
      <c r="I543" s="703">
        <f>[95]Source!AV2775</f>
        <v>1.0669999999999999</v>
      </c>
      <c r="J543" s="700">
        <f>ROUND(F530*G543*I543*(1.67-1), 2)</f>
        <v>1.34</v>
      </c>
      <c r="K543" s="703">
        <f>IF([95]Source!BS2775&lt;&gt; 0, [95]Source!BS2775, 1)</f>
        <v>24.23</v>
      </c>
      <c r="L543" s="700">
        <f>ROUND(F530*G543*I543*(1.67-1)*K543, 2)</f>
        <v>32.53</v>
      </c>
      <c r="W543" s="718">
        <f>J543</f>
        <v>1.34</v>
      </c>
    </row>
    <row r="544" spans="1:27" ht="15" x14ac:dyDescent="0.25">
      <c r="A544" s="701"/>
      <c r="B544" s="701"/>
      <c r="C544" s="702"/>
      <c r="D544" s="702" t="s">
        <v>91</v>
      </c>
      <c r="E544" s="693" t="s">
        <v>89</v>
      </c>
      <c r="F544" s="703">
        <f>175</f>
        <v>175</v>
      </c>
      <c r="G544" s="704"/>
      <c r="H544" s="693"/>
      <c r="I544" s="703"/>
      <c r="J544" s="700">
        <f>ROUND(J543*(F544/100), 2)</f>
        <v>2.35</v>
      </c>
      <c r="K544" s="703">
        <f>157</f>
        <v>157</v>
      </c>
      <c r="L544" s="700">
        <f>ROUND(L543*(K544/100), 2)</f>
        <v>51.07</v>
      </c>
    </row>
    <row r="545" spans="1:27" ht="14.25" x14ac:dyDescent="0.2">
      <c r="I545" s="1067">
        <f>J544+J543</f>
        <v>3.69</v>
      </c>
      <c r="J545" s="1067"/>
      <c r="K545" s="1067">
        <f>L544+L543</f>
        <v>83.6</v>
      </c>
      <c r="L545" s="1067"/>
      <c r="O545" s="736">
        <f>I545</f>
        <v>3.69</v>
      </c>
      <c r="P545" s="736">
        <f>K545</f>
        <v>83.6</v>
      </c>
      <c r="X545" s="718">
        <f>IF([95]Source!BI2775&lt;=1,I545, 0)</f>
        <v>3.69</v>
      </c>
      <c r="Y545" s="718">
        <f>IF([95]Source!BI2775=2,I545, 0)</f>
        <v>0</v>
      </c>
      <c r="Z545" s="718">
        <f>IF([95]Source!BI2775=3,I545, 0)</f>
        <v>0</v>
      </c>
      <c r="AA545" s="718">
        <f>IF([95]Source!BI2775=4,I545, 0)</f>
        <v>0</v>
      </c>
    </row>
    <row r="547" spans="1:27" ht="15" x14ac:dyDescent="0.25">
      <c r="A547" s="706"/>
      <c r="B547" s="706"/>
      <c r="C547" s="707"/>
      <c r="D547" s="707" t="s">
        <v>96</v>
      </c>
      <c r="E547" s="708"/>
      <c r="F547" s="709"/>
      <c r="G547" s="710"/>
      <c r="H547" s="711"/>
      <c r="I547" s="1067">
        <f>I540+I545</f>
        <v>3504.35</v>
      </c>
      <c r="J547" s="1067"/>
      <c r="K547" s="1067">
        <f>K540+K545</f>
        <v>23341.9</v>
      </c>
      <c r="L547" s="1067"/>
    </row>
    <row r="548" spans="1:27" ht="45" x14ac:dyDescent="0.25">
      <c r="A548" s="691">
        <v>72</v>
      </c>
      <c r="B548" s="691" t="str">
        <f>[95]Source!E2839</f>
        <v>475</v>
      </c>
      <c r="C548" s="692" t="str">
        <f>[95]Source!F2839</f>
        <v>3.26-38-1</v>
      </c>
      <c r="D548" s="692" t="s">
        <v>512</v>
      </c>
      <c r="E548" s="693" t="str">
        <f>[95]Source!H2839</f>
        <v>1 м2 поверхности</v>
      </c>
      <c r="F548" s="694">
        <f>[95]Source!I2839</f>
        <v>98.39</v>
      </c>
      <c r="G548" s="695"/>
      <c r="H548" s="696"/>
      <c r="I548" s="694"/>
      <c r="J548" s="697"/>
      <c r="K548" s="694"/>
      <c r="L548" s="697"/>
      <c r="Q548" s="718">
        <f>ROUND(([95]Source!DN2839/100)*ROUND((ROUND(([95]Source!AF2839*[95]Source!AV2839*[95]Source!I2839),2)),2), 2)</f>
        <v>964.35</v>
      </c>
      <c r="R548" s="718">
        <f>[95]Source!X2839</f>
        <v>18836.009999999998</v>
      </c>
      <c r="S548" s="718">
        <f>ROUND(([95]Source!DO2839/100)*ROUND((ROUND(([95]Source!AF2839*[95]Source!AV2839*[95]Source!I2839),2)),2), 2)</f>
        <v>718.34</v>
      </c>
      <c r="T548" s="718">
        <f>[95]Source!Y2839</f>
        <v>9775.65</v>
      </c>
      <c r="U548" s="718">
        <f>ROUND((175/100)*ROUND((ROUND(([95]Source!AE2839*[95]Source!AV2839*[95]Source!I2839),2)),2), 2)</f>
        <v>27.09</v>
      </c>
      <c r="V548" s="718">
        <f>ROUND((157/100)*ROUND(ROUND((ROUND(([95]Source!AE2839*[95]Source!AV2839*[95]Source!I2839),2)*[95]Source!BS2839),2), 2), 2)</f>
        <v>588.88</v>
      </c>
    </row>
    <row r="549" spans="1:27" ht="15" x14ac:dyDescent="0.25">
      <c r="A549" s="691"/>
      <c r="B549" s="691"/>
      <c r="C549" s="692"/>
      <c r="D549" s="692" t="s">
        <v>84</v>
      </c>
      <c r="E549" s="693"/>
      <c r="F549" s="694"/>
      <c r="G549" s="695">
        <f>[95]Source!AO2839</f>
        <v>5.72</v>
      </c>
      <c r="H549" s="696" t="str">
        <f>[95]Source!DG2839</f>
        <v>)*1,67</v>
      </c>
      <c r="I549" s="694">
        <f>[95]Source!AV2839</f>
        <v>1.0469999999999999</v>
      </c>
      <c r="J549" s="697">
        <f>ROUND((ROUND(([95]Source!AF2839*[95]Source!AV2839*[95]Source!I2839),2)),2)</f>
        <v>984.03</v>
      </c>
      <c r="K549" s="694">
        <f>IF([95]Source!BA2839&lt;&gt; 0, [95]Source!BA2839, 1)</f>
        <v>24.23</v>
      </c>
      <c r="L549" s="697">
        <f>[95]Source!S2839</f>
        <v>23843.05</v>
      </c>
      <c r="W549" s="718">
        <f>J549</f>
        <v>984.03</v>
      </c>
    </row>
    <row r="550" spans="1:27" ht="15" x14ac:dyDescent="0.25">
      <c r="A550" s="691"/>
      <c r="B550" s="691"/>
      <c r="C550" s="692"/>
      <c r="D550" s="692" t="s">
        <v>85</v>
      </c>
      <c r="E550" s="693"/>
      <c r="F550" s="694"/>
      <c r="G550" s="695">
        <f>[95]Source!AM2839</f>
        <v>0.46</v>
      </c>
      <c r="H550" s="696" t="str">
        <f>[95]Source!DE2839</f>
        <v/>
      </c>
      <c r="I550" s="694">
        <f>[95]Source!AV2839</f>
        <v>1.0469999999999999</v>
      </c>
      <c r="J550" s="697">
        <f>(ROUND((ROUND((([95]Source!ET2839)*[95]Source!AV2839*[95]Source!I2839),2)),2)+ROUND((ROUND((([95]Source!AE2839-([95]Source!EU2839))*[95]Source!AV2839*[95]Source!I2839),2)),2))-J559</f>
        <v>47.39</v>
      </c>
      <c r="K550" s="694">
        <f>IF([95]Source!BB2839&lt;&gt; 0, [95]Source!BB2839, 1)</f>
        <v>9.2200000000000006</v>
      </c>
      <c r="L550" s="697">
        <f>[95]Source!Q2839-L559</f>
        <v>436.9</v>
      </c>
    </row>
    <row r="551" spans="1:27" ht="15" x14ac:dyDescent="0.25">
      <c r="A551" s="691"/>
      <c r="B551" s="691"/>
      <c r="C551" s="692"/>
      <c r="D551" s="692" t="s">
        <v>86</v>
      </c>
      <c r="E551" s="693"/>
      <c r="F551" s="694"/>
      <c r="G551" s="695">
        <f>[95]Source!AN2839</f>
        <v>0.09</v>
      </c>
      <c r="H551" s="696" t="str">
        <f>[95]Source!DE2839</f>
        <v/>
      </c>
      <c r="I551" s="694">
        <f>[95]Source!AV2839</f>
        <v>1.0469999999999999</v>
      </c>
      <c r="J551" s="700">
        <f>ROUND((ROUND(([95]Source!AE2839*[95]Source!AV2839*[95]Source!I2839),2)),2)-J560</f>
        <v>9.27</v>
      </c>
      <c r="K551" s="694">
        <f>IF([95]Source!BS2839&lt;&gt; 0, [95]Source!BS2839, 1)</f>
        <v>24.23</v>
      </c>
      <c r="L551" s="700">
        <f>[95]Source!R2839-L560</f>
        <v>224.57</v>
      </c>
      <c r="W551" s="718">
        <f>J551</f>
        <v>9.27</v>
      </c>
    </row>
    <row r="552" spans="1:27" ht="15" x14ac:dyDescent="0.25">
      <c r="A552" s="691"/>
      <c r="B552" s="691"/>
      <c r="C552" s="692"/>
      <c r="D552" s="692" t="s">
        <v>87</v>
      </c>
      <c r="E552" s="693"/>
      <c r="F552" s="694"/>
      <c r="G552" s="695">
        <f>[95]Source!AL2839</f>
        <v>0.12</v>
      </c>
      <c r="H552" s="696" t="str">
        <f>[95]Source!DD2839</f>
        <v/>
      </c>
      <c r="I552" s="694">
        <f>[95]Source!AW2839</f>
        <v>1.0189999999999999</v>
      </c>
      <c r="J552" s="697">
        <f>ROUND((ROUND(([95]Source!AC2839*[95]Source!AW2839*[95]Source!I2839),2)),2)</f>
        <v>12.03</v>
      </c>
      <c r="K552" s="694">
        <f>IF([95]Source!BC2839&lt;&gt; 0, [95]Source!BC2839, 1)</f>
        <v>5.58</v>
      </c>
      <c r="L552" s="697">
        <f>[95]Source!P2839</f>
        <v>67.13</v>
      </c>
    </row>
    <row r="553" spans="1:27" ht="15" x14ac:dyDescent="0.25">
      <c r="A553" s="691"/>
      <c r="B553" s="691"/>
      <c r="C553" s="692"/>
      <c r="D553" s="692" t="s">
        <v>88</v>
      </c>
      <c r="E553" s="693" t="s">
        <v>89</v>
      </c>
      <c r="F553" s="694">
        <f>[95]Source!DN2839</f>
        <v>98</v>
      </c>
      <c r="G553" s="695"/>
      <c r="H553" s="696"/>
      <c r="I553" s="694"/>
      <c r="J553" s="697">
        <f>SUM(Q548:Q552)</f>
        <v>964.35</v>
      </c>
      <c r="K553" s="694">
        <f>[95]Source!BZ2839</f>
        <v>79</v>
      </c>
      <c r="L553" s="697">
        <f>SUM(R548:R552)</f>
        <v>18836.009999999998</v>
      </c>
    </row>
    <row r="554" spans="1:27" ht="15" x14ac:dyDescent="0.25">
      <c r="A554" s="691"/>
      <c r="B554" s="691"/>
      <c r="C554" s="692"/>
      <c r="D554" s="692" t="s">
        <v>90</v>
      </c>
      <c r="E554" s="693" t="s">
        <v>89</v>
      </c>
      <c r="F554" s="694">
        <f>[95]Source!DO2839</f>
        <v>73</v>
      </c>
      <c r="G554" s="695"/>
      <c r="H554" s="696"/>
      <c r="I554" s="694"/>
      <c r="J554" s="697">
        <f>SUM(S548:S553)</f>
        <v>718.34</v>
      </c>
      <c r="K554" s="694">
        <f>[95]Source!CA2839</f>
        <v>41</v>
      </c>
      <c r="L554" s="697">
        <f>SUM(T548:T553)</f>
        <v>9775.65</v>
      </c>
    </row>
    <row r="555" spans="1:27" ht="15" x14ac:dyDescent="0.25">
      <c r="A555" s="691"/>
      <c r="B555" s="691"/>
      <c r="C555" s="692"/>
      <c r="D555" s="692" t="s">
        <v>91</v>
      </c>
      <c r="E555" s="693" t="s">
        <v>89</v>
      </c>
      <c r="F555" s="694">
        <f>175</f>
        <v>175</v>
      </c>
      <c r="G555" s="695"/>
      <c r="H555" s="696"/>
      <c r="I555" s="694"/>
      <c r="J555" s="697">
        <f>SUM(U548:U554)-J561</f>
        <v>16.22</v>
      </c>
      <c r="K555" s="694">
        <f>157</f>
        <v>157</v>
      </c>
      <c r="L555" s="697">
        <f>SUM(V548:V554)-L561</f>
        <v>352.58</v>
      </c>
    </row>
    <row r="556" spans="1:27" ht="15" x14ac:dyDescent="0.25">
      <c r="A556" s="691"/>
      <c r="B556" s="691"/>
      <c r="C556" s="692"/>
      <c r="D556" s="692" t="s">
        <v>92</v>
      </c>
      <c r="E556" s="693" t="s">
        <v>93</v>
      </c>
      <c r="F556" s="694">
        <f>[95]Source!AQ2839</f>
        <v>0.44</v>
      </c>
      <c r="G556" s="695"/>
      <c r="H556" s="696" t="str">
        <f>[95]Source!DI2839</f>
        <v/>
      </c>
      <c r="I556" s="694">
        <f>[95]Source!AV2839</f>
        <v>1.0469999999999999</v>
      </c>
      <c r="J556" s="697">
        <f>[95]Source!U2839</f>
        <v>45.33</v>
      </c>
      <c r="K556" s="694"/>
      <c r="L556" s="697"/>
    </row>
    <row r="557" spans="1:27" ht="14.25" x14ac:dyDescent="0.2">
      <c r="I557" s="1067">
        <f>J549+J550+J552+J553+J554+J555</f>
        <v>2742.36</v>
      </c>
      <c r="J557" s="1067"/>
      <c r="K557" s="1067">
        <f>L549+L550+L552+L553+L554+L555</f>
        <v>53311.32</v>
      </c>
      <c r="L557" s="1067"/>
      <c r="O557" s="736">
        <f>J549+J550+J552+J553+J554+J555</f>
        <v>2742.36</v>
      </c>
      <c r="P557" s="736">
        <f>L549+L550+L552+L553+L554+L555</f>
        <v>53311.32</v>
      </c>
      <c r="X557" s="718">
        <f>IF([95]Source!BI2839&lt;=1,J549+J550+J552+J553+J554+J555-0, 0)</f>
        <v>2742.36</v>
      </c>
      <c r="Y557" s="718">
        <f>IF([95]Source!BI2839=2,J549+J550+J552+J553+J554+J555-0, 0)</f>
        <v>0</v>
      </c>
      <c r="Z557" s="718">
        <f>IF([95]Source!BI2839=3,J549+J550+J552+J553+J554+J555-0, 0)</f>
        <v>0</v>
      </c>
      <c r="AA557" s="718">
        <f>IF([95]Source!BI2839=4,J549+J550+J552+J553+J554+J555,0)</f>
        <v>0</v>
      </c>
    </row>
    <row r="558" spans="1:27" ht="30" x14ac:dyDescent="0.25">
      <c r="A558" s="701"/>
      <c r="B558" s="701"/>
      <c r="C558" s="702"/>
      <c r="D558" s="702" t="s">
        <v>94</v>
      </c>
      <c r="E558" s="693"/>
      <c r="F558" s="703"/>
      <c r="G558" s="704"/>
      <c r="H558" s="693"/>
      <c r="I558" s="703"/>
      <c r="J558" s="700"/>
      <c r="K558" s="703"/>
      <c r="L558" s="700"/>
    </row>
    <row r="559" spans="1:27" ht="15" x14ac:dyDescent="0.25">
      <c r="A559" s="701"/>
      <c r="B559" s="701"/>
      <c r="C559" s="702"/>
      <c r="D559" s="702" t="s">
        <v>85</v>
      </c>
      <c r="E559" s="693"/>
      <c r="F559" s="703"/>
      <c r="G559" s="704">
        <f t="shared" ref="G559:L559" si="25">G560</f>
        <v>0.09</v>
      </c>
      <c r="H559" s="705" t="str">
        <f t="shared" si="25"/>
        <v>)*(1.67-1)</v>
      </c>
      <c r="I559" s="703">
        <f t="shared" si="25"/>
        <v>1.0469999999999999</v>
      </c>
      <c r="J559" s="700">
        <f t="shared" si="25"/>
        <v>6.21</v>
      </c>
      <c r="K559" s="703">
        <f t="shared" si="25"/>
        <v>24.23</v>
      </c>
      <c r="L559" s="700">
        <f t="shared" si="25"/>
        <v>150.51</v>
      </c>
    </row>
    <row r="560" spans="1:27" ht="15" x14ac:dyDescent="0.25">
      <c r="A560" s="701"/>
      <c r="B560" s="701"/>
      <c r="C560" s="702"/>
      <c r="D560" s="702" t="s">
        <v>86</v>
      </c>
      <c r="E560" s="693"/>
      <c r="F560" s="703"/>
      <c r="G560" s="704">
        <f>[95]Source!AN2839</f>
        <v>0.09</v>
      </c>
      <c r="H560" s="705" t="s">
        <v>95</v>
      </c>
      <c r="I560" s="703">
        <f>[95]Source!AV2839</f>
        <v>1.0469999999999999</v>
      </c>
      <c r="J560" s="700">
        <f>ROUND(F548*G560*I560*(1.67-1), 2)</f>
        <v>6.21</v>
      </c>
      <c r="K560" s="703">
        <f>IF([95]Source!BS2839&lt;&gt; 0, [95]Source!BS2839, 1)</f>
        <v>24.23</v>
      </c>
      <c r="L560" s="700">
        <f>ROUND(F548*G560*I560*(1.67-1)*K560, 2)</f>
        <v>150.51</v>
      </c>
      <c r="W560" s="718">
        <f>J560</f>
        <v>6.21</v>
      </c>
    </row>
    <row r="561" spans="1:27" ht="15" x14ac:dyDescent="0.25">
      <c r="A561" s="701"/>
      <c r="B561" s="701"/>
      <c r="C561" s="702"/>
      <c r="D561" s="702" t="s">
        <v>91</v>
      </c>
      <c r="E561" s="693" t="s">
        <v>89</v>
      </c>
      <c r="F561" s="703">
        <f>175</f>
        <v>175</v>
      </c>
      <c r="G561" s="704"/>
      <c r="H561" s="693"/>
      <c r="I561" s="703"/>
      <c r="J561" s="700">
        <f>ROUND(J560*(F561/100), 2)</f>
        <v>10.87</v>
      </c>
      <c r="K561" s="703">
        <f>157</f>
        <v>157</v>
      </c>
      <c r="L561" s="700">
        <f>ROUND(L560*(K561/100), 2)</f>
        <v>236.3</v>
      </c>
    </row>
    <row r="562" spans="1:27" ht="14.25" x14ac:dyDescent="0.2">
      <c r="I562" s="1067">
        <f>J561+J560</f>
        <v>17.079999999999998</v>
      </c>
      <c r="J562" s="1067"/>
      <c r="K562" s="1067">
        <f>L561+L560</f>
        <v>386.81</v>
      </c>
      <c r="L562" s="1067"/>
      <c r="O562" s="736">
        <f>I562</f>
        <v>17.079999999999998</v>
      </c>
      <c r="P562" s="736">
        <f>K562</f>
        <v>386.81</v>
      </c>
      <c r="X562" s="718">
        <f>IF([95]Source!BI2839&lt;=1,I562, 0)</f>
        <v>17.079999999999998</v>
      </c>
      <c r="Y562" s="718">
        <f>IF([95]Source!BI2839=2,I562, 0)</f>
        <v>0</v>
      </c>
      <c r="Z562" s="718">
        <f>IF([95]Source!BI2839=3,I562, 0)</f>
        <v>0</v>
      </c>
      <c r="AA562" s="718">
        <f>IF([95]Source!BI2839=4,I562, 0)</f>
        <v>0</v>
      </c>
    </row>
    <row r="564" spans="1:27" ht="15" x14ac:dyDescent="0.25">
      <c r="A564" s="706"/>
      <c r="B564" s="706"/>
      <c r="C564" s="707"/>
      <c r="D564" s="707" t="s">
        <v>96</v>
      </c>
      <c r="E564" s="708"/>
      <c r="F564" s="709"/>
      <c r="G564" s="710"/>
      <c r="H564" s="711"/>
      <c r="I564" s="1067">
        <f>I557+I562</f>
        <v>2759.44</v>
      </c>
      <c r="J564" s="1067"/>
      <c r="K564" s="1067">
        <f>K557+K562</f>
        <v>53698.13</v>
      </c>
      <c r="L564" s="1067"/>
    </row>
    <row r="565" spans="1:27" ht="138.6" customHeight="1" x14ac:dyDescent="0.25">
      <c r="A565" s="691">
        <v>73</v>
      </c>
      <c r="B565" s="691" t="str">
        <f>[95]Source!E2841</f>
        <v>476</v>
      </c>
      <c r="C565" s="692" t="s">
        <v>581</v>
      </c>
      <c r="D565" s="692" t="s">
        <v>513</v>
      </c>
      <c r="E565" s="693" t="str">
        <f>[95]Source!H2841</f>
        <v>м2</v>
      </c>
      <c r="F565" s="694">
        <f>[95]Source!I2841</f>
        <v>89.74</v>
      </c>
      <c r="G565" s="697">
        <f>J565/F565</f>
        <v>33.81</v>
      </c>
      <c r="H565" s="696"/>
      <c r="I565" s="694">
        <f>[95]Source!AW2841</f>
        <v>1</v>
      </c>
      <c r="J565" s="697">
        <f>L565/K565</f>
        <v>3034.43</v>
      </c>
      <c r="K565" s="694">
        <v>5.58</v>
      </c>
      <c r="L565" s="697">
        <f>184.98*1.02*F565</f>
        <v>16932.11</v>
      </c>
      <c r="Q565" s="718">
        <f>ROUND(([95]Source!DN2841/100)*ROUND((ROUND(([95]Source!AF2841*[95]Source!AV2841*[95]Source!I2841),2)),2), 2)</f>
        <v>0</v>
      </c>
      <c r="R565" s="718">
        <f>[95]Source!X2841</f>
        <v>0</v>
      </c>
      <c r="S565" s="718">
        <f>ROUND(([95]Source!DO2841/100)*ROUND((ROUND(([95]Source!AF2841*[95]Source!AV2841*[95]Source!I2841),2)),2), 2)</f>
        <v>0</v>
      </c>
      <c r="T565" s="718">
        <f>[95]Source!Y2841</f>
        <v>0</v>
      </c>
      <c r="U565" s="718">
        <f>ROUND((175/100)*ROUND((ROUND(([95]Source!AE2841*[95]Source!AV2841*[95]Source!I2841),2)),2), 2)</f>
        <v>0</v>
      </c>
      <c r="V565" s="718">
        <f>ROUND((157/100)*ROUND(ROUND((ROUND(([95]Source!AE2841*[95]Source!AV2841*[95]Source!I2841),2)*[95]Source!BS2841),2), 2), 2)</f>
        <v>0</v>
      </c>
    </row>
    <row r="566" spans="1:27" ht="14.25" x14ac:dyDescent="0.2">
      <c r="A566" s="737"/>
      <c r="B566" s="737"/>
      <c r="C566" s="737"/>
      <c r="D566" s="737"/>
      <c r="E566" s="737"/>
      <c r="F566" s="737"/>
      <c r="G566" s="737"/>
      <c r="H566" s="737"/>
      <c r="I566" s="1067">
        <f>J565</f>
        <v>3034.43</v>
      </c>
      <c r="J566" s="1067"/>
      <c r="K566" s="1067">
        <f>L565</f>
        <v>16932.11</v>
      </c>
      <c r="L566" s="1067"/>
      <c r="O566" s="736">
        <f>J565</f>
        <v>3034.43</v>
      </c>
      <c r="P566" s="736">
        <f>L565</f>
        <v>16932.11</v>
      </c>
      <c r="X566" s="718">
        <f>IF([95]Source!BI2841&lt;=1,J565-0, 0)</f>
        <v>3034.43</v>
      </c>
      <c r="Y566" s="718">
        <f>IF([95]Source!BI2841=2,J565-0, 0)</f>
        <v>0</v>
      </c>
      <c r="Z566" s="718">
        <f>IF([95]Source!BI2841=3,J565-0, 0)</f>
        <v>0</v>
      </c>
      <c r="AA566" s="718">
        <f>IF([95]Source!BI2841=4,J565,0)</f>
        <v>0</v>
      </c>
    </row>
    <row r="567" spans="1:27" ht="151.9" customHeight="1" x14ac:dyDescent="0.25">
      <c r="A567" s="691">
        <v>74</v>
      </c>
      <c r="B567" s="691" t="str">
        <f>[95]Source!E2843</f>
        <v>477</v>
      </c>
      <c r="C567" s="692" t="s">
        <v>582</v>
      </c>
      <c r="D567" s="692" t="s">
        <v>514</v>
      </c>
      <c r="E567" s="693" t="str">
        <f>[95]Source!H2843</f>
        <v>м2</v>
      </c>
      <c r="F567" s="694">
        <f>[95]Source!I2843</f>
        <v>8.65</v>
      </c>
      <c r="G567" s="697">
        <f>J567/F567</f>
        <v>38.200000000000003</v>
      </c>
      <c r="H567" s="696"/>
      <c r="I567" s="694">
        <f>[95]Source!AW2843</f>
        <v>1</v>
      </c>
      <c r="J567" s="697">
        <f>L567/K567</f>
        <v>330.44</v>
      </c>
      <c r="K567" s="694">
        <v>5.58</v>
      </c>
      <c r="L567" s="697">
        <f>208.98*1.02*F567</f>
        <v>1843.83</v>
      </c>
      <c r="Q567" s="718">
        <f>ROUND(([95]Source!DN2843/100)*ROUND((ROUND(([95]Source!AF2843*[95]Source!AV2843*[95]Source!I2843),2)),2), 2)</f>
        <v>0</v>
      </c>
      <c r="R567" s="718">
        <f>[95]Source!X2843</f>
        <v>0</v>
      </c>
      <c r="S567" s="718">
        <f>ROUND(([95]Source!DO2843/100)*ROUND((ROUND(([95]Source!AF2843*[95]Source!AV2843*[95]Source!I2843),2)),2), 2)</f>
        <v>0</v>
      </c>
      <c r="T567" s="718">
        <f>[95]Source!Y2843</f>
        <v>0</v>
      </c>
      <c r="U567" s="718">
        <f>ROUND((175/100)*ROUND((ROUND(([95]Source!AE2843*[95]Source!AV2843*[95]Source!I2843),2)),2), 2)</f>
        <v>0</v>
      </c>
      <c r="V567" s="718">
        <f>ROUND((157/100)*ROUND(ROUND((ROUND(([95]Source!AE2843*[95]Source!AV2843*[95]Source!I2843),2)*[95]Source!BS2843),2), 2), 2)</f>
        <v>0</v>
      </c>
    </row>
    <row r="568" spans="1:27" ht="14.25" x14ac:dyDescent="0.2">
      <c r="A568" s="737"/>
      <c r="B568" s="737"/>
      <c r="C568" s="737"/>
      <c r="D568" s="737"/>
      <c r="E568" s="737"/>
      <c r="F568" s="737"/>
      <c r="G568" s="737"/>
      <c r="H568" s="737"/>
      <c r="I568" s="1067">
        <f>J567</f>
        <v>330.44</v>
      </c>
      <c r="J568" s="1067"/>
      <c r="K568" s="1067">
        <f>L567</f>
        <v>1843.83</v>
      </c>
      <c r="L568" s="1067"/>
      <c r="O568" s="736">
        <f>J567</f>
        <v>330.44</v>
      </c>
      <c r="P568" s="736">
        <f>L567</f>
        <v>1843.83</v>
      </c>
      <c r="X568" s="718">
        <f>IF([95]Source!BI2843&lt;=1,J567-0, 0)</f>
        <v>330.44</v>
      </c>
      <c r="Y568" s="718">
        <f>IF([95]Source!BI2843=2,J567-0, 0)</f>
        <v>0</v>
      </c>
      <c r="Z568" s="718">
        <f>IF([95]Source!BI2843=3,J567-0, 0)</f>
        <v>0</v>
      </c>
      <c r="AA568" s="718">
        <f>IF([95]Source!BI2843=4,J567,0)</f>
        <v>0</v>
      </c>
    </row>
    <row r="570" spans="1:27" ht="14.25" x14ac:dyDescent="0.2">
      <c r="A570" s="1068" t="str">
        <f>CONCATENATE("Итого по подразделу: ",IF([95]Source!G2891&lt;&gt;"Новый подраздел", [95]Source!G2891, ""))</f>
        <v>Итого по подразделу: Дополнительные материалы и оборудование</v>
      </c>
      <c r="B570" s="1068"/>
      <c r="C570" s="1068"/>
      <c r="D570" s="1068"/>
      <c r="E570" s="1068"/>
      <c r="F570" s="1068"/>
      <c r="G570" s="1068"/>
      <c r="H570" s="1068"/>
      <c r="I570" s="1069">
        <f>SUM(O188:O569)</f>
        <v>146664.22</v>
      </c>
      <c r="J570" s="1070"/>
      <c r="K570" s="1069">
        <f>SUM(P188:P569)</f>
        <v>1033839.84</v>
      </c>
      <c r="L570" s="1070"/>
    </row>
    <row r="571" spans="1:27" hidden="1" x14ac:dyDescent="0.2">
      <c r="A571" s="718" t="s">
        <v>139</v>
      </c>
      <c r="I571" s="718">
        <f>SUM(AC188:AC570)</f>
        <v>0</v>
      </c>
      <c r="K571" s="718">
        <f>SUM(AD188:AD570)</f>
        <v>0</v>
      </c>
    </row>
    <row r="572" spans="1:27" hidden="1" x14ac:dyDescent="0.2">
      <c r="A572" s="718" t="s">
        <v>140</v>
      </c>
      <c r="I572" s="718">
        <f>SUM(AE188:AE571)</f>
        <v>0</v>
      </c>
      <c r="K572" s="718">
        <f>SUM(AF188:AF571)</f>
        <v>0</v>
      </c>
    </row>
    <row r="574" spans="1:27" ht="14.25" x14ac:dyDescent="0.2">
      <c r="A574" s="1068" t="str">
        <f>CONCATENATE("Итого по разделу: ",IF([95]Source!G2921&lt;&gt;"Новый раздел", [95]Source!G2921, ""))</f>
        <v>Итого по разделу: Вентиляция</v>
      </c>
      <c r="B574" s="1068"/>
      <c r="C574" s="1068"/>
      <c r="D574" s="1068"/>
      <c r="E574" s="1068"/>
      <c r="F574" s="1068"/>
      <c r="G574" s="1068"/>
      <c r="H574" s="1068"/>
      <c r="I574" s="1069">
        <f>SUM(O17:O573)</f>
        <v>153838.06</v>
      </c>
      <c r="J574" s="1070"/>
      <c r="K574" s="1069">
        <f>SUM(P17:P573)</f>
        <v>1062883.3500000001</v>
      </c>
      <c r="L574" s="1070"/>
    </row>
    <row r="575" spans="1:27" hidden="1" x14ac:dyDescent="0.2">
      <c r="A575" s="718" t="s">
        <v>139</v>
      </c>
      <c r="I575" s="718">
        <f>SUM(AC17:AC574)</f>
        <v>0</v>
      </c>
      <c r="K575" s="718">
        <f>SUM(AD17:AD574)</f>
        <v>0</v>
      </c>
    </row>
    <row r="576" spans="1:27" hidden="1" x14ac:dyDescent="0.2">
      <c r="A576" s="718" t="s">
        <v>140</v>
      </c>
      <c r="I576" s="718">
        <f>SUM(AE17:AE575)</f>
        <v>0</v>
      </c>
      <c r="K576" s="718">
        <f>SUM(AF17:AF575)</f>
        <v>0</v>
      </c>
    </row>
    <row r="578" spans="1:12" ht="14.25" x14ac:dyDescent="0.2">
      <c r="A578" s="1068" t="s">
        <v>693</v>
      </c>
      <c r="B578" s="1068"/>
      <c r="C578" s="1068"/>
      <c r="D578" s="1068"/>
      <c r="E578" s="1068"/>
      <c r="F578" s="1068"/>
      <c r="G578" s="1068"/>
      <c r="H578" s="1068"/>
      <c r="I578" s="1069">
        <f>SUM(O8:O577)</f>
        <v>153838.06</v>
      </c>
      <c r="J578" s="1070"/>
      <c r="K578" s="1069">
        <f>SUM(P8:P577)</f>
        <v>1062883.3500000001</v>
      </c>
      <c r="L578" s="1070"/>
    </row>
    <row r="579" spans="1:12" hidden="1" x14ac:dyDescent="0.2">
      <c r="A579" s="718" t="s">
        <v>139</v>
      </c>
      <c r="I579" s="718">
        <f>SUM(AC8:AC578)</f>
        <v>0</v>
      </c>
      <c r="K579" s="718">
        <f>SUM(AD8:AD578)</f>
        <v>0</v>
      </c>
    </row>
    <row r="580" spans="1:12" hidden="1" x14ac:dyDescent="0.2">
      <c r="A580" s="718" t="s">
        <v>140</v>
      </c>
      <c r="I580" s="718">
        <f>SUM(AE8:AE579)</f>
        <v>0</v>
      </c>
      <c r="K580" s="718">
        <f>SUM(AF8:AF579)</f>
        <v>0</v>
      </c>
    </row>
    <row r="581" spans="1:12" ht="15.75" x14ac:dyDescent="0.25">
      <c r="D581" s="717" t="s">
        <v>114</v>
      </c>
      <c r="E581" s="717"/>
      <c r="F581" s="717"/>
      <c r="G581" s="717"/>
      <c r="H581" s="717"/>
      <c r="I581" s="1083">
        <v>125042.62</v>
      </c>
      <c r="J581" s="1083"/>
      <c r="K581" s="1083">
        <v>526830.59</v>
      </c>
      <c r="L581" s="1083"/>
    </row>
    <row r="582" spans="1:12" ht="15.75" x14ac:dyDescent="0.25">
      <c r="D582" s="717" t="s">
        <v>115</v>
      </c>
      <c r="E582" s="717"/>
      <c r="F582" s="717"/>
      <c r="G582" s="717"/>
      <c r="H582" s="717"/>
      <c r="I582" s="1083">
        <v>103.7</v>
      </c>
      <c r="J582" s="1083"/>
      <c r="K582" s="1083">
        <v>2512.65</v>
      </c>
      <c r="L582" s="1083"/>
    </row>
    <row r="583" spans="1:12" ht="15.75" x14ac:dyDescent="0.25">
      <c r="D583" s="717" t="s">
        <v>116</v>
      </c>
      <c r="E583" s="717"/>
      <c r="F583" s="717"/>
      <c r="G583" s="717"/>
      <c r="H583" s="717"/>
      <c r="I583" s="1083">
        <v>9003.4500000000007</v>
      </c>
      <c r="J583" s="1083"/>
      <c r="K583" s="1083">
        <v>218153.63</v>
      </c>
      <c r="L583" s="1083"/>
    </row>
    <row r="584" spans="1:12" ht="15.75" x14ac:dyDescent="0.25">
      <c r="D584" s="717"/>
      <c r="E584" s="717"/>
      <c r="F584" s="717"/>
      <c r="G584" s="717"/>
      <c r="H584" s="717"/>
      <c r="I584" s="1083"/>
      <c r="J584" s="1083"/>
      <c r="K584" s="1083"/>
      <c r="L584" s="1083"/>
    </row>
    <row r="585" spans="1:12" ht="15" x14ac:dyDescent="0.25">
      <c r="D585" s="717"/>
      <c r="E585" s="717"/>
      <c r="F585" s="717"/>
      <c r="G585" s="717"/>
      <c r="H585" s="717"/>
      <c r="I585" s="742"/>
      <c r="J585" s="742"/>
      <c r="K585" s="742"/>
      <c r="L585" s="742"/>
    </row>
    <row r="586" spans="1:12" ht="15" x14ac:dyDescent="0.25">
      <c r="D586" s="717" t="s">
        <v>268</v>
      </c>
      <c r="J586" s="719">
        <f>I574</f>
        <v>153838.06</v>
      </c>
      <c r="K586" s="719"/>
      <c r="L586" s="719">
        <f>K574</f>
        <v>1062883.3500000001</v>
      </c>
    </row>
    <row r="587" spans="1:12" ht="15" x14ac:dyDescent="0.25">
      <c r="D587" s="717" t="s">
        <v>3</v>
      </c>
      <c r="J587" s="719">
        <f>J586</f>
        <v>153838.06</v>
      </c>
      <c r="K587" s="719"/>
      <c r="L587" s="719">
        <f>L586</f>
        <v>1062883.3500000001</v>
      </c>
    </row>
    <row r="588" spans="1:12" ht="15" x14ac:dyDescent="0.25">
      <c r="D588" s="717" t="s">
        <v>269</v>
      </c>
      <c r="J588" s="719">
        <f>I582+I583</f>
        <v>9107.15</v>
      </c>
      <c r="K588" s="719"/>
      <c r="L588" s="719">
        <f>K582+K583</f>
        <v>220666.28</v>
      </c>
    </row>
    <row r="589" spans="1:12" ht="15" x14ac:dyDescent="0.25">
      <c r="D589" s="717" t="s">
        <v>270</v>
      </c>
      <c r="J589" s="719">
        <f>I581</f>
        <v>125042.62</v>
      </c>
      <c r="K589" s="719"/>
      <c r="L589" s="719">
        <f>K581</f>
        <v>526830.59</v>
      </c>
    </row>
    <row r="590" spans="1:12" ht="15" hidden="1" customHeight="1" x14ac:dyDescent="0.25">
      <c r="D590" s="717" t="s">
        <v>271</v>
      </c>
      <c r="J590" s="743">
        <v>0</v>
      </c>
      <c r="K590" s="743"/>
      <c r="L590" s="743">
        <v>0</v>
      </c>
    </row>
    <row r="591" spans="1:12" ht="15" hidden="1" customHeight="1" x14ac:dyDescent="0.25">
      <c r="D591" s="1074" t="s">
        <v>583</v>
      </c>
      <c r="E591" s="1074"/>
      <c r="F591" s="1074"/>
      <c r="G591" s="1074"/>
      <c r="H591" s="1074"/>
      <c r="I591" s="720"/>
      <c r="J591" s="720">
        <v>0</v>
      </c>
      <c r="K591" s="720"/>
      <c r="L591" s="720">
        <v>0</v>
      </c>
    </row>
    <row r="592" spans="1:12" ht="15" x14ac:dyDescent="0.25">
      <c r="A592" s="744"/>
      <c r="B592" s="744"/>
      <c r="C592" s="744"/>
      <c r="D592" s="1074" t="s">
        <v>323</v>
      </c>
      <c r="E592" s="1074"/>
      <c r="F592" s="1074"/>
      <c r="G592" s="1074"/>
      <c r="H592" s="1074"/>
      <c r="I592" s="671"/>
      <c r="J592" s="721">
        <v>0</v>
      </c>
      <c r="K592" s="721"/>
      <c r="L592" s="721">
        <v>0</v>
      </c>
    </row>
    <row r="593" spans="1:256" ht="13.9" customHeight="1" x14ac:dyDescent="0.25">
      <c r="A593" s="744"/>
      <c r="B593" s="744"/>
      <c r="C593" s="744"/>
      <c r="D593" s="1076" t="s">
        <v>584</v>
      </c>
      <c r="E593" s="1076"/>
      <c r="F593" s="1076"/>
      <c r="G593" s="1076"/>
      <c r="H593" s="1076"/>
      <c r="I593" s="671"/>
      <c r="J593" s="721">
        <f>J588*0.15</f>
        <v>1366.07</v>
      </c>
      <c r="K593" s="721"/>
      <c r="L593" s="721">
        <f>L588*0.15</f>
        <v>33099.94</v>
      </c>
    </row>
    <row r="594" spans="1:256" s="747" customFormat="1" ht="14.25" x14ac:dyDescent="0.2">
      <c r="A594" s="745"/>
      <c r="B594" s="745"/>
      <c r="C594" s="745"/>
      <c r="D594" s="1068" t="s">
        <v>688</v>
      </c>
      <c r="E594" s="1068"/>
      <c r="F594" s="1068"/>
      <c r="G594" s="1068"/>
      <c r="H594" s="1068"/>
      <c r="I594" s="671"/>
      <c r="J594" s="650">
        <f>J587+J593</f>
        <v>155204.13</v>
      </c>
      <c r="K594" s="650"/>
      <c r="L594" s="650">
        <f>L587+L593</f>
        <v>1095983.29</v>
      </c>
      <c r="M594" s="746"/>
    </row>
    <row r="595" spans="1:256" s="671" customFormat="1" ht="15" x14ac:dyDescent="0.25">
      <c r="D595" s="1074"/>
      <c r="E595" s="1074"/>
      <c r="F595" s="1074"/>
      <c r="G595" s="1074"/>
      <c r="H595" s="1074"/>
      <c r="I595" s="1075"/>
      <c r="J595" s="1075"/>
      <c r="K595" s="1075"/>
      <c r="L595" s="1075"/>
    </row>
    <row r="596" spans="1:256" s="675" customFormat="1" ht="15" x14ac:dyDescent="0.25">
      <c r="A596" s="398"/>
      <c r="B596" s="398"/>
      <c r="C596" s="398"/>
      <c r="D596" s="651" t="s">
        <v>596</v>
      </c>
      <c r="E596" s="652"/>
      <c r="F596" s="652"/>
      <c r="G596" s="652"/>
      <c r="H596" s="652"/>
      <c r="I596" s="652"/>
      <c r="J596" s="653"/>
      <c r="K596" s="653"/>
      <c r="L596" s="653">
        <f>L586*0.925</f>
        <v>983167.1</v>
      </c>
      <c r="M596" s="399"/>
      <c r="N596" s="400"/>
      <c r="O596" s="400"/>
      <c r="P596" s="400"/>
      <c r="Q596" s="400"/>
      <c r="R596" s="400"/>
      <c r="S596" s="400"/>
      <c r="T596" s="400"/>
      <c r="U596" s="400"/>
      <c r="V596" s="400"/>
      <c r="W596" s="400"/>
      <c r="X596" s="400"/>
      <c r="Y596" s="400"/>
      <c r="Z596" s="400"/>
      <c r="AA596" s="400"/>
      <c r="AB596" s="400"/>
      <c r="AC596" s="400"/>
      <c r="AD596" s="400"/>
      <c r="AE596" s="400"/>
      <c r="AF596" s="400"/>
      <c r="AG596" s="400"/>
      <c r="AH596" s="400"/>
      <c r="AI596" s="400"/>
      <c r="AJ596" s="400"/>
      <c r="AK596" s="400"/>
      <c r="AL596" s="400"/>
      <c r="AM596" s="400"/>
      <c r="AN596" s="400"/>
      <c r="AO596" s="400"/>
      <c r="AP596" s="400"/>
      <c r="AQ596" s="400"/>
      <c r="AR596" s="400"/>
      <c r="AS596" s="400"/>
      <c r="AT596" s="400"/>
      <c r="AU596" s="400"/>
      <c r="AV596" s="400"/>
      <c r="AW596" s="400"/>
      <c r="AX596" s="400"/>
      <c r="AY596" s="400"/>
      <c r="AZ596" s="400"/>
      <c r="BA596" s="400"/>
      <c r="BB596" s="400"/>
      <c r="BC596" s="400"/>
      <c r="BD596" s="400"/>
      <c r="BE596" s="400"/>
      <c r="BF596" s="400"/>
      <c r="BG596" s="400"/>
      <c r="BH596" s="400"/>
      <c r="BI596" s="400"/>
      <c r="BJ596" s="400"/>
      <c r="BK596" s="400"/>
      <c r="BL596" s="400"/>
      <c r="BM596" s="400"/>
      <c r="BN596" s="400"/>
      <c r="BO596" s="400"/>
      <c r="BP596" s="400"/>
      <c r="BQ596" s="400"/>
      <c r="BR596" s="400"/>
      <c r="BS596" s="400"/>
      <c r="BT596" s="400"/>
      <c r="BU596" s="400"/>
      <c r="BV596" s="400"/>
      <c r="BW596" s="400"/>
      <c r="BX596" s="400"/>
      <c r="BY596" s="400"/>
      <c r="BZ596" s="400"/>
      <c r="CA596" s="400"/>
      <c r="CB596" s="400"/>
      <c r="CC596" s="400"/>
      <c r="CD596" s="400"/>
      <c r="CE596" s="400"/>
      <c r="CF596" s="400"/>
      <c r="CG596" s="400"/>
      <c r="CH596" s="400"/>
      <c r="CI596" s="400"/>
      <c r="CJ596" s="400"/>
      <c r="CK596" s="400"/>
      <c r="CL596" s="400"/>
      <c r="CM596" s="400"/>
      <c r="CN596" s="400"/>
      <c r="CO596" s="400"/>
      <c r="CP596" s="400"/>
      <c r="CQ596" s="400"/>
      <c r="CR596" s="400"/>
      <c r="CS596" s="400"/>
      <c r="CT596" s="400"/>
      <c r="CU596" s="400"/>
      <c r="CV596" s="400"/>
      <c r="CW596" s="400"/>
      <c r="CX596" s="400"/>
      <c r="CY596" s="400"/>
      <c r="CZ596" s="400"/>
      <c r="DA596" s="400"/>
      <c r="DB596" s="400"/>
      <c r="DC596" s="400"/>
      <c r="DD596" s="400"/>
      <c r="DE596" s="400"/>
      <c r="DF596" s="400"/>
      <c r="DG596" s="400"/>
      <c r="DH596" s="400"/>
      <c r="DI596" s="400"/>
      <c r="DJ596" s="400"/>
      <c r="DK596" s="400"/>
      <c r="DL596" s="400"/>
      <c r="DM596" s="400"/>
      <c r="DN596" s="400"/>
      <c r="DO596" s="400"/>
      <c r="DP596" s="400"/>
      <c r="DQ596" s="400"/>
      <c r="DR596" s="400"/>
      <c r="DS596" s="400"/>
      <c r="DT596" s="400"/>
      <c r="DU596" s="400"/>
      <c r="DV596" s="400"/>
      <c r="DW596" s="400"/>
      <c r="DX596" s="400"/>
      <c r="DY596" s="400"/>
      <c r="DZ596" s="400"/>
      <c r="EA596" s="400"/>
      <c r="EB596" s="400"/>
      <c r="EC596" s="400"/>
      <c r="ED596" s="400"/>
      <c r="EE596" s="400"/>
      <c r="EF596" s="400"/>
      <c r="EG596" s="400"/>
      <c r="EH596" s="400"/>
      <c r="EI596" s="400"/>
      <c r="EJ596" s="400"/>
      <c r="EK596" s="400"/>
      <c r="EL596" s="400"/>
      <c r="EM596" s="400"/>
      <c r="EN596" s="400"/>
      <c r="EO596" s="400"/>
      <c r="EP596" s="400"/>
      <c r="EQ596" s="400"/>
      <c r="ER596" s="400"/>
      <c r="ES596" s="400"/>
      <c r="ET596" s="400"/>
      <c r="EU596" s="400"/>
      <c r="EV596" s="400"/>
      <c r="EW596" s="400"/>
      <c r="EX596" s="400"/>
      <c r="EY596" s="400"/>
      <c r="EZ596" s="400"/>
      <c r="FA596" s="400"/>
      <c r="FB596" s="400"/>
      <c r="FC596" s="400"/>
      <c r="FD596" s="400"/>
      <c r="FE596" s="400"/>
      <c r="FF596" s="400"/>
      <c r="FG596" s="400"/>
      <c r="FH596" s="400"/>
      <c r="FI596" s="400"/>
      <c r="FJ596" s="400"/>
      <c r="FK596" s="400"/>
      <c r="FL596" s="400"/>
      <c r="FM596" s="400"/>
      <c r="FN596" s="400"/>
      <c r="FO596" s="400"/>
      <c r="FP596" s="400"/>
      <c r="FQ596" s="400"/>
      <c r="FR596" s="400"/>
      <c r="FS596" s="400"/>
      <c r="FT596" s="400"/>
      <c r="FU596" s="400"/>
      <c r="FV596" s="400"/>
      <c r="FW596" s="400"/>
      <c r="FX596" s="400"/>
      <c r="FY596" s="400"/>
      <c r="FZ596" s="400"/>
      <c r="GA596" s="400"/>
      <c r="GB596" s="400"/>
      <c r="GC596" s="400"/>
      <c r="GD596" s="400"/>
      <c r="GE596" s="400"/>
      <c r="GF596" s="400"/>
      <c r="GG596" s="400"/>
      <c r="GH596" s="400"/>
      <c r="GI596" s="400"/>
      <c r="GJ596" s="400"/>
      <c r="GK596" s="400"/>
      <c r="GL596" s="400"/>
      <c r="GM596" s="400"/>
      <c r="GN596" s="400"/>
      <c r="GO596" s="400"/>
      <c r="GP596" s="400"/>
      <c r="GQ596" s="400"/>
      <c r="GR596" s="400"/>
      <c r="GS596" s="400"/>
      <c r="GT596" s="400"/>
      <c r="GU596" s="400"/>
      <c r="GV596" s="400"/>
      <c r="GW596" s="400"/>
      <c r="GX596" s="400"/>
      <c r="GY596" s="400"/>
      <c r="GZ596" s="400"/>
      <c r="HA596" s="400"/>
      <c r="HB596" s="400"/>
      <c r="HC596" s="400"/>
      <c r="HD596" s="400"/>
      <c r="HE596" s="400"/>
      <c r="HF596" s="400"/>
      <c r="HG596" s="400"/>
      <c r="HH596" s="400"/>
      <c r="HI596" s="400"/>
      <c r="HJ596" s="400"/>
      <c r="HK596" s="400"/>
      <c r="HL596" s="400"/>
      <c r="HM596" s="400"/>
      <c r="HN596" s="400"/>
      <c r="HO596" s="400"/>
      <c r="HP596" s="400"/>
      <c r="HQ596" s="400"/>
      <c r="HR596" s="400"/>
      <c r="HS596" s="400"/>
      <c r="HT596" s="400"/>
      <c r="HU596" s="400"/>
      <c r="HV596" s="400"/>
      <c r="HW596" s="400"/>
      <c r="HX596" s="400"/>
      <c r="HY596" s="400"/>
      <c r="HZ596" s="400"/>
      <c r="IA596" s="400"/>
      <c r="IB596" s="400"/>
      <c r="IC596" s="400"/>
      <c r="ID596" s="400"/>
      <c r="IE596" s="400"/>
      <c r="IF596" s="400"/>
      <c r="IG596" s="400"/>
      <c r="IH596" s="400"/>
      <c r="II596" s="400"/>
      <c r="IJ596" s="400"/>
      <c r="IK596" s="400"/>
      <c r="IL596" s="400"/>
      <c r="IM596" s="400"/>
      <c r="IN596" s="400"/>
      <c r="IO596" s="400"/>
      <c r="IP596" s="400"/>
      <c r="IQ596" s="400"/>
      <c r="IR596" s="400"/>
      <c r="IS596" s="400"/>
      <c r="IT596" s="400"/>
      <c r="IU596" s="400"/>
      <c r="IV596" s="400"/>
    </row>
    <row r="597" spans="1:256" s="675" customFormat="1" ht="15" x14ac:dyDescent="0.25">
      <c r="A597" s="398"/>
      <c r="B597" s="398"/>
      <c r="C597" s="398"/>
      <c r="D597" s="652" t="s">
        <v>3</v>
      </c>
      <c r="E597" s="652"/>
      <c r="F597" s="652"/>
      <c r="G597" s="652"/>
      <c r="H597" s="652"/>
      <c r="I597" s="652"/>
      <c r="J597" s="654"/>
      <c r="K597" s="654"/>
      <c r="L597" s="654">
        <f>L596</f>
        <v>983167.1</v>
      </c>
      <c r="M597" s="399"/>
      <c r="N597" s="400"/>
      <c r="O597" s="400"/>
      <c r="P597" s="400"/>
      <c r="Q597" s="400"/>
      <c r="R597" s="400"/>
      <c r="S597" s="400"/>
      <c r="T597" s="400"/>
      <c r="U597" s="400"/>
      <c r="V597" s="400"/>
      <c r="W597" s="400"/>
      <c r="X597" s="400"/>
      <c r="Y597" s="400"/>
      <c r="Z597" s="400"/>
      <c r="AA597" s="400"/>
      <c r="AB597" s="400"/>
      <c r="AC597" s="400"/>
      <c r="AD597" s="400"/>
      <c r="AE597" s="400"/>
      <c r="AF597" s="400"/>
      <c r="AG597" s="400"/>
      <c r="AH597" s="400"/>
      <c r="AI597" s="400"/>
      <c r="AJ597" s="400"/>
      <c r="AK597" s="400"/>
      <c r="AL597" s="400"/>
      <c r="AM597" s="400"/>
      <c r="AN597" s="400"/>
      <c r="AO597" s="400"/>
      <c r="AP597" s="400"/>
      <c r="AQ597" s="400"/>
      <c r="AR597" s="400"/>
      <c r="AS597" s="400"/>
      <c r="AT597" s="400"/>
      <c r="AU597" s="400"/>
      <c r="AV597" s="400"/>
      <c r="AW597" s="400"/>
      <c r="AX597" s="400"/>
      <c r="AY597" s="400"/>
      <c r="AZ597" s="400"/>
      <c r="BA597" s="400"/>
      <c r="BB597" s="400"/>
      <c r="BC597" s="400"/>
      <c r="BD597" s="400"/>
      <c r="BE597" s="400"/>
      <c r="BF597" s="400"/>
      <c r="BG597" s="400"/>
      <c r="BH597" s="400"/>
      <c r="BI597" s="400"/>
      <c r="BJ597" s="400"/>
      <c r="BK597" s="400"/>
      <c r="BL597" s="400"/>
      <c r="BM597" s="400"/>
      <c r="BN597" s="400"/>
      <c r="BO597" s="400"/>
      <c r="BP597" s="400"/>
      <c r="BQ597" s="400"/>
      <c r="BR597" s="400"/>
      <c r="BS597" s="400"/>
      <c r="BT597" s="400"/>
      <c r="BU597" s="400"/>
      <c r="BV597" s="400"/>
      <c r="BW597" s="400"/>
      <c r="BX597" s="400"/>
      <c r="BY597" s="400"/>
      <c r="BZ597" s="400"/>
      <c r="CA597" s="400"/>
      <c r="CB597" s="400"/>
      <c r="CC597" s="400"/>
      <c r="CD597" s="400"/>
      <c r="CE597" s="400"/>
      <c r="CF597" s="400"/>
      <c r="CG597" s="400"/>
      <c r="CH597" s="400"/>
      <c r="CI597" s="400"/>
      <c r="CJ597" s="400"/>
      <c r="CK597" s="400"/>
      <c r="CL597" s="400"/>
      <c r="CM597" s="400"/>
      <c r="CN597" s="400"/>
      <c r="CO597" s="400"/>
      <c r="CP597" s="400"/>
      <c r="CQ597" s="400"/>
      <c r="CR597" s="400"/>
      <c r="CS597" s="400"/>
      <c r="CT597" s="400"/>
      <c r="CU597" s="400"/>
      <c r="CV597" s="400"/>
      <c r="CW597" s="400"/>
      <c r="CX597" s="400"/>
      <c r="CY597" s="400"/>
      <c r="CZ597" s="400"/>
      <c r="DA597" s="400"/>
      <c r="DB597" s="400"/>
      <c r="DC597" s="400"/>
      <c r="DD597" s="400"/>
      <c r="DE597" s="400"/>
      <c r="DF597" s="400"/>
      <c r="DG597" s="400"/>
      <c r="DH597" s="400"/>
      <c r="DI597" s="400"/>
      <c r="DJ597" s="400"/>
      <c r="DK597" s="400"/>
      <c r="DL597" s="400"/>
      <c r="DM597" s="400"/>
      <c r="DN597" s="400"/>
      <c r="DO597" s="400"/>
      <c r="DP597" s="400"/>
      <c r="DQ597" s="400"/>
      <c r="DR597" s="400"/>
      <c r="DS597" s="400"/>
      <c r="DT597" s="400"/>
      <c r="DU597" s="400"/>
      <c r="DV597" s="400"/>
      <c r="DW597" s="400"/>
      <c r="DX597" s="400"/>
      <c r="DY597" s="400"/>
      <c r="DZ597" s="400"/>
      <c r="EA597" s="400"/>
      <c r="EB597" s="400"/>
      <c r="EC597" s="400"/>
      <c r="ED597" s="400"/>
      <c r="EE597" s="400"/>
      <c r="EF597" s="400"/>
      <c r="EG597" s="400"/>
      <c r="EH597" s="400"/>
      <c r="EI597" s="400"/>
      <c r="EJ597" s="400"/>
      <c r="EK597" s="400"/>
      <c r="EL597" s="400"/>
      <c r="EM597" s="400"/>
      <c r="EN597" s="400"/>
      <c r="EO597" s="400"/>
      <c r="EP597" s="400"/>
      <c r="EQ597" s="400"/>
      <c r="ER597" s="400"/>
      <c r="ES597" s="400"/>
      <c r="ET597" s="400"/>
      <c r="EU597" s="400"/>
      <c r="EV597" s="400"/>
      <c r="EW597" s="400"/>
      <c r="EX597" s="400"/>
      <c r="EY597" s="400"/>
      <c r="EZ597" s="400"/>
      <c r="FA597" s="400"/>
      <c r="FB597" s="400"/>
      <c r="FC597" s="400"/>
      <c r="FD597" s="400"/>
      <c r="FE597" s="400"/>
      <c r="FF597" s="400"/>
      <c r="FG597" s="400"/>
      <c r="FH597" s="400"/>
      <c r="FI597" s="400"/>
      <c r="FJ597" s="400"/>
      <c r="FK597" s="400"/>
      <c r="FL597" s="400"/>
      <c r="FM597" s="400"/>
      <c r="FN597" s="400"/>
      <c r="FO597" s="400"/>
      <c r="FP597" s="400"/>
      <c r="FQ597" s="400"/>
      <c r="FR597" s="400"/>
      <c r="FS597" s="400"/>
      <c r="FT597" s="400"/>
      <c r="FU597" s="400"/>
      <c r="FV597" s="400"/>
      <c r="FW597" s="400"/>
      <c r="FX597" s="400"/>
      <c r="FY597" s="400"/>
      <c r="FZ597" s="400"/>
      <c r="GA597" s="400"/>
      <c r="GB597" s="400"/>
      <c r="GC597" s="400"/>
      <c r="GD597" s="400"/>
      <c r="GE597" s="400"/>
      <c r="GF597" s="400"/>
      <c r="GG597" s="400"/>
      <c r="GH597" s="400"/>
      <c r="GI597" s="400"/>
      <c r="GJ597" s="400"/>
      <c r="GK597" s="400"/>
      <c r="GL597" s="400"/>
      <c r="GM597" s="400"/>
      <c r="GN597" s="400"/>
      <c r="GO597" s="400"/>
      <c r="GP597" s="400"/>
      <c r="GQ597" s="400"/>
      <c r="GR597" s="400"/>
      <c r="GS597" s="400"/>
      <c r="GT597" s="400"/>
      <c r="GU597" s="400"/>
      <c r="GV597" s="400"/>
      <c r="GW597" s="400"/>
      <c r="GX597" s="400"/>
      <c r="GY597" s="400"/>
      <c r="GZ597" s="400"/>
      <c r="HA597" s="400"/>
      <c r="HB597" s="400"/>
      <c r="HC597" s="400"/>
      <c r="HD597" s="400"/>
      <c r="HE597" s="400"/>
      <c r="HF597" s="400"/>
      <c r="HG597" s="400"/>
      <c r="HH597" s="400"/>
      <c r="HI597" s="400"/>
      <c r="HJ597" s="400"/>
      <c r="HK597" s="400"/>
      <c r="HL597" s="400"/>
      <c r="HM597" s="400"/>
      <c r="HN597" s="400"/>
      <c r="HO597" s="400"/>
      <c r="HP597" s="400"/>
      <c r="HQ597" s="400"/>
      <c r="HR597" s="400"/>
      <c r="HS597" s="400"/>
      <c r="HT597" s="400"/>
      <c r="HU597" s="400"/>
      <c r="HV597" s="400"/>
      <c r="HW597" s="400"/>
      <c r="HX597" s="400"/>
      <c r="HY597" s="400"/>
      <c r="HZ597" s="400"/>
      <c r="IA597" s="400"/>
      <c r="IB597" s="400"/>
      <c r="IC597" s="400"/>
      <c r="ID597" s="400"/>
      <c r="IE597" s="400"/>
      <c r="IF597" s="400"/>
      <c r="IG597" s="400"/>
      <c r="IH597" s="400"/>
      <c r="II597" s="400"/>
      <c r="IJ597" s="400"/>
      <c r="IK597" s="400"/>
      <c r="IL597" s="400"/>
      <c r="IM597" s="400"/>
      <c r="IN597" s="400"/>
      <c r="IO597" s="400"/>
      <c r="IP597" s="400"/>
      <c r="IQ597" s="400"/>
      <c r="IR597" s="400"/>
      <c r="IS597" s="400"/>
      <c r="IT597" s="400"/>
      <c r="IU597" s="400"/>
      <c r="IV597" s="400"/>
    </row>
    <row r="598" spans="1:256" s="675" customFormat="1" ht="15" x14ac:dyDescent="0.25">
      <c r="A598" s="398"/>
      <c r="B598" s="398"/>
      <c r="C598" s="398"/>
      <c r="D598" s="652" t="s">
        <v>269</v>
      </c>
      <c r="E598" s="652"/>
      <c r="F598" s="652"/>
      <c r="G598" s="652"/>
      <c r="H598" s="652"/>
      <c r="I598" s="652"/>
      <c r="J598" s="654"/>
      <c r="K598" s="654"/>
      <c r="L598" s="654">
        <f>L588*0.925</f>
        <v>204116.31</v>
      </c>
      <c r="M598" s="399"/>
      <c r="N598" s="400"/>
      <c r="O598" s="400"/>
      <c r="P598" s="400"/>
      <c r="Q598" s="400"/>
      <c r="R598" s="400"/>
      <c r="S598" s="400"/>
      <c r="T598" s="400"/>
      <c r="U598" s="400"/>
      <c r="V598" s="400"/>
      <c r="W598" s="400"/>
      <c r="X598" s="400"/>
      <c r="Y598" s="400"/>
      <c r="Z598" s="400"/>
      <c r="AA598" s="400"/>
      <c r="AB598" s="400"/>
      <c r="AC598" s="400"/>
      <c r="AD598" s="400"/>
      <c r="AE598" s="400"/>
      <c r="AF598" s="400"/>
      <c r="AG598" s="400"/>
      <c r="AH598" s="400"/>
      <c r="AI598" s="400"/>
      <c r="AJ598" s="400"/>
      <c r="AK598" s="400"/>
      <c r="AL598" s="400"/>
      <c r="AM598" s="400"/>
      <c r="AN598" s="400"/>
      <c r="AO598" s="400"/>
      <c r="AP598" s="400"/>
      <c r="AQ598" s="400"/>
      <c r="AR598" s="400"/>
      <c r="AS598" s="400"/>
      <c r="AT598" s="400"/>
      <c r="AU598" s="400"/>
      <c r="AV598" s="400"/>
      <c r="AW598" s="400"/>
      <c r="AX598" s="400"/>
      <c r="AY598" s="400"/>
      <c r="AZ598" s="400"/>
      <c r="BA598" s="400"/>
      <c r="BB598" s="400"/>
      <c r="BC598" s="400"/>
      <c r="BD598" s="400"/>
      <c r="BE598" s="400"/>
      <c r="BF598" s="400"/>
      <c r="BG598" s="400"/>
      <c r="BH598" s="400"/>
      <c r="BI598" s="400"/>
      <c r="BJ598" s="400"/>
      <c r="BK598" s="400"/>
      <c r="BL598" s="400"/>
      <c r="BM598" s="400"/>
      <c r="BN598" s="400"/>
      <c r="BO598" s="400"/>
      <c r="BP598" s="400"/>
      <c r="BQ598" s="400"/>
      <c r="BR598" s="400"/>
      <c r="BS598" s="400"/>
      <c r="BT598" s="400"/>
      <c r="BU598" s="400"/>
      <c r="BV598" s="400"/>
      <c r="BW598" s="400"/>
      <c r="BX598" s="400"/>
      <c r="BY598" s="400"/>
      <c r="BZ598" s="400"/>
      <c r="CA598" s="400"/>
      <c r="CB598" s="400"/>
      <c r="CC598" s="400"/>
      <c r="CD598" s="400"/>
      <c r="CE598" s="400"/>
      <c r="CF598" s="400"/>
      <c r="CG598" s="400"/>
      <c r="CH598" s="400"/>
      <c r="CI598" s="400"/>
      <c r="CJ598" s="400"/>
      <c r="CK598" s="400"/>
      <c r="CL598" s="400"/>
      <c r="CM598" s="400"/>
      <c r="CN598" s="400"/>
      <c r="CO598" s="400"/>
      <c r="CP598" s="400"/>
      <c r="CQ598" s="400"/>
      <c r="CR598" s="400"/>
      <c r="CS598" s="400"/>
      <c r="CT598" s="400"/>
      <c r="CU598" s="400"/>
      <c r="CV598" s="400"/>
      <c r="CW598" s="400"/>
      <c r="CX598" s="400"/>
      <c r="CY598" s="400"/>
      <c r="CZ598" s="400"/>
      <c r="DA598" s="400"/>
      <c r="DB598" s="400"/>
      <c r="DC598" s="400"/>
      <c r="DD598" s="400"/>
      <c r="DE598" s="400"/>
      <c r="DF598" s="400"/>
      <c r="DG598" s="400"/>
      <c r="DH598" s="400"/>
      <c r="DI598" s="400"/>
      <c r="DJ598" s="400"/>
      <c r="DK598" s="400"/>
      <c r="DL598" s="400"/>
      <c r="DM598" s="400"/>
      <c r="DN598" s="400"/>
      <c r="DO598" s="400"/>
      <c r="DP598" s="400"/>
      <c r="DQ598" s="400"/>
      <c r="DR598" s="400"/>
      <c r="DS598" s="400"/>
      <c r="DT598" s="400"/>
      <c r="DU598" s="400"/>
      <c r="DV598" s="400"/>
      <c r="DW598" s="400"/>
      <c r="DX598" s="400"/>
      <c r="DY598" s="400"/>
      <c r="DZ598" s="400"/>
      <c r="EA598" s="400"/>
      <c r="EB598" s="400"/>
      <c r="EC598" s="400"/>
      <c r="ED598" s="400"/>
      <c r="EE598" s="400"/>
      <c r="EF598" s="400"/>
      <c r="EG598" s="400"/>
      <c r="EH598" s="400"/>
      <c r="EI598" s="400"/>
      <c r="EJ598" s="400"/>
      <c r="EK598" s="400"/>
      <c r="EL598" s="400"/>
      <c r="EM598" s="400"/>
      <c r="EN598" s="400"/>
      <c r="EO598" s="400"/>
      <c r="EP598" s="400"/>
      <c r="EQ598" s="400"/>
      <c r="ER598" s="400"/>
      <c r="ES598" s="400"/>
      <c r="ET598" s="400"/>
      <c r="EU598" s="400"/>
      <c r="EV598" s="400"/>
      <c r="EW598" s="400"/>
      <c r="EX598" s="400"/>
      <c r="EY598" s="400"/>
      <c r="EZ598" s="400"/>
      <c r="FA598" s="400"/>
      <c r="FB598" s="400"/>
      <c r="FC598" s="400"/>
      <c r="FD598" s="400"/>
      <c r="FE598" s="400"/>
      <c r="FF598" s="400"/>
      <c r="FG598" s="400"/>
      <c r="FH598" s="400"/>
      <c r="FI598" s="400"/>
      <c r="FJ598" s="400"/>
      <c r="FK598" s="400"/>
      <c r="FL598" s="400"/>
      <c r="FM598" s="400"/>
      <c r="FN598" s="400"/>
      <c r="FO598" s="400"/>
      <c r="FP598" s="400"/>
      <c r="FQ598" s="400"/>
      <c r="FR598" s="400"/>
      <c r="FS598" s="400"/>
      <c r="FT598" s="400"/>
      <c r="FU598" s="400"/>
      <c r="FV598" s="400"/>
      <c r="FW598" s="400"/>
      <c r="FX598" s="400"/>
      <c r="FY598" s="400"/>
      <c r="FZ598" s="400"/>
      <c r="GA598" s="400"/>
      <c r="GB598" s="400"/>
      <c r="GC598" s="400"/>
      <c r="GD598" s="400"/>
      <c r="GE598" s="400"/>
      <c r="GF598" s="400"/>
      <c r="GG598" s="400"/>
      <c r="GH598" s="400"/>
      <c r="GI598" s="400"/>
      <c r="GJ598" s="400"/>
      <c r="GK598" s="400"/>
      <c r="GL598" s="400"/>
      <c r="GM598" s="400"/>
      <c r="GN598" s="400"/>
      <c r="GO598" s="400"/>
      <c r="GP598" s="400"/>
      <c r="GQ598" s="400"/>
      <c r="GR598" s="400"/>
      <c r="GS598" s="400"/>
      <c r="GT598" s="400"/>
      <c r="GU598" s="400"/>
      <c r="GV598" s="400"/>
      <c r="GW598" s="400"/>
      <c r="GX598" s="400"/>
      <c r="GY598" s="400"/>
      <c r="GZ598" s="400"/>
      <c r="HA598" s="400"/>
      <c r="HB598" s="400"/>
      <c r="HC598" s="400"/>
      <c r="HD598" s="400"/>
      <c r="HE598" s="400"/>
      <c r="HF598" s="400"/>
      <c r="HG598" s="400"/>
      <c r="HH598" s="400"/>
      <c r="HI598" s="400"/>
      <c r="HJ598" s="400"/>
      <c r="HK598" s="400"/>
      <c r="HL598" s="400"/>
      <c r="HM598" s="400"/>
      <c r="HN598" s="400"/>
      <c r="HO598" s="400"/>
      <c r="HP598" s="400"/>
      <c r="HQ598" s="400"/>
      <c r="HR598" s="400"/>
      <c r="HS598" s="400"/>
      <c r="HT598" s="400"/>
      <c r="HU598" s="400"/>
      <c r="HV598" s="400"/>
      <c r="HW598" s="400"/>
      <c r="HX598" s="400"/>
      <c r="HY598" s="400"/>
      <c r="HZ598" s="400"/>
      <c r="IA598" s="400"/>
      <c r="IB598" s="400"/>
      <c r="IC598" s="400"/>
      <c r="ID598" s="400"/>
      <c r="IE598" s="400"/>
      <c r="IF598" s="400"/>
      <c r="IG598" s="400"/>
      <c r="IH598" s="400"/>
      <c r="II598" s="400"/>
      <c r="IJ598" s="400"/>
      <c r="IK598" s="400"/>
      <c r="IL598" s="400"/>
      <c r="IM598" s="400"/>
      <c r="IN598" s="400"/>
      <c r="IO598" s="400"/>
      <c r="IP598" s="400"/>
      <c r="IQ598" s="400"/>
      <c r="IR598" s="400"/>
      <c r="IS598" s="400"/>
      <c r="IT598" s="400"/>
      <c r="IU598" s="400"/>
      <c r="IV598" s="400"/>
    </row>
    <row r="599" spans="1:256" s="675" customFormat="1" ht="15" x14ac:dyDescent="0.25">
      <c r="A599" s="398"/>
      <c r="B599" s="398"/>
      <c r="C599" s="398"/>
      <c r="D599" s="652" t="s">
        <v>597</v>
      </c>
      <c r="E599" s="652"/>
      <c r="F599" s="652"/>
      <c r="G599" s="652"/>
      <c r="H599" s="652"/>
      <c r="I599" s="652"/>
      <c r="J599" s="654"/>
      <c r="K599" s="654"/>
      <c r="L599" s="654">
        <f>L589*0.925</f>
        <v>487318.3</v>
      </c>
      <c r="M599" s="399"/>
    </row>
    <row r="600" spans="1:256" s="675" customFormat="1" ht="15" x14ac:dyDescent="0.25">
      <c r="A600" s="398"/>
      <c r="B600" s="398"/>
      <c r="C600" s="398"/>
      <c r="D600" s="655" t="s">
        <v>323</v>
      </c>
      <c r="E600" s="652"/>
      <c r="F600" s="652"/>
      <c r="G600" s="652"/>
      <c r="H600" s="652"/>
      <c r="I600" s="652"/>
      <c r="J600" s="656"/>
      <c r="K600" s="654"/>
      <c r="L600" s="656">
        <v>0</v>
      </c>
      <c r="M600" s="399"/>
    </row>
    <row r="601" spans="1:256" s="675" customFormat="1" ht="15" x14ac:dyDescent="0.25">
      <c r="A601" s="398"/>
      <c r="B601" s="398"/>
      <c r="C601" s="398"/>
      <c r="D601" s="652" t="s">
        <v>598</v>
      </c>
      <c r="E601" s="652"/>
      <c r="F601" s="652"/>
      <c r="G601" s="652"/>
      <c r="H601" s="652"/>
      <c r="I601" s="652"/>
      <c r="J601" s="654"/>
      <c r="K601" s="654"/>
      <c r="L601" s="654">
        <f>L598*0.15</f>
        <v>30617.45</v>
      </c>
      <c r="M601" s="399"/>
    </row>
    <row r="602" spans="1:256" s="675" customFormat="1" ht="14.25" x14ac:dyDescent="0.2">
      <c r="A602" s="398"/>
      <c r="B602" s="398"/>
      <c r="C602" s="398"/>
      <c r="D602" s="651" t="s">
        <v>599</v>
      </c>
      <c r="E602" s="657"/>
      <c r="F602" s="657"/>
      <c r="G602" s="657"/>
      <c r="H602" s="657"/>
      <c r="I602" s="657"/>
      <c r="J602" s="653"/>
      <c r="K602" s="657"/>
      <c r="L602" s="653">
        <f>L601+L596</f>
        <v>1013784.55</v>
      </c>
      <c r="M602" s="399"/>
    </row>
    <row r="603" spans="1:256" s="675" customFormat="1" ht="15" x14ac:dyDescent="0.25">
      <c r="A603" s="398"/>
      <c r="B603" s="398"/>
      <c r="C603" s="398"/>
      <c r="D603" s="658"/>
      <c r="E603" s="658"/>
      <c r="F603" s="658"/>
      <c r="G603" s="658"/>
      <c r="H603" s="658"/>
      <c r="I603" s="658"/>
      <c r="J603" s="658"/>
      <c r="K603" s="658"/>
      <c r="L603" s="658"/>
      <c r="M603" s="399"/>
    </row>
    <row r="604" spans="1:256" s="675" customFormat="1" ht="15" x14ac:dyDescent="0.25">
      <c r="A604" s="398"/>
      <c r="B604" s="398"/>
      <c r="C604" s="398"/>
      <c r="D604" s="658"/>
      <c r="E604" s="658"/>
      <c r="F604" s="658"/>
      <c r="G604" s="658"/>
      <c r="H604" s="658"/>
      <c r="I604" s="658"/>
      <c r="J604" s="658"/>
      <c r="K604" s="658"/>
      <c r="L604" s="658"/>
      <c r="M604" s="399"/>
    </row>
    <row r="605" spans="1:256" s="675" customFormat="1" ht="14.25" x14ac:dyDescent="0.2">
      <c r="A605" s="398"/>
      <c r="B605" s="398"/>
      <c r="C605" s="398"/>
      <c r="D605" s="659"/>
      <c r="E605" s="660"/>
      <c r="F605" s="660"/>
      <c r="G605" s="660"/>
      <c r="H605" s="660"/>
      <c r="I605" s="661"/>
      <c r="J605" s="662"/>
      <c r="K605" s="663"/>
      <c r="L605" s="662"/>
      <c r="M605" s="399"/>
    </row>
    <row r="606" spans="1:256" s="675" customFormat="1" ht="15" x14ac:dyDescent="0.25">
      <c r="A606" s="398"/>
      <c r="B606" s="398"/>
      <c r="C606" s="398"/>
      <c r="D606" s="664"/>
      <c r="E606" s="665"/>
      <c r="F606" s="665"/>
      <c r="G606" s="665"/>
      <c r="H606" s="665"/>
      <c r="I606" s="666"/>
      <c r="J606" s="667"/>
      <c r="K606" s="668"/>
      <c r="L606" s="667"/>
      <c r="M606" s="399"/>
    </row>
    <row r="607" spans="1:256" s="675" customFormat="1" ht="15" x14ac:dyDescent="0.25">
      <c r="A607" s="398"/>
      <c r="B607" s="398"/>
      <c r="C607" s="398"/>
      <c r="D607" s="664"/>
      <c r="E607" s="665"/>
      <c r="F607" s="665"/>
      <c r="G607" s="665"/>
      <c r="H607" s="665"/>
      <c r="I607" s="666"/>
      <c r="J607" s="667"/>
      <c r="K607" s="669"/>
      <c r="L607" s="667"/>
      <c r="M607" s="399"/>
    </row>
    <row r="608" spans="1:256" s="675" customFormat="1" ht="15" x14ac:dyDescent="0.25">
      <c r="A608" s="398"/>
      <c r="B608" s="398"/>
      <c r="C608" s="398"/>
      <c r="D608" s="664"/>
      <c r="E608" s="665"/>
      <c r="F608" s="665"/>
      <c r="G608" s="665"/>
      <c r="H608" s="665"/>
      <c r="I608" s="666"/>
      <c r="J608" s="667"/>
      <c r="K608" s="667"/>
      <c r="L608" s="667"/>
      <c r="M608" s="399"/>
    </row>
    <row r="609" spans="1:13" s="675" customFormat="1" ht="15" x14ac:dyDescent="0.25">
      <c r="A609" s="398"/>
      <c r="B609" s="398"/>
      <c r="C609" s="398"/>
      <c r="D609" s="664"/>
      <c r="E609" s="665"/>
      <c r="F609" s="665"/>
      <c r="G609" s="665"/>
      <c r="H609" s="665"/>
      <c r="I609" s="666"/>
      <c r="J609" s="670"/>
      <c r="K609" s="670"/>
      <c r="L609" s="670"/>
      <c r="M609" s="399"/>
    </row>
  </sheetData>
  <mergeCells count="267">
    <mergeCell ref="K595:L595"/>
    <mergeCell ref="I581:J581"/>
    <mergeCell ref="K581:L581"/>
    <mergeCell ref="I582:J582"/>
    <mergeCell ref="K582:L582"/>
    <mergeCell ref="I583:J583"/>
    <mergeCell ref="K583:L583"/>
    <mergeCell ref="I584:J584"/>
    <mergeCell ref="K584:L584"/>
    <mergeCell ref="I540:J540"/>
    <mergeCell ref="K540:L540"/>
    <mergeCell ref="A570:H570"/>
    <mergeCell ref="I570:J570"/>
    <mergeCell ref="K570:L570"/>
    <mergeCell ref="A574:H574"/>
    <mergeCell ref="I574:J574"/>
    <mergeCell ref="K574:L574"/>
    <mergeCell ref="A578:H578"/>
    <mergeCell ref="I578:J578"/>
    <mergeCell ref="K578:L578"/>
    <mergeCell ref="K317:L317"/>
    <mergeCell ref="I319:J319"/>
    <mergeCell ref="K319:L319"/>
    <mergeCell ref="I323:J323"/>
    <mergeCell ref="K323:L323"/>
    <mergeCell ref="K341:L341"/>
    <mergeCell ref="I343:J343"/>
    <mergeCell ref="K343:L343"/>
    <mergeCell ref="I395:J395"/>
    <mergeCell ref="K395:L395"/>
    <mergeCell ref="I361:J361"/>
    <mergeCell ref="K361:L361"/>
    <mergeCell ref="I372:J372"/>
    <mergeCell ref="K372:L372"/>
    <mergeCell ref="I377:J377"/>
    <mergeCell ref="K377:L377"/>
    <mergeCell ref="I359:J359"/>
    <mergeCell ref="K359:L359"/>
    <mergeCell ref="I354:J354"/>
    <mergeCell ref="K354:L354"/>
    <mergeCell ref="I336:J336"/>
    <mergeCell ref="K336:L336"/>
    <mergeCell ref="I341:J341"/>
    <mergeCell ref="A164:L164"/>
    <mergeCell ref="A140:L140"/>
    <mergeCell ref="I158:J158"/>
    <mergeCell ref="K158:L158"/>
    <mergeCell ref="A160:H160"/>
    <mergeCell ref="I160:J160"/>
    <mergeCell ref="K160:L160"/>
    <mergeCell ref="I325:J325"/>
    <mergeCell ref="K325:L325"/>
    <mergeCell ref="I311:J311"/>
    <mergeCell ref="K311:L311"/>
    <mergeCell ref="I321:J321"/>
    <mergeCell ref="K321:L321"/>
    <mergeCell ref="I294:J294"/>
    <mergeCell ref="K294:L294"/>
    <mergeCell ref="I296:J296"/>
    <mergeCell ref="K296:L296"/>
    <mergeCell ref="I306:J306"/>
    <mergeCell ref="K306:L306"/>
    <mergeCell ref="I313:J313"/>
    <mergeCell ref="K313:L313"/>
    <mergeCell ref="I315:J315"/>
    <mergeCell ref="K315:L315"/>
    <mergeCell ref="I317:J317"/>
    <mergeCell ref="C7:I7"/>
    <mergeCell ref="A2:L2"/>
    <mergeCell ref="I52:J52"/>
    <mergeCell ref="K52:L52"/>
    <mergeCell ref="I57:J57"/>
    <mergeCell ref="K57:L57"/>
    <mergeCell ref="I59:J59"/>
    <mergeCell ref="K59:L59"/>
    <mergeCell ref="A61:H61"/>
    <mergeCell ref="I61:J61"/>
    <mergeCell ref="K61:L61"/>
    <mergeCell ref="I35:J35"/>
    <mergeCell ref="K35:L35"/>
    <mergeCell ref="A37:H37"/>
    <mergeCell ref="I37:J37"/>
    <mergeCell ref="K37:L37"/>
    <mergeCell ref="A41:L41"/>
    <mergeCell ref="A17:L17"/>
    <mergeCell ref="I28:J28"/>
    <mergeCell ref="K28:L28"/>
    <mergeCell ref="I33:J33"/>
    <mergeCell ref="K33:L33"/>
    <mergeCell ref="L9:L14"/>
    <mergeCell ref="A10:A14"/>
    <mergeCell ref="I505:J505"/>
    <mergeCell ref="K505:L505"/>
    <mergeCell ref="I557:J557"/>
    <mergeCell ref="K557:L557"/>
    <mergeCell ref="I568:J568"/>
    <mergeCell ref="K568:L568"/>
    <mergeCell ref="I545:J545"/>
    <mergeCell ref="K545:L545"/>
    <mergeCell ref="I547:J547"/>
    <mergeCell ref="K547:L547"/>
    <mergeCell ref="I562:J562"/>
    <mergeCell ref="K562:L562"/>
    <mergeCell ref="I564:J564"/>
    <mergeCell ref="K564:L564"/>
    <mergeCell ref="I566:J566"/>
    <mergeCell ref="K566:L566"/>
    <mergeCell ref="I511:J511"/>
    <mergeCell ref="K511:L511"/>
    <mergeCell ref="I522:J522"/>
    <mergeCell ref="K522:L522"/>
    <mergeCell ref="I527:J527"/>
    <mergeCell ref="K527:L527"/>
    <mergeCell ref="I529:J529"/>
    <mergeCell ref="K529:L529"/>
    <mergeCell ref="I507:J507"/>
    <mergeCell ref="K507:L507"/>
    <mergeCell ref="I509:J509"/>
    <mergeCell ref="K509:L509"/>
    <mergeCell ref="I447:J447"/>
    <mergeCell ref="K447:L447"/>
    <mergeCell ref="I452:J452"/>
    <mergeCell ref="K452:L452"/>
    <mergeCell ref="I454:J454"/>
    <mergeCell ref="K454:L454"/>
    <mergeCell ref="I465:J465"/>
    <mergeCell ref="K465:L465"/>
    <mergeCell ref="I470:J470"/>
    <mergeCell ref="K470:L470"/>
    <mergeCell ref="I472:J472"/>
    <mergeCell ref="K472:L472"/>
    <mergeCell ref="I500:J500"/>
    <mergeCell ref="K500:L500"/>
    <mergeCell ref="I483:J483"/>
    <mergeCell ref="K483:L483"/>
    <mergeCell ref="I488:J488"/>
    <mergeCell ref="K488:L488"/>
    <mergeCell ref="I490:J490"/>
    <mergeCell ref="K490:L490"/>
    <mergeCell ref="I430:J430"/>
    <mergeCell ref="K430:L430"/>
    <mergeCell ref="I432:J432"/>
    <mergeCell ref="K432:L432"/>
    <mergeCell ref="I434:J434"/>
    <mergeCell ref="K434:L434"/>
    <mergeCell ref="I436:J436"/>
    <mergeCell ref="K436:L436"/>
    <mergeCell ref="I379:J379"/>
    <mergeCell ref="K379:L379"/>
    <mergeCell ref="I413:J413"/>
    <mergeCell ref="K413:L413"/>
    <mergeCell ref="I415:J415"/>
    <mergeCell ref="K415:L415"/>
    <mergeCell ref="I425:J425"/>
    <mergeCell ref="K425:L425"/>
    <mergeCell ref="I408:J408"/>
    <mergeCell ref="K408:L408"/>
    <mergeCell ref="I390:J390"/>
    <mergeCell ref="K390:L390"/>
    <mergeCell ref="I397:J397"/>
    <mergeCell ref="K397:L397"/>
    <mergeCell ref="I289:J289"/>
    <mergeCell ref="K289:L289"/>
    <mergeCell ref="I245:J245"/>
    <mergeCell ref="K245:L245"/>
    <mergeCell ref="I267:J267"/>
    <mergeCell ref="K267:L267"/>
    <mergeCell ref="I272:J272"/>
    <mergeCell ref="K272:L272"/>
    <mergeCell ref="I274:J274"/>
    <mergeCell ref="K274:L274"/>
    <mergeCell ref="I276:J276"/>
    <mergeCell ref="K276:L276"/>
    <mergeCell ref="I278:J278"/>
    <mergeCell ref="K278:L278"/>
    <mergeCell ref="K247:L247"/>
    <mergeCell ref="I249:J249"/>
    <mergeCell ref="K249:L249"/>
    <mergeCell ref="I251:J251"/>
    <mergeCell ref="K251:L251"/>
    <mergeCell ref="I236:J236"/>
    <mergeCell ref="K236:L236"/>
    <mergeCell ref="I241:J241"/>
    <mergeCell ref="K241:L241"/>
    <mergeCell ref="I243:J243"/>
    <mergeCell ref="K243:L243"/>
    <mergeCell ref="I255:J255"/>
    <mergeCell ref="K255:L255"/>
    <mergeCell ref="I257:J257"/>
    <mergeCell ref="K257:L257"/>
    <mergeCell ref="I253:J253"/>
    <mergeCell ref="K253:L253"/>
    <mergeCell ref="K184:L184"/>
    <mergeCell ref="A188:L188"/>
    <mergeCell ref="I207:J207"/>
    <mergeCell ref="K207:L207"/>
    <mergeCell ref="I222:J222"/>
    <mergeCell ref="K222:L222"/>
    <mergeCell ref="I217:J217"/>
    <mergeCell ref="K217:L217"/>
    <mergeCell ref="I205:J205"/>
    <mergeCell ref="K205:L205"/>
    <mergeCell ref="I198:J198"/>
    <mergeCell ref="K198:L198"/>
    <mergeCell ref="I203:J203"/>
    <mergeCell ref="K203:L203"/>
    <mergeCell ref="A184:H184"/>
    <mergeCell ref="A68:L68"/>
    <mergeCell ref="I79:J79"/>
    <mergeCell ref="K79:L79"/>
    <mergeCell ref="I84:J84"/>
    <mergeCell ref="K84:L84"/>
    <mergeCell ref="I151:J151"/>
    <mergeCell ref="K151:L151"/>
    <mergeCell ref="I156:J156"/>
    <mergeCell ref="K156:L156"/>
    <mergeCell ref="I86:J86"/>
    <mergeCell ref="K86:L86"/>
    <mergeCell ref="A88:H88"/>
    <mergeCell ref="I88:J88"/>
    <mergeCell ref="K88:L88"/>
    <mergeCell ref="A95:L95"/>
    <mergeCell ref="I106:J106"/>
    <mergeCell ref="K106:L106"/>
    <mergeCell ref="I111:J111"/>
    <mergeCell ref="K111:L111"/>
    <mergeCell ref="I113:J113"/>
    <mergeCell ref="K113:L113"/>
    <mergeCell ref="A133:H133"/>
    <mergeCell ref="I133:J133"/>
    <mergeCell ref="K133:L133"/>
    <mergeCell ref="B10:B14"/>
    <mergeCell ref="A8:L8"/>
    <mergeCell ref="A9:B9"/>
    <mergeCell ref="C9:C14"/>
    <mergeCell ref="D9:D14"/>
    <mergeCell ref="E9:E14"/>
    <mergeCell ref="F9:F14"/>
    <mergeCell ref="G9:G14"/>
    <mergeCell ref="H9:H14"/>
    <mergeCell ref="I9:I14"/>
    <mergeCell ref="J9:J14"/>
    <mergeCell ref="K9:K14"/>
    <mergeCell ref="D591:H591"/>
    <mergeCell ref="D592:H592"/>
    <mergeCell ref="D593:H593"/>
    <mergeCell ref="D594:H594"/>
    <mergeCell ref="D595:H595"/>
    <mergeCell ref="I595:J595"/>
    <mergeCell ref="I124:J124"/>
    <mergeCell ref="K124:L124"/>
    <mergeCell ref="I131:J131"/>
    <mergeCell ref="K131:L131"/>
    <mergeCell ref="I129:J129"/>
    <mergeCell ref="K129:L129"/>
    <mergeCell ref="I226:J226"/>
    <mergeCell ref="K226:L226"/>
    <mergeCell ref="I247:J247"/>
    <mergeCell ref="I224:J224"/>
    <mergeCell ref="K224:L224"/>
    <mergeCell ref="I175:J175"/>
    <mergeCell ref="K175:L175"/>
    <mergeCell ref="I180:J180"/>
    <mergeCell ref="K180:L180"/>
    <mergeCell ref="I182:J182"/>
    <mergeCell ref="K182:L182"/>
    <mergeCell ref="I184:J184"/>
  </mergeCells>
  <pageMargins left="0.78740157480314965" right="0" top="0.39370078740157483" bottom="0.39370078740157483" header="0.31496062992125984" footer="0.31496062992125984"/>
  <pageSetup paperSize="9" scale="57" firstPageNumber="6" fitToHeight="0" orientation="portrait" blackAndWhite="1" useFirstPageNumber="1" r:id="rId1"/>
  <headerFooter>
    <oddFooter>&amp;R&amp;P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2:IV368"/>
  <sheetViews>
    <sheetView view="pageBreakPreview" topLeftCell="A343" zoomScale="60" zoomScaleNormal="55" workbookViewId="0">
      <selection activeCell="I384" sqref="I384"/>
    </sheetView>
  </sheetViews>
  <sheetFormatPr defaultColWidth="10.33203125" defaultRowHeight="11.25" x14ac:dyDescent="0.2"/>
  <cols>
    <col min="1" max="1" width="12.6640625" style="718" customWidth="1"/>
    <col min="2" max="2" width="8.83203125" style="718" customWidth="1"/>
    <col min="3" max="3" width="13.6640625" style="718" customWidth="1"/>
    <col min="4" max="4" width="47.5" style="718" customWidth="1"/>
    <col min="5" max="5" width="13.6640625" style="718" customWidth="1"/>
    <col min="6" max="6" width="10.1640625" style="718" bestFit="1" customWidth="1"/>
    <col min="7" max="7" width="17" style="718" customWidth="1"/>
    <col min="8" max="8" width="19.6640625" style="718" bestFit="1" customWidth="1"/>
    <col min="9" max="9" width="15.5" style="718" customWidth="1"/>
    <col min="10" max="10" width="17" style="718" customWidth="1"/>
    <col min="11" max="11" width="10.6640625" style="718" bestFit="1" customWidth="1"/>
    <col min="12" max="12" width="18.33203125" style="718" customWidth="1"/>
    <col min="13" max="13" width="16" style="718" customWidth="1"/>
    <col min="14" max="35" width="0" style="718" hidden="1" customWidth="1"/>
    <col min="36" max="36" width="106.1640625" style="718" hidden="1" customWidth="1"/>
    <col min="37" max="37" width="157.1640625" style="718" hidden="1" customWidth="1"/>
    <col min="38" max="38" width="117.83203125" style="718" hidden="1" customWidth="1"/>
    <col min="39" max="42" width="0" style="718" hidden="1" customWidth="1"/>
    <col min="43" max="16384" width="10.33203125" style="718"/>
  </cols>
  <sheetData>
    <row r="2" spans="1:37" ht="18.75" x14ac:dyDescent="0.3">
      <c r="A2" s="1052" t="s">
        <v>696</v>
      </c>
      <c r="B2" s="1052"/>
      <c r="C2" s="1052"/>
      <c r="D2" s="1052"/>
      <c r="E2" s="1052"/>
      <c r="F2" s="1052"/>
      <c r="G2" s="1052"/>
      <c r="H2" s="1052"/>
      <c r="I2" s="1052"/>
      <c r="J2" s="1052"/>
      <c r="K2" s="1052"/>
      <c r="L2" s="1052"/>
    </row>
    <row r="4" spans="1:37" ht="15.75" x14ac:dyDescent="0.2">
      <c r="C4" s="748" t="s">
        <v>590</v>
      </c>
    </row>
    <row r="5" spans="1:37" ht="15.75" x14ac:dyDescent="0.2">
      <c r="C5" s="748" t="s">
        <v>515</v>
      </c>
    </row>
    <row r="6" spans="1:37" ht="15.75" x14ac:dyDescent="0.2">
      <c r="C6" s="748"/>
    </row>
    <row r="7" spans="1:37" ht="15.75" x14ac:dyDescent="0.2">
      <c r="C7" s="748" t="s">
        <v>586</v>
      </c>
    </row>
    <row r="8" spans="1:37" ht="12.75" customHeight="1" x14ac:dyDescent="0.25">
      <c r="A8" s="1061" t="s">
        <v>585</v>
      </c>
      <c r="B8" s="1061"/>
      <c r="C8" s="1061"/>
      <c r="D8" s="1061"/>
      <c r="E8" s="1061"/>
      <c r="F8" s="1061"/>
      <c r="G8" s="1061"/>
      <c r="H8" s="1061"/>
      <c r="I8" s="1061"/>
      <c r="J8" s="1061"/>
      <c r="K8" s="1061"/>
      <c r="L8" s="1061"/>
      <c r="AK8" s="688" t="s">
        <v>526</v>
      </c>
    </row>
    <row r="9" spans="1:37" ht="15" x14ac:dyDescent="0.2">
      <c r="A9" s="1065" t="s">
        <v>67</v>
      </c>
      <c r="B9" s="1065"/>
      <c r="C9" s="1065" t="s">
        <v>68</v>
      </c>
      <c r="D9" s="1065" t="s">
        <v>69</v>
      </c>
      <c r="E9" s="1065" t="s">
        <v>70</v>
      </c>
      <c r="F9" s="1065" t="s">
        <v>457</v>
      </c>
      <c r="G9" s="1065" t="s">
        <v>458</v>
      </c>
      <c r="H9" s="1062" t="s">
        <v>459</v>
      </c>
      <c r="I9" s="1062" t="s">
        <v>460</v>
      </c>
      <c r="J9" s="1065" t="s">
        <v>461</v>
      </c>
      <c r="K9" s="1065" t="s">
        <v>462</v>
      </c>
      <c r="L9" s="1065" t="s">
        <v>463</v>
      </c>
    </row>
    <row r="10" spans="1:37" x14ac:dyDescent="0.2">
      <c r="A10" s="1062" t="s">
        <v>78</v>
      </c>
      <c r="B10" s="1062" t="s">
        <v>79</v>
      </c>
      <c r="C10" s="1065"/>
      <c r="D10" s="1065"/>
      <c r="E10" s="1065"/>
      <c r="F10" s="1065"/>
      <c r="G10" s="1065"/>
      <c r="H10" s="1063"/>
      <c r="I10" s="1063"/>
      <c r="J10" s="1065"/>
      <c r="K10" s="1065"/>
      <c r="L10" s="1065"/>
    </row>
    <row r="11" spans="1:37" x14ac:dyDescent="0.2">
      <c r="A11" s="1063"/>
      <c r="B11" s="1063"/>
      <c r="C11" s="1065"/>
      <c r="D11" s="1065"/>
      <c r="E11" s="1065"/>
      <c r="F11" s="1065"/>
      <c r="G11" s="1065"/>
      <c r="H11" s="1063"/>
      <c r="I11" s="1063"/>
      <c r="J11" s="1065"/>
      <c r="K11" s="1065"/>
      <c r="L11" s="1065"/>
    </row>
    <row r="12" spans="1:37" x14ac:dyDescent="0.2">
      <c r="A12" s="1063"/>
      <c r="B12" s="1063"/>
      <c r="C12" s="1065"/>
      <c r="D12" s="1065"/>
      <c r="E12" s="1065"/>
      <c r="F12" s="1065"/>
      <c r="G12" s="1065"/>
      <c r="H12" s="1063"/>
      <c r="I12" s="1063"/>
      <c r="J12" s="1065"/>
      <c r="K12" s="1065"/>
      <c r="L12" s="1065"/>
    </row>
    <row r="13" spans="1:37" x14ac:dyDescent="0.2">
      <c r="A13" s="1063"/>
      <c r="B13" s="1063"/>
      <c r="C13" s="1065"/>
      <c r="D13" s="1065"/>
      <c r="E13" s="1065"/>
      <c r="F13" s="1065"/>
      <c r="G13" s="1065"/>
      <c r="H13" s="1063"/>
      <c r="I13" s="1063"/>
      <c r="J13" s="1065"/>
      <c r="K13" s="1065"/>
      <c r="L13" s="1065"/>
    </row>
    <row r="14" spans="1:37" x14ac:dyDescent="0.2">
      <c r="A14" s="1064"/>
      <c r="B14" s="1064"/>
      <c r="C14" s="1065"/>
      <c r="D14" s="1065"/>
      <c r="E14" s="1065"/>
      <c r="F14" s="1065"/>
      <c r="G14" s="1065"/>
      <c r="H14" s="1064"/>
      <c r="I14" s="1064"/>
      <c r="J14" s="1065"/>
      <c r="K14" s="1065"/>
      <c r="L14" s="1065"/>
    </row>
    <row r="15" spans="1:37" ht="15" x14ac:dyDescent="0.2">
      <c r="A15" s="689">
        <v>1</v>
      </c>
      <c r="B15" s="689">
        <v>2</v>
      </c>
      <c r="C15" s="689">
        <v>3</v>
      </c>
      <c r="D15" s="689">
        <v>4</v>
      </c>
      <c r="E15" s="689">
        <v>5</v>
      </c>
      <c r="F15" s="689">
        <v>6</v>
      </c>
      <c r="G15" s="689">
        <v>7</v>
      </c>
      <c r="H15" s="689">
        <v>8</v>
      </c>
      <c r="I15" s="689">
        <v>9</v>
      </c>
      <c r="J15" s="689">
        <v>10</v>
      </c>
      <c r="K15" s="689">
        <v>11</v>
      </c>
      <c r="L15" s="689">
        <v>12</v>
      </c>
    </row>
    <row r="16" spans="1:37" ht="16.5" x14ac:dyDescent="0.25">
      <c r="A16" s="1066" t="str">
        <f>CONCATENATE("Подраздел: ",IF([96]Source!G1016&lt;&gt;"Новый подраздел", [96]Source!G1016, ""))</f>
        <v>Подраздел: В2-35</v>
      </c>
      <c r="B16" s="1066"/>
      <c r="C16" s="1066"/>
      <c r="D16" s="1066"/>
      <c r="E16" s="1066"/>
      <c r="F16" s="1066"/>
      <c r="G16" s="1066"/>
      <c r="H16" s="1066"/>
      <c r="I16" s="1066"/>
      <c r="J16" s="1066"/>
      <c r="K16" s="1066"/>
      <c r="L16" s="1066"/>
    </row>
    <row r="17" spans="1:27" ht="54" customHeight="1" x14ac:dyDescent="0.25">
      <c r="A17" s="691">
        <v>1</v>
      </c>
      <c r="B17" s="691" t="str">
        <f>[96]Source!E1122</f>
        <v>134</v>
      </c>
      <c r="C17" s="692" t="str">
        <f>[96]Source!F1122</f>
        <v>3.20-12-6</v>
      </c>
      <c r="D17" s="692" t="s">
        <v>527</v>
      </c>
      <c r="E17" s="693" t="str">
        <f>[96]Source!H1122</f>
        <v>1  ШТ.</v>
      </c>
      <c r="F17" s="694">
        <f>[96]Source!I1122</f>
        <v>15</v>
      </c>
      <c r="G17" s="695"/>
      <c r="H17" s="696"/>
      <c r="I17" s="694"/>
      <c r="J17" s="697"/>
      <c r="K17" s="694"/>
      <c r="L17" s="697"/>
      <c r="Q17" s="718">
        <f>ROUND(([96]Source!DN1122/100)*ROUND((ROUND(([96]Source!AF1122*[96]Source!AV1122*[96]Source!I1122),2)),2), 2)</f>
        <v>416.63</v>
      </c>
      <c r="R17" s="718">
        <f>[96]Source!X1122</f>
        <v>8075.86</v>
      </c>
      <c r="S17" s="718">
        <f>ROUND(([96]Source!DO1122/100)*ROUND((ROUND(([96]Source!AF1122*[96]Source!AV1122*[96]Source!I1122),2)),2), 2)</f>
        <v>313.3</v>
      </c>
      <c r="T17" s="718">
        <f>[96]Source!Y1122</f>
        <v>3634.14</v>
      </c>
      <c r="U17" s="718">
        <f>ROUND((175/100)*ROUND((ROUND(([96]Source!AE1122*[96]Source!AV1122*[96]Source!I1122),2)),2), 2)</f>
        <v>6.55</v>
      </c>
      <c r="V17" s="718">
        <f>ROUND((157/100)*ROUND(ROUND((ROUND(([96]Source!AE1122*[96]Source!AV1122*[96]Source!I1122),2)*[96]Source!BS1122),2), 2), 2)</f>
        <v>142.27000000000001</v>
      </c>
    </row>
    <row r="18" spans="1:27" ht="15" x14ac:dyDescent="0.25">
      <c r="A18" s="691"/>
      <c r="B18" s="691"/>
      <c r="C18" s="692"/>
      <c r="D18" s="692" t="s">
        <v>84</v>
      </c>
      <c r="E18" s="693"/>
      <c r="F18" s="694"/>
      <c r="G18" s="695">
        <f>[96]Source!AO1122</f>
        <v>12.47</v>
      </c>
      <c r="H18" s="696" t="str">
        <f>[96]Source!DG1122</f>
        <v>)*1,67</v>
      </c>
      <c r="I18" s="694">
        <f>[96]Source!AV1122</f>
        <v>1.0669999999999999</v>
      </c>
      <c r="J18" s="697">
        <f>ROUND((ROUND(([96]Source!AF1122*[96]Source!AV1122*[96]Source!I1122),2)),2)</f>
        <v>333.3</v>
      </c>
      <c r="K18" s="694">
        <f>IF([96]Source!BA1122&lt;&gt; 0, [96]Source!BA1122, 1)</f>
        <v>24.23</v>
      </c>
      <c r="L18" s="697">
        <f>[96]Source!S1122</f>
        <v>8075.86</v>
      </c>
      <c r="W18" s="718">
        <f>J18</f>
        <v>333.3</v>
      </c>
    </row>
    <row r="19" spans="1:27" ht="15" x14ac:dyDescent="0.25">
      <c r="A19" s="691"/>
      <c r="B19" s="691"/>
      <c r="C19" s="692"/>
      <c r="D19" s="692" t="s">
        <v>85</v>
      </c>
      <c r="E19" s="693"/>
      <c r="F19" s="694"/>
      <c r="G19" s="695">
        <f>[96]Source!AM1122</f>
        <v>0.77</v>
      </c>
      <c r="H19" s="696" t="str">
        <f>[96]Source!DE1122</f>
        <v/>
      </c>
      <c r="I19" s="694">
        <f>[96]Source!AV1122</f>
        <v>1.0669999999999999</v>
      </c>
      <c r="J19" s="697">
        <f>(ROUND((ROUND((([96]Source!ET1122)*[96]Source!AV1122*[96]Source!I1122),2)),2)+ROUND((ROUND((([96]Source!AE1122-([96]Source!EU1122))*[96]Source!AV1122*[96]Source!I1122),2)),2))-J30</f>
        <v>12.32</v>
      </c>
      <c r="K19" s="694">
        <f>IF([96]Source!BB1122&lt;&gt; 0, [96]Source!BB1122, 1)</f>
        <v>9.27</v>
      </c>
      <c r="L19" s="697">
        <f>[96]Source!Q1122-L30</f>
        <v>114.18</v>
      </c>
    </row>
    <row r="20" spans="1:27" ht="15" x14ac:dyDescent="0.25">
      <c r="A20" s="691"/>
      <c r="B20" s="691"/>
      <c r="C20" s="692"/>
      <c r="D20" s="692" t="s">
        <v>86</v>
      </c>
      <c r="E20" s="693"/>
      <c r="F20" s="694"/>
      <c r="G20" s="695">
        <f>[96]Source!AN1122</f>
        <v>0.14000000000000001</v>
      </c>
      <c r="H20" s="696" t="str">
        <f>[96]Source!DE1122</f>
        <v/>
      </c>
      <c r="I20" s="694">
        <f>[96]Source!AV1122</f>
        <v>1.0669999999999999</v>
      </c>
      <c r="J20" s="700">
        <f>ROUND((ROUND(([96]Source!AE1122*[96]Source!AV1122*[96]Source!I1122),2)),2)-J31</f>
        <v>2.2400000000000002</v>
      </c>
      <c r="K20" s="694">
        <f>IF([96]Source!BS1122&lt;&gt; 0, [96]Source!BS1122, 1)</f>
        <v>24.23</v>
      </c>
      <c r="L20" s="700">
        <f>[96]Source!R1122-L31</f>
        <v>54.24</v>
      </c>
      <c r="W20" s="718">
        <f>J20</f>
        <v>2.2400000000000002</v>
      </c>
    </row>
    <row r="21" spans="1:27" ht="15" x14ac:dyDescent="0.25">
      <c r="A21" s="691"/>
      <c r="B21" s="691"/>
      <c r="C21" s="692"/>
      <c r="D21" s="692" t="s">
        <v>87</v>
      </c>
      <c r="E21" s="693"/>
      <c r="F21" s="694"/>
      <c r="G21" s="695">
        <f>[96]Source!AL1122</f>
        <v>16.53</v>
      </c>
      <c r="H21" s="696" t="str">
        <f>[96]Source!DD1122</f>
        <v/>
      </c>
      <c r="I21" s="694">
        <f>[96]Source!AW1122</f>
        <v>1</v>
      </c>
      <c r="J21" s="697">
        <f>ROUND((ROUND(([96]Source!AC1122*[96]Source!AW1122*[96]Source!I1122),2)),2)</f>
        <v>247.95</v>
      </c>
      <c r="K21" s="694">
        <f>IF([96]Source!BC1122&lt;&gt; 0, [96]Source!BC1122, 1)</f>
        <v>2.54</v>
      </c>
      <c r="L21" s="697">
        <f>[96]Source!P1122</f>
        <v>629.79</v>
      </c>
    </row>
    <row r="22" spans="1:27" ht="69.599999999999994" customHeight="1" x14ac:dyDescent="0.25">
      <c r="A22" s="691">
        <v>2</v>
      </c>
      <c r="B22" s="691" t="str">
        <f>[96]Source!E1124</f>
        <v>134,1</v>
      </c>
      <c r="C22" s="692" t="str">
        <f>[96]Source!F1124</f>
        <v>1.19-6-78</v>
      </c>
      <c r="D22" s="692" t="s">
        <v>528</v>
      </c>
      <c r="E22" s="693" t="str">
        <f>[96]Source!H1124</f>
        <v>шт.</v>
      </c>
      <c r="F22" s="694">
        <f>[96]Source!I1124</f>
        <v>4.0000000000000098</v>
      </c>
      <c r="G22" s="695">
        <f>[96]Source!AK1124</f>
        <v>299.08</v>
      </c>
      <c r="H22" s="734" t="s">
        <v>42</v>
      </c>
      <c r="I22" s="694">
        <f>[96]Source!AW1124</f>
        <v>1</v>
      </c>
      <c r="J22" s="697">
        <f>ROUND((ROUND(([96]Source!AC1124*[96]Source!AW1124*[96]Source!I1124),2)),2)+(ROUND((ROUND((([96]Source!ET1124)*[96]Source!AV1124*[96]Source!I1124),2)),2)+ROUND((ROUND((([96]Source!AE1124-([96]Source!EU1124))*[96]Source!AV1124*[96]Source!I1124),2)),2))+ROUND((ROUND(([96]Source!AF1124*[96]Source!AV1124*[96]Source!I1124),2)),2)</f>
        <v>1196.32</v>
      </c>
      <c r="K22" s="694">
        <f>IF([96]Source!BC1124&lt;&gt; 0, [96]Source!BC1124, 1)</f>
        <v>8.08</v>
      </c>
      <c r="L22" s="697">
        <f>[96]Source!O1124</f>
        <v>9666.27</v>
      </c>
      <c r="Q22" s="718">
        <f>ROUND(([96]Source!DN1124/100)*ROUND((ROUND(([96]Source!AF1124*[96]Source!AV1124*[96]Source!I1124),2)),2), 2)</f>
        <v>0</v>
      </c>
      <c r="R22" s="718">
        <f>[96]Source!X1124</f>
        <v>0</v>
      </c>
      <c r="S22" s="718">
        <f>ROUND(([96]Source!DO1124/100)*ROUND((ROUND(([96]Source!AF1124*[96]Source!AV1124*[96]Source!I1124),2)),2), 2)</f>
        <v>0</v>
      </c>
      <c r="T22" s="718">
        <f>[96]Source!Y1124</f>
        <v>0</v>
      </c>
      <c r="U22" s="718">
        <f>ROUND((175/100)*ROUND((ROUND(([96]Source!AE1124*[96]Source!AV1124*[96]Source!I1124),2)),2), 2)</f>
        <v>0</v>
      </c>
      <c r="V22" s="718">
        <f>ROUND((157/100)*ROUND(ROUND((ROUND(([96]Source!AE1124*[96]Source!AV1124*[96]Source!I1124),2)*[96]Source!BS1124),2), 2), 2)</f>
        <v>0</v>
      </c>
      <c r="X22" s="718">
        <f>IF([96]Source!BI1124&lt;=1,J22, 0)</f>
        <v>1196.32</v>
      </c>
      <c r="Y22" s="718">
        <f>IF([96]Source!BI1124=2,J22, 0)</f>
        <v>0</v>
      </c>
      <c r="Z22" s="718">
        <f>IF([96]Source!BI1124=3,J22, 0)</f>
        <v>0</v>
      </c>
      <c r="AA22" s="718">
        <f>IF([96]Source!BI1124=4,J22, 0)</f>
        <v>0</v>
      </c>
    </row>
    <row r="23" spans="1:27" ht="72.599999999999994" customHeight="1" x14ac:dyDescent="0.25">
      <c r="A23" s="691">
        <v>3</v>
      </c>
      <c r="B23" s="691" t="str">
        <f>[96]Source!E1126</f>
        <v>134,2</v>
      </c>
      <c r="C23" s="692" t="str">
        <f>[96]Source!F1126</f>
        <v>1.19-6-76</v>
      </c>
      <c r="D23" s="692" t="s">
        <v>529</v>
      </c>
      <c r="E23" s="693" t="str">
        <f>[96]Source!H1126</f>
        <v>шт.</v>
      </c>
      <c r="F23" s="694">
        <f>[96]Source!I1126</f>
        <v>1</v>
      </c>
      <c r="G23" s="695">
        <f>[96]Source!AK1126</f>
        <v>319.57</v>
      </c>
      <c r="H23" s="734" t="s">
        <v>42</v>
      </c>
      <c r="I23" s="694">
        <f>[96]Source!AW1126</f>
        <v>1</v>
      </c>
      <c r="J23" s="697">
        <f>ROUND((ROUND(([96]Source!AC1126*[96]Source!AW1126*[96]Source!I1126),2)),2)+(ROUND((ROUND((([96]Source!ET1126)*[96]Source!AV1126*[96]Source!I1126),2)),2)+ROUND((ROUND((([96]Source!AE1126-([96]Source!EU1126))*[96]Source!AV1126*[96]Source!I1126),2)),2))+ROUND((ROUND(([96]Source!AF1126*[96]Source!AV1126*[96]Source!I1126),2)),2)</f>
        <v>319.57</v>
      </c>
      <c r="K23" s="694">
        <f>IF([96]Source!BC1126&lt;&gt; 0, [96]Source!BC1126, 1)</f>
        <v>4.79</v>
      </c>
      <c r="L23" s="697">
        <f>[96]Source!O1126</f>
        <v>1530.74</v>
      </c>
      <c r="Q23" s="718">
        <f>ROUND(([96]Source!DN1126/100)*ROUND((ROUND(([96]Source!AF1126*[96]Source!AV1126*[96]Source!I1126),2)),2), 2)</f>
        <v>0</v>
      </c>
      <c r="R23" s="718">
        <f>[96]Source!X1126</f>
        <v>0</v>
      </c>
      <c r="S23" s="718">
        <f>ROUND(([96]Source!DO1126/100)*ROUND((ROUND(([96]Source!AF1126*[96]Source!AV1126*[96]Source!I1126),2)),2), 2)</f>
        <v>0</v>
      </c>
      <c r="T23" s="718">
        <f>[96]Source!Y1126</f>
        <v>0</v>
      </c>
      <c r="U23" s="718">
        <f>ROUND((175/100)*ROUND((ROUND(([96]Source!AE1126*[96]Source!AV1126*[96]Source!I1126),2)),2), 2)</f>
        <v>0</v>
      </c>
      <c r="V23" s="718">
        <f>ROUND((157/100)*ROUND(ROUND((ROUND(([96]Source!AE1126*[96]Source!AV1126*[96]Source!I1126),2)*[96]Source!BS1126),2), 2), 2)</f>
        <v>0</v>
      </c>
      <c r="X23" s="718">
        <f>IF([96]Source!BI1126&lt;=1,J23, 0)</f>
        <v>319.57</v>
      </c>
      <c r="Y23" s="718">
        <f>IF([96]Source!BI1126=2,J23, 0)</f>
        <v>0</v>
      </c>
      <c r="Z23" s="718">
        <f>IF([96]Source!BI1126=3,J23, 0)</f>
        <v>0</v>
      </c>
      <c r="AA23" s="718">
        <f>IF([96]Source!BI1126=4,J23, 0)</f>
        <v>0</v>
      </c>
    </row>
    <row r="24" spans="1:27" ht="15" x14ac:dyDescent="0.25">
      <c r="A24" s="691"/>
      <c r="B24" s="691"/>
      <c r="C24" s="692"/>
      <c r="D24" s="692" t="s">
        <v>88</v>
      </c>
      <c r="E24" s="693" t="s">
        <v>89</v>
      </c>
      <c r="F24" s="694">
        <f>[96]Source!DN1122</f>
        <v>125</v>
      </c>
      <c r="G24" s="695"/>
      <c r="H24" s="696"/>
      <c r="I24" s="694"/>
      <c r="J24" s="697">
        <f>SUM(Q17:Q23)</f>
        <v>416.63</v>
      </c>
      <c r="K24" s="694">
        <f>[96]Source!BZ1122</f>
        <v>100</v>
      </c>
      <c r="L24" s="697">
        <f>SUM(R17:R23)</f>
        <v>8075.86</v>
      </c>
    </row>
    <row r="25" spans="1:27" ht="15" x14ac:dyDescent="0.25">
      <c r="A25" s="691"/>
      <c r="B25" s="691"/>
      <c r="C25" s="692"/>
      <c r="D25" s="692" t="s">
        <v>90</v>
      </c>
      <c r="E25" s="693" t="s">
        <v>89</v>
      </c>
      <c r="F25" s="694">
        <f>[96]Source!DO1122</f>
        <v>94</v>
      </c>
      <c r="G25" s="695"/>
      <c r="H25" s="696"/>
      <c r="I25" s="694"/>
      <c r="J25" s="697">
        <f>SUM(S17:S24)</f>
        <v>313.3</v>
      </c>
      <c r="K25" s="694">
        <f>[96]Source!CA1122</f>
        <v>45</v>
      </c>
      <c r="L25" s="697">
        <f>SUM(T17:T24)</f>
        <v>3634.14</v>
      </c>
    </row>
    <row r="26" spans="1:27" ht="15" x14ac:dyDescent="0.25">
      <c r="A26" s="691"/>
      <c r="B26" s="691"/>
      <c r="C26" s="692"/>
      <c r="D26" s="692" t="s">
        <v>91</v>
      </c>
      <c r="E26" s="693" t="s">
        <v>89</v>
      </c>
      <c r="F26" s="694">
        <f>175</f>
        <v>175</v>
      </c>
      <c r="G26" s="695"/>
      <c r="H26" s="696"/>
      <c r="I26" s="694"/>
      <c r="J26" s="697">
        <f>SUM(U17:U25)-J32</f>
        <v>3.92</v>
      </c>
      <c r="K26" s="694">
        <f>157</f>
        <v>157</v>
      </c>
      <c r="L26" s="697">
        <f>SUM(V17:V25)-L32</f>
        <v>85.15</v>
      </c>
    </row>
    <row r="27" spans="1:27" ht="15" x14ac:dyDescent="0.25">
      <c r="A27" s="691"/>
      <c r="B27" s="691"/>
      <c r="C27" s="692"/>
      <c r="D27" s="692" t="s">
        <v>92</v>
      </c>
      <c r="E27" s="693" t="s">
        <v>93</v>
      </c>
      <c r="F27" s="694">
        <f>[96]Source!AQ1122</f>
        <v>1.06</v>
      </c>
      <c r="G27" s="695"/>
      <c r="H27" s="696" t="str">
        <f>[96]Source!DI1122</f>
        <v/>
      </c>
      <c r="I27" s="694">
        <f>[96]Source!AV1122</f>
        <v>1.0669999999999999</v>
      </c>
      <c r="J27" s="697">
        <f>[96]Source!U1122</f>
        <v>16.97</v>
      </c>
      <c r="K27" s="694"/>
      <c r="L27" s="697"/>
    </row>
    <row r="28" spans="1:27" ht="14.25" x14ac:dyDescent="0.2">
      <c r="I28" s="1067">
        <f>J18+J19+J21+J24+J25+J26+SUM(J22:J23)</f>
        <v>2843.31</v>
      </c>
      <c r="J28" s="1067"/>
      <c r="K28" s="1067">
        <f>L18+L19+L21+L24+L25+L26+SUM(L22:L23)</f>
        <v>31811.99</v>
      </c>
      <c r="L28" s="1067"/>
      <c r="O28" s="736">
        <f>J18+J19+J21+J24+J25+J26+SUM(J22:J23)</f>
        <v>2843.31</v>
      </c>
      <c r="P28" s="736">
        <f>L18+L19+L21+L24+L25+L26+SUM(L22:L23)</f>
        <v>31811.99</v>
      </c>
      <c r="X28" s="718">
        <f>IF([96]Source!BI1122&lt;=1,J18+J19+J21+J24+J25+J26-0, 0)</f>
        <v>1327.42</v>
      </c>
      <c r="Y28" s="718">
        <f>IF([96]Source!BI1122=2,J18+J19+J21+J24+J25+J26-0, 0)</f>
        <v>0</v>
      </c>
      <c r="Z28" s="718">
        <f>IF([96]Source!BI1122=3,J18+J19+J21+J24+J25+J26-0, 0)</f>
        <v>0</v>
      </c>
      <c r="AA28" s="718">
        <f>IF([96]Source!BI1122=4,J18+J19+J21+J24+J25+J26,0)</f>
        <v>0</v>
      </c>
    </row>
    <row r="29" spans="1:27" ht="30" x14ac:dyDescent="0.25">
      <c r="A29" s="701"/>
      <c r="B29" s="701"/>
      <c r="C29" s="702"/>
      <c r="D29" s="702" t="s">
        <v>94</v>
      </c>
      <c r="E29" s="693"/>
      <c r="F29" s="703"/>
      <c r="G29" s="704"/>
      <c r="H29" s="693"/>
      <c r="I29" s="703"/>
      <c r="J29" s="700"/>
      <c r="K29" s="703"/>
      <c r="L29" s="700"/>
    </row>
    <row r="30" spans="1:27" ht="15" x14ac:dyDescent="0.25">
      <c r="A30" s="701"/>
      <c r="B30" s="701"/>
      <c r="C30" s="702"/>
      <c r="D30" s="702" t="s">
        <v>85</v>
      </c>
      <c r="E30" s="693"/>
      <c r="F30" s="703"/>
      <c r="G30" s="704">
        <f t="shared" ref="G30:L30" si="0">G31</f>
        <v>0.14000000000000001</v>
      </c>
      <c r="H30" s="705" t="str">
        <f t="shared" si="0"/>
        <v>)*(1.67-1)</v>
      </c>
      <c r="I30" s="703">
        <f t="shared" si="0"/>
        <v>1.0669999999999999</v>
      </c>
      <c r="J30" s="700">
        <f t="shared" si="0"/>
        <v>1.5</v>
      </c>
      <c r="K30" s="703">
        <f t="shared" si="0"/>
        <v>24.23</v>
      </c>
      <c r="L30" s="700">
        <f t="shared" si="0"/>
        <v>36.380000000000003</v>
      </c>
    </row>
    <row r="31" spans="1:27" ht="15" x14ac:dyDescent="0.25">
      <c r="A31" s="701"/>
      <c r="B31" s="701"/>
      <c r="C31" s="702"/>
      <c r="D31" s="702" t="s">
        <v>86</v>
      </c>
      <c r="E31" s="693"/>
      <c r="F31" s="703"/>
      <c r="G31" s="704">
        <f>[96]Source!AN1122</f>
        <v>0.14000000000000001</v>
      </c>
      <c r="H31" s="705" t="s">
        <v>95</v>
      </c>
      <c r="I31" s="703">
        <f>[96]Source!AV1122</f>
        <v>1.0669999999999999</v>
      </c>
      <c r="J31" s="700">
        <f>ROUND(F17*G31*I31*(1.67-1), 2)</f>
        <v>1.5</v>
      </c>
      <c r="K31" s="703">
        <f>IF([96]Source!BS1122&lt;&gt; 0, [96]Source!BS1122, 1)</f>
        <v>24.23</v>
      </c>
      <c r="L31" s="700">
        <f>ROUND(F17*G31*I31*(1.67-1)*K31, 2)</f>
        <v>36.380000000000003</v>
      </c>
      <c r="W31" s="718">
        <f>J31</f>
        <v>1.5</v>
      </c>
    </row>
    <row r="32" spans="1:27" ht="15" x14ac:dyDescent="0.25">
      <c r="A32" s="701"/>
      <c r="B32" s="701"/>
      <c r="C32" s="702"/>
      <c r="D32" s="702" t="s">
        <v>91</v>
      </c>
      <c r="E32" s="693" t="s">
        <v>89</v>
      </c>
      <c r="F32" s="703">
        <f>175</f>
        <v>175</v>
      </c>
      <c r="G32" s="704"/>
      <c r="H32" s="693"/>
      <c r="I32" s="703"/>
      <c r="J32" s="700">
        <f>ROUND(J31*(F32/100), 2)</f>
        <v>2.63</v>
      </c>
      <c r="K32" s="703">
        <f>157</f>
        <v>157</v>
      </c>
      <c r="L32" s="700">
        <f>ROUND(L31*(K32/100), 2)</f>
        <v>57.12</v>
      </c>
    </row>
    <row r="33" spans="1:27" ht="14.25" x14ac:dyDescent="0.2">
      <c r="I33" s="1067">
        <f>J32+J31</f>
        <v>4.13</v>
      </c>
      <c r="J33" s="1067"/>
      <c r="K33" s="1067">
        <f>L32+L31</f>
        <v>93.5</v>
      </c>
      <c r="L33" s="1067"/>
      <c r="O33" s="736">
        <f>I33</f>
        <v>4.13</v>
      </c>
      <c r="P33" s="736">
        <f>K33</f>
        <v>93.5</v>
      </c>
      <c r="X33" s="718">
        <f>IF([96]Source!BI1122&lt;=1,I33, 0)</f>
        <v>4.13</v>
      </c>
      <c r="Y33" s="718">
        <f>IF([96]Source!BI1122=2,I33, 0)</f>
        <v>0</v>
      </c>
      <c r="Z33" s="718">
        <f>IF([96]Source!BI1122=3,I33, 0)</f>
        <v>0</v>
      </c>
      <c r="AA33" s="718">
        <f>IF([96]Source!BI1122=4,I33, 0)</f>
        <v>0</v>
      </c>
    </row>
    <row r="35" spans="1:27" ht="15" x14ac:dyDescent="0.25">
      <c r="A35" s="706"/>
      <c r="B35" s="706"/>
      <c r="C35" s="707"/>
      <c r="D35" s="707" t="s">
        <v>96</v>
      </c>
      <c r="E35" s="708"/>
      <c r="F35" s="709"/>
      <c r="G35" s="710"/>
      <c r="H35" s="711"/>
      <c r="I35" s="1067">
        <f>I28+I33</f>
        <v>2847.44</v>
      </c>
      <c r="J35" s="1067"/>
      <c r="K35" s="1067">
        <f>K28+K33</f>
        <v>31905.49</v>
      </c>
      <c r="L35" s="1067"/>
    </row>
    <row r="36" spans="1:27" ht="66" customHeight="1" x14ac:dyDescent="0.25">
      <c r="A36" s="691">
        <v>4</v>
      </c>
      <c r="B36" s="691" t="str">
        <f>[96]Source!E1128</f>
        <v>135</v>
      </c>
      <c r="C36" s="692" t="str">
        <f>[96]Source!F1128</f>
        <v>1.19-6-75</v>
      </c>
      <c r="D36" s="692" t="s">
        <v>530</v>
      </c>
      <c r="E36" s="693" t="str">
        <f>[96]Source!H1128</f>
        <v>шт.</v>
      </c>
      <c r="F36" s="694">
        <f>[96]Source!I1128</f>
        <v>10</v>
      </c>
      <c r="G36" s="695">
        <f>[96]Source!AL1128</f>
        <v>258.63</v>
      </c>
      <c r="H36" s="696" t="str">
        <f>[96]Source!DD1128</f>
        <v/>
      </c>
      <c r="I36" s="694">
        <f>[96]Source!AW1128</f>
        <v>1</v>
      </c>
      <c r="J36" s="697">
        <f>ROUND((ROUND(([96]Source!AC1128*[96]Source!AW1128*[96]Source!I1128),2)),2)</f>
        <v>2586.3000000000002</v>
      </c>
      <c r="K36" s="694">
        <f>IF([96]Source!BC1128&lt;&gt; 0, [96]Source!BC1128, 1)</f>
        <v>3.51</v>
      </c>
      <c r="L36" s="697">
        <f>[96]Source!P1128</f>
        <v>9077.91</v>
      </c>
      <c r="Q36" s="718">
        <f>ROUND(([96]Source!DN1128/100)*ROUND((ROUND(([96]Source!AF1128*[96]Source!AV1128*[96]Source!I1128),2)),2), 2)</f>
        <v>0</v>
      </c>
      <c r="R36" s="718">
        <f>[96]Source!X1128</f>
        <v>0</v>
      </c>
      <c r="S36" s="718">
        <f>ROUND(([96]Source!DO1128/100)*ROUND((ROUND(([96]Source!AF1128*[96]Source!AV1128*[96]Source!I1128),2)),2), 2)</f>
        <v>0</v>
      </c>
      <c r="T36" s="718">
        <f>[96]Source!Y1128</f>
        <v>0</v>
      </c>
      <c r="U36" s="718">
        <f>ROUND((175/100)*ROUND((ROUND(([96]Source!AE1128*[96]Source!AV1128*[96]Source!I1128),2)),2), 2)</f>
        <v>0</v>
      </c>
      <c r="V36" s="718">
        <f>ROUND((157/100)*ROUND(ROUND((ROUND(([96]Source!AE1128*[96]Source!AV1128*[96]Source!I1128),2)*[96]Source!BS1128),2), 2), 2)</f>
        <v>0</v>
      </c>
    </row>
    <row r="37" spans="1:27" ht="14.25" x14ac:dyDescent="0.2">
      <c r="A37" s="737"/>
      <c r="B37" s="737"/>
      <c r="C37" s="737"/>
      <c r="D37" s="737"/>
      <c r="E37" s="737"/>
      <c r="F37" s="737"/>
      <c r="G37" s="737"/>
      <c r="H37" s="737"/>
      <c r="I37" s="1067">
        <f>J36</f>
        <v>2586.3000000000002</v>
      </c>
      <c r="J37" s="1067"/>
      <c r="K37" s="1067">
        <f>L36</f>
        <v>9077.91</v>
      </c>
      <c r="L37" s="1067"/>
      <c r="O37" s="736">
        <f>J36</f>
        <v>2586.3000000000002</v>
      </c>
      <c r="P37" s="736">
        <f>L36</f>
        <v>9077.91</v>
      </c>
      <c r="X37" s="718">
        <f>IF([96]Source!BI1128&lt;=1,J36-0, 0)</f>
        <v>2586.3000000000002</v>
      </c>
      <c r="Y37" s="718">
        <f>IF([96]Source!BI1128=2,J36-0, 0)</f>
        <v>0</v>
      </c>
      <c r="Z37" s="718">
        <f>IF([96]Source!BI1128=3,J36-0, 0)</f>
        <v>0</v>
      </c>
      <c r="AA37" s="718">
        <f>IF([96]Source!BI1128=4,J36,0)</f>
        <v>0</v>
      </c>
    </row>
    <row r="38" spans="1:27" ht="45" x14ac:dyDescent="0.25">
      <c r="A38" s="691">
        <v>5</v>
      </c>
      <c r="B38" s="691" t="str">
        <f>[96]Source!E1130</f>
        <v>136</v>
      </c>
      <c r="C38" s="692" t="str">
        <f>[96]Source!F1130</f>
        <v>3.20-12-7</v>
      </c>
      <c r="D38" s="692" t="s">
        <v>531</v>
      </c>
      <c r="E38" s="693" t="str">
        <f>[96]Source!H1130</f>
        <v>1  ШТ.</v>
      </c>
      <c r="F38" s="694">
        <f>[96]Source!I1130</f>
        <v>1</v>
      </c>
      <c r="G38" s="695"/>
      <c r="H38" s="696"/>
      <c r="I38" s="694"/>
      <c r="J38" s="697"/>
      <c r="K38" s="694"/>
      <c r="L38" s="697"/>
      <c r="Q38" s="718">
        <f>ROUND(([96]Source!DN1130/100)*ROUND((ROUND(([96]Source!AF1130*[96]Source!AV1130*[96]Source!I1130),2)),2), 2)</f>
        <v>31.28</v>
      </c>
      <c r="R38" s="718">
        <f>[96]Source!X1130</f>
        <v>606.23</v>
      </c>
      <c r="S38" s="718">
        <f>ROUND(([96]Source!DO1130/100)*ROUND((ROUND(([96]Source!AF1130*[96]Source!AV1130*[96]Source!I1130),2)),2), 2)</f>
        <v>23.52</v>
      </c>
      <c r="T38" s="718">
        <f>[96]Source!Y1130</f>
        <v>272.8</v>
      </c>
      <c r="U38" s="718">
        <f>ROUND((175/100)*ROUND((ROUND(([96]Source!AE1130*[96]Source!AV1130*[96]Source!I1130),2)),2), 2)</f>
        <v>0.44</v>
      </c>
      <c r="V38" s="718">
        <f>ROUND((157/100)*ROUND(ROUND((ROUND(([96]Source!AE1130*[96]Source!AV1130*[96]Source!I1130),2)*[96]Source!BS1130),2), 2), 2)</f>
        <v>9.51</v>
      </c>
    </row>
    <row r="39" spans="1:27" ht="15" x14ac:dyDescent="0.25">
      <c r="A39" s="691"/>
      <c r="B39" s="691"/>
      <c r="C39" s="692"/>
      <c r="D39" s="692" t="s">
        <v>84</v>
      </c>
      <c r="E39" s="693"/>
      <c r="F39" s="694"/>
      <c r="G39" s="695">
        <f>[96]Source!AO1130</f>
        <v>14.04</v>
      </c>
      <c r="H39" s="696" t="str">
        <f>[96]Source!DG1130</f>
        <v>)*1,67</v>
      </c>
      <c r="I39" s="694">
        <f>[96]Source!AV1130</f>
        <v>1.0669999999999999</v>
      </c>
      <c r="J39" s="697">
        <f>ROUND((ROUND(([96]Source!AF1130*[96]Source!AV1130*[96]Source!I1130),2)),2)</f>
        <v>25.02</v>
      </c>
      <c r="K39" s="694">
        <f>IF([96]Source!BA1130&lt;&gt; 0, [96]Source!BA1130, 1)</f>
        <v>24.23</v>
      </c>
      <c r="L39" s="697">
        <f>[96]Source!S1130</f>
        <v>606.23</v>
      </c>
      <c r="W39" s="718">
        <f>J39</f>
        <v>25.02</v>
      </c>
    </row>
    <row r="40" spans="1:27" ht="15" x14ac:dyDescent="0.25">
      <c r="A40" s="691"/>
      <c r="B40" s="691"/>
      <c r="C40" s="692"/>
      <c r="D40" s="692" t="s">
        <v>85</v>
      </c>
      <c r="E40" s="693"/>
      <c r="F40" s="694"/>
      <c r="G40" s="695">
        <f>[96]Source!AM1130</f>
        <v>0.77</v>
      </c>
      <c r="H40" s="696" t="str">
        <f>[96]Source!DE1130</f>
        <v/>
      </c>
      <c r="I40" s="694">
        <f>[96]Source!AV1130</f>
        <v>1.0669999999999999</v>
      </c>
      <c r="J40" s="697">
        <f>(ROUND((ROUND((([96]Source!ET1130)*[96]Source!AV1130*[96]Source!I1130),2)),2)+ROUND((ROUND((([96]Source!AE1130-([96]Source!EU1130))*[96]Source!AV1130*[96]Source!I1130),2)),2))-J49</f>
        <v>0.82</v>
      </c>
      <c r="K40" s="694">
        <f>IF([96]Source!BB1130&lt;&gt; 0, [96]Source!BB1130, 1)</f>
        <v>9.27</v>
      </c>
      <c r="L40" s="697">
        <f>[96]Source!Q1130-L49</f>
        <v>7.59</v>
      </c>
    </row>
    <row r="41" spans="1:27" ht="15" x14ac:dyDescent="0.25">
      <c r="A41" s="691"/>
      <c r="B41" s="691"/>
      <c r="C41" s="692"/>
      <c r="D41" s="692" t="s">
        <v>86</v>
      </c>
      <c r="E41" s="693"/>
      <c r="F41" s="694"/>
      <c r="G41" s="695">
        <f>[96]Source!AN1130</f>
        <v>0.14000000000000001</v>
      </c>
      <c r="H41" s="696" t="str">
        <f>[96]Source!DE1130</f>
        <v/>
      </c>
      <c r="I41" s="694">
        <f>[96]Source!AV1130</f>
        <v>1.0669999999999999</v>
      </c>
      <c r="J41" s="700">
        <f>ROUND((ROUND(([96]Source!AE1130*[96]Source!AV1130*[96]Source!I1130),2)),2)-J50</f>
        <v>0.15</v>
      </c>
      <c r="K41" s="694">
        <f>IF([96]Source!BS1130&lt;&gt; 0, [96]Source!BS1130, 1)</f>
        <v>24.23</v>
      </c>
      <c r="L41" s="700">
        <f>[96]Source!R1130-L50</f>
        <v>3.63</v>
      </c>
      <c r="W41" s="718">
        <f>J41</f>
        <v>0.15</v>
      </c>
    </row>
    <row r="42" spans="1:27" ht="15" x14ac:dyDescent="0.25">
      <c r="A42" s="691"/>
      <c r="B42" s="691"/>
      <c r="C42" s="692"/>
      <c r="D42" s="692" t="s">
        <v>87</v>
      </c>
      <c r="E42" s="693"/>
      <c r="F42" s="694"/>
      <c r="G42" s="695">
        <f>[96]Source!AL1130</f>
        <v>21.31</v>
      </c>
      <c r="H42" s="696" t="str">
        <f>[96]Source!DD1130</f>
        <v/>
      </c>
      <c r="I42" s="694">
        <f>[96]Source!AW1130</f>
        <v>1</v>
      </c>
      <c r="J42" s="697">
        <f>ROUND((ROUND(([96]Source!AC1130*[96]Source!AW1130*[96]Source!I1130),2)),2)</f>
        <v>21.31</v>
      </c>
      <c r="K42" s="694">
        <f>IF([96]Source!BC1130&lt;&gt; 0, [96]Source!BC1130, 1)</f>
        <v>2.62</v>
      </c>
      <c r="L42" s="697">
        <f>[96]Source!P1130</f>
        <v>55.83</v>
      </c>
    </row>
    <row r="43" spans="1:27" ht="15" x14ac:dyDescent="0.25">
      <c r="A43" s="691"/>
      <c r="B43" s="691"/>
      <c r="C43" s="692"/>
      <c r="D43" s="692" t="s">
        <v>88</v>
      </c>
      <c r="E43" s="693" t="s">
        <v>89</v>
      </c>
      <c r="F43" s="694">
        <f>[96]Source!DN1130</f>
        <v>125</v>
      </c>
      <c r="G43" s="695"/>
      <c r="H43" s="696"/>
      <c r="I43" s="694"/>
      <c r="J43" s="697">
        <f>SUM(Q38:Q42)</f>
        <v>31.28</v>
      </c>
      <c r="K43" s="694">
        <f>[96]Source!BZ1130</f>
        <v>100</v>
      </c>
      <c r="L43" s="697">
        <f>SUM(R38:R42)</f>
        <v>606.23</v>
      </c>
    </row>
    <row r="44" spans="1:27" ht="15" x14ac:dyDescent="0.25">
      <c r="A44" s="691"/>
      <c r="B44" s="691"/>
      <c r="C44" s="692"/>
      <c r="D44" s="692" t="s">
        <v>90</v>
      </c>
      <c r="E44" s="693" t="s">
        <v>89</v>
      </c>
      <c r="F44" s="694">
        <f>[96]Source!DO1130</f>
        <v>94</v>
      </c>
      <c r="G44" s="695"/>
      <c r="H44" s="696"/>
      <c r="I44" s="694"/>
      <c r="J44" s="697">
        <f>SUM(S38:S43)</f>
        <v>23.52</v>
      </c>
      <c r="K44" s="694">
        <f>[96]Source!CA1130</f>
        <v>45</v>
      </c>
      <c r="L44" s="697">
        <f>SUM(T38:T43)</f>
        <v>272.8</v>
      </c>
    </row>
    <row r="45" spans="1:27" ht="15" x14ac:dyDescent="0.25">
      <c r="A45" s="691"/>
      <c r="B45" s="691"/>
      <c r="C45" s="692"/>
      <c r="D45" s="692" t="s">
        <v>91</v>
      </c>
      <c r="E45" s="693" t="s">
        <v>89</v>
      </c>
      <c r="F45" s="694">
        <f>175</f>
        <v>175</v>
      </c>
      <c r="G45" s="695"/>
      <c r="H45" s="696"/>
      <c r="I45" s="694"/>
      <c r="J45" s="697">
        <f>SUM(U38:U44)-J51</f>
        <v>0.26</v>
      </c>
      <c r="K45" s="694">
        <f>157</f>
        <v>157</v>
      </c>
      <c r="L45" s="697">
        <f>SUM(V38:V44)-L51</f>
        <v>5.69</v>
      </c>
    </row>
    <row r="46" spans="1:27" ht="15" x14ac:dyDescent="0.25">
      <c r="A46" s="691"/>
      <c r="B46" s="691"/>
      <c r="C46" s="692"/>
      <c r="D46" s="692" t="s">
        <v>92</v>
      </c>
      <c r="E46" s="693" t="s">
        <v>93</v>
      </c>
      <c r="F46" s="694">
        <f>[96]Source!AQ1130</f>
        <v>1.18</v>
      </c>
      <c r="G46" s="695"/>
      <c r="H46" s="696" t="str">
        <f>[96]Source!DI1130</f>
        <v/>
      </c>
      <c r="I46" s="694">
        <f>[96]Source!AV1130</f>
        <v>1.0669999999999999</v>
      </c>
      <c r="J46" s="697">
        <f>[96]Source!U1130</f>
        <v>1.26</v>
      </c>
      <c r="K46" s="694"/>
      <c r="L46" s="697"/>
    </row>
    <row r="47" spans="1:27" ht="14.25" x14ac:dyDescent="0.2">
      <c r="I47" s="1067">
        <f>J39+J40+J42+J43+J44+J45</f>
        <v>102.21</v>
      </c>
      <c r="J47" s="1067"/>
      <c r="K47" s="1067">
        <f>L39+L40+L42+L43+L44+L45</f>
        <v>1554.37</v>
      </c>
      <c r="L47" s="1067"/>
      <c r="O47" s="736">
        <f>J39+J40+J42+J43+J44+J45</f>
        <v>102.21</v>
      </c>
      <c r="P47" s="736">
        <f>L39+L40+L42+L43+L44+L45</f>
        <v>1554.37</v>
      </c>
      <c r="X47" s="718">
        <f>IF([96]Source!BI1130&lt;=1,J39+J40+J42+J43+J44+J45-0, 0)</f>
        <v>102.21</v>
      </c>
      <c r="Y47" s="718">
        <f>IF([96]Source!BI1130=2,J39+J40+J42+J43+J44+J45-0, 0)</f>
        <v>0</v>
      </c>
      <c r="Z47" s="718">
        <f>IF([96]Source!BI1130=3,J39+J40+J42+J43+J44+J45-0, 0)</f>
        <v>0</v>
      </c>
      <c r="AA47" s="718">
        <f>IF([96]Source!BI1130=4,J39+J40+J42+J43+J44+J45,0)</f>
        <v>0</v>
      </c>
    </row>
    <row r="48" spans="1:27" ht="30" x14ac:dyDescent="0.25">
      <c r="A48" s="701"/>
      <c r="B48" s="701"/>
      <c r="C48" s="702"/>
      <c r="D48" s="702" t="s">
        <v>94</v>
      </c>
      <c r="E48" s="693"/>
      <c r="F48" s="703"/>
      <c r="G48" s="704"/>
      <c r="H48" s="693"/>
      <c r="I48" s="703"/>
      <c r="J48" s="700"/>
      <c r="K48" s="703"/>
      <c r="L48" s="700"/>
    </row>
    <row r="49" spans="1:27" ht="15" x14ac:dyDescent="0.25">
      <c r="A49" s="701"/>
      <c r="B49" s="701"/>
      <c r="C49" s="702"/>
      <c r="D49" s="702" t="s">
        <v>85</v>
      </c>
      <c r="E49" s="693"/>
      <c r="F49" s="703"/>
      <c r="G49" s="704">
        <f t="shared" ref="G49:L49" si="1">G50</f>
        <v>0.14000000000000001</v>
      </c>
      <c r="H49" s="705" t="str">
        <f t="shared" si="1"/>
        <v>)*(1.67-1)</v>
      </c>
      <c r="I49" s="703">
        <f t="shared" si="1"/>
        <v>1.0669999999999999</v>
      </c>
      <c r="J49" s="700">
        <f t="shared" si="1"/>
        <v>0.1</v>
      </c>
      <c r="K49" s="703">
        <f t="shared" si="1"/>
        <v>24.23</v>
      </c>
      <c r="L49" s="700">
        <f t="shared" si="1"/>
        <v>2.4300000000000002</v>
      </c>
    </row>
    <row r="50" spans="1:27" ht="15" x14ac:dyDescent="0.25">
      <c r="A50" s="701"/>
      <c r="B50" s="701"/>
      <c r="C50" s="702"/>
      <c r="D50" s="702" t="s">
        <v>86</v>
      </c>
      <c r="E50" s="693"/>
      <c r="F50" s="703"/>
      <c r="G50" s="704">
        <f>[96]Source!AN1130</f>
        <v>0.14000000000000001</v>
      </c>
      <c r="H50" s="705" t="s">
        <v>95</v>
      </c>
      <c r="I50" s="703">
        <f>[96]Source!AV1130</f>
        <v>1.0669999999999999</v>
      </c>
      <c r="J50" s="700">
        <f>ROUND(F38*G50*I50*(1.67-1), 2)</f>
        <v>0.1</v>
      </c>
      <c r="K50" s="703">
        <f>IF([96]Source!BS1130&lt;&gt; 0, [96]Source!BS1130, 1)</f>
        <v>24.23</v>
      </c>
      <c r="L50" s="700">
        <f>ROUND(F38*G50*I50*(1.67-1)*K50, 2)</f>
        <v>2.4300000000000002</v>
      </c>
      <c r="W50" s="718">
        <f>J50</f>
        <v>0.1</v>
      </c>
    </row>
    <row r="51" spans="1:27" ht="15" x14ac:dyDescent="0.25">
      <c r="A51" s="701"/>
      <c r="B51" s="701"/>
      <c r="C51" s="702"/>
      <c r="D51" s="702" t="s">
        <v>91</v>
      </c>
      <c r="E51" s="693" t="s">
        <v>89</v>
      </c>
      <c r="F51" s="703">
        <f>175</f>
        <v>175</v>
      </c>
      <c r="G51" s="704"/>
      <c r="H51" s="693"/>
      <c r="I51" s="703"/>
      <c r="J51" s="700">
        <f>ROUND(J50*(F51/100), 2)</f>
        <v>0.18</v>
      </c>
      <c r="K51" s="703">
        <f>157</f>
        <v>157</v>
      </c>
      <c r="L51" s="700">
        <f>ROUND(L50*(K51/100), 2)</f>
        <v>3.82</v>
      </c>
    </row>
    <row r="52" spans="1:27" ht="14.25" x14ac:dyDescent="0.2">
      <c r="I52" s="1067">
        <f>J51+J50</f>
        <v>0.28000000000000003</v>
      </c>
      <c r="J52" s="1067"/>
      <c r="K52" s="1067">
        <f>L51+L50</f>
        <v>6.25</v>
      </c>
      <c r="L52" s="1067"/>
      <c r="O52" s="736">
        <f>I52</f>
        <v>0.28000000000000003</v>
      </c>
      <c r="P52" s="736">
        <f>K52</f>
        <v>6.25</v>
      </c>
      <c r="X52" s="718">
        <f>IF([96]Source!BI1130&lt;=1,I52, 0)</f>
        <v>0.28000000000000003</v>
      </c>
      <c r="Y52" s="718">
        <f>IF([96]Source!BI1130=2,I52, 0)</f>
        <v>0</v>
      </c>
      <c r="Z52" s="718">
        <f>IF([96]Source!BI1130=3,I52, 0)</f>
        <v>0</v>
      </c>
      <c r="AA52" s="718">
        <f>IF([96]Source!BI1130=4,I52, 0)</f>
        <v>0</v>
      </c>
    </row>
    <row r="54" spans="1:27" ht="15" x14ac:dyDescent="0.25">
      <c r="A54" s="706"/>
      <c r="B54" s="706"/>
      <c r="C54" s="707"/>
      <c r="D54" s="707" t="s">
        <v>96</v>
      </c>
      <c r="E54" s="708"/>
      <c r="F54" s="709"/>
      <c r="G54" s="710"/>
      <c r="H54" s="711"/>
      <c r="I54" s="1067">
        <f>I47+I52</f>
        <v>102.49</v>
      </c>
      <c r="J54" s="1067"/>
      <c r="K54" s="1067">
        <f>K47+K52</f>
        <v>1560.62</v>
      </c>
      <c r="L54" s="1067"/>
    </row>
    <row r="55" spans="1:27" ht="78" customHeight="1" x14ac:dyDescent="0.25">
      <c r="A55" s="691">
        <v>6</v>
      </c>
      <c r="B55" s="691" t="str">
        <f>[96]Source!E1132</f>
        <v>137</v>
      </c>
      <c r="C55" s="692" t="str">
        <f>[96]Source!F1132</f>
        <v>1.19-6-81</v>
      </c>
      <c r="D55" s="692" t="s">
        <v>532</v>
      </c>
      <c r="E55" s="693" t="str">
        <f>[96]Source!H1132</f>
        <v>шт.</v>
      </c>
      <c r="F55" s="694">
        <f>[96]Source!I1132</f>
        <v>1</v>
      </c>
      <c r="G55" s="695">
        <f>[96]Source!AL1132</f>
        <v>468.44</v>
      </c>
      <c r="H55" s="696" t="str">
        <f>[96]Source!DD1132</f>
        <v/>
      </c>
      <c r="I55" s="694">
        <f>[96]Source!AW1132</f>
        <v>1</v>
      </c>
      <c r="J55" s="697">
        <f>ROUND((ROUND(([96]Source!AC1132*[96]Source!AW1132*[96]Source!I1132),2)),2)</f>
        <v>468.44</v>
      </c>
      <c r="K55" s="694">
        <f>IF([96]Source!BC1132&lt;&gt; 0, [96]Source!BC1132, 1)</f>
        <v>4.24</v>
      </c>
      <c r="L55" s="697">
        <f>[96]Source!P1132</f>
        <v>1986.19</v>
      </c>
      <c r="Q55" s="718">
        <f>ROUND(([96]Source!DN1132/100)*ROUND((ROUND(([96]Source!AF1132*[96]Source!AV1132*[96]Source!I1132),2)),2), 2)</f>
        <v>0</v>
      </c>
      <c r="R55" s="718">
        <f>[96]Source!X1132</f>
        <v>0</v>
      </c>
      <c r="S55" s="718">
        <f>ROUND(([96]Source!DO1132/100)*ROUND((ROUND(([96]Source!AF1132*[96]Source!AV1132*[96]Source!I1132),2)),2), 2)</f>
        <v>0</v>
      </c>
      <c r="T55" s="718">
        <f>[96]Source!Y1132</f>
        <v>0</v>
      </c>
      <c r="U55" s="718">
        <f>ROUND((175/100)*ROUND((ROUND(([96]Source!AE1132*[96]Source!AV1132*[96]Source!I1132),2)),2), 2)</f>
        <v>0</v>
      </c>
      <c r="V55" s="718">
        <f>ROUND((157/100)*ROUND(ROUND((ROUND(([96]Source!AE1132*[96]Source!AV1132*[96]Source!I1132),2)*[96]Source!BS1132),2), 2), 2)</f>
        <v>0</v>
      </c>
    </row>
    <row r="56" spans="1:27" ht="14.25" x14ac:dyDescent="0.2">
      <c r="A56" s="737"/>
      <c r="B56" s="737"/>
      <c r="C56" s="737"/>
      <c r="D56" s="737"/>
      <c r="E56" s="737"/>
      <c r="F56" s="737"/>
      <c r="G56" s="737"/>
      <c r="H56" s="737"/>
      <c r="I56" s="1067">
        <f>J55</f>
        <v>468.44</v>
      </c>
      <c r="J56" s="1067"/>
      <c r="K56" s="1067">
        <f>L55</f>
        <v>1986.19</v>
      </c>
      <c r="L56" s="1067"/>
      <c r="O56" s="736">
        <f>J55</f>
        <v>468.44</v>
      </c>
      <c r="P56" s="736">
        <f>L55</f>
        <v>1986.19</v>
      </c>
      <c r="X56" s="718">
        <f>IF([96]Source!BI1132&lt;=1,J55-0, 0)</f>
        <v>468.44</v>
      </c>
      <c r="Y56" s="718">
        <f>IF([96]Source!BI1132=2,J55-0, 0)</f>
        <v>0</v>
      </c>
      <c r="Z56" s="718">
        <f>IF([96]Source!BI1132=3,J55-0, 0)</f>
        <v>0</v>
      </c>
      <c r="AA56" s="718">
        <f>IF([96]Source!BI1132=4,J55,0)</f>
        <v>0</v>
      </c>
    </row>
    <row r="57" spans="1:27" ht="45" x14ac:dyDescent="0.25">
      <c r="A57" s="691">
        <v>7</v>
      </c>
      <c r="B57" s="691" t="str">
        <f>[96]Source!E1152</f>
        <v>147</v>
      </c>
      <c r="C57" s="692" t="str">
        <f>[96]Source!F1152</f>
        <v>3.20-11-15</v>
      </c>
      <c r="D57" s="692" t="s">
        <v>490</v>
      </c>
      <c r="E57" s="693" t="str">
        <f>[96]Source!H1152</f>
        <v>1 клапан</v>
      </c>
      <c r="F57" s="694">
        <f>[96]Source!I1152</f>
        <v>19</v>
      </c>
      <c r="G57" s="695"/>
      <c r="H57" s="696"/>
      <c r="I57" s="694"/>
      <c r="J57" s="697"/>
      <c r="K57" s="694"/>
      <c r="L57" s="697"/>
      <c r="Q57" s="718">
        <f>ROUND(([96]Source!DN1152/100)*ROUND((ROUND(([96]Source!AF1152*[96]Source!AV1152*[96]Source!I1152),2)),2), 2)</f>
        <v>2100.9299999999998</v>
      </c>
      <c r="R57" s="718">
        <f>[96]Source!X1152</f>
        <v>40724.33</v>
      </c>
      <c r="S57" s="718">
        <f>ROUND(([96]Source!DO1152/100)*ROUND((ROUND(([96]Source!AF1152*[96]Source!AV1152*[96]Source!I1152),2)),2), 2)</f>
        <v>1579.9</v>
      </c>
      <c r="T57" s="718">
        <f>[96]Source!Y1152</f>
        <v>18325.95</v>
      </c>
      <c r="U57" s="718">
        <f>ROUND((175/100)*ROUND((ROUND(([96]Source!AE1152*[96]Source!AV1152*[96]Source!I1152),2)),2), 2)</f>
        <v>21.77</v>
      </c>
      <c r="V57" s="718">
        <f>ROUND((157/100)*ROUND(ROUND((ROUND(([96]Source!AE1152*[96]Source!AV1152*[96]Source!I1152),2)*[96]Source!BS1152),2), 2), 2)</f>
        <v>473.23</v>
      </c>
    </row>
    <row r="58" spans="1:27" ht="15" x14ac:dyDescent="0.25">
      <c r="A58" s="691"/>
      <c r="B58" s="691"/>
      <c r="C58" s="692"/>
      <c r="D58" s="692" t="s">
        <v>84</v>
      </c>
      <c r="E58" s="693"/>
      <c r="F58" s="694"/>
      <c r="G58" s="695">
        <f>[96]Source!AO1152</f>
        <v>47.28</v>
      </c>
      <c r="H58" s="696" t="str">
        <f>[96]Source!DG1152</f>
        <v>)*1,67)*1,05</v>
      </c>
      <c r="I58" s="694">
        <f>[96]Source!AV1152</f>
        <v>1.0669999999999999</v>
      </c>
      <c r="J58" s="697">
        <f>ROUND((ROUND(([96]Source!AF1152*[96]Source!AV1152*[96]Source!I1152),2)),2)</f>
        <v>1680.74</v>
      </c>
      <c r="K58" s="694">
        <f>IF([96]Source!BA1152&lt;&gt; 0, [96]Source!BA1152, 1)</f>
        <v>24.23</v>
      </c>
      <c r="L58" s="697">
        <f>[96]Source!S1152</f>
        <v>40724.33</v>
      </c>
      <c r="W58" s="718">
        <f>J58</f>
        <v>1680.74</v>
      </c>
    </row>
    <row r="59" spans="1:27" ht="15" x14ac:dyDescent="0.25">
      <c r="A59" s="691"/>
      <c r="B59" s="691"/>
      <c r="C59" s="692"/>
      <c r="D59" s="692" t="s">
        <v>85</v>
      </c>
      <c r="E59" s="693"/>
      <c r="F59" s="694"/>
      <c r="G59" s="695">
        <f>[96]Source!AM1152</f>
        <v>1.49</v>
      </c>
      <c r="H59" s="696" t="str">
        <f>[96]Source!DE1152</f>
        <v>)*1,05</v>
      </c>
      <c r="I59" s="694">
        <f>[96]Source!AV1152</f>
        <v>1.0669999999999999</v>
      </c>
      <c r="J59" s="697">
        <f>(ROUND((ROUND(((([96]Source!ET1152*1.05))*[96]Source!AV1152*[96]Source!I1152),2)),2)+ROUND((ROUND((([96]Source!AE1152-(([96]Source!EU1152*1.05)))*[96]Source!AV1152*[96]Source!I1152),2)),2))-J68</f>
        <v>31.72</v>
      </c>
      <c r="K59" s="694">
        <f>IF([96]Source!BB1152&lt;&gt; 0, [96]Source!BB1152, 1)</f>
        <v>9.9499999999999993</v>
      </c>
      <c r="L59" s="697">
        <f>[96]Source!Q1152-L68</f>
        <v>315.57</v>
      </c>
    </row>
    <row r="60" spans="1:27" ht="15" x14ac:dyDescent="0.25">
      <c r="A60" s="691"/>
      <c r="B60" s="691"/>
      <c r="C60" s="692"/>
      <c r="D60" s="692" t="s">
        <v>86</v>
      </c>
      <c r="E60" s="693"/>
      <c r="F60" s="694"/>
      <c r="G60" s="695">
        <f>[96]Source!AN1152</f>
        <v>0.35</v>
      </c>
      <c r="H60" s="696" t="str">
        <f>[96]Source!DE1152</f>
        <v>)*1,05</v>
      </c>
      <c r="I60" s="694">
        <f>[96]Source!AV1152</f>
        <v>1.0669999999999999</v>
      </c>
      <c r="J60" s="700">
        <f>ROUND((ROUND(([96]Source!AE1152*[96]Source!AV1152*[96]Source!I1152),2)),2)-J69</f>
        <v>7.45</v>
      </c>
      <c r="K60" s="694">
        <f>IF([96]Source!BS1152&lt;&gt; 0, [96]Source!BS1152, 1)</f>
        <v>24.23</v>
      </c>
      <c r="L60" s="700">
        <f>[96]Source!R1152-L69</f>
        <v>180.47</v>
      </c>
      <c r="W60" s="718">
        <f>J60</f>
        <v>7.45</v>
      </c>
    </row>
    <row r="61" spans="1:27" ht="15" x14ac:dyDescent="0.25">
      <c r="A61" s="691"/>
      <c r="B61" s="691"/>
      <c r="C61" s="692"/>
      <c r="D61" s="692" t="s">
        <v>87</v>
      </c>
      <c r="E61" s="693"/>
      <c r="F61" s="694"/>
      <c r="G61" s="695">
        <f>[96]Source!AL1152</f>
        <v>15.67</v>
      </c>
      <c r="H61" s="696" t="str">
        <f>[96]Source!DD1152</f>
        <v/>
      </c>
      <c r="I61" s="694">
        <f>[96]Source!AW1152</f>
        <v>1</v>
      </c>
      <c r="J61" s="697">
        <f>ROUND((ROUND(([96]Source!AC1152*[96]Source!AW1152*[96]Source!I1152),2)),2)</f>
        <v>297.73</v>
      </c>
      <c r="K61" s="694">
        <f>IF([96]Source!BC1152&lt;&gt; 0, [96]Source!BC1152, 1)</f>
        <v>8.25</v>
      </c>
      <c r="L61" s="697">
        <f>[96]Source!P1152</f>
        <v>2456.27</v>
      </c>
    </row>
    <row r="62" spans="1:27" ht="15" x14ac:dyDescent="0.25">
      <c r="A62" s="691"/>
      <c r="B62" s="691"/>
      <c r="C62" s="692"/>
      <c r="D62" s="692" t="s">
        <v>88</v>
      </c>
      <c r="E62" s="693" t="s">
        <v>89</v>
      </c>
      <c r="F62" s="694">
        <f>[96]Source!DN1152</f>
        <v>125</v>
      </c>
      <c r="G62" s="695"/>
      <c r="H62" s="696"/>
      <c r="I62" s="694"/>
      <c r="J62" s="697">
        <f>SUM(Q57:Q61)</f>
        <v>2100.9299999999998</v>
      </c>
      <c r="K62" s="694">
        <f>[96]Source!BZ1152</f>
        <v>100</v>
      </c>
      <c r="L62" s="697">
        <f>SUM(R57:R61)</f>
        <v>40724.33</v>
      </c>
    </row>
    <row r="63" spans="1:27" ht="15" x14ac:dyDescent="0.25">
      <c r="A63" s="691"/>
      <c r="B63" s="691"/>
      <c r="C63" s="692"/>
      <c r="D63" s="692" t="s">
        <v>90</v>
      </c>
      <c r="E63" s="693" t="s">
        <v>89</v>
      </c>
      <c r="F63" s="694">
        <f>[96]Source!DO1152</f>
        <v>94</v>
      </c>
      <c r="G63" s="695"/>
      <c r="H63" s="696"/>
      <c r="I63" s="694"/>
      <c r="J63" s="697">
        <f>SUM(S57:S62)</f>
        <v>1579.9</v>
      </c>
      <c r="K63" s="694">
        <f>[96]Source!CA1152</f>
        <v>45</v>
      </c>
      <c r="L63" s="697">
        <f>SUM(T57:T62)</f>
        <v>18325.95</v>
      </c>
    </row>
    <row r="64" spans="1:27" ht="15" x14ac:dyDescent="0.25">
      <c r="A64" s="691"/>
      <c r="B64" s="691"/>
      <c r="C64" s="692"/>
      <c r="D64" s="692" t="s">
        <v>91</v>
      </c>
      <c r="E64" s="693" t="s">
        <v>89</v>
      </c>
      <c r="F64" s="694">
        <f>175</f>
        <v>175</v>
      </c>
      <c r="G64" s="695"/>
      <c r="H64" s="696"/>
      <c r="I64" s="694"/>
      <c r="J64" s="697">
        <f>SUM(U57:U63)-J70</f>
        <v>13.04</v>
      </c>
      <c r="K64" s="694">
        <f>157</f>
        <v>157</v>
      </c>
      <c r="L64" s="697">
        <f>SUM(V57:V63)-L70</f>
        <v>283.33999999999997</v>
      </c>
    </row>
    <row r="65" spans="1:27" ht="15" x14ac:dyDescent="0.25">
      <c r="A65" s="691"/>
      <c r="B65" s="691"/>
      <c r="C65" s="692"/>
      <c r="D65" s="692" t="s">
        <v>92</v>
      </c>
      <c r="E65" s="693" t="s">
        <v>93</v>
      </c>
      <c r="F65" s="694">
        <f>[96]Source!AQ1152</f>
        <v>4.0199999999999996</v>
      </c>
      <c r="G65" s="695"/>
      <c r="H65" s="696" t="str">
        <f>[96]Source!DI1152</f>
        <v>)*1,05</v>
      </c>
      <c r="I65" s="694">
        <f>[96]Source!AV1152</f>
        <v>1.0669999999999999</v>
      </c>
      <c r="J65" s="697">
        <f>[96]Source!U1152</f>
        <v>85.57</v>
      </c>
      <c r="K65" s="694"/>
      <c r="L65" s="697"/>
    </row>
    <row r="66" spans="1:27" ht="14.25" x14ac:dyDescent="0.2">
      <c r="I66" s="1067">
        <f>J58+J59+J61+J62+J63+J64</f>
        <v>5704.06</v>
      </c>
      <c r="J66" s="1067"/>
      <c r="K66" s="1067">
        <f>L58+L59+L61+L62+L63+L64</f>
        <v>102829.79</v>
      </c>
      <c r="L66" s="1067"/>
      <c r="O66" s="736">
        <f>J58+J59+J61+J62+J63+J64</f>
        <v>5704.06</v>
      </c>
      <c r="P66" s="736">
        <f>L58+L59+L61+L62+L63+L64</f>
        <v>102829.79</v>
      </c>
      <c r="X66" s="718">
        <f>IF([96]Source!BI1152&lt;=1,J58+J59+J61+J62+J63+J64-0, 0)</f>
        <v>5704.06</v>
      </c>
      <c r="Y66" s="718">
        <f>IF([96]Source!BI1152=2,J58+J59+J61+J62+J63+J64-0, 0)</f>
        <v>0</v>
      </c>
      <c r="Z66" s="718">
        <f>IF([96]Source!BI1152=3,J58+J59+J61+J62+J63+J64-0, 0)</f>
        <v>0</v>
      </c>
      <c r="AA66" s="718">
        <f>IF([96]Source!BI1152=4,J58+J59+J61+J62+J63+J64,0)</f>
        <v>0</v>
      </c>
    </row>
    <row r="67" spans="1:27" ht="30" x14ac:dyDescent="0.25">
      <c r="A67" s="701"/>
      <c r="B67" s="701"/>
      <c r="C67" s="702"/>
      <c r="D67" s="702" t="s">
        <v>94</v>
      </c>
      <c r="E67" s="693"/>
      <c r="F67" s="703"/>
      <c r="G67" s="704"/>
      <c r="H67" s="693"/>
      <c r="I67" s="703"/>
      <c r="J67" s="700"/>
      <c r="K67" s="703"/>
      <c r="L67" s="700"/>
    </row>
    <row r="68" spans="1:27" ht="15" x14ac:dyDescent="0.25">
      <c r="A68" s="701"/>
      <c r="B68" s="701"/>
      <c r="C68" s="702"/>
      <c r="D68" s="702" t="s">
        <v>85</v>
      </c>
      <c r="E68" s="693"/>
      <c r="F68" s="703"/>
      <c r="G68" s="704">
        <f t="shared" ref="G68:L68" si="2">G69</f>
        <v>0.35</v>
      </c>
      <c r="H68" s="705" t="str">
        <f t="shared" si="2"/>
        <v>)*(1.67-1)*1.05</v>
      </c>
      <c r="I68" s="703">
        <f t="shared" si="2"/>
        <v>1.0669999999999999</v>
      </c>
      <c r="J68" s="700">
        <f t="shared" si="2"/>
        <v>4.99</v>
      </c>
      <c r="K68" s="703">
        <f t="shared" si="2"/>
        <v>24.23</v>
      </c>
      <c r="L68" s="700">
        <f t="shared" si="2"/>
        <v>120.95</v>
      </c>
    </row>
    <row r="69" spans="1:27" ht="15" x14ac:dyDescent="0.25">
      <c r="A69" s="701"/>
      <c r="B69" s="701"/>
      <c r="C69" s="702"/>
      <c r="D69" s="702" t="s">
        <v>86</v>
      </c>
      <c r="E69" s="693"/>
      <c r="F69" s="703"/>
      <c r="G69" s="704">
        <f>[96]Source!AN1152</f>
        <v>0.35</v>
      </c>
      <c r="H69" s="705" t="s">
        <v>491</v>
      </c>
      <c r="I69" s="703">
        <f>[96]Source!AV1152</f>
        <v>1.0669999999999999</v>
      </c>
      <c r="J69" s="700">
        <f>ROUND(F57*G69*I69*(1.67-1)*1.05, 2)</f>
        <v>4.99</v>
      </c>
      <c r="K69" s="703">
        <f>IF([96]Source!BS1152&lt;&gt; 0, [96]Source!BS1152, 1)</f>
        <v>24.23</v>
      </c>
      <c r="L69" s="700">
        <f>ROUND(F57*G69*I69*(1.67-1)*1.05*K69, 2)</f>
        <v>120.95</v>
      </c>
      <c r="W69" s="718">
        <f>J69</f>
        <v>4.99</v>
      </c>
    </row>
    <row r="70" spans="1:27" ht="15" x14ac:dyDescent="0.25">
      <c r="A70" s="701"/>
      <c r="B70" s="701"/>
      <c r="C70" s="702"/>
      <c r="D70" s="702" t="s">
        <v>91</v>
      </c>
      <c r="E70" s="693" t="s">
        <v>89</v>
      </c>
      <c r="F70" s="703">
        <f>175</f>
        <v>175</v>
      </c>
      <c r="G70" s="704"/>
      <c r="H70" s="693"/>
      <c r="I70" s="703"/>
      <c r="J70" s="700">
        <f>ROUND(J69*(F70/100), 2)</f>
        <v>8.73</v>
      </c>
      <c r="K70" s="703">
        <f>157</f>
        <v>157</v>
      </c>
      <c r="L70" s="700">
        <f>ROUND(L69*(K70/100), 2)</f>
        <v>189.89</v>
      </c>
    </row>
    <row r="71" spans="1:27" ht="14.25" x14ac:dyDescent="0.2">
      <c r="I71" s="1067">
        <f>J70+J69</f>
        <v>13.72</v>
      </c>
      <c r="J71" s="1067"/>
      <c r="K71" s="1067">
        <f>L70+L69</f>
        <v>310.83999999999997</v>
      </c>
      <c r="L71" s="1067"/>
      <c r="O71" s="736">
        <f>I71</f>
        <v>13.72</v>
      </c>
      <c r="P71" s="736">
        <f>K71</f>
        <v>310.83999999999997</v>
      </c>
      <c r="X71" s="718">
        <f>IF([96]Source!BI1152&lt;=1,I71, 0)</f>
        <v>13.72</v>
      </c>
      <c r="Y71" s="718">
        <f>IF([96]Source!BI1152=2,I71, 0)</f>
        <v>0</v>
      </c>
      <c r="Z71" s="718">
        <f>IF([96]Source!BI1152=3,I71, 0)</f>
        <v>0</v>
      </c>
      <c r="AA71" s="718">
        <f>IF([96]Source!BI1152=4,I71, 0)</f>
        <v>0</v>
      </c>
    </row>
    <row r="73" spans="1:27" ht="15" x14ac:dyDescent="0.25">
      <c r="A73" s="706"/>
      <c r="B73" s="706"/>
      <c r="C73" s="707"/>
      <c r="D73" s="707" t="s">
        <v>96</v>
      </c>
      <c r="E73" s="708"/>
      <c r="F73" s="709"/>
      <c r="G73" s="710"/>
      <c r="H73" s="711"/>
      <c r="I73" s="1067">
        <f>I66+I71</f>
        <v>5717.78</v>
      </c>
      <c r="J73" s="1067"/>
      <c r="K73" s="1067">
        <f>K66+K71</f>
        <v>103140.63</v>
      </c>
      <c r="L73" s="1067"/>
    </row>
    <row r="74" spans="1:27" ht="192.6" customHeight="1" x14ac:dyDescent="0.25">
      <c r="A74" s="691">
        <v>8</v>
      </c>
      <c r="B74" s="691" t="str">
        <f>[96]Source!E1154</f>
        <v>148</v>
      </c>
      <c r="C74" s="692" t="str">
        <f>[96]Source!F1154</f>
        <v>МКЭ-33-1005/8-1 от 26.07.2018г.</v>
      </c>
      <c r="D74" s="692" t="s">
        <v>732</v>
      </c>
      <c r="E74" s="693" t="str">
        <f>[96]Source!H1154</f>
        <v>шт.</v>
      </c>
      <c r="F74" s="694">
        <f>[96]Source!I1154</f>
        <v>4</v>
      </c>
      <c r="G74" s="695">
        <f>[96]Source!AL1154</f>
        <v>2636.28</v>
      </c>
      <c r="H74" s="696"/>
      <c r="I74" s="694">
        <f>[96]Source!AW1154</f>
        <v>1</v>
      </c>
      <c r="J74" s="697">
        <f>ROUND((ROUND(([96]Source!AC1154*[96]Source!AW1154*[96]Source!I1154),2)),2)</f>
        <v>10756.02</v>
      </c>
      <c r="K74" s="694">
        <f>IF([96]Source!BC1154&lt;&gt; 0, [96]Source!BC1154, 1)</f>
        <v>5.58</v>
      </c>
      <c r="L74" s="697">
        <f>13814.13*F74*1.02</f>
        <v>56361.65</v>
      </c>
      <c r="M74" s="749">
        <f>13814.13*F74*1.02</f>
        <v>56361.65</v>
      </c>
      <c r="Q74" s="718">
        <f>ROUND(([96]Source!DN1154/100)*ROUND((ROUND(([96]Source!AF1154*[96]Source!AV1154*[96]Source!I1154),2)),2), 2)</f>
        <v>0</v>
      </c>
      <c r="R74" s="718">
        <f>[96]Source!X1154</f>
        <v>0</v>
      </c>
      <c r="S74" s="718">
        <f>ROUND(([96]Source!DO1154/100)*ROUND((ROUND(([96]Source!AF1154*[96]Source!AV1154*[96]Source!I1154),2)),2), 2)</f>
        <v>0</v>
      </c>
      <c r="T74" s="718">
        <f>[96]Source!Y1154</f>
        <v>0</v>
      </c>
      <c r="U74" s="718">
        <f>ROUND((175/100)*ROUND((ROUND(([96]Source!AE1154*[96]Source!AV1154*[96]Source!I1154),2)),2), 2)</f>
        <v>0</v>
      </c>
      <c r="V74" s="718">
        <f>ROUND((157/100)*ROUND(ROUND((ROUND(([96]Source!AE1154*[96]Source!AV1154*[96]Source!I1154),2)*[96]Source!BS1154),2), 2), 2)</f>
        <v>0</v>
      </c>
    </row>
    <row r="75" spans="1:27" ht="14.25" x14ac:dyDescent="0.2">
      <c r="A75" s="737"/>
      <c r="B75" s="737"/>
      <c r="C75" s="737"/>
      <c r="D75" s="737"/>
      <c r="E75" s="737"/>
      <c r="F75" s="737"/>
      <c r="G75" s="737"/>
      <c r="H75" s="737"/>
      <c r="I75" s="1067">
        <f>J74</f>
        <v>10756.02</v>
      </c>
      <c r="J75" s="1067"/>
      <c r="K75" s="1067">
        <f>L74</f>
        <v>56361.65</v>
      </c>
      <c r="L75" s="1067"/>
      <c r="M75" s="749"/>
      <c r="O75" s="736">
        <f>J74</f>
        <v>10756.02</v>
      </c>
      <c r="P75" s="736">
        <f>L74</f>
        <v>56361.65</v>
      </c>
      <c r="X75" s="718">
        <f>IF([96]Source!BI1154&lt;=1,J74-0, 0)</f>
        <v>10756.02</v>
      </c>
      <c r="Y75" s="718">
        <f>IF([96]Source!BI1154=2,J74-0, 0)</f>
        <v>0</v>
      </c>
      <c r="Z75" s="718">
        <f>IF([96]Source!BI1154=3,J74-0, 0)</f>
        <v>0</v>
      </c>
      <c r="AA75" s="718">
        <f>IF([96]Source!BI1154=4,J74,0)</f>
        <v>0</v>
      </c>
    </row>
    <row r="76" spans="1:27" ht="176.45" customHeight="1" x14ac:dyDescent="0.25">
      <c r="A76" s="691">
        <v>9</v>
      </c>
      <c r="B76" s="691" t="str">
        <f>[96]Source!E1156</f>
        <v>149</v>
      </c>
      <c r="C76" s="692" t="str">
        <f>[96]Source!F1156</f>
        <v>МКЭ-33-1005/8-1  26.07.2018</v>
      </c>
      <c r="D76" s="692" t="s">
        <v>733</v>
      </c>
      <c r="E76" s="693" t="str">
        <f>[96]Source!H1156</f>
        <v>шт.</v>
      </c>
      <c r="F76" s="694">
        <f>[96]Source!I1156</f>
        <v>5</v>
      </c>
      <c r="G76" s="695">
        <f>[96]Source!AL1156</f>
        <v>2539.27</v>
      </c>
      <c r="H76" s="696" t="str">
        <f>[96]Source!DD1156</f>
        <v/>
      </c>
      <c r="I76" s="694">
        <f>[96]Source!AW1156</f>
        <v>1</v>
      </c>
      <c r="J76" s="697">
        <f>ROUND((ROUND(([96]Source!AC1156*[96]Source!AW1156*[96]Source!I1156),2)),2)</f>
        <v>12696.35</v>
      </c>
      <c r="K76" s="694">
        <f>IF([96]Source!BC1156&lt;&gt; 0, [96]Source!BC1156, 1)</f>
        <v>5.58</v>
      </c>
      <c r="L76" s="697">
        <f>13891.32*F76*1.02</f>
        <v>70845.73</v>
      </c>
      <c r="M76" s="749">
        <f>13891.32*F76*1.02</f>
        <v>70845.73</v>
      </c>
      <c r="Q76" s="718">
        <f>ROUND(([96]Source!DN1156/100)*ROUND((ROUND(([96]Source!AF1156*[96]Source!AV1156*[96]Source!I1156),2)),2), 2)</f>
        <v>0</v>
      </c>
      <c r="R76" s="718">
        <f>[96]Source!X1156</f>
        <v>0</v>
      </c>
      <c r="S76" s="718">
        <f>ROUND(([96]Source!DO1156/100)*ROUND((ROUND(([96]Source!AF1156*[96]Source!AV1156*[96]Source!I1156),2)),2), 2)</f>
        <v>0</v>
      </c>
      <c r="T76" s="718">
        <f>[96]Source!Y1156</f>
        <v>0</v>
      </c>
      <c r="U76" s="718">
        <f>ROUND((175/100)*ROUND((ROUND(([96]Source!AE1156*[96]Source!AV1156*[96]Source!I1156),2)),2), 2)</f>
        <v>0</v>
      </c>
      <c r="V76" s="718">
        <f>ROUND((157/100)*ROUND(ROUND((ROUND(([96]Source!AE1156*[96]Source!AV1156*[96]Source!I1156),2)*[96]Source!BS1156),2), 2), 2)</f>
        <v>0</v>
      </c>
    </row>
    <row r="77" spans="1:27" ht="14.25" x14ac:dyDescent="0.2">
      <c r="A77" s="737"/>
      <c r="B77" s="737"/>
      <c r="C77" s="737"/>
      <c r="D77" s="737"/>
      <c r="E77" s="737"/>
      <c r="F77" s="737"/>
      <c r="G77" s="737"/>
      <c r="H77" s="737"/>
      <c r="I77" s="1067">
        <f>J76</f>
        <v>12696.35</v>
      </c>
      <c r="J77" s="1067"/>
      <c r="K77" s="1067">
        <f>L76</f>
        <v>70845.73</v>
      </c>
      <c r="L77" s="1067"/>
      <c r="M77" s="749">
        <f t="shared" ref="M77" si="3">13891.32*F77*1.02</f>
        <v>0</v>
      </c>
      <c r="O77" s="736">
        <f>J76</f>
        <v>12696.35</v>
      </c>
      <c r="P77" s="736">
        <f>L76</f>
        <v>70845.73</v>
      </c>
      <c r="X77" s="718">
        <f>IF([96]Source!BI1156&lt;=1,J76-0, 0)</f>
        <v>12696.35</v>
      </c>
      <c r="Y77" s="718">
        <f>IF([96]Source!BI1156=2,J76-0, 0)</f>
        <v>0</v>
      </c>
      <c r="Z77" s="718">
        <f>IF([96]Source!BI1156=3,J76-0, 0)</f>
        <v>0</v>
      </c>
      <c r="AA77" s="718">
        <f>IF([96]Source!BI1156=4,J76,0)</f>
        <v>0</v>
      </c>
    </row>
    <row r="78" spans="1:27" ht="190.15" customHeight="1" x14ac:dyDescent="0.25">
      <c r="A78" s="691">
        <v>10</v>
      </c>
      <c r="B78" s="691" t="str">
        <f>[96]Source!E1158</f>
        <v>150</v>
      </c>
      <c r="C78" s="692" t="str">
        <f>[96]Source!F1158</f>
        <v>МКЭ-33-1142/8-1  15.08.2018</v>
      </c>
      <c r="D78" s="692" t="s">
        <v>734</v>
      </c>
      <c r="E78" s="693" t="str">
        <f>[96]Source!H1158</f>
        <v>шт.</v>
      </c>
      <c r="F78" s="694">
        <f>[96]Source!I1158</f>
        <v>3</v>
      </c>
      <c r="G78" s="695">
        <f>[96]Source!AL1158</f>
        <v>2753.06</v>
      </c>
      <c r="H78" s="696"/>
      <c r="I78" s="694">
        <f>[96]Source!AW1158</f>
        <v>1</v>
      </c>
      <c r="J78" s="697">
        <f>ROUND((ROUND(([96]Source!AC1158*[96]Source!AW1158*[96]Source!I1158),2)),2)</f>
        <v>8424.36</v>
      </c>
      <c r="K78" s="694">
        <f>IF([96]Source!BC1158&lt;&gt; 0, [96]Source!BC1158, 1)</f>
        <v>5.58</v>
      </c>
      <c r="L78" s="697">
        <f>14426.03*F78*1.02</f>
        <v>44143.65</v>
      </c>
      <c r="M78" s="749">
        <f>14426.03*F78*1.02</f>
        <v>44143.65</v>
      </c>
      <c r="Q78" s="718">
        <f>ROUND(([96]Source!DN1158/100)*ROUND((ROUND(([96]Source!AF1158*[96]Source!AV1158*[96]Source!I1158),2)),2), 2)</f>
        <v>0</v>
      </c>
      <c r="R78" s="718">
        <f>[96]Source!X1158</f>
        <v>0</v>
      </c>
      <c r="S78" s="718">
        <f>ROUND(([96]Source!DO1158/100)*ROUND((ROUND(([96]Source!AF1158*[96]Source!AV1158*[96]Source!I1158),2)),2), 2)</f>
        <v>0</v>
      </c>
      <c r="T78" s="718">
        <f>[96]Source!Y1158</f>
        <v>0</v>
      </c>
      <c r="U78" s="718">
        <f>ROUND((175/100)*ROUND((ROUND(([96]Source!AE1158*[96]Source!AV1158*[96]Source!I1158),2)),2), 2)</f>
        <v>0</v>
      </c>
      <c r="V78" s="718">
        <f>ROUND((157/100)*ROUND(ROUND((ROUND(([96]Source!AE1158*[96]Source!AV1158*[96]Source!I1158),2)*[96]Source!BS1158),2), 2), 2)</f>
        <v>0</v>
      </c>
    </row>
    <row r="79" spans="1:27" ht="14.25" x14ac:dyDescent="0.2">
      <c r="A79" s="737"/>
      <c r="B79" s="737"/>
      <c r="C79" s="737"/>
      <c r="D79" s="737"/>
      <c r="E79" s="737"/>
      <c r="F79" s="737"/>
      <c r="G79" s="737"/>
      <c r="H79" s="737"/>
      <c r="I79" s="1067">
        <f>J78</f>
        <v>8424.36</v>
      </c>
      <c r="J79" s="1067"/>
      <c r="K79" s="1067">
        <f>L78</f>
        <v>44143.65</v>
      </c>
      <c r="L79" s="1067"/>
      <c r="M79" s="749">
        <f t="shared" ref="M79" si="4">14426.03*F79*1.02</f>
        <v>0</v>
      </c>
      <c r="O79" s="736">
        <f>J78</f>
        <v>8424.36</v>
      </c>
      <c r="P79" s="736">
        <f>L78</f>
        <v>44143.65</v>
      </c>
      <c r="X79" s="718">
        <f>IF([96]Source!BI1158&lt;=1,J78-0, 0)</f>
        <v>8424.36</v>
      </c>
      <c r="Y79" s="718">
        <f>IF([96]Source!BI1158=2,J78-0, 0)</f>
        <v>0</v>
      </c>
      <c r="Z79" s="718">
        <f>IF([96]Source!BI1158=3,J78-0, 0)</f>
        <v>0</v>
      </c>
      <c r="AA79" s="718">
        <f>IF([96]Source!BI1158=4,J78,0)</f>
        <v>0</v>
      </c>
    </row>
    <row r="80" spans="1:27" ht="192" customHeight="1" x14ac:dyDescent="0.25">
      <c r="A80" s="691">
        <v>11</v>
      </c>
      <c r="B80" s="691" t="str">
        <f>[96]Source!E1160</f>
        <v>151</v>
      </c>
      <c r="C80" s="692" t="str">
        <f>[96]Source!F1160</f>
        <v>МКЭ-33-1005/8-1 от 26.07.2018г.</v>
      </c>
      <c r="D80" s="692" t="s">
        <v>735</v>
      </c>
      <c r="E80" s="693" t="str">
        <f>[96]Source!H1160</f>
        <v>шт.</v>
      </c>
      <c r="F80" s="694">
        <f>[96]Source!I1160</f>
        <v>2</v>
      </c>
      <c r="G80" s="695">
        <f>[96]Source!AL1160</f>
        <v>2665.74</v>
      </c>
      <c r="H80" s="696"/>
      <c r="I80" s="694">
        <f>[96]Source!AW1160</f>
        <v>1</v>
      </c>
      <c r="J80" s="697">
        <f>ROUND((ROUND(([96]Source!AC1160*[96]Source!AW1160*[96]Source!I1160),2)),2)</f>
        <v>5438.11</v>
      </c>
      <c r="K80" s="694">
        <f>IF([96]Source!BC1160&lt;&gt; 0, [96]Source!BC1160, 1)</f>
        <v>5.58</v>
      </c>
      <c r="L80" s="697">
        <f>13968.5*F80*1.02</f>
        <v>28495.74</v>
      </c>
      <c r="M80" s="749">
        <f>13968.5*F80*1.02</f>
        <v>28495.74</v>
      </c>
      <c r="Q80" s="718">
        <f>ROUND(([96]Source!DN1160/100)*ROUND((ROUND(([96]Source!AF1160*[96]Source!AV1160*[96]Source!I1160),2)),2), 2)</f>
        <v>0</v>
      </c>
      <c r="R80" s="718">
        <f>[96]Source!X1160</f>
        <v>0</v>
      </c>
      <c r="S80" s="718">
        <f>ROUND(([96]Source!DO1160/100)*ROUND((ROUND(([96]Source!AF1160*[96]Source!AV1160*[96]Source!I1160),2)),2), 2)</f>
        <v>0</v>
      </c>
      <c r="T80" s="718">
        <f>[96]Source!Y1160</f>
        <v>0</v>
      </c>
      <c r="U80" s="718">
        <f>ROUND((175/100)*ROUND((ROUND(([96]Source!AE1160*[96]Source!AV1160*[96]Source!I1160),2)),2), 2)</f>
        <v>0</v>
      </c>
      <c r="V80" s="718">
        <f>ROUND((157/100)*ROUND(ROUND((ROUND(([96]Source!AE1160*[96]Source!AV1160*[96]Source!I1160),2)*[96]Source!BS1160),2), 2), 2)</f>
        <v>0</v>
      </c>
    </row>
    <row r="81" spans="1:44" ht="14.25" x14ac:dyDescent="0.2">
      <c r="A81" s="737"/>
      <c r="B81" s="737"/>
      <c r="C81" s="737"/>
      <c r="D81" s="737"/>
      <c r="E81" s="737"/>
      <c r="F81" s="737"/>
      <c r="G81" s="737"/>
      <c r="H81" s="737"/>
      <c r="I81" s="1067">
        <f>J80</f>
        <v>5438.11</v>
      </c>
      <c r="J81" s="1067"/>
      <c r="K81" s="1067">
        <f>L80</f>
        <v>28495.74</v>
      </c>
      <c r="L81" s="1067"/>
      <c r="M81" s="749">
        <f t="shared" ref="M81" si="5">13968.5*F81*1.02</f>
        <v>0</v>
      </c>
      <c r="O81" s="736">
        <f>J80</f>
        <v>5438.11</v>
      </c>
      <c r="P81" s="736">
        <f>L80</f>
        <v>28495.74</v>
      </c>
      <c r="X81" s="718">
        <f>IF([96]Source!BI1160&lt;=1,J80-0, 0)</f>
        <v>5438.11</v>
      </c>
      <c r="Y81" s="718">
        <f>IF([96]Source!BI1160=2,J80-0, 0)</f>
        <v>0</v>
      </c>
      <c r="Z81" s="718">
        <f>IF([96]Source!BI1160=3,J80-0, 0)</f>
        <v>0</v>
      </c>
      <c r="AA81" s="718">
        <f>IF([96]Source!BI1160=4,J80,0)</f>
        <v>0</v>
      </c>
    </row>
    <row r="82" spans="1:44" ht="221.45" customHeight="1" x14ac:dyDescent="0.25">
      <c r="A82" s="691">
        <v>12</v>
      </c>
      <c r="B82" s="691" t="str">
        <f>[96]Source!E1166</f>
        <v>154</v>
      </c>
      <c r="C82" s="692" t="str">
        <f>[96]Source!F1166</f>
        <v>МКЭ-28-1896/5-1  18.01.2016</v>
      </c>
      <c r="D82" s="692" t="s">
        <v>736</v>
      </c>
      <c r="E82" s="693" t="str">
        <f>[96]Source!H1166</f>
        <v>шт.</v>
      </c>
      <c r="F82" s="694">
        <f>[96]Source!I1166</f>
        <v>1</v>
      </c>
      <c r="G82" s="695">
        <f>[96]Source!AL1166</f>
        <v>2543.7199999999998</v>
      </c>
      <c r="H82" s="696"/>
      <c r="I82" s="694">
        <f>[96]Source!AW1166</f>
        <v>1</v>
      </c>
      <c r="J82" s="697">
        <f>ROUND((ROUND(([96]Source!AC1166*[96]Source!AW1166*[96]Source!I1166),2)),2)</f>
        <v>2594.59</v>
      </c>
      <c r="K82" s="694">
        <f>IF([96]Source!BC1166&lt;&gt; 0, [96]Source!BC1166, 1)</f>
        <v>5.58</v>
      </c>
      <c r="L82" s="697">
        <f>13329.1*F82*1.02</f>
        <v>13595.68</v>
      </c>
      <c r="M82" s="749">
        <f>13329.1*F82*1.02</f>
        <v>13595.68</v>
      </c>
      <c r="Q82" s="718">
        <f>ROUND(([96]Source!DN1166/100)*ROUND((ROUND(([96]Source!AF1166*[96]Source!AV1166*[96]Source!I1166),2)),2), 2)</f>
        <v>0</v>
      </c>
      <c r="R82" s="718">
        <f>[96]Source!X1166</f>
        <v>0</v>
      </c>
      <c r="S82" s="718">
        <f>ROUND(([96]Source!DO1166/100)*ROUND((ROUND(([96]Source!AF1166*[96]Source!AV1166*[96]Source!I1166),2)),2), 2)</f>
        <v>0</v>
      </c>
      <c r="T82" s="718">
        <f>[96]Source!Y1166</f>
        <v>0</v>
      </c>
      <c r="U82" s="718">
        <f>ROUND((175/100)*ROUND((ROUND(([96]Source!AE1166*[96]Source!AV1166*[96]Source!I1166),2)),2), 2)</f>
        <v>0</v>
      </c>
      <c r="V82" s="718">
        <f>ROUND((157/100)*ROUND(ROUND((ROUND(([96]Source!AE1166*[96]Source!AV1166*[96]Source!I1166),2)*[96]Source!BS1166),2), 2), 2)</f>
        <v>0</v>
      </c>
    </row>
    <row r="83" spans="1:44" ht="14.25" x14ac:dyDescent="0.2">
      <c r="A83" s="737"/>
      <c r="B83" s="737"/>
      <c r="C83" s="737"/>
      <c r="D83" s="737"/>
      <c r="E83" s="737"/>
      <c r="F83" s="737"/>
      <c r="G83" s="737"/>
      <c r="H83" s="737"/>
      <c r="I83" s="1067">
        <f>J82</f>
        <v>2594.59</v>
      </c>
      <c r="J83" s="1067"/>
      <c r="K83" s="1067">
        <f>L82</f>
        <v>13595.68</v>
      </c>
      <c r="L83" s="1067"/>
      <c r="O83" s="736">
        <f>J82</f>
        <v>2594.59</v>
      </c>
      <c r="P83" s="736">
        <f>L82</f>
        <v>13595.68</v>
      </c>
      <c r="X83" s="718">
        <f>IF([96]Source!BI1166&lt;=1,J82-0, 0)</f>
        <v>2594.59</v>
      </c>
      <c r="Y83" s="718">
        <f>IF([96]Source!BI1166=2,J82-0, 0)</f>
        <v>0</v>
      </c>
      <c r="Z83" s="718">
        <f>IF([96]Source!BI1166=3,J82-0, 0)</f>
        <v>0</v>
      </c>
      <c r="AA83" s="718">
        <f>IF([96]Source!BI1166=4,J82,0)</f>
        <v>0</v>
      </c>
    </row>
    <row r="84" spans="1:44" ht="191.45" customHeight="1" x14ac:dyDescent="0.25">
      <c r="A84" s="691">
        <v>13</v>
      </c>
      <c r="B84" s="691" t="str">
        <f>[96]Source!E1168</f>
        <v>155</v>
      </c>
      <c r="C84" s="692" t="str">
        <f>[96]Source!F1168</f>
        <v>МКЭ-33-1005/8-1 от 26.07.2018г.</v>
      </c>
      <c r="D84" s="692" t="s">
        <v>737</v>
      </c>
      <c r="E84" s="693" t="str">
        <f>[96]Source!H1168</f>
        <v>шт.</v>
      </c>
      <c r="F84" s="694">
        <f>[96]Source!I1168</f>
        <v>2</v>
      </c>
      <c r="G84" s="695">
        <f>[96]Source!AL1168</f>
        <v>2696.12</v>
      </c>
      <c r="H84" s="696" t="str">
        <f>[96]Source!DD1168</f>
        <v/>
      </c>
      <c r="I84" s="694">
        <f>[96]Source!AW1168</f>
        <v>1</v>
      </c>
      <c r="J84" s="697">
        <f>ROUND((ROUND(([96]Source!AC1168*[96]Source!AW1168*[96]Source!I1168),2)),2)</f>
        <v>5392.24</v>
      </c>
      <c r="K84" s="694">
        <f>IF([96]Source!BC1168&lt;&gt; 0, [96]Source!BC1168, 1)</f>
        <v>5.58</v>
      </c>
      <c r="L84" s="697">
        <f>AR84*F84*1.02</f>
        <v>30088.63</v>
      </c>
      <c r="M84" s="749">
        <f>AR84*F84*1.02</f>
        <v>30088.63</v>
      </c>
      <c r="Q84" s="718">
        <f>ROUND(([96]Source!DN1168/100)*ROUND((ROUND(([96]Source!AF1168*[96]Source!AV1168*[96]Source!I1168),2)),2), 2)</f>
        <v>0</v>
      </c>
      <c r="R84" s="718">
        <f>[96]Source!X1168</f>
        <v>0</v>
      </c>
      <c r="S84" s="718">
        <f>ROUND(([96]Source!DO1168/100)*ROUND((ROUND(([96]Source!AF1168*[96]Source!AV1168*[96]Source!I1168),2)),2), 2)</f>
        <v>0</v>
      </c>
      <c r="T84" s="718">
        <f>[96]Source!Y1168</f>
        <v>0</v>
      </c>
      <c r="U84" s="718">
        <f>ROUND((175/100)*ROUND((ROUND(([96]Source!AE1168*[96]Source!AV1168*[96]Source!I1168),2)),2), 2)</f>
        <v>0</v>
      </c>
      <c r="V84" s="718">
        <f>ROUND((157/100)*ROUND(ROUND((ROUND(([96]Source!AE1168*[96]Source!AV1168*[96]Source!I1168),2)*[96]Source!BS1168),2), 2), 2)</f>
        <v>0</v>
      </c>
      <c r="AR84" s="718">
        <v>14749.33</v>
      </c>
    </row>
    <row r="85" spans="1:44" ht="14.25" x14ac:dyDescent="0.2">
      <c r="A85" s="737"/>
      <c r="B85" s="737"/>
      <c r="C85" s="737"/>
      <c r="D85" s="737"/>
      <c r="E85" s="737"/>
      <c r="F85" s="737"/>
      <c r="G85" s="737"/>
      <c r="H85" s="737"/>
      <c r="I85" s="1067">
        <f>J84</f>
        <v>5392.24</v>
      </c>
      <c r="J85" s="1067"/>
      <c r="K85" s="1067">
        <f>L84</f>
        <v>30088.63</v>
      </c>
      <c r="L85" s="1067"/>
      <c r="M85" s="749">
        <f t="shared" ref="M85:M88" si="6">AR85*F85*1.02</f>
        <v>0</v>
      </c>
      <c r="O85" s="736">
        <f>J84</f>
        <v>5392.24</v>
      </c>
      <c r="P85" s="736">
        <f>L84</f>
        <v>30088.63</v>
      </c>
      <c r="X85" s="718">
        <f>IF([96]Source!BI1168&lt;=1,J84-0, 0)</f>
        <v>5392.24</v>
      </c>
      <c r="Y85" s="718">
        <f>IF([96]Source!BI1168=2,J84-0, 0)</f>
        <v>0</v>
      </c>
      <c r="Z85" s="718">
        <f>IF([96]Source!BI1168=3,J84-0, 0)</f>
        <v>0</v>
      </c>
      <c r="AA85" s="718">
        <f>IF([96]Source!BI1168=4,J84,0)</f>
        <v>0</v>
      </c>
    </row>
    <row r="86" spans="1:44" ht="185.45" customHeight="1" x14ac:dyDescent="0.25">
      <c r="A86" s="691">
        <v>14</v>
      </c>
      <c r="B86" s="691" t="str">
        <f>[96]Source!E1170</f>
        <v>156</v>
      </c>
      <c r="C86" s="692" t="str">
        <f>[96]Source!F1170</f>
        <v>МКЭ-33-1005/8-1  26.07.2018</v>
      </c>
      <c r="D86" s="692" t="s">
        <v>738</v>
      </c>
      <c r="E86" s="693" t="str">
        <f>[96]Source!H1170</f>
        <v>шт.</v>
      </c>
      <c r="F86" s="694">
        <f>[96]Source!I1170</f>
        <v>1</v>
      </c>
      <c r="G86" s="695">
        <f>[96]Source!AL1170</f>
        <v>2882.64</v>
      </c>
      <c r="H86" s="696"/>
      <c r="I86" s="694">
        <f>[96]Source!AW1170</f>
        <v>1</v>
      </c>
      <c r="J86" s="697">
        <f>ROUND((ROUND(([96]Source!AC1170*[96]Source!AW1170*[96]Source!I1170),2)),2)</f>
        <v>2940.29</v>
      </c>
      <c r="K86" s="694">
        <f>IF([96]Source!BC1170&lt;&gt; 0, [96]Source!BC1170, 1)</f>
        <v>5.58</v>
      </c>
      <c r="L86" s="697">
        <f>AR86*F86*1.02</f>
        <v>15407.15</v>
      </c>
      <c r="M86" s="749">
        <f t="shared" si="6"/>
        <v>15407.15</v>
      </c>
      <c r="Q86" s="718">
        <f>ROUND(([96]Source!DN1170/100)*ROUND((ROUND(([96]Source!AF1170*[96]Source!AV1170*[96]Source!I1170),2)),2), 2)</f>
        <v>0</v>
      </c>
      <c r="R86" s="718">
        <f>[96]Source!X1170</f>
        <v>0</v>
      </c>
      <c r="S86" s="718">
        <f>ROUND(([96]Source!DO1170/100)*ROUND((ROUND(([96]Source!AF1170*[96]Source!AV1170*[96]Source!I1170),2)),2), 2)</f>
        <v>0</v>
      </c>
      <c r="T86" s="718">
        <f>[96]Source!Y1170</f>
        <v>0</v>
      </c>
      <c r="U86" s="718">
        <f>ROUND((175/100)*ROUND((ROUND(([96]Source!AE1170*[96]Source!AV1170*[96]Source!I1170),2)),2), 2)</f>
        <v>0</v>
      </c>
      <c r="V86" s="718">
        <f>ROUND((157/100)*ROUND(ROUND((ROUND(([96]Source!AE1170*[96]Source!AV1170*[96]Source!I1170),2)*[96]Source!BS1170),2), 2), 2)</f>
        <v>0</v>
      </c>
      <c r="AR86" s="718">
        <v>15105.05</v>
      </c>
    </row>
    <row r="87" spans="1:44" ht="14.25" x14ac:dyDescent="0.2">
      <c r="A87" s="737"/>
      <c r="B87" s="737"/>
      <c r="C87" s="737"/>
      <c r="D87" s="737"/>
      <c r="E87" s="737"/>
      <c r="F87" s="737"/>
      <c r="G87" s="737"/>
      <c r="H87" s="737"/>
      <c r="I87" s="1067">
        <f>J86</f>
        <v>2940.29</v>
      </c>
      <c r="J87" s="1067"/>
      <c r="K87" s="1067">
        <f>L86</f>
        <v>15407.15</v>
      </c>
      <c r="L87" s="1067"/>
      <c r="M87" s="749">
        <f t="shared" si="6"/>
        <v>0</v>
      </c>
      <c r="O87" s="736">
        <f>J86</f>
        <v>2940.29</v>
      </c>
      <c r="P87" s="736">
        <f>L86</f>
        <v>15407.15</v>
      </c>
      <c r="X87" s="718">
        <f>IF([96]Source!BI1170&lt;=1,J86-0, 0)</f>
        <v>2940.29</v>
      </c>
      <c r="Y87" s="718">
        <f>IF([96]Source!BI1170=2,J86-0, 0)</f>
        <v>0</v>
      </c>
      <c r="Z87" s="718">
        <f>IF([96]Source!BI1170=3,J86-0, 0)</f>
        <v>0</v>
      </c>
      <c r="AA87" s="718">
        <f>IF([96]Source!BI1170=4,J86,0)</f>
        <v>0</v>
      </c>
    </row>
    <row r="88" spans="1:44" ht="184.15" customHeight="1" x14ac:dyDescent="0.25">
      <c r="A88" s="691">
        <v>15</v>
      </c>
      <c r="B88" s="691" t="str">
        <f>[96]Source!E1172</f>
        <v>157</v>
      </c>
      <c r="C88" s="692" t="str">
        <f>[96]Source!F1172</f>
        <v>МКЭ-33-1005/8-1 от 26.07.2018г.</v>
      </c>
      <c r="D88" s="692" t="s">
        <v>739</v>
      </c>
      <c r="E88" s="693" t="str">
        <f>[96]Source!H1172</f>
        <v>шт.</v>
      </c>
      <c r="F88" s="694">
        <f>[96]Source!I1172</f>
        <v>1</v>
      </c>
      <c r="G88" s="695">
        <f>[96]Source!AL1172</f>
        <v>2882.64</v>
      </c>
      <c r="H88" s="696" t="str">
        <f>[96]Source!DD1172</f>
        <v>*1,02</v>
      </c>
      <c r="I88" s="694">
        <f>[96]Source!AW1172</f>
        <v>1</v>
      </c>
      <c r="J88" s="697">
        <f>ROUND((ROUND(([96]Source!AC1172*[96]Source!AW1172*[96]Source!I1172),2)),2)</f>
        <v>2940.29</v>
      </c>
      <c r="K88" s="694">
        <f>IF([96]Source!BC1172&lt;&gt; 0, [96]Source!BC1172, 1)</f>
        <v>5.58</v>
      </c>
      <c r="L88" s="697">
        <f>AR88*F88*1.02</f>
        <v>15407.15</v>
      </c>
      <c r="M88" s="749">
        <f t="shared" si="6"/>
        <v>15407.15</v>
      </c>
      <c r="Q88" s="718">
        <f>ROUND(([96]Source!DN1172/100)*ROUND((ROUND(([96]Source!AF1172*[96]Source!AV1172*[96]Source!I1172),2)),2), 2)</f>
        <v>0</v>
      </c>
      <c r="R88" s="718">
        <f>[96]Source!X1172</f>
        <v>0</v>
      </c>
      <c r="S88" s="718">
        <f>ROUND(([96]Source!DO1172/100)*ROUND((ROUND(([96]Source!AF1172*[96]Source!AV1172*[96]Source!I1172),2)),2), 2)</f>
        <v>0</v>
      </c>
      <c r="T88" s="718">
        <f>[96]Source!Y1172</f>
        <v>0</v>
      </c>
      <c r="U88" s="718">
        <f>ROUND((175/100)*ROUND((ROUND(([96]Source!AE1172*[96]Source!AV1172*[96]Source!I1172),2)),2), 2)</f>
        <v>0</v>
      </c>
      <c r="V88" s="718">
        <f>ROUND((157/100)*ROUND(ROUND((ROUND(([96]Source!AE1172*[96]Source!AV1172*[96]Source!I1172),2)*[96]Source!BS1172),2), 2), 2)</f>
        <v>0</v>
      </c>
      <c r="AR88" s="718">
        <v>15105.05</v>
      </c>
    </row>
    <row r="89" spans="1:44" ht="14.25" x14ac:dyDescent="0.2">
      <c r="A89" s="737"/>
      <c r="B89" s="737"/>
      <c r="C89" s="737"/>
      <c r="D89" s="737"/>
      <c r="E89" s="737"/>
      <c r="F89" s="737"/>
      <c r="G89" s="737"/>
      <c r="H89" s="737"/>
      <c r="I89" s="1067">
        <f>J88</f>
        <v>2940.29</v>
      </c>
      <c r="J89" s="1067"/>
      <c r="K89" s="1067">
        <f>L88</f>
        <v>15407.15</v>
      </c>
      <c r="L89" s="1067"/>
      <c r="O89" s="736">
        <f>J88</f>
        <v>2940.29</v>
      </c>
      <c r="P89" s="736">
        <f>L88</f>
        <v>15407.15</v>
      </c>
      <c r="X89" s="718">
        <f>IF([96]Source!BI1172&lt;=1,J88-0, 0)</f>
        <v>2940.29</v>
      </c>
      <c r="Y89" s="718">
        <f>IF([96]Source!BI1172=2,J88-0, 0)</f>
        <v>0</v>
      </c>
      <c r="Z89" s="718">
        <f>IF([96]Source!BI1172=3,J88-0, 0)</f>
        <v>0</v>
      </c>
      <c r="AA89" s="718">
        <f>IF([96]Source!BI1172=4,J88,0)</f>
        <v>0</v>
      </c>
    </row>
    <row r="90" spans="1:44" ht="45" x14ac:dyDescent="0.25">
      <c r="A90" s="691">
        <v>16</v>
      </c>
      <c r="B90" s="691" t="str">
        <f>[96]Source!E1176</f>
        <v>159</v>
      </c>
      <c r="C90" s="692" t="str">
        <f>[96]Source!F1176</f>
        <v>3.20-11-16</v>
      </c>
      <c r="D90" s="692" t="s">
        <v>498</v>
      </c>
      <c r="E90" s="693" t="str">
        <f>[96]Source!H1176</f>
        <v>1 клапан</v>
      </c>
      <c r="F90" s="694">
        <f>[96]Source!I1176</f>
        <v>6</v>
      </c>
      <c r="G90" s="695"/>
      <c r="H90" s="696"/>
      <c r="I90" s="694"/>
      <c r="J90" s="697"/>
      <c r="K90" s="694"/>
      <c r="L90" s="697"/>
      <c r="Q90" s="718">
        <f>ROUND(([96]Source!DN1176/100)*ROUND((ROUND(([96]Source!AF1176*[96]Source!AV1176*[96]Source!I1176),2)),2), 2)</f>
        <v>889.51</v>
      </c>
      <c r="R90" s="718">
        <f>[96]Source!X1176</f>
        <v>17242.310000000001</v>
      </c>
      <c r="S90" s="718">
        <f>ROUND(([96]Source!DO1176/100)*ROUND((ROUND(([96]Source!AF1176*[96]Source!AV1176*[96]Source!I1176),2)),2), 2)</f>
        <v>668.91</v>
      </c>
      <c r="T90" s="718">
        <f>[96]Source!Y1176</f>
        <v>7759.04</v>
      </c>
      <c r="U90" s="718">
        <f>ROUND((175/100)*ROUND((ROUND(([96]Source!AE1176*[96]Source!AV1176*[96]Source!I1176),2)),2), 2)</f>
        <v>34.58</v>
      </c>
      <c r="V90" s="718">
        <f>ROUND((157/100)*ROUND(ROUND((ROUND(([96]Source!AE1176*[96]Source!AV1176*[96]Source!I1176),2)*[96]Source!BS1176),2), 2), 2)</f>
        <v>751.68</v>
      </c>
    </row>
    <row r="91" spans="1:44" ht="15" x14ac:dyDescent="0.25">
      <c r="A91" s="691"/>
      <c r="B91" s="691"/>
      <c r="C91" s="692"/>
      <c r="D91" s="692" t="s">
        <v>84</v>
      </c>
      <c r="E91" s="693"/>
      <c r="F91" s="694"/>
      <c r="G91" s="695">
        <f>[96]Source!AO1176</f>
        <v>63.39</v>
      </c>
      <c r="H91" s="696" t="str">
        <f>[96]Source!DG1176</f>
        <v>)*1,67)*1,05</v>
      </c>
      <c r="I91" s="694">
        <f>[96]Source!AV1176</f>
        <v>1.0669999999999999</v>
      </c>
      <c r="J91" s="697">
        <f>ROUND((ROUND(([96]Source!AF1176*[96]Source!AV1176*[96]Source!I1176),2)),2)</f>
        <v>711.61</v>
      </c>
      <c r="K91" s="694">
        <f>IF([96]Source!BA1176&lt;&gt; 0, [96]Source!BA1176, 1)</f>
        <v>24.23</v>
      </c>
      <c r="L91" s="697">
        <f>[96]Source!S1176</f>
        <v>17242.310000000001</v>
      </c>
      <c r="W91" s="718">
        <f>J91</f>
        <v>711.61</v>
      </c>
    </row>
    <row r="92" spans="1:44" ht="15" x14ac:dyDescent="0.25">
      <c r="A92" s="691"/>
      <c r="B92" s="691"/>
      <c r="C92" s="692"/>
      <c r="D92" s="692" t="s">
        <v>85</v>
      </c>
      <c r="E92" s="693"/>
      <c r="F92" s="694"/>
      <c r="G92" s="695">
        <f>[96]Source!AM1176</f>
        <v>7.44</v>
      </c>
      <c r="H92" s="696" t="str">
        <f>[96]Source!DE1176</f>
        <v>)*1,05</v>
      </c>
      <c r="I92" s="694">
        <f>[96]Source!AV1176</f>
        <v>1.0669999999999999</v>
      </c>
      <c r="J92" s="697">
        <f>(ROUND((ROUND(((([96]Source!ET1176*1.05))*[96]Source!AV1176*[96]Source!I1176),2)),2)+ROUND((ROUND((([96]Source!AE1176-(([96]Source!EU1176*1.05)))*[96]Source!AV1176*[96]Source!I1176),2)),2))-J101</f>
        <v>50.01</v>
      </c>
      <c r="K92" s="694">
        <f>IF([96]Source!BB1176&lt;&gt; 0, [96]Source!BB1176, 1)</f>
        <v>9.98</v>
      </c>
      <c r="L92" s="697">
        <f>[96]Source!Q1176-L101</f>
        <v>499.18</v>
      </c>
    </row>
    <row r="93" spans="1:44" ht="15" x14ac:dyDescent="0.25">
      <c r="A93" s="691"/>
      <c r="B93" s="691"/>
      <c r="C93" s="692"/>
      <c r="D93" s="692" t="s">
        <v>86</v>
      </c>
      <c r="E93" s="693"/>
      <c r="F93" s="694"/>
      <c r="G93" s="695">
        <f>[96]Source!AN1176</f>
        <v>1.76</v>
      </c>
      <c r="H93" s="696" t="str">
        <f>[96]Source!DE1176</f>
        <v>)*1,05</v>
      </c>
      <c r="I93" s="694">
        <f>[96]Source!AV1176</f>
        <v>1.0669999999999999</v>
      </c>
      <c r="J93" s="700">
        <f>ROUND((ROUND(([96]Source!AE1176*[96]Source!AV1176*[96]Source!I1176),2)),2)-J102</f>
        <v>11.83</v>
      </c>
      <c r="K93" s="694">
        <f>IF([96]Source!BS1176&lt;&gt; 0, [96]Source!BS1176, 1)</f>
        <v>24.23</v>
      </c>
      <c r="L93" s="700">
        <f>[96]Source!R1176-L102</f>
        <v>286.72000000000003</v>
      </c>
      <c r="W93" s="718">
        <f>J93</f>
        <v>11.83</v>
      </c>
    </row>
    <row r="94" spans="1:44" ht="15" x14ac:dyDescent="0.25">
      <c r="A94" s="691"/>
      <c r="B94" s="691"/>
      <c r="C94" s="692"/>
      <c r="D94" s="692" t="s">
        <v>87</v>
      </c>
      <c r="E94" s="693"/>
      <c r="F94" s="694"/>
      <c r="G94" s="695">
        <f>[96]Source!AL1176</f>
        <v>24.35</v>
      </c>
      <c r="H94" s="696" t="str">
        <f>[96]Source!DD1176</f>
        <v/>
      </c>
      <c r="I94" s="694">
        <f>[96]Source!AW1176</f>
        <v>1</v>
      </c>
      <c r="J94" s="697">
        <f>ROUND((ROUND(([96]Source!AC1176*[96]Source!AW1176*[96]Source!I1176),2)),2)</f>
        <v>146.1</v>
      </c>
      <c r="K94" s="694">
        <f>IF([96]Source!BC1176&lt;&gt; 0, [96]Source!BC1176, 1)</f>
        <v>7.3</v>
      </c>
      <c r="L94" s="697">
        <f>[96]Source!P1176</f>
        <v>1066.53</v>
      </c>
    </row>
    <row r="95" spans="1:44" ht="15" x14ac:dyDescent="0.25">
      <c r="A95" s="691"/>
      <c r="B95" s="691"/>
      <c r="C95" s="692"/>
      <c r="D95" s="692" t="s">
        <v>88</v>
      </c>
      <c r="E95" s="693" t="s">
        <v>89</v>
      </c>
      <c r="F95" s="694">
        <f>[96]Source!DN1176</f>
        <v>125</v>
      </c>
      <c r="G95" s="695"/>
      <c r="H95" s="696"/>
      <c r="I95" s="694"/>
      <c r="J95" s="697">
        <f>SUM(Q90:Q94)</f>
        <v>889.51</v>
      </c>
      <c r="K95" s="694">
        <f>[96]Source!BZ1176</f>
        <v>100</v>
      </c>
      <c r="L95" s="697">
        <f>SUM(R90:R94)</f>
        <v>17242.310000000001</v>
      </c>
    </row>
    <row r="96" spans="1:44" ht="15" x14ac:dyDescent="0.25">
      <c r="A96" s="691"/>
      <c r="B96" s="691"/>
      <c r="C96" s="692"/>
      <c r="D96" s="692" t="s">
        <v>90</v>
      </c>
      <c r="E96" s="693" t="s">
        <v>89</v>
      </c>
      <c r="F96" s="694">
        <f>[96]Source!DO1176</f>
        <v>94</v>
      </c>
      <c r="G96" s="695"/>
      <c r="H96" s="696"/>
      <c r="I96" s="694"/>
      <c r="J96" s="697">
        <f>SUM(S90:S95)</f>
        <v>668.91</v>
      </c>
      <c r="K96" s="694">
        <f>[96]Source!CA1176</f>
        <v>45</v>
      </c>
      <c r="L96" s="697">
        <f>SUM(T90:T95)</f>
        <v>7759.04</v>
      </c>
    </row>
    <row r="97" spans="1:27" ht="15" x14ac:dyDescent="0.25">
      <c r="A97" s="691"/>
      <c r="B97" s="691"/>
      <c r="C97" s="692"/>
      <c r="D97" s="692" t="s">
        <v>91</v>
      </c>
      <c r="E97" s="693" t="s">
        <v>89</v>
      </c>
      <c r="F97" s="694">
        <f>175</f>
        <v>175</v>
      </c>
      <c r="G97" s="695"/>
      <c r="H97" s="696"/>
      <c r="I97" s="694"/>
      <c r="J97" s="697">
        <f>SUM(U90:U96)-J103</f>
        <v>20.7</v>
      </c>
      <c r="K97" s="694">
        <f>157</f>
        <v>157</v>
      </c>
      <c r="L97" s="697">
        <f>SUM(V90:V96)-L103</f>
        <v>450.15</v>
      </c>
    </row>
    <row r="98" spans="1:27" ht="15" x14ac:dyDescent="0.25">
      <c r="A98" s="691"/>
      <c r="B98" s="691"/>
      <c r="C98" s="692"/>
      <c r="D98" s="692" t="s">
        <v>92</v>
      </c>
      <c r="E98" s="693" t="s">
        <v>93</v>
      </c>
      <c r="F98" s="694">
        <f>[96]Source!AQ1176</f>
        <v>5.46</v>
      </c>
      <c r="G98" s="695"/>
      <c r="H98" s="696" t="str">
        <f>[96]Source!DI1176</f>
        <v>)*1,05</v>
      </c>
      <c r="I98" s="694">
        <f>[96]Source!AV1176</f>
        <v>1.0669999999999999</v>
      </c>
      <c r="J98" s="697">
        <f>[96]Source!U1176</f>
        <v>36.700000000000003</v>
      </c>
      <c r="K98" s="694"/>
      <c r="L98" s="697"/>
    </row>
    <row r="99" spans="1:27" ht="14.25" x14ac:dyDescent="0.2">
      <c r="I99" s="1067">
        <f>J91+J92+J94+J95+J96+J97</f>
        <v>2486.84</v>
      </c>
      <c r="J99" s="1067"/>
      <c r="K99" s="1067">
        <f>L91+L92+L94+L95+L96+L97</f>
        <v>44259.519999999997</v>
      </c>
      <c r="L99" s="1067"/>
      <c r="O99" s="736">
        <f>J91+J92+J94+J95+J96+J97</f>
        <v>2486.84</v>
      </c>
      <c r="P99" s="736">
        <f>L91+L92+L94+L95+L96+L97</f>
        <v>44259.519999999997</v>
      </c>
      <c r="X99" s="718">
        <f>IF([96]Source!BI1176&lt;=1,J91+J92+J94+J95+J96+J97-0, 0)</f>
        <v>2486.84</v>
      </c>
      <c r="Y99" s="718">
        <f>IF([96]Source!BI1176=2,J91+J92+J94+J95+J96+J97-0, 0)</f>
        <v>0</v>
      </c>
      <c r="Z99" s="718">
        <f>IF([96]Source!BI1176=3,J91+J92+J94+J95+J96+J97-0, 0)</f>
        <v>0</v>
      </c>
      <c r="AA99" s="718">
        <f>IF([96]Source!BI1176=4,J91+J92+J94+J95+J96+J97,0)</f>
        <v>0</v>
      </c>
    </row>
    <row r="100" spans="1:27" ht="30" x14ac:dyDescent="0.25">
      <c r="A100" s="701"/>
      <c r="B100" s="701"/>
      <c r="C100" s="702"/>
      <c r="D100" s="702" t="s">
        <v>94</v>
      </c>
      <c r="E100" s="693"/>
      <c r="F100" s="703"/>
      <c r="G100" s="704"/>
      <c r="H100" s="693"/>
      <c r="I100" s="703"/>
      <c r="J100" s="700"/>
      <c r="K100" s="703"/>
      <c r="L100" s="700"/>
    </row>
    <row r="101" spans="1:27" ht="15" x14ac:dyDescent="0.25">
      <c r="A101" s="701"/>
      <c r="B101" s="701"/>
      <c r="C101" s="702"/>
      <c r="D101" s="702" t="s">
        <v>85</v>
      </c>
      <c r="E101" s="693"/>
      <c r="F101" s="703"/>
      <c r="G101" s="704">
        <f t="shared" ref="G101:L101" si="7">G102</f>
        <v>1.76</v>
      </c>
      <c r="H101" s="705" t="str">
        <f t="shared" si="7"/>
        <v>)*(1.67-1)*1.05</v>
      </c>
      <c r="I101" s="703">
        <f t="shared" si="7"/>
        <v>1.0669999999999999</v>
      </c>
      <c r="J101" s="700">
        <f t="shared" si="7"/>
        <v>7.93</v>
      </c>
      <c r="K101" s="703">
        <f t="shared" si="7"/>
        <v>24.23</v>
      </c>
      <c r="L101" s="700">
        <f t="shared" si="7"/>
        <v>192.06</v>
      </c>
    </row>
    <row r="102" spans="1:27" ht="15" x14ac:dyDescent="0.25">
      <c r="A102" s="701"/>
      <c r="B102" s="701"/>
      <c r="C102" s="702"/>
      <c r="D102" s="702" t="s">
        <v>86</v>
      </c>
      <c r="E102" s="693"/>
      <c r="F102" s="703"/>
      <c r="G102" s="704">
        <f>[96]Source!AN1176</f>
        <v>1.76</v>
      </c>
      <c r="H102" s="705" t="s">
        <v>491</v>
      </c>
      <c r="I102" s="703">
        <f>[96]Source!AV1176</f>
        <v>1.0669999999999999</v>
      </c>
      <c r="J102" s="700">
        <f>ROUND(F90*G102*I102*(1.67-1)*1.05, 2)</f>
        <v>7.93</v>
      </c>
      <c r="K102" s="703">
        <f>IF([96]Source!BS1176&lt;&gt; 0, [96]Source!BS1176, 1)</f>
        <v>24.23</v>
      </c>
      <c r="L102" s="700">
        <f>ROUND(F90*G102*I102*(1.67-1)*1.05*K102, 2)</f>
        <v>192.06</v>
      </c>
      <c r="W102" s="718">
        <f>J102</f>
        <v>7.93</v>
      </c>
    </row>
    <row r="103" spans="1:27" ht="15" x14ac:dyDescent="0.25">
      <c r="A103" s="701"/>
      <c r="B103" s="701"/>
      <c r="C103" s="702"/>
      <c r="D103" s="702" t="s">
        <v>91</v>
      </c>
      <c r="E103" s="693" t="s">
        <v>89</v>
      </c>
      <c r="F103" s="703">
        <f>175</f>
        <v>175</v>
      </c>
      <c r="G103" s="704"/>
      <c r="H103" s="693"/>
      <c r="I103" s="703"/>
      <c r="J103" s="700">
        <f>ROUND(J102*(F103/100), 2)</f>
        <v>13.88</v>
      </c>
      <c r="K103" s="703">
        <f>157</f>
        <v>157</v>
      </c>
      <c r="L103" s="700">
        <f>ROUND(L102*(K103/100), 2)</f>
        <v>301.52999999999997</v>
      </c>
    </row>
    <row r="104" spans="1:27" ht="14.25" x14ac:dyDescent="0.2">
      <c r="I104" s="1067">
        <f>J103+J102</f>
        <v>21.81</v>
      </c>
      <c r="J104" s="1067"/>
      <c r="K104" s="1067">
        <f>L103+L102</f>
        <v>493.59</v>
      </c>
      <c r="L104" s="1067"/>
      <c r="O104" s="736">
        <f>I104</f>
        <v>21.81</v>
      </c>
      <c r="P104" s="736">
        <f>K104</f>
        <v>493.59</v>
      </c>
      <c r="X104" s="718">
        <f>IF([96]Source!BI1176&lt;=1,I104, 0)</f>
        <v>21.81</v>
      </c>
      <c r="Y104" s="718">
        <f>IF([96]Source!BI1176=2,I104, 0)</f>
        <v>0</v>
      </c>
      <c r="Z104" s="718">
        <f>IF([96]Source!BI1176=3,I104, 0)</f>
        <v>0</v>
      </c>
      <c r="AA104" s="718">
        <f>IF([96]Source!BI1176=4,I104, 0)</f>
        <v>0</v>
      </c>
    </row>
    <row r="106" spans="1:27" ht="15" x14ac:dyDescent="0.25">
      <c r="A106" s="706"/>
      <c r="B106" s="706"/>
      <c r="C106" s="707"/>
      <c r="D106" s="707" t="s">
        <v>96</v>
      </c>
      <c r="E106" s="708"/>
      <c r="F106" s="709"/>
      <c r="G106" s="710"/>
      <c r="H106" s="711"/>
      <c r="I106" s="1067">
        <f>I99+I104</f>
        <v>2508.65</v>
      </c>
      <c r="J106" s="1067"/>
      <c r="K106" s="1067">
        <f>K99+K104</f>
        <v>44753.11</v>
      </c>
      <c r="L106" s="1067"/>
    </row>
    <row r="107" spans="1:27" ht="250.9" customHeight="1" x14ac:dyDescent="0.25">
      <c r="A107" s="691">
        <v>17</v>
      </c>
      <c r="B107" s="691" t="str">
        <f>[96]Source!E1180</f>
        <v>161</v>
      </c>
      <c r="C107" s="692" t="str">
        <f>[96]Source!F1180</f>
        <v>МКЭ-33-442/7-1  29.03.2017</v>
      </c>
      <c r="D107" s="692" t="s">
        <v>740</v>
      </c>
      <c r="E107" s="693" t="str">
        <f>[96]Source!H1180</f>
        <v>шт.</v>
      </c>
      <c r="F107" s="694">
        <f>[96]Source!I1180</f>
        <v>3</v>
      </c>
      <c r="G107" s="695">
        <f>[96]Source!AL1180</f>
        <v>2754.2</v>
      </c>
      <c r="H107" s="696" t="str">
        <f>[96]Source!DD1180</f>
        <v/>
      </c>
      <c r="I107" s="694">
        <f>[96]Source!AW1180</f>
        <v>1</v>
      </c>
      <c r="J107" s="697">
        <f>ROUND((ROUND(([96]Source!AC1180*[96]Source!AW1180*[96]Source!I1180),2)),2)</f>
        <v>8262.6</v>
      </c>
      <c r="K107" s="694">
        <f>IF([96]Source!BC1180&lt;&gt; 0, [96]Source!BC1180, 1)</f>
        <v>5.58</v>
      </c>
      <c r="L107" s="697">
        <f>F107*15067.1*1.02</f>
        <v>46105.33</v>
      </c>
      <c r="Q107" s="718">
        <f>ROUND(([96]Source!DN1180/100)*ROUND((ROUND(([96]Source!AF1180*[96]Source!AV1180*[96]Source!I1180),2)),2), 2)</f>
        <v>0</v>
      </c>
      <c r="R107" s="718">
        <f>[96]Source!X1180</f>
        <v>0</v>
      </c>
      <c r="S107" s="718">
        <f>ROUND(([96]Source!DO1180/100)*ROUND((ROUND(([96]Source!AF1180*[96]Source!AV1180*[96]Source!I1180),2)),2), 2)</f>
        <v>0</v>
      </c>
      <c r="T107" s="718">
        <f>[96]Source!Y1180</f>
        <v>0</v>
      </c>
      <c r="U107" s="718">
        <f>ROUND((175/100)*ROUND((ROUND(([96]Source!AE1180*[96]Source!AV1180*[96]Source!I1180),2)),2), 2)</f>
        <v>0</v>
      </c>
      <c r="V107" s="718">
        <f>ROUND((157/100)*ROUND(ROUND((ROUND(([96]Source!AE1180*[96]Source!AV1180*[96]Source!I1180),2)*[96]Source!BS1180),2), 2), 2)</f>
        <v>0</v>
      </c>
    </row>
    <row r="108" spans="1:27" ht="14.25" x14ac:dyDescent="0.2">
      <c r="A108" s="737"/>
      <c r="B108" s="737"/>
      <c r="C108" s="737"/>
      <c r="D108" s="737"/>
      <c r="E108" s="737"/>
      <c r="F108" s="737"/>
      <c r="G108" s="737"/>
      <c r="H108" s="737"/>
      <c r="I108" s="1067">
        <f>J107</f>
        <v>8262.6</v>
      </c>
      <c r="J108" s="1067"/>
      <c r="K108" s="1067">
        <f>L107</f>
        <v>46105.33</v>
      </c>
      <c r="L108" s="1067"/>
      <c r="O108" s="736">
        <f>J107</f>
        <v>8262.6</v>
      </c>
      <c r="P108" s="736">
        <f>L107</f>
        <v>46105.33</v>
      </c>
      <c r="X108" s="718">
        <f>IF([96]Source!BI1180&lt;=1,J107-0, 0)</f>
        <v>8262.6</v>
      </c>
      <c r="Y108" s="718">
        <f>IF([96]Source!BI1180=2,J107-0, 0)</f>
        <v>0</v>
      </c>
      <c r="Z108" s="718">
        <f>IF([96]Source!BI1180=3,J107-0, 0)</f>
        <v>0</v>
      </c>
      <c r="AA108" s="718">
        <f>IF([96]Source!BI1180=4,J107,0)</f>
        <v>0</v>
      </c>
    </row>
    <row r="109" spans="1:27" ht="258.60000000000002" customHeight="1" x14ac:dyDescent="0.25">
      <c r="A109" s="691">
        <v>18</v>
      </c>
      <c r="B109" s="691" t="str">
        <f>[96]Source!E1182</f>
        <v>162</v>
      </c>
      <c r="C109" s="692" t="str">
        <f>[96]Source!F1182</f>
        <v>МКЭ-33-1714/7-1  14.09.2017</v>
      </c>
      <c r="D109" s="692" t="s">
        <v>741</v>
      </c>
      <c r="E109" s="693" t="str">
        <f>[96]Source!H1182</f>
        <v>шт.</v>
      </c>
      <c r="F109" s="694">
        <f>[96]Source!I1182</f>
        <v>2</v>
      </c>
      <c r="G109" s="695">
        <f>[96]Source!AL1182</f>
        <v>3031.11</v>
      </c>
      <c r="H109" s="696"/>
      <c r="I109" s="694">
        <f>[96]Source!AW1182</f>
        <v>1</v>
      </c>
      <c r="J109" s="697">
        <f>ROUND((ROUND(([96]Source!AC1182*[96]Source!AW1182*[96]Source!I1182),2)),2)</f>
        <v>6183.46</v>
      </c>
      <c r="K109" s="694">
        <f>IF([96]Source!BC1182&lt;&gt; 0, [96]Source!BC1182, 1)</f>
        <v>5.58</v>
      </c>
      <c r="L109" s="697">
        <f>F109*15883.04*1.02</f>
        <v>32401.4</v>
      </c>
      <c r="Q109" s="718">
        <f>ROUND(([96]Source!DN1182/100)*ROUND((ROUND(([96]Source!AF1182*[96]Source!AV1182*[96]Source!I1182),2)),2), 2)</f>
        <v>0</v>
      </c>
      <c r="R109" s="718">
        <f>[96]Source!X1182</f>
        <v>0</v>
      </c>
      <c r="S109" s="718">
        <f>ROUND(([96]Source!DO1182/100)*ROUND((ROUND(([96]Source!AF1182*[96]Source!AV1182*[96]Source!I1182),2)),2), 2)</f>
        <v>0</v>
      </c>
      <c r="T109" s="718">
        <f>[96]Source!Y1182</f>
        <v>0</v>
      </c>
      <c r="U109" s="718">
        <f>ROUND((175/100)*ROUND((ROUND(([96]Source!AE1182*[96]Source!AV1182*[96]Source!I1182),2)),2), 2)</f>
        <v>0</v>
      </c>
      <c r="V109" s="718">
        <f>ROUND((157/100)*ROUND(ROUND((ROUND(([96]Source!AE1182*[96]Source!AV1182*[96]Source!I1182),2)*[96]Source!BS1182),2), 2), 2)</f>
        <v>0</v>
      </c>
    </row>
    <row r="110" spans="1:27" ht="14.25" x14ac:dyDescent="0.2">
      <c r="A110" s="737"/>
      <c r="B110" s="737"/>
      <c r="C110" s="737"/>
      <c r="D110" s="737"/>
      <c r="E110" s="737"/>
      <c r="F110" s="737"/>
      <c r="G110" s="737"/>
      <c r="H110" s="737"/>
      <c r="I110" s="1067">
        <f>J109</f>
        <v>6183.46</v>
      </c>
      <c r="J110" s="1067"/>
      <c r="K110" s="1067">
        <f>L109</f>
        <v>32401.4</v>
      </c>
      <c r="L110" s="1067"/>
      <c r="O110" s="736">
        <f>J109</f>
        <v>6183.46</v>
      </c>
      <c r="P110" s="736">
        <f>L109</f>
        <v>32401.4</v>
      </c>
      <c r="X110" s="718">
        <f>IF([96]Source!BI1182&lt;=1,J109-0, 0)</f>
        <v>6183.46</v>
      </c>
      <c r="Y110" s="718">
        <f>IF([96]Source!BI1182=2,J109-0, 0)</f>
        <v>0</v>
      </c>
      <c r="Z110" s="718">
        <f>IF([96]Source!BI1182=3,J109-0, 0)</f>
        <v>0</v>
      </c>
      <c r="AA110" s="718">
        <f>IF([96]Source!BI1182=4,J109,0)</f>
        <v>0</v>
      </c>
    </row>
    <row r="111" spans="1:27" ht="201.6" customHeight="1" x14ac:dyDescent="0.25">
      <c r="A111" s="691">
        <v>19</v>
      </c>
      <c r="B111" s="691" t="str">
        <f>[96]Source!E1184</f>
        <v>163</v>
      </c>
      <c r="C111" s="692" t="str">
        <f>[96]Source!F1184</f>
        <v>МКЭ-33-1005/8-1  26.07.2018</v>
      </c>
      <c r="D111" s="692" t="s">
        <v>742</v>
      </c>
      <c r="E111" s="693" t="str">
        <f>[96]Source!H1184</f>
        <v>шт.</v>
      </c>
      <c r="F111" s="694">
        <f>[96]Source!I1184</f>
        <v>1</v>
      </c>
      <c r="G111" s="695">
        <f>[96]Source!AL1184</f>
        <v>3258.12</v>
      </c>
      <c r="H111" s="696"/>
      <c r="I111" s="694">
        <f>[96]Source!AW1184</f>
        <v>1</v>
      </c>
      <c r="J111" s="697">
        <f>ROUND((ROUND(([96]Source!AC1184*[96]Source!AW1184*[96]Source!I1184),2)),2)</f>
        <v>3323.28</v>
      </c>
      <c r="K111" s="694">
        <f>IF([96]Source!BC1184&lt;&gt; 0, [96]Source!BC1184, 1)</f>
        <v>5.58</v>
      </c>
      <c r="L111" s="697">
        <f>F111*17072.54*1.02</f>
        <v>17413.990000000002</v>
      </c>
      <c r="M111" s="749">
        <f>F111*17072.54*1.02</f>
        <v>17413.990000000002</v>
      </c>
      <c r="Q111" s="718">
        <f>ROUND(([96]Source!DN1184/100)*ROUND((ROUND(([96]Source!AF1184*[96]Source!AV1184*[96]Source!I1184),2)),2), 2)</f>
        <v>0</v>
      </c>
      <c r="R111" s="718">
        <f>[96]Source!X1184</f>
        <v>0</v>
      </c>
      <c r="S111" s="718">
        <f>ROUND(([96]Source!DO1184/100)*ROUND((ROUND(([96]Source!AF1184*[96]Source!AV1184*[96]Source!I1184),2)),2), 2)</f>
        <v>0</v>
      </c>
      <c r="T111" s="718">
        <f>[96]Source!Y1184</f>
        <v>0</v>
      </c>
      <c r="U111" s="718">
        <f>ROUND((175/100)*ROUND((ROUND(([96]Source!AE1184*[96]Source!AV1184*[96]Source!I1184),2)),2), 2)</f>
        <v>0</v>
      </c>
      <c r="V111" s="718">
        <f>ROUND((157/100)*ROUND(ROUND((ROUND(([96]Source!AE1184*[96]Source!AV1184*[96]Source!I1184),2)*[96]Source!BS1184),2), 2), 2)</f>
        <v>0</v>
      </c>
    </row>
    <row r="112" spans="1:27" ht="14.25" x14ac:dyDescent="0.2">
      <c r="A112" s="737"/>
      <c r="B112" s="737"/>
      <c r="C112" s="737"/>
      <c r="D112" s="737"/>
      <c r="E112" s="737"/>
      <c r="F112" s="737"/>
      <c r="G112" s="737"/>
      <c r="H112" s="737"/>
      <c r="I112" s="1067">
        <f>J111</f>
        <v>3323.28</v>
      </c>
      <c r="J112" s="1067"/>
      <c r="K112" s="1067">
        <f>L111</f>
        <v>17413.990000000002</v>
      </c>
      <c r="L112" s="1067"/>
      <c r="O112" s="736">
        <f>J111</f>
        <v>3323.28</v>
      </c>
      <c r="P112" s="736">
        <f>L111</f>
        <v>17413.990000000002</v>
      </c>
      <c r="X112" s="718">
        <f>IF([96]Source!BI1184&lt;=1,J111-0, 0)</f>
        <v>3323.28</v>
      </c>
      <c r="Y112" s="718">
        <f>IF([96]Source!BI1184=2,J111-0, 0)</f>
        <v>0</v>
      </c>
      <c r="Z112" s="718">
        <f>IF([96]Source!BI1184=3,J111-0, 0)</f>
        <v>0</v>
      </c>
      <c r="AA112" s="718">
        <f>IF([96]Source!BI1184=4,J111,0)</f>
        <v>0</v>
      </c>
    </row>
    <row r="113" spans="1:27" ht="45" x14ac:dyDescent="0.25">
      <c r="A113" s="691">
        <v>20</v>
      </c>
      <c r="B113" s="691" t="str">
        <f>[96]Source!E1186</f>
        <v>164</v>
      </c>
      <c r="C113" s="692" t="str">
        <f>[96]Source!F1186</f>
        <v>3.20-11-17</v>
      </c>
      <c r="D113" s="692" t="s">
        <v>533</v>
      </c>
      <c r="E113" s="693" t="str">
        <f>[96]Source!H1186</f>
        <v>1 клапан</v>
      </c>
      <c r="F113" s="694">
        <f>[96]Source!I1186</f>
        <v>4</v>
      </c>
      <c r="G113" s="695"/>
      <c r="H113" s="696"/>
      <c r="I113" s="694"/>
      <c r="J113" s="697"/>
      <c r="K113" s="694"/>
      <c r="L113" s="697"/>
      <c r="Q113" s="718">
        <f>ROUND(([96]Source!DN1186/100)*ROUND((ROUND(([96]Source!AF1186*[96]Source!AV1186*[96]Source!I1186),2)),2), 2)</f>
        <v>758.21</v>
      </c>
      <c r="R113" s="718">
        <f>[96]Source!X1186</f>
        <v>14697.19</v>
      </c>
      <c r="S113" s="718">
        <f>ROUND(([96]Source!DO1186/100)*ROUND((ROUND(([96]Source!AF1186*[96]Source!AV1186*[96]Source!I1186),2)),2), 2)</f>
        <v>570.17999999999995</v>
      </c>
      <c r="T113" s="718">
        <f>[96]Source!Y1186</f>
        <v>6613.74</v>
      </c>
      <c r="U113" s="718">
        <f>ROUND((175/100)*ROUND((ROUND(([96]Source!AE1186*[96]Source!AV1186*[96]Source!I1186),2)),2), 2)</f>
        <v>41.51</v>
      </c>
      <c r="V113" s="718">
        <f>ROUND((157/100)*ROUND(ROUND((ROUND(([96]Source!AE1186*[96]Source!AV1186*[96]Source!I1186),2)*[96]Source!BS1186),2), 2), 2)</f>
        <v>902.34</v>
      </c>
    </row>
    <row r="114" spans="1:27" ht="15" x14ac:dyDescent="0.25">
      <c r="A114" s="691"/>
      <c r="B114" s="691"/>
      <c r="C114" s="692"/>
      <c r="D114" s="692" t="s">
        <v>84</v>
      </c>
      <c r="E114" s="693"/>
      <c r="F114" s="694"/>
      <c r="G114" s="695">
        <f>[96]Source!AO1186</f>
        <v>81.05</v>
      </c>
      <c r="H114" s="696" t="str">
        <f>[96]Source!DG1186</f>
        <v>)*1,67)*1,05</v>
      </c>
      <c r="I114" s="694">
        <f>[96]Source!AV1186</f>
        <v>1.0669999999999999</v>
      </c>
      <c r="J114" s="697">
        <f>ROUND((ROUND(([96]Source!AF1186*[96]Source!AV1186*[96]Source!I1186),2)),2)</f>
        <v>606.57000000000005</v>
      </c>
      <c r="K114" s="694">
        <f>IF([96]Source!BA1186&lt;&gt; 0, [96]Source!BA1186, 1)</f>
        <v>24.23</v>
      </c>
      <c r="L114" s="697">
        <f>[96]Source!S1186</f>
        <v>14697.19</v>
      </c>
      <c r="W114" s="718">
        <f>J114</f>
        <v>606.57000000000005</v>
      </c>
    </row>
    <row r="115" spans="1:27" ht="15" x14ac:dyDescent="0.25">
      <c r="A115" s="691"/>
      <c r="B115" s="691"/>
      <c r="C115" s="692"/>
      <c r="D115" s="692" t="s">
        <v>85</v>
      </c>
      <c r="E115" s="693"/>
      <c r="F115" s="694"/>
      <c r="G115" s="695">
        <f>[96]Source!AM1186</f>
        <v>13.4</v>
      </c>
      <c r="H115" s="696" t="str">
        <f>[96]Source!DE1186</f>
        <v>)*1,05</v>
      </c>
      <c r="I115" s="694">
        <f>[96]Source!AV1186</f>
        <v>1.0669999999999999</v>
      </c>
      <c r="J115" s="697">
        <f>(ROUND((ROUND(((([96]Source!ET1186*1.05))*[96]Source!AV1186*[96]Source!I1186),2)),2)+ROUND((ROUND((([96]Source!AE1186-(([96]Source!EU1186*1.05)))*[96]Source!AV1186*[96]Source!I1186),2)),2))-J124</f>
        <v>60.05</v>
      </c>
      <c r="K115" s="694">
        <f>IF([96]Source!BB1186&lt;&gt; 0, [96]Source!BB1186, 1)</f>
        <v>9.98</v>
      </c>
      <c r="L115" s="697">
        <f>[96]Source!Q1186-L124</f>
        <v>599.35</v>
      </c>
    </row>
    <row r="116" spans="1:27" ht="15" x14ac:dyDescent="0.25">
      <c r="A116" s="691"/>
      <c r="B116" s="691"/>
      <c r="C116" s="692"/>
      <c r="D116" s="692" t="s">
        <v>86</v>
      </c>
      <c r="E116" s="693"/>
      <c r="F116" s="694"/>
      <c r="G116" s="695">
        <f>[96]Source!AN1186</f>
        <v>3.17</v>
      </c>
      <c r="H116" s="696" t="str">
        <f>[96]Source!DE1186</f>
        <v>)*1,05</v>
      </c>
      <c r="I116" s="694">
        <f>[96]Source!AV1186</f>
        <v>1.0669999999999999</v>
      </c>
      <c r="J116" s="700">
        <f>ROUND((ROUND(([96]Source!AE1186*[96]Source!AV1186*[96]Source!I1186),2)),2)-J125</f>
        <v>14.2</v>
      </c>
      <c r="K116" s="694">
        <f>IF([96]Source!BS1186&lt;&gt; 0, [96]Source!BS1186, 1)</f>
        <v>24.23</v>
      </c>
      <c r="L116" s="700">
        <f>[96]Source!R1186-L125</f>
        <v>344.12</v>
      </c>
      <c r="W116" s="718">
        <f>J116</f>
        <v>14.2</v>
      </c>
    </row>
    <row r="117" spans="1:27" ht="15" x14ac:dyDescent="0.25">
      <c r="A117" s="691"/>
      <c r="B117" s="691"/>
      <c r="C117" s="692"/>
      <c r="D117" s="692" t="s">
        <v>87</v>
      </c>
      <c r="E117" s="693"/>
      <c r="F117" s="694"/>
      <c r="G117" s="695">
        <f>[96]Source!AL1186</f>
        <v>37.159999999999997</v>
      </c>
      <c r="H117" s="696" t="str">
        <f>[96]Source!DD1186</f>
        <v/>
      </c>
      <c r="I117" s="694">
        <f>[96]Source!AW1186</f>
        <v>1</v>
      </c>
      <c r="J117" s="697">
        <f>ROUND((ROUND(([96]Source!AC1186*[96]Source!AW1186*[96]Source!I1186),2)),2)</f>
        <v>148.63999999999999</v>
      </c>
      <c r="K117" s="694">
        <f>IF([96]Source!BC1186&lt;&gt; 0, [96]Source!BC1186, 1)</f>
        <v>6.71</v>
      </c>
      <c r="L117" s="697">
        <f>[96]Source!P1186</f>
        <v>997.37</v>
      </c>
    </row>
    <row r="118" spans="1:27" ht="15" x14ac:dyDescent="0.25">
      <c r="A118" s="691"/>
      <c r="B118" s="691"/>
      <c r="C118" s="692"/>
      <c r="D118" s="692" t="s">
        <v>88</v>
      </c>
      <c r="E118" s="693" t="s">
        <v>89</v>
      </c>
      <c r="F118" s="694">
        <f>[96]Source!DN1186</f>
        <v>125</v>
      </c>
      <c r="G118" s="695"/>
      <c r="H118" s="696"/>
      <c r="I118" s="694"/>
      <c r="J118" s="697">
        <f>SUM(Q113:Q117)</f>
        <v>758.21</v>
      </c>
      <c r="K118" s="694">
        <f>[96]Source!BZ1186</f>
        <v>100</v>
      </c>
      <c r="L118" s="697">
        <f>SUM(R113:R117)</f>
        <v>14697.19</v>
      </c>
    </row>
    <row r="119" spans="1:27" ht="15" x14ac:dyDescent="0.25">
      <c r="A119" s="691"/>
      <c r="B119" s="691"/>
      <c r="C119" s="692"/>
      <c r="D119" s="692" t="s">
        <v>90</v>
      </c>
      <c r="E119" s="693" t="s">
        <v>89</v>
      </c>
      <c r="F119" s="694">
        <f>[96]Source!DO1186</f>
        <v>94</v>
      </c>
      <c r="G119" s="695"/>
      <c r="H119" s="696"/>
      <c r="I119" s="694"/>
      <c r="J119" s="697">
        <f>SUM(S113:S118)</f>
        <v>570.17999999999995</v>
      </c>
      <c r="K119" s="694">
        <f>[96]Source!CA1186</f>
        <v>45</v>
      </c>
      <c r="L119" s="697">
        <f>SUM(T113:T118)</f>
        <v>6613.74</v>
      </c>
    </row>
    <row r="120" spans="1:27" ht="15" x14ac:dyDescent="0.25">
      <c r="A120" s="691"/>
      <c r="B120" s="691"/>
      <c r="C120" s="692"/>
      <c r="D120" s="692" t="s">
        <v>91</v>
      </c>
      <c r="E120" s="693" t="s">
        <v>89</v>
      </c>
      <c r="F120" s="694">
        <f>175</f>
        <v>175</v>
      </c>
      <c r="G120" s="695"/>
      <c r="H120" s="696"/>
      <c r="I120" s="694"/>
      <c r="J120" s="697">
        <f>SUM(U113:U119)-J126</f>
        <v>24.85</v>
      </c>
      <c r="K120" s="694">
        <f>157</f>
        <v>157</v>
      </c>
      <c r="L120" s="697">
        <f>SUM(V113:V119)-L126</f>
        <v>540.27</v>
      </c>
    </row>
    <row r="121" spans="1:27" ht="15" x14ac:dyDescent="0.25">
      <c r="A121" s="691"/>
      <c r="B121" s="691"/>
      <c r="C121" s="692"/>
      <c r="D121" s="692" t="s">
        <v>92</v>
      </c>
      <c r="E121" s="693" t="s">
        <v>93</v>
      </c>
      <c r="F121" s="694">
        <f>[96]Source!AQ1186</f>
        <v>7.16</v>
      </c>
      <c r="G121" s="695"/>
      <c r="H121" s="696" t="str">
        <f>[96]Source!DI1186</f>
        <v>)*1,05</v>
      </c>
      <c r="I121" s="694">
        <f>[96]Source!AV1186</f>
        <v>1.0669999999999999</v>
      </c>
      <c r="J121" s="697">
        <f>[96]Source!U1186</f>
        <v>32.090000000000003</v>
      </c>
      <c r="K121" s="694"/>
      <c r="L121" s="697"/>
    </row>
    <row r="122" spans="1:27" ht="14.25" x14ac:dyDescent="0.2">
      <c r="I122" s="1067">
        <f>J114+J115+J117+J118+J119+J120</f>
        <v>2168.5</v>
      </c>
      <c r="J122" s="1067"/>
      <c r="K122" s="1067">
        <f>L114+L115+L117+L118+L119+L120</f>
        <v>38145.11</v>
      </c>
      <c r="L122" s="1067"/>
      <c r="O122" s="736">
        <f>J114+J115+J117+J118+J119+J120</f>
        <v>2168.5</v>
      </c>
      <c r="P122" s="736">
        <f>L114+L115+L117+L118+L119+L120</f>
        <v>38145.11</v>
      </c>
      <c r="X122" s="718">
        <f>IF([96]Source!BI1186&lt;=1,J114+J115+J117+J118+J119+J120-0, 0)</f>
        <v>2168.5</v>
      </c>
      <c r="Y122" s="718">
        <f>IF([96]Source!BI1186=2,J114+J115+J117+J118+J119+J120-0, 0)</f>
        <v>0</v>
      </c>
      <c r="Z122" s="718">
        <f>IF([96]Source!BI1186=3,J114+J115+J117+J118+J119+J120-0, 0)</f>
        <v>0</v>
      </c>
      <c r="AA122" s="718">
        <f>IF([96]Source!BI1186=4,J114+J115+J117+J118+J119+J120,0)</f>
        <v>0</v>
      </c>
    </row>
    <row r="123" spans="1:27" ht="30" x14ac:dyDescent="0.25">
      <c r="A123" s="701"/>
      <c r="B123" s="701"/>
      <c r="C123" s="702"/>
      <c r="D123" s="702" t="s">
        <v>94</v>
      </c>
      <c r="E123" s="693"/>
      <c r="F123" s="703"/>
      <c r="G123" s="704"/>
      <c r="H123" s="693"/>
      <c r="I123" s="703"/>
      <c r="J123" s="700"/>
      <c r="K123" s="703"/>
      <c r="L123" s="700"/>
    </row>
    <row r="124" spans="1:27" ht="15" x14ac:dyDescent="0.25">
      <c r="A124" s="701"/>
      <c r="B124" s="701"/>
      <c r="C124" s="702"/>
      <c r="D124" s="702" t="s">
        <v>85</v>
      </c>
      <c r="E124" s="693"/>
      <c r="F124" s="703"/>
      <c r="G124" s="704">
        <f t="shared" ref="G124:L124" si="8">G125</f>
        <v>3.17</v>
      </c>
      <c r="H124" s="705" t="str">
        <f t="shared" si="8"/>
        <v>)*(1.67-1)*1.05</v>
      </c>
      <c r="I124" s="703">
        <f t="shared" si="8"/>
        <v>1.0669999999999999</v>
      </c>
      <c r="J124" s="700">
        <f t="shared" si="8"/>
        <v>9.52</v>
      </c>
      <c r="K124" s="703">
        <f t="shared" si="8"/>
        <v>24.23</v>
      </c>
      <c r="L124" s="700">
        <f t="shared" si="8"/>
        <v>230.62</v>
      </c>
    </row>
    <row r="125" spans="1:27" ht="15" x14ac:dyDescent="0.25">
      <c r="A125" s="701"/>
      <c r="B125" s="701"/>
      <c r="C125" s="702"/>
      <c r="D125" s="702" t="s">
        <v>86</v>
      </c>
      <c r="E125" s="693"/>
      <c r="F125" s="703"/>
      <c r="G125" s="704">
        <f>[96]Source!AN1186</f>
        <v>3.17</v>
      </c>
      <c r="H125" s="705" t="s">
        <v>491</v>
      </c>
      <c r="I125" s="703">
        <f>[96]Source!AV1186</f>
        <v>1.0669999999999999</v>
      </c>
      <c r="J125" s="700">
        <f>ROUND(F113*G125*I125*(1.67-1)*1.05, 2)</f>
        <v>9.52</v>
      </c>
      <c r="K125" s="703">
        <f>IF([96]Source!BS1186&lt;&gt; 0, [96]Source!BS1186, 1)</f>
        <v>24.23</v>
      </c>
      <c r="L125" s="700">
        <f>ROUND(F113*G125*I125*(1.67-1)*1.05*K125, 2)</f>
        <v>230.62</v>
      </c>
      <c r="W125" s="718">
        <f>J125</f>
        <v>9.52</v>
      </c>
    </row>
    <row r="126" spans="1:27" ht="15" x14ac:dyDescent="0.25">
      <c r="A126" s="701"/>
      <c r="B126" s="701"/>
      <c r="C126" s="702"/>
      <c r="D126" s="702" t="s">
        <v>91</v>
      </c>
      <c r="E126" s="693" t="s">
        <v>89</v>
      </c>
      <c r="F126" s="703">
        <f>175</f>
        <v>175</v>
      </c>
      <c r="G126" s="704"/>
      <c r="H126" s="693"/>
      <c r="I126" s="703"/>
      <c r="J126" s="700">
        <f>ROUND(J125*(F126/100), 2)</f>
        <v>16.66</v>
      </c>
      <c r="K126" s="703">
        <f>157</f>
        <v>157</v>
      </c>
      <c r="L126" s="700">
        <f>ROUND(L125*(K126/100), 2)</f>
        <v>362.07</v>
      </c>
    </row>
    <row r="127" spans="1:27" ht="14.25" x14ac:dyDescent="0.2">
      <c r="I127" s="1067">
        <f>J126+J125</f>
        <v>26.18</v>
      </c>
      <c r="J127" s="1067"/>
      <c r="K127" s="1067">
        <f>L126+L125</f>
        <v>592.69000000000005</v>
      </c>
      <c r="L127" s="1067"/>
      <c r="O127" s="736">
        <f>I127</f>
        <v>26.18</v>
      </c>
      <c r="P127" s="736">
        <f>K127</f>
        <v>592.69000000000005</v>
      </c>
      <c r="X127" s="718">
        <f>IF([96]Source!BI1186&lt;=1,I127, 0)</f>
        <v>26.18</v>
      </c>
      <c r="Y127" s="718">
        <f>IF([96]Source!BI1186=2,I127, 0)</f>
        <v>0</v>
      </c>
      <c r="Z127" s="718">
        <f>IF([96]Source!BI1186=3,I127, 0)</f>
        <v>0</v>
      </c>
      <c r="AA127" s="718">
        <f>IF([96]Source!BI1186=4,I127, 0)</f>
        <v>0</v>
      </c>
    </row>
    <row r="129" spans="1:43" ht="15" x14ac:dyDescent="0.25">
      <c r="A129" s="706"/>
      <c r="B129" s="706"/>
      <c r="C129" s="707"/>
      <c r="D129" s="707" t="s">
        <v>96</v>
      </c>
      <c r="E129" s="708"/>
      <c r="F129" s="709"/>
      <c r="G129" s="710"/>
      <c r="H129" s="711"/>
      <c r="I129" s="1067">
        <f>I122+I127</f>
        <v>2194.6799999999998</v>
      </c>
      <c r="J129" s="1067"/>
      <c r="K129" s="1067">
        <f>K122+K127</f>
        <v>38737.800000000003</v>
      </c>
      <c r="L129" s="1067"/>
    </row>
    <row r="130" spans="1:43" ht="241.9" customHeight="1" x14ac:dyDescent="0.25">
      <c r="A130" s="691">
        <v>21</v>
      </c>
      <c r="B130" s="691" t="str">
        <f>[96]Source!E1196</f>
        <v>169</v>
      </c>
      <c r="C130" s="692" t="str">
        <f>[96]Source!F1196</f>
        <v>МКЭ-33-1714/7-1  14.09.2017</v>
      </c>
      <c r="D130" s="692" t="s">
        <v>743</v>
      </c>
      <c r="E130" s="693" t="str">
        <f>[96]Source!H1196</f>
        <v>шт.</v>
      </c>
      <c r="F130" s="694">
        <f>[96]Source!I1196</f>
        <v>4</v>
      </c>
      <c r="G130" s="695">
        <f>[96]Source!AL1196</f>
        <v>4627.2</v>
      </c>
      <c r="H130" s="696"/>
      <c r="I130" s="694">
        <f>[96]Source!AW1196</f>
        <v>1</v>
      </c>
      <c r="J130" s="697">
        <f>ROUND((ROUND(([96]Source!AC1196*[96]Source!AW1196*[96]Source!I1196),2)),2)</f>
        <v>18878.98</v>
      </c>
      <c r="K130" s="694">
        <f>IF([96]Source!BC1196&lt;&gt; 0, [96]Source!BC1196, 1)</f>
        <v>5.58</v>
      </c>
      <c r="L130" s="697">
        <f>F130*AQ130*1.02</f>
        <v>98925.8</v>
      </c>
      <c r="M130" s="718">
        <f>F130*AQ130*1.02</f>
        <v>98925.801600000006</v>
      </c>
      <c r="Q130" s="718">
        <f>ROUND(([96]Source!DN1196/100)*ROUND((ROUND(([96]Source!AF1196*[96]Source!AV1196*[96]Source!I1196),2)),2), 2)</f>
        <v>0</v>
      </c>
      <c r="R130" s="718">
        <f>[96]Source!X1196</f>
        <v>0</v>
      </c>
      <c r="S130" s="718">
        <f>ROUND(([96]Source!DO1196/100)*ROUND((ROUND(([96]Source!AF1196*[96]Source!AV1196*[96]Source!I1196),2)),2), 2)</f>
        <v>0</v>
      </c>
      <c r="T130" s="718">
        <f>[96]Source!Y1196</f>
        <v>0</v>
      </c>
      <c r="U130" s="718">
        <f>ROUND((175/100)*ROUND((ROUND(([96]Source!AE1196*[96]Source!AV1196*[96]Source!I1196),2)),2), 2)</f>
        <v>0</v>
      </c>
      <c r="V130" s="718">
        <f>ROUND((157/100)*ROUND(ROUND((ROUND(([96]Source!AE1196*[96]Source!AV1196*[96]Source!I1196),2)*[96]Source!BS1196),2), 2), 2)</f>
        <v>0</v>
      </c>
      <c r="AQ130" s="718">
        <v>24246.52</v>
      </c>
    </row>
    <row r="131" spans="1:43" ht="14.25" x14ac:dyDescent="0.2">
      <c r="A131" s="737"/>
      <c r="B131" s="737"/>
      <c r="C131" s="737"/>
      <c r="D131" s="737"/>
      <c r="E131" s="737"/>
      <c r="F131" s="737"/>
      <c r="G131" s="737"/>
      <c r="H131" s="737"/>
      <c r="I131" s="1067">
        <f>J130</f>
        <v>18878.98</v>
      </c>
      <c r="J131" s="1067"/>
      <c r="K131" s="1067">
        <f>L130</f>
        <v>98925.8</v>
      </c>
      <c r="L131" s="1067"/>
      <c r="O131" s="736">
        <f>J130</f>
        <v>18878.98</v>
      </c>
      <c r="P131" s="736">
        <f>L130</f>
        <v>98925.8</v>
      </c>
      <c r="X131" s="718">
        <f>IF([96]Source!BI1196&lt;=1,J130-0, 0)</f>
        <v>18878.98</v>
      </c>
      <c r="Y131" s="718">
        <f>IF([96]Source!BI1196=2,J130-0, 0)</f>
        <v>0</v>
      </c>
      <c r="Z131" s="718">
        <f>IF([96]Source!BI1196=3,J130-0, 0)</f>
        <v>0</v>
      </c>
      <c r="AA131" s="718">
        <f>IF([96]Source!BI1196=4,J130,0)</f>
        <v>0</v>
      </c>
    </row>
    <row r="132" spans="1:43" ht="75" x14ac:dyDescent="0.25">
      <c r="A132" s="691">
        <v>22</v>
      </c>
      <c r="B132" s="691" t="str">
        <f>[96]Source!E1216</f>
        <v>179</v>
      </c>
      <c r="C132" s="692" t="str">
        <f>[96]Source!F1216</f>
        <v>3.20-1-2</v>
      </c>
      <c r="D132" s="692" t="s">
        <v>466</v>
      </c>
      <c r="E132" s="693" t="str">
        <f>[96]Source!H1216</f>
        <v>100 м2 поверхности воздуховодов</v>
      </c>
      <c r="F132" s="694">
        <f>[96]Source!I1216</f>
        <v>7.3400000000000007E-2</v>
      </c>
      <c r="G132" s="695"/>
      <c r="H132" s="696"/>
      <c r="I132" s="694"/>
      <c r="J132" s="697"/>
      <c r="K132" s="694"/>
      <c r="L132" s="697"/>
      <c r="Q132" s="718">
        <f>ROUND(([96]Source!DN1216/100)*ROUND((ROUND(([96]Source!AF1216*[96]Source!AV1216*[96]Source!I1216),2)),2), 2)</f>
        <v>285</v>
      </c>
      <c r="R132" s="718">
        <f>[96]Source!X1216</f>
        <v>5524.44</v>
      </c>
      <c r="S132" s="718">
        <f>ROUND(([96]Source!DO1216/100)*ROUND((ROUND(([96]Source!AF1216*[96]Source!AV1216*[96]Source!I1216),2)),2), 2)</f>
        <v>214.32</v>
      </c>
      <c r="T132" s="718">
        <f>[96]Source!Y1216</f>
        <v>2486</v>
      </c>
      <c r="U132" s="718">
        <f>ROUND((175/100)*ROUND((ROUND(([96]Source!AE1216*[96]Source!AV1216*[96]Source!I1216),2)),2), 2)</f>
        <v>4.4800000000000004</v>
      </c>
      <c r="V132" s="718">
        <f>ROUND((157/100)*ROUND(ROUND((ROUND(([96]Source!AE1216*[96]Source!AV1216*[96]Source!I1216),2)*[96]Source!BS1216),2), 2), 2)</f>
        <v>97.39</v>
      </c>
    </row>
    <row r="133" spans="1:43" ht="15" x14ac:dyDescent="0.25">
      <c r="A133" s="691"/>
      <c r="B133" s="691"/>
      <c r="C133" s="692"/>
      <c r="D133" s="692" t="s">
        <v>84</v>
      </c>
      <c r="E133" s="693"/>
      <c r="F133" s="694"/>
      <c r="G133" s="695">
        <f>[96]Source!AO1216</f>
        <v>1743.28</v>
      </c>
      <c r="H133" s="696" t="str">
        <f>[96]Source!DG1216</f>
        <v>)*1,67</v>
      </c>
      <c r="I133" s="694">
        <f>[96]Source!AV1216</f>
        <v>1.0669999999999999</v>
      </c>
      <c r="J133" s="697">
        <f>ROUND((ROUND(([96]Source!AF1216*[96]Source!AV1216*[96]Source!I1216),2)),2)</f>
        <v>228</v>
      </c>
      <c r="K133" s="694">
        <f>IF([96]Source!BA1216&lt;&gt; 0, [96]Source!BA1216, 1)</f>
        <v>24.23</v>
      </c>
      <c r="L133" s="697">
        <f>[96]Source!S1216</f>
        <v>5524.44</v>
      </c>
      <c r="W133" s="718">
        <f>J133</f>
        <v>228</v>
      </c>
    </row>
    <row r="134" spans="1:43" ht="15" x14ac:dyDescent="0.25">
      <c r="A134" s="691"/>
      <c r="B134" s="691"/>
      <c r="C134" s="692"/>
      <c r="D134" s="692" t="s">
        <v>85</v>
      </c>
      <c r="E134" s="693"/>
      <c r="F134" s="694"/>
      <c r="G134" s="695">
        <f>[96]Source!AM1216</f>
        <v>158.18</v>
      </c>
      <c r="H134" s="696" t="str">
        <f>[96]Source!DE1216</f>
        <v/>
      </c>
      <c r="I134" s="694">
        <f>[96]Source!AV1216</f>
        <v>1.0669999999999999</v>
      </c>
      <c r="J134" s="697">
        <f>(ROUND((ROUND((([96]Source!ET1216)*[96]Source!AV1216*[96]Source!I1216),2)),2)+ROUND((ROUND((([96]Source!AE1216-([96]Source!EU1216))*[96]Source!AV1216*[96]Source!I1216),2)),2))-J144</f>
        <v>12.39</v>
      </c>
      <c r="K134" s="694">
        <f>IF([96]Source!BB1216&lt;&gt; 0, [96]Source!BB1216, 1)</f>
        <v>8.6</v>
      </c>
      <c r="L134" s="697">
        <f>[96]Source!Q1216-L144</f>
        <v>106.62</v>
      </c>
    </row>
    <row r="135" spans="1:43" ht="15" x14ac:dyDescent="0.25">
      <c r="A135" s="691"/>
      <c r="B135" s="691"/>
      <c r="C135" s="692"/>
      <c r="D135" s="692" t="s">
        <v>86</v>
      </c>
      <c r="E135" s="693"/>
      <c r="F135" s="694"/>
      <c r="G135" s="695">
        <f>[96]Source!AN1216</f>
        <v>19.579999999999998</v>
      </c>
      <c r="H135" s="696" t="str">
        <f>[96]Source!DE1216</f>
        <v/>
      </c>
      <c r="I135" s="694">
        <f>[96]Source!AV1216</f>
        <v>1.0669999999999999</v>
      </c>
      <c r="J135" s="700">
        <f>ROUND((ROUND(([96]Source!AE1216*[96]Source!AV1216*[96]Source!I1216),2)),2)-J145</f>
        <v>1.53</v>
      </c>
      <c r="K135" s="694">
        <f>IF([96]Source!BS1216&lt;&gt; 0, [96]Source!BS1216, 1)</f>
        <v>24.23</v>
      </c>
      <c r="L135" s="700">
        <f>[96]Source!R1216-L145</f>
        <v>37.14</v>
      </c>
      <c r="W135" s="718">
        <f>J135</f>
        <v>1.53</v>
      </c>
    </row>
    <row r="136" spans="1:43" ht="15" x14ac:dyDescent="0.25">
      <c r="A136" s="691"/>
      <c r="B136" s="691"/>
      <c r="C136" s="692"/>
      <c r="D136" s="692" t="s">
        <v>87</v>
      </c>
      <c r="E136" s="693"/>
      <c r="F136" s="694"/>
      <c r="G136" s="695">
        <f>[96]Source!AL1216</f>
        <v>499.52</v>
      </c>
      <c r="H136" s="696" t="str">
        <f>[96]Source!DD1216</f>
        <v/>
      </c>
      <c r="I136" s="694">
        <f>[96]Source!AW1216</f>
        <v>1</v>
      </c>
      <c r="J136" s="697">
        <f>ROUND((ROUND(([96]Source!AC1216*[96]Source!AW1216*[96]Source!I1216),2)),2)</f>
        <v>36.659999999999997</v>
      </c>
      <c r="K136" s="694">
        <f>IF([96]Source!BC1216&lt;&gt; 0, [96]Source!BC1216, 1)</f>
        <v>3.66</v>
      </c>
      <c r="L136" s="697">
        <f>[96]Source!P1216</f>
        <v>134.18</v>
      </c>
    </row>
    <row r="137" spans="1:43" ht="58.9" customHeight="1" x14ac:dyDescent="0.25">
      <c r="A137" s="691">
        <v>23</v>
      </c>
      <c r="B137" s="691" t="str">
        <f>[96]Source!E1218</f>
        <v>179,1</v>
      </c>
      <c r="C137" s="692" t="str">
        <f>[96]Source!F1218</f>
        <v>1.19-3-12</v>
      </c>
      <c r="D137" s="692" t="s">
        <v>467</v>
      </c>
      <c r="E137" s="693" t="str">
        <f>[96]Source!H1218</f>
        <v>м2</v>
      </c>
      <c r="F137" s="694">
        <f>[96]Source!I1218</f>
        <v>7.34</v>
      </c>
      <c r="G137" s="695">
        <f>[96]Source!AK1218</f>
        <v>125.64</v>
      </c>
      <c r="H137" s="734" t="s">
        <v>42</v>
      </c>
      <c r="I137" s="694">
        <f>[96]Source!AW1218</f>
        <v>1</v>
      </c>
      <c r="J137" s="697">
        <f>ROUND((ROUND(([96]Source!AC1218*[96]Source!AW1218*[96]Source!I1218),2)),2)+(ROUND((ROUND((([96]Source!ET1218)*[96]Source!AV1218*[96]Source!I1218),2)),2)+ROUND((ROUND((([96]Source!AE1218-([96]Source!EU1218))*[96]Source!AV1218*[96]Source!I1218),2)),2))+ROUND((ROUND(([96]Source!AF1218*[96]Source!AV1218*[96]Source!I1218),2)),2)</f>
        <v>922.2</v>
      </c>
      <c r="K137" s="694">
        <f>IF([96]Source!BC1218&lt;&gt; 0, [96]Source!BC1218, 1)</f>
        <v>3.84</v>
      </c>
      <c r="L137" s="697">
        <f>[96]Source!O1218</f>
        <v>3541.25</v>
      </c>
      <c r="Q137" s="718">
        <f>ROUND(([96]Source!DN1218/100)*ROUND((ROUND(([96]Source!AF1218*[96]Source!AV1218*[96]Source!I1218),2)),2), 2)</f>
        <v>0</v>
      </c>
      <c r="R137" s="718">
        <f>[96]Source!X1218</f>
        <v>0</v>
      </c>
      <c r="S137" s="718">
        <f>ROUND(([96]Source!DO1218/100)*ROUND((ROUND(([96]Source!AF1218*[96]Source!AV1218*[96]Source!I1218),2)),2), 2)</f>
        <v>0</v>
      </c>
      <c r="T137" s="718">
        <f>[96]Source!Y1218</f>
        <v>0</v>
      </c>
      <c r="U137" s="718">
        <f>ROUND((175/100)*ROUND((ROUND(([96]Source!AE1218*[96]Source!AV1218*[96]Source!I1218),2)),2), 2)</f>
        <v>0</v>
      </c>
      <c r="V137" s="718">
        <f>ROUND((157/100)*ROUND(ROUND((ROUND(([96]Source!AE1218*[96]Source!AV1218*[96]Source!I1218),2)*[96]Source!BS1218),2), 2), 2)</f>
        <v>0</v>
      </c>
      <c r="X137" s="718">
        <f>IF([96]Source!BI1218&lt;=1,J137, 0)</f>
        <v>922.2</v>
      </c>
      <c r="Y137" s="718">
        <f>IF([96]Source!BI1218=2,J137, 0)</f>
        <v>0</v>
      </c>
      <c r="Z137" s="718">
        <f>IF([96]Source!BI1218=3,J137, 0)</f>
        <v>0</v>
      </c>
      <c r="AA137" s="718">
        <f>IF([96]Source!BI1218=4,J137, 0)</f>
        <v>0</v>
      </c>
    </row>
    <row r="138" spans="1:43" ht="15" x14ac:dyDescent="0.25">
      <c r="A138" s="691"/>
      <c r="B138" s="691"/>
      <c r="C138" s="692"/>
      <c r="D138" s="692" t="s">
        <v>88</v>
      </c>
      <c r="E138" s="693" t="s">
        <v>89</v>
      </c>
      <c r="F138" s="694">
        <f>[96]Source!DN1216</f>
        <v>125</v>
      </c>
      <c r="G138" s="695"/>
      <c r="H138" s="696"/>
      <c r="I138" s="694"/>
      <c r="J138" s="697">
        <f>SUM(Q132:Q137)</f>
        <v>285</v>
      </c>
      <c r="K138" s="694">
        <f>[96]Source!BZ1216</f>
        <v>100</v>
      </c>
      <c r="L138" s="697">
        <f>SUM(R132:R137)</f>
        <v>5524.44</v>
      </c>
    </row>
    <row r="139" spans="1:43" ht="15" x14ac:dyDescent="0.25">
      <c r="A139" s="691"/>
      <c r="B139" s="691"/>
      <c r="C139" s="692"/>
      <c r="D139" s="692" t="s">
        <v>90</v>
      </c>
      <c r="E139" s="693" t="s">
        <v>89</v>
      </c>
      <c r="F139" s="694">
        <f>[96]Source!DO1216</f>
        <v>94</v>
      </c>
      <c r="G139" s="695"/>
      <c r="H139" s="696"/>
      <c r="I139" s="694"/>
      <c r="J139" s="697">
        <f>SUM(S132:S138)</f>
        <v>214.32</v>
      </c>
      <c r="K139" s="694">
        <f>[96]Source!CA1216</f>
        <v>45</v>
      </c>
      <c r="L139" s="697">
        <f>SUM(T132:T138)</f>
        <v>2486</v>
      </c>
    </row>
    <row r="140" spans="1:43" ht="15" x14ac:dyDescent="0.25">
      <c r="A140" s="691"/>
      <c r="B140" s="691"/>
      <c r="C140" s="692"/>
      <c r="D140" s="692" t="s">
        <v>91</v>
      </c>
      <c r="E140" s="693" t="s">
        <v>89</v>
      </c>
      <c r="F140" s="694">
        <f>175</f>
        <v>175</v>
      </c>
      <c r="G140" s="695"/>
      <c r="H140" s="696"/>
      <c r="I140" s="694"/>
      <c r="J140" s="697">
        <f>SUM(U132:U139)-J146</f>
        <v>2.68</v>
      </c>
      <c r="K140" s="694">
        <f>157</f>
        <v>157</v>
      </c>
      <c r="L140" s="697">
        <f>SUM(V132:V139)-L146</f>
        <v>58.31</v>
      </c>
    </row>
    <row r="141" spans="1:43" ht="15" x14ac:dyDescent="0.25">
      <c r="A141" s="691"/>
      <c r="B141" s="691"/>
      <c r="C141" s="692"/>
      <c r="D141" s="692" t="s">
        <v>92</v>
      </c>
      <c r="E141" s="693" t="s">
        <v>93</v>
      </c>
      <c r="F141" s="694">
        <f>[96]Source!AQ1216</f>
        <v>154</v>
      </c>
      <c r="G141" s="695"/>
      <c r="H141" s="696" t="str">
        <f>[96]Source!DI1216</f>
        <v/>
      </c>
      <c r="I141" s="694">
        <f>[96]Source!AV1216</f>
        <v>1.0669999999999999</v>
      </c>
      <c r="J141" s="697">
        <f>[96]Source!U1216</f>
        <v>12.06</v>
      </c>
      <c r="K141" s="694"/>
      <c r="L141" s="697"/>
    </row>
    <row r="142" spans="1:43" ht="14.25" x14ac:dyDescent="0.2">
      <c r="I142" s="1067">
        <f>J133+J134+J136+J138+J139+J140+SUM(J137:J137)</f>
        <v>1701.25</v>
      </c>
      <c r="J142" s="1067"/>
      <c r="K142" s="1067">
        <f>L133+L134+L136+L138+L139+L140+SUM(L137:L137)</f>
        <v>17375.240000000002</v>
      </c>
      <c r="L142" s="1067"/>
      <c r="O142" s="736">
        <f>J133+J134+J136+J138+J139+J140+SUM(J137:J137)</f>
        <v>1701.25</v>
      </c>
      <c r="P142" s="736">
        <f>L133+L134+L136+L138+L139+L140+SUM(L137:L137)</f>
        <v>17375.240000000002</v>
      </c>
      <c r="X142" s="718">
        <f>IF([96]Source!BI1216&lt;=1,J133+J134+J136+J138+J139+J140-0, 0)</f>
        <v>779.05</v>
      </c>
      <c r="Y142" s="718">
        <f>IF([96]Source!BI1216=2,J133+J134+J136+J138+J139+J140-0, 0)</f>
        <v>0</v>
      </c>
      <c r="Z142" s="718">
        <f>IF([96]Source!BI1216=3,J133+J134+J136+J138+J139+J140-0, 0)</f>
        <v>0</v>
      </c>
      <c r="AA142" s="718">
        <f>IF([96]Source!BI1216=4,J133+J134+J136+J138+J139+J140,0)</f>
        <v>0</v>
      </c>
    </row>
    <row r="143" spans="1:43" ht="30" x14ac:dyDescent="0.25">
      <c r="A143" s="701"/>
      <c r="B143" s="701"/>
      <c r="C143" s="702"/>
      <c r="D143" s="702" t="s">
        <v>94</v>
      </c>
      <c r="E143" s="693"/>
      <c r="F143" s="703"/>
      <c r="G143" s="704"/>
      <c r="H143" s="693"/>
      <c r="I143" s="703"/>
      <c r="J143" s="700"/>
      <c r="K143" s="703"/>
      <c r="L143" s="700"/>
    </row>
    <row r="144" spans="1:43" ht="15" x14ac:dyDescent="0.25">
      <c r="A144" s="701"/>
      <c r="B144" s="701"/>
      <c r="C144" s="702"/>
      <c r="D144" s="702" t="s">
        <v>85</v>
      </c>
      <c r="E144" s="693"/>
      <c r="F144" s="703"/>
      <c r="G144" s="704">
        <f t="shared" ref="G144:L144" si="9">G145</f>
        <v>19.579999999999998</v>
      </c>
      <c r="H144" s="705" t="str">
        <f t="shared" si="9"/>
        <v>)*(1.67-1)</v>
      </c>
      <c r="I144" s="703">
        <f t="shared" si="9"/>
        <v>1.0669999999999999</v>
      </c>
      <c r="J144" s="700">
        <f t="shared" si="9"/>
        <v>1.03</v>
      </c>
      <c r="K144" s="703">
        <f t="shared" si="9"/>
        <v>24.23</v>
      </c>
      <c r="L144" s="700">
        <f t="shared" si="9"/>
        <v>24.89</v>
      </c>
    </row>
    <row r="145" spans="1:27" ht="15" x14ac:dyDescent="0.25">
      <c r="A145" s="701"/>
      <c r="B145" s="701"/>
      <c r="C145" s="702"/>
      <c r="D145" s="702" t="s">
        <v>86</v>
      </c>
      <c r="E145" s="693"/>
      <c r="F145" s="703"/>
      <c r="G145" s="704">
        <f>[96]Source!AN1216</f>
        <v>19.579999999999998</v>
      </c>
      <c r="H145" s="705" t="s">
        <v>95</v>
      </c>
      <c r="I145" s="703">
        <f>[96]Source!AV1216</f>
        <v>1.0669999999999999</v>
      </c>
      <c r="J145" s="700">
        <f>ROUND(F132*G145*I145*(1.67-1), 2)</f>
        <v>1.03</v>
      </c>
      <c r="K145" s="703">
        <f>IF([96]Source!BS1216&lt;&gt; 0, [96]Source!BS1216, 1)</f>
        <v>24.23</v>
      </c>
      <c r="L145" s="700">
        <f>ROUND(F132*G145*I145*(1.67-1)*K145, 2)</f>
        <v>24.89</v>
      </c>
      <c r="W145" s="718">
        <f>J145</f>
        <v>1.03</v>
      </c>
    </row>
    <row r="146" spans="1:27" ht="15" x14ac:dyDescent="0.25">
      <c r="A146" s="701"/>
      <c r="B146" s="701"/>
      <c r="C146" s="702"/>
      <c r="D146" s="702" t="s">
        <v>91</v>
      </c>
      <c r="E146" s="693" t="s">
        <v>89</v>
      </c>
      <c r="F146" s="703">
        <f>175</f>
        <v>175</v>
      </c>
      <c r="G146" s="704"/>
      <c r="H146" s="693"/>
      <c r="I146" s="703"/>
      <c r="J146" s="700">
        <f>ROUND(J145*(F146/100), 2)</f>
        <v>1.8</v>
      </c>
      <c r="K146" s="703">
        <f>157</f>
        <v>157</v>
      </c>
      <c r="L146" s="700">
        <f>ROUND(L145*(K146/100), 2)</f>
        <v>39.08</v>
      </c>
    </row>
    <row r="147" spans="1:27" ht="14.25" x14ac:dyDescent="0.2">
      <c r="I147" s="1067">
        <f>J146+J145</f>
        <v>2.83</v>
      </c>
      <c r="J147" s="1067"/>
      <c r="K147" s="1067">
        <f>L146+L145</f>
        <v>63.97</v>
      </c>
      <c r="L147" s="1067"/>
      <c r="O147" s="736">
        <f>I147</f>
        <v>2.83</v>
      </c>
      <c r="P147" s="736">
        <f>K147</f>
        <v>63.97</v>
      </c>
      <c r="X147" s="718">
        <f>IF([96]Source!BI1216&lt;=1,I147, 0)</f>
        <v>2.83</v>
      </c>
      <c r="Y147" s="718">
        <f>IF([96]Source!BI1216=2,I147, 0)</f>
        <v>0</v>
      </c>
      <c r="Z147" s="718">
        <f>IF([96]Source!BI1216=3,I147, 0)</f>
        <v>0</v>
      </c>
      <c r="AA147" s="718">
        <f>IF([96]Source!BI1216=4,I147, 0)</f>
        <v>0</v>
      </c>
    </row>
    <row r="149" spans="1:27" ht="15" x14ac:dyDescent="0.25">
      <c r="A149" s="706"/>
      <c r="B149" s="706"/>
      <c r="C149" s="707"/>
      <c r="D149" s="707" t="s">
        <v>96</v>
      </c>
      <c r="E149" s="708"/>
      <c r="F149" s="709"/>
      <c r="G149" s="710"/>
      <c r="H149" s="711"/>
      <c r="I149" s="1067">
        <f>I142+I147</f>
        <v>1704.08</v>
      </c>
      <c r="J149" s="1067"/>
      <c r="K149" s="1067">
        <f>K142+K147</f>
        <v>17439.21</v>
      </c>
      <c r="L149" s="1067"/>
    </row>
    <row r="150" spans="1:27" ht="75" x14ac:dyDescent="0.25">
      <c r="A150" s="691">
        <v>24</v>
      </c>
      <c r="B150" s="691" t="str">
        <f>[96]Source!E1220</f>
        <v>180</v>
      </c>
      <c r="C150" s="692" t="str">
        <f>[96]Source!F1220</f>
        <v>3.20-1-3</v>
      </c>
      <c r="D150" s="692" t="s">
        <v>510</v>
      </c>
      <c r="E150" s="693" t="str">
        <f>[96]Source!H1220</f>
        <v>100 м2 поверхности воздуховодов</v>
      </c>
      <c r="F150" s="694">
        <f>[96]Source!I1220</f>
        <v>1.06E-2</v>
      </c>
      <c r="G150" s="695"/>
      <c r="H150" s="696"/>
      <c r="I150" s="694"/>
      <c r="J150" s="697"/>
      <c r="K150" s="694"/>
      <c r="L150" s="697"/>
      <c r="Q150" s="718">
        <f>ROUND(([96]Source!DN1220/100)*ROUND((ROUND(([96]Source!AF1220*[96]Source!AV1220*[96]Source!I1220),2)),2), 2)</f>
        <v>37.69</v>
      </c>
      <c r="R150" s="718">
        <f>[96]Source!X1220</f>
        <v>730.53</v>
      </c>
      <c r="S150" s="718">
        <f>ROUND(([96]Source!DO1220/100)*ROUND((ROUND(([96]Source!AF1220*[96]Source!AV1220*[96]Source!I1220),2)),2), 2)</f>
        <v>28.34</v>
      </c>
      <c r="T150" s="718">
        <f>[96]Source!Y1220</f>
        <v>328.74</v>
      </c>
      <c r="U150" s="718">
        <f>ROUND((175/100)*ROUND((ROUND(([96]Source!AE1220*[96]Source!AV1220*[96]Source!I1220),2)),2), 2)</f>
        <v>0.51</v>
      </c>
      <c r="V150" s="718">
        <f>ROUND((157/100)*ROUND(ROUND((ROUND(([96]Source!AE1220*[96]Source!AV1220*[96]Source!I1220),2)*[96]Source!BS1220),2), 2), 2)</f>
        <v>11.04</v>
      </c>
    </row>
    <row r="151" spans="1:27" ht="15" x14ac:dyDescent="0.25">
      <c r="A151" s="691"/>
      <c r="B151" s="691"/>
      <c r="C151" s="692"/>
      <c r="D151" s="692" t="s">
        <v>84</v>
      </c>
      <c r="E151" s="693"/>
      <c r="F151" s="694"/>
      <c r="G151" s="695">
        <f>[96]Source!AO1220</f>
        <v>1596.12</v>
      </c>
      <c r="H151" s="696" t="str">
        <f>[96]Source!DG1220</f>
        <v>)*1,67</v>
      </c>
      <c r="I151" s="694">
        <f>[96]Source!AV1220</f>
        <v>1.0669999999999999</v>
      </c>
      <c r="J151" s="697">
        <f>ROUND((ROUND(([96]Source!AF1220*[96]Source!AV1220*[96]Source!I1220),2)),2)</f>
        <v>30.15</v>
      </c>
      <c r="K151" s="694">
        <f>IF([96]Source!BA1220&lt;&gt; 0, [96]Source!BA1220, 1)</f>
        <v>24.23</v>
      </c>
      <c r="L151" s="697">
        <f>[96]Source!S1220</f>
        <v>730.53</v>
      </c>
      <c r="W151" s="718">
        <f>J151</f>
        <v>30.15</v>
      </c>
    </row>
    <row r="152" spans="1:27" ht="15" x14ac:dyDescent="0.25">
      <c r="A152" s="691"/>
      <c r="B152" s="691"/>
      <c r="C152" s="692"/>
      <c r="D152" s="692" t="s">
        <v>85</v>
      </c>
      <c r="E152" s="693"/>
      <c r="F152" s="694"/>
      <c r="G152" s="695">
        <f>[96]Source!AM1220</f>
        <v>125.93</v>
      </c>
      <c r="H152" s="696" t="str">
        <f>[96]Source!DE1220</f>
        <v/>
      </c>
      <c r="I152" s="694">
        <f>[96]Source!AV1220</f>
        <v>1.0669999999999999</v>
      </c>
      <c r="J152" s="697">
        <f>(ROUND((ROUND((([96]Source!ET1220)*[96]Source!AV1220*[96]Source!I1220),2)),2)+ROUND((ROUND((([96]Source!AE1220-([96]Source!EU1220))*[96]Source!AV1220*[96]Source!I1220),2)),2))-J162</f>
        <v>1.42</v>
      </c>
      <c r="K152" s="694">
        <f>IF([96]Source!BB1220&lt;&gt; 0, [96]Source!BB1220, 1)</f>
        <v>8.59</v>
      </c>
      <c r="L152" s="697">
        <f>[96]Source!Q1220-L162</f>
        <v>12.28</v>
      </c>
    </row>
    <row r="153" spans="1:27" ht="15" x14ac:dyDescent="0.25">
      <c r="A153" s="691"/>
      <c r="B153" s="691"/>
      <c r="C153" s="692"/>
      <c r="D153" s="692" t="s">
        <v>86</v>
      </c>
      <c r="E153" s="693"/>
      <c r="F153" s="694"/>
      <c r="G153" s="695">
        <f>[96]Source!AN1220</f>
        <v>15.43</v>
      </c>
      <c r="H153" s="696" t="str">
        <f>[96]Source!DE1220</f>
        <v/>
      </c>
      <c r="I153" s="694">
        <f>[96]Source!AV1220</f>
        <v>1.0669999999999999</v>
      </c>
      <c r="J153" s="700">
        <f>ROUND((ROUND(([96]Source!AE1220*[96]Source!AV1220*[96]Source!I1220),2)),2)-J163</f>
        <v>0.17</v>
      </c>
      <c r="K153" s="694">
        <f>IF([96]Source!BS1220&lt;&gt; 0, [96]Source!BS1220, 1)</f>
        <v>24.23</v>
      </c>
      <c r="L153" s="700">
        <f>[96]Source!R1220-L163</f>
        <v>4.2</v>
      </c>
      <c r="W153" s="718">
        <f>J153</f>
        <v>0.17</v>
      </c>
    </row>
    <row r="154" spans="1:27" ht="15" x14ac:dyDescent="0.25">
      <c r="A154" s="691"/>
      <c r="B154" s="691"/>
      <c r="C154" s="692"/>
      <c r="D154" s="692" t="s">
        <v>87</v>
      </c>
      <c r="E154" s="693"/>
      <c r="F154" s="694"/>
      <c r="G154" s="695">
        <f>[96]Source!AL1220</f>
        <v>499.17</v>
      </c>
      <c r="H154" s="696" t="str">
        <f>[96]Source!DD1220</f>
        <v/>
      </c>
      <c r="I154" s="694">
        <f>[96]Source!AW1220</f>
        <v>1</v>
      </c>
      <c r="J154" s="697">
        <f>ROUND((ROUND(([96]Source!AC1220*[96]Source!AW1220*[96]Source!I1220),2)),2)</f>
        <v>5.29</v>
      </c>
      <c r="K154" s="694">
        <f>IF([96]Source!BC1220&lt;&gt; 0, [96]Source!BC1220, 1)</f>
        <v>3.65</v>
      </c>
      <c r="L154" s="697">
        <f>[96]Source!P1220</f>
        <v>19.309999999999999</v>
      </c>
    </row>
    <row r="155" spans="1:27" ht="69" customHeight="1" x14ac:dyDescent="0.25">
      <c r="A155" s="691">
        <v>25</v>
      </c>
      <c r="B155" s="691" t="str">
        <f>[96]Source!E1222</f>
        <v>180,1</v>
      </c>
      <c r="C155" s="692" t="str">
        <f>[96]Source!F1222</f>
        <v>1.19-3-12</v>
      </c>
      <c r="D155" s="692" t="s">
        <v>467</v>
      </c>
      <c r="E155" s="693" t="str">
        <f>[96]Source!H1222</f>
        <v>м2</v>
      </c>
      <c r="F155" s="694">
        <f>[96]Source!I1222</f>
        <v>1.06</v>
      </c>
      <c r="G155" s="695">
        <f>[96]Source!AK1222</f>
        <v>125.64</v>
      </c>
      <c r="H155" s="734" t="s">
        <v>42</v>
      </c>
      <c r="I155" s="694">
        <f>[96]Source!AW1222</f>
        <v>1</v>
      </c>
      <c r="J155" s="697">
        <f>ROUND((ROUND(([96]Source!AC1222*[96]Source!AW1222*[96]Source!I1222),2)),2)+(ROUND((ROUND((([96]Source!ET1222)*[96]Source!AV1222*[96]Source!I1222),2)),2)+ROUND((ROUND((([96]Source!AE1222-([96]Source!EU1222))*[96]Source!AV1222*[96]Source!I1222),2)),2))+ROUND((ROUND(([96]Source!AF1222*[96]Source!AV1222*[96]Source!I1222),2)),2)</f>
        <v>133.18</v>
      </c>
      <c r="K155" s="694">
        <f>IF([96]Source!BC1222&lt;&gt; 0, [96]Source!BC1222, 1)</f>
        <v>3.84</v>
      </c>
      <c r="L155" s="697">
        <f>[96]Source!O1222</f>
        <v>511.41</v>
      </c>
      <c r="Q155" s="718">
        <f>ROUND(([96]Source!DN1222/100)*ROUND((ROUND(([96]Source!AF1222*[96]Source!AV1222*[96]Source!I1222),2)),2), 2)</f>
        <v>0</v>
      </c>
      <c r="R155" s="718">
        <f>[96]Source!X1222</f>
        <v>0</v>
      </c>
      <c r="S155" s="718">
        <f>ROUND(([96]Source!DO1222/100)*ROUND((ROUND(([96]Source!AF1222*[96]Source!AV1222*[96]Source!I1222),2)),2), 2)</f>
        <v>0</v>
      </c>
      <c r="T155" s="718">
        <f>[96]Source!Y1222</f>
        <v>0</v>
      </c>
      <c r="U155" s="718">
        <f>ROUND((175/100)*ROUND((ROUND(([96]Source!AE1222*[96]Source!AV1222*[96]Source!I1222),2)),2), 2)</f>
        <v>0</v>
      </c>
      <c r="V155" s="718">
        <f>ROUND((157/100)*ROUND(ROUND((ROUND(([96]Source!AE1222*[96]Source!AV1222*[96]Source!I1222),2)*[96]Source!BS1222),2), 2), 2)</f>
        <v>0</v>
      </c>
      <c r="X155" s="718">
        <f>IF([96]Source!BI1222&lt;=1,J155, 0)</f>
        <v>133.18</v>
      </c>
      <c r="Y155" s="718">
        <f>IF([96]Source!BI1222=2,J155, 0)</f>
        <v>0</v>
      </c>
      <c r="Z155" s="718">
        <f>IF([96]Source!BI1222=3,J155, 0)</f>
        <v>0</v>
      </c>
      <c r="AA155" s="718">
        <f>IF([96]Source!BI1222=4,J155, 0)</f>
        <v>0</v>
      </c>
    </row>
    <row r="156" spans="1:27" ht="15" x14ac:dyDescent="0.25">
      <c r="A156" s="691"/>
      <c r="B156" s="691"/>
      <c r="C156" s="692"/>
      <c r="D156" s="692" t="s">
        <v>88</v>
      </c>
      <c r="E156" s="693" t="s">
        <v>89</v>
      </c>
      <c r="F156" s="694">
        <f>[96]Source!DN1220</f>
        <v>125</v>
      </c>
      <c r="G156" s="695"/>
      <c r="H156" s="696"/>
      <c r="I156" s="694"/>
      <c r="J156" s="697">
        <f>SUM(Q150:Q155)</f>
        <v>37.69</v>
      </c>
      <c r="K156" s="694">
        <f>[96]Source!BZ1220</f>
        <v>100</v>
      </c>
      <c r="L156" s="697">
        <f>SUM(R150:R155)</f>
        <v>730.53</v>
      </c>
    </row>
    <row r="157" spans="1:27" ht="15" x14ac:dyDescent="0.25">
      <c r="A157" s="691"/>
      <c r="B157" s="691"/>
      <c r="C157" s="692"/>
      <c r="D157" s="692" t="s">
        <v>90</v>
      </c>
      <c r="E157" s="693" t="s">
        <v>89</v>
      </c>
      <c r="F157" s="694">
        <f>[96]Source!DO1220</f>
        <v>94</v>
      </c>
      <c r="G157" s="695"/>
      <c r="H157" s="696"/>
      <c r="I157" s="694"/>
      <c r="J157" s="697">
        <f>SUM(S150:S156)</f>
        <v>28.34</v>
      </c>
      <c r="K157" s="694">
        <f>[96]Source!CA1220</f>
        <v>45</v>
      </c>
      <c r="L157" s="697">
        <f>SUM(T150:T156)</f>
        <v>328.74</v>
      </c>
    </row>
    <row r="158" spans="1:27" ht="15" x14ac:dyDescent="0.25">
      <c r="A158" s="691"/>
      <c r="B158" s="691"/>
      <c r="C158" s="692"/>
      <c r="D158" s="692" t="s">
        <v>91</v>
      </c>
      <c r="E158" s="693" t="s">
        <v>89</v>
      </c>
      <c r="F158" s="694">
        <f>175</f>
        <v>175</v>
      </c>
      <c r="G158" s="695"/>
      <c r="H158" s="696"/>
      <c r="I158" s="694"/>
      <c r="J158" s="697">
        <f>SUM(U150:U157)-J164</f>
        <v>0.3</v>
      </c>
      <c r="K158" s="694">
        <f>157</f>
        <v>157</v>
      </c>
      <c r="L158" s="697">
        <f>SUM(V150:V157)-L164</f>
        <v>6.6</v>
      </c>
    </row>
    <row r="159" spans="1:27" ht="15" x14ac:dyDescent="0.25">
      <c r="A159" s="691"/>
      <c r="B159" s="691"/>
      <c r="C159" s="692"/>
      <c r="D159" s="692" t="s">
        <v>92</v>
      </c>
      <c r="E159" s="693" t="s">
        <v>93</v>
      </c>
      <c r="F159" s="694">
        <f>[96]Source!AQ1220</f>
        <v>141</v>
      </c>
      <c r="G159" s="695"/>
      <c r="H159" s="696" t="str">
        <f>[96]Source!DI1220</f>
        <v/>
      </c>
      <c r="I159" s="694">
        <f>[96]Source!AV1220</f>
        <v>1.0669999999999999</v>
      </c>
      <c r="J159" s="697">
        <f>[96]Source!U1220</f>
        <v>1.59</v>
      </c>
      <c r="K159" s="694"/>
      <c r="L159" s="697"/>
    </row>
    <row r="160" spans="1:27" ht="14.25" x14ac:dyDescent="0.2">
      <c r="I160" s="1067">
        <f>J151+J152+J154+J156+J157+J158+SUM(J155:J155)</f>
        <v>236.37</v>
      </c>
      <c r="J160" s="1067"/>
      <c r="K160" s="1067">
        <f>L151+L152+L154+L156+L157+L158+SUM(L155:L155)</f>
        <v>2339.4</v>
      </c>
      <c r="L160" s="1067"/>
      <c r="O160" s="736">
        <f>J151+J152+J154+J156+J157+J158+SUM(J155:J155)</f>
        <v>236.37</v>
      </c>
      <c r="P160" s="736">
        <f>L151+L152+L154+L156+L157+L158+SUM(L155:L155)</f>
        <v>2339.4</v>
      </c>
      <c r="X160" s="718">
        <f>IF([96]Source!BI1220&lt;=1,J151+J152+J154+J156+J157+J158-0, 0)</f>
        <v>103.19</v>
      </c>
      <c r="Y160" s="718">
        <f>IF([96]Source!BI1220=2,J151+J152+J154+J156+J157+J158-0, 0)</f>
        <v>0</v>
      </c>
      <c r="Z160" s="718">
        <f>IF([96]Source!BI1220=3,J151+J152+J154+J156+J157+J158-0, 0)</f>
        <v>0</v>
      </c>
      <c r="AA160" s="718">
        <f>IF([96]Source!BI1220=4,J151+J152+J154+J156+J157+J158,0)</f>
        <v>0</v>
      </c>
    </row>
    <row r="161" spans="1:27" ht="30" x14ac:dyDescent="0.25">
      <c r="A161" s="701"/>
      <c r="B161" s="701"/>
      <c r="C161" s="702"/>
      <c r="D161" s="702" t="s">
        <v>94</v>
      </c>
      <c r="E161" s="693"/>
      <c r="F161" s="703"/>
      <c r="G161" s="704"/>
      <c r="H161" s="693"/>
      <c r="I161" s="703"/>
      <c r="J161" s="700"/>
      <c r="K161" s="703"/>
      <c r="L161" s="700"/>
    </row>
    <row r="162" spans="1:27" ht="15" x14ac:dyDescent="0.25">
      <c r="A162" s="701"/>
      <c r="B162" s="701"/>
      <c r="C162" s="702"/>
      <c r="D162" s="702" t="s">
        <v>85</v>
      </c>
      <c r="E162" s="693"/>
      <c r="F162" s="703"/>
      <c r="G162" s="704">
        <f t="shared" ref="G162:L162" si="10">G163</f>
        <v>15.43</v>
      </c>
      <c r="H162" s="705" t="str">
        <f t="shared" si="10"/>
        <v>)*(1.67-1)</v>
      </c>
      <c r="I162" s="703">
        <f t="shared" si="10"/>
        <v>1.0669999999999999</v>
      </c>
      <c r="J162" s="700">
        <f t="shared" si="10"/>
        <v>0.12</v>
      </c>
      <c r="K162" s="703">
        <f t="shared" si="10"/>
        <v>24.23</v>
      </c>
      <c r="L162" s="700">
        <f t="shared" si="10"/>
        <v>2.83</v>
      </c>
    </row>
    <row r="163" spans="1:27" ht="15" x14ac:dyDescent="0.25">
      <c r="A163" s="701"/>
      <c r="B163" s="701"/>
      <c r="C163" s="702"/>
      <c r="D163" s="702" t="s">
        <v>86</v>
      </c>
      <c r="E163" s="693"/>
      <c r="F163" s="703"/>
      <c r="G163" s="704">
        <f>[96]Source!AN1220</f>
        <v>15.43</v>
      </c>
      <c r="H163" s="705" t="s">
        <v>95</v>
      </c>
      <c r="I163" s="703">
        <f>[96]Source!AV1220</f>
        <v>1.0669999999999999</v>
      </c>
      <c r="J163" s="700">
        <f>ROUND(F150*G163*I163*(1.67-1), 2)</f>
        <v>0.12</v>
      </c>
      <c r="K163" s="703">
        <f>IF([96]Source!BS1220&lt;&gt; 0, [96]Source!BS1220, 1)</f>
        <v>24.23</v>
      </c>
      <c r="L163" s="700">
        <f>ROUND(F150*G163*I163*(1.67-1)*K163, 2)</f>
        <v>2.83</v>
      </c>
      <c r="W163" s="718">
        <f>J163</f>
        <v>0.12</v>
      </c>
    </row>
    <row r="164" spans="1:27" ht="15" x14ac:dyDescent="0.25">
      <c r="A164" s="701"/>
      <c r="B164" s="701"/>
      <c r="C164" s="702"/>
      <c r="D164" s="702" t="s">
        <v>91</v>
      </c>
      <c r="E164" s="693" t="s">
        <v>89</v>
      </c>
      <c r="F164" s="703">
        <f>175</f>
        <v>175</v>
      </c>
      <c r="G164" s="704"/>
      <c r="H164" s="693"/>
      <c r="I164" s="703"/>
      <c r="J164" s="700">
        <f>ROUND(J163*(F164/100), 2)</f>
        <v>0.21</v>
      </c>
      <c r="K164" s="703">
        <f>157</f>
        <v>157</v>
      </c>
      <c r="L164" s="700">
        <f>ROUND(L163*(K164/100), 2)</f>
        <v>4.4400000000000004</v>
      </c>
    </row>
    <row r="165" spans="1:27" ht="14.25" x14ac:dyDescent="0.2">
      <c r="I165" s="1067">
        <f>J164+J163</f>
        <v>0.33</v>
      </c>
      <c r="J165" s="1067"/>
      <c r="K165" s="1067">
        <f>L164+L163</f>
        <v>7.27</v>
      </c>
      <c r="L165" s="1067"/>
      <c r="O165" s="736">
        <f>I165</f>
        <v>0.33</v>
      </c>
      <c r="P165" s="736">
        <f>K165</f>
        <v>7.27</v>
      </c>
      <c r="X165" s="718">
        <f>IF([96]Source!BI1220&lt;=1,I165, 0)</f>
        <v>0.33</v>
      </c>
      <c r="Y165" s="718">
        <f>IF([96]Source!BI1220=2,I165, 0)</f>
        <v>0</v>
      </c>
      <c r="Z165" s="718">
        <f>IF([96]Source!BI1220=3,I165, 0)</f>
        <v>0</v>
      </c>
      <c r="AA165" s="718">
        <f>IF([96]Source!BI1220=4,I165, 0)</f>
        <v>0</v>
      </c>
    </row>
    <row r="167" spans="1:27" ht="15" x14ac:dyDescent="0.25">
      <c r="A167" s="706"/>
      <c r="B167" s="706"/>
      <c r="C167" s="707"/>
      <c r="D167" s="707" t="s">
        <v>96</v>
      </c>
      <c r="E167" s="708"/>
      <c r="F167" s="709"/>
      <c r="G167" s="710"/>
      <c r="H167" s="711"/>
      <c r="I167" s="1067">
        <f>I160+I165</f>
        <v>236.7</v>
      </c>
      <c r="J167" s="1067"/>
      <c r="K167" s="1067">
        <f>K160+K165</f>
        <v>2346.67</v>
      </c>
      <c r="L167" s="1067"/>
    </row>
    <row r="168" spans="1:27" ht="75" x14ac:dyDescent="0.25">
      <c r="A168" s="691">
        <v>26</v>
      </c>
      <c r="B168" s="691" t="str">
        <f>[96]Source!E1228</f>
        <v>182</v>
      </c>
      <c r="C168" s="692" t="str">
        <f>[96]Source!F1228</f>
        <v>3.20-1-9</v>
      </c>
      <c r="D168" s="692" t="s">
        <v>534</v>
      </c>
      <c r="E168" s="693" t="str">
        <f>[96]Source!H1228</f>
        <v>100 м2 поверхности воздуховодов</v>
      </c>
      <c r="F168" s="694">
        <f>[96]Source!I1228</f>
        <v>9.7999999999999997E-3</v>
      </c>
      <c r="G168" s="695"/>
      <c r="H168" s="696"/>
      <c r="I168" s="694"/>
      <c r="J168" s="697"/>
      <c r="K168" s="694"/>
      <c r="L168" s="697"/>
      <c r="Q168" s="718">
        <f>ROUND(([96]Source!DN1228/100)*ROUND((ROUND(([96]Source!AF1228*[96]Source!AV1228*[96]Source!I1228),2)),2), 2)</f>
        <v>34.840000000000003</v>
      </c>
      <c r="R168" s="718">
        <f>[96]Source!X1228</f>
        <v>675.29</v>
      </c>
      <c r="S168" s="718">
        <f>ROUND(([96]Source!DO1228/100)*ROUND((ROUND(([96]Source!AF1228*[96]Source!AV1228*[96]Source!I1228),2)),2), 2)</f>
        <v>26.2</v>
      </c>
      <c r="T168" s="718">
        <f>[96]Source!Y1228</f>
        <v>303.88</v>
      </c>
      <c r="U168" s="718">
        <f>ROUND((175/100)*ROUND((ROUND(([96]Source!AE1228*[96]Source!AV1228*[96]Source!I1228),2)),2), 2)</f>
        <v>0.47</v>
      </c>
      <c r="V168" s="718">
        <f>ROUND((157/100)*ROUND(ROUND((ROUND(([96]Source!AE1228*[96]Source!AV1228*[96]Source!I1228),2)*[96]Source!BS1228),2), 2), 2)</f>
        <v>10.27</v>
      </c>
    </row>
    <row r="169" spans="1:27" ht="15" x14ac:dyDescent="0.25">
      <c r="A169" s="691"/>
      <c r="B169" s="691"/>
      <c r="C169" s="692"/>
      <c r="D169" s="692" t="s">
        <v>84</v>
      </c>
      <c r="E169" s="693"/>
      <c r="F169" s="694"/>
      <c r="G169" s="695">
        <f>[96]Source!AO1228</f>
        <v>1596.12</v>
      </c>
      <c r="H169" s="696" t="str">
        <f>[96]Source!DG1228</f>
        <v>)*1,67</v>
      </c>
      <c r="I169" s="694">
        <f>[96]Source!AV1228</f>
        <v>1.0669999999999999</v>
      </c>
      <c r="J169" s="697">
        <f>ROUND((ROUND(([96]Source!AF1228*[96]Source!AV1228*[96]Source!I1228),2)),2)</f>
        <v>27.87</v>
      </c>
      <c r="K169" s="694">
        <f>IF([96]Source!BA1228&lt;&gt; 0, [96]Source!BA1228, 1)</f>
        <v>24.23</v>
      </c>
      <c r="L169" s="697">
        <f>[96]Source!S1228</f>
        <v>675.29</v>
      </c>
      <c r="W169" s="718">
        <f>J169</f>
        <v>27.87</v>
      </c>
    </row>
    <row r="170" spans="1:27" ht="15" x14ac:dyDescent="0.25">
      <c r="A170" s="691"/>
      <c r="B170" s="691"/>
      <c r="C170" s="692"/>
      <c r="D170" s="692" t="s">
        <v>85</v>
      </c>
      <c r="E170" s="693"/>
      <c r="F170" s="694"/>
      <c r="G170" s="695">
        <f>[96]Source!AM1228</f>
        <v>125.93</v>
      </c>
      <c r="H170" s="696" t="str">
        <f>[96]Source!DE1228</f>
        <v/>
      </c>
      <c r="I170" s="694">
        <f>[96]Source!AV1228</f>
        <v>1.0669999999999999</v>
      </c>
      <c r="J170" s="697">
        <f>(ROUND((ROUND((([96]Source!ET1228)*[96]Source!AV1228*[96]Source!I1228),2)),2)+ROUND((ROUND((([96]Source!AE1228-([96]Source!EU1228))*[96]Source!AV1228*[96]Source!I1228),2)),2))-J180</f>
        <v>1.32</v>
      </c>
      <c r="K170" s="694">
        <f>IF([96]Source!BB1228&lt;&gt; 0, [96]Source!BB1228, 1)</f>
        <v>8.59</v>
      </c>
      <c r="L170" s="697">
        <f>[96]Source!Q1228-L180</f>
        <v>11.39</v>
      </c>
    </row>
    <row r="171" spans="1:27" ht="15" x14ac:dyDescent="0.25">
      <c r="A171" s="691"/>
      <c r="B171" s="691"/>
      <c r="C171" s="692"/>
      <c r="D171" s="692" t="s">
        <v>86</v>
      </c>
      <c r="E171" s="693"/>
      <c r="F171" s="694"/>
      <c r="G171" s="695">
        <f>[96]Source!AN1228</f>
        <v>15.43</v>
      </c>
      <c r="H171" s="696" t="str">
        <f>[96]Source!DE1228</f>
        <v/>
      </c>
      <c r="I171" s="694">
        <f>[96]Source!AV1228</f>
        <v>1.0669999999999999</v>
      </c>
      <c r="J171" s="700">
        <f>ROUND((ROUND(([96]Source!AE1228*[96]Source!AV1228*[96]Source!I1228),2)),2)-J181</f>
        <v>0.16</v>
      </c>
      <c r="K171" s="694">
        <f>IF([96]Source!BS1228&lt;&gt; 0, [96]Source!BS1228, 1)</f>
        <v>24.23</v>
      </c>
      <c r="L171" s="700">
        <f>[96]Source!R1228-L181</f>
        <v>3.92</v>
      </c>
      <c r="W171" s="718">
        <f>J171</f>
        <v>0.16</v>
      </c>
    </row>
    <row r="172" spans="1:27" ht="15" x14ac:dyDescent="0.25">
      <c r="A172" s="691"/>
      <c r="B172" s="691"/>
      <c r="C172" s="692"/>
      <c r="D172" s="692" t="s">
        <v>87</v>
      </c>
      <c r="E172" s="693"/>
      <c r="F172" s="694"/>
      <c r="G172" s="695">
        <f>[96]Source!AL1228</f>
        <v>499.17</v>
      </c>
      <c r="H172" s="696" t="str">
        <f>[96]Source!DD1228</f>
        <v/>
      </c>
      <c r="I172" s="694">
        <f>[96]Source!AW1228</f>
        <v>1</v>
      </c>
      <c r="J172" s="697">
        <f>ROUND((ROUND(([96]Source!AC1228*[96]Source!AW1228*[96]Source!I1228),2)),2)</f>
        <v>4.8899999999999997</v>
      </c>
      <c r="K172" s="694">
        <f>IF([96]Source!BC1228&lt;&gt; 0, [96]Source!BC1228, 1)</f>
        <v>3.65</v>
      </c>
      <c r="L172" s="697">
        <f>[96]Source!P1228</f>
        <v>17.850000000000001</v>
      </c>
    </row>
    <row r="173" spans="1:27" ht="62.45" customHeight="1" x14ac:dyDescent="0.25">
      <c r="A173" s="691">
        <v>27</v>
      </c>
      <c r="B173" s="691" t="str">
        <f>[96]Source!E1230</f>
        <v>182,1</v>
      </c>
      <c r="C173" s="692" t="str">
        <f>[96]Source!F1230</f>
        <v>1.19-3-12</v>
      </c>
      <c r="D173" s="692" t="s">
        <v>467</v>
      </c>
      <c r="E173" s="693" t="str">
        <f>[96]Source!H1230</f>
        <v>м2</v>
      </c>
      <c r="F173" s="694">
        <f>[96]Source!I1230</f>
        <v>0.98</v>
      </c>
      <c r="G173" s="695">
        <f>[96]Source!AK1230</f>
        <v>125.64</v>
      </c>
      <c r="H173" s="734" t="s">
        <v>42</v>
      </c>
      <c r="I173" s="694">
        <f>[96]Source!AW1230</f>
        <v>1</v>
      </c>
      <c r="J173" s="697">
        <f>ROUND((ROUND(([96]Source!AC1230*[96]Source!AW1230*[96]Source!I1230),2)),2)+(ROUND((ROUND((([96]Source!ET1230)*[96]Source!AV1230*[96]Source!I1230),2)),2)+ROUND((ROUND((([96]Source!AE1230-([96]Source!EU1230))*[96]Source!AV1230*[96]Source!I1230),2)),2))+ROUND((ROUND(([96]Source!AF1230*[96]Source!AV1230*[96]Source!I1230),2)),2)</f>
        <v>123.13</v>
      </c>
      <c r="K173" s="694">
        <f>IF([96]Source!BC1230&lt;&gt; 0, [96]Source!BC1230, 1)</f>
        <v>3.84</v>
      </c>
      <c r="L173" s="697">
        <f>[96]Source!O1230</f>
        <v>472.82</v>
      </c>
      <c r="Q173" s="718">
        <f>ROUND(([96]Source!DN1230/100)*ROUND((ROUND(([96]Source!AF1230*[96]Source!AV1230*[96]Source!I1230),2)),2), 2)</f>
        <v>0</v>
      </c>
      <c r="R173" s="718">
        <f>[96]Source!X1230</f>
        <v>0</v>
      </c>
      <c r="S173" s="718">
        <f>ROUND(([96]Source!DO1230/100)*ROUND((ROUND(([96]Source!AF1230*[96]Source!AV1230*[96]Source!I1230),2)),2), 2)</f>
        <v>0</v>
      </c>
      <c r="T173" s="718">
        <f>[96]Source!Y1230</f>
        <v>0</v>
      </c>
      <c r="U173" s="718">
        <f>ROUND((175/100)*ROUND((ROUND(([96]Source!AE1230*[96]Source!AV1230*[96]Source!I1230),2)),2), 2)</f>
        <v>0</v>
      </c>
      <c r="V173" s="718">
        <f>ROUND((157/100)*ROUND(ROUND((ROUND(([96]Source!AE1230*[96]Source!AV1230*[96]Source!I1230),2)*[96]Source!BS1230),2), 2), 2)</f>
        <v>0</v>
      </c>
      <c r="X173" s="718">
        <f>IF([96]Source!BI1230&lt;=1,J173, 0)</f>
        <v>123.13</v>
      </c>
      <c r="Y173" s="718">
        <f>IF([96]Source!BI1230=2,J173, 0)</f>
        <v>0</v>
      </c>
      <c r="Z173" s="718">
        <f>IF([96]Source!BI1230=3,J173, 0)</f>
        <v>0</v>
      </c>
      <c r="AA173" s="718">
        <f>IF([96]Source!BI1230=4,J173, 0)</f>
        <v>0</v>
      </c>
    </row>
    <row r="174" spans="1:27" ht="15" x14ac:dyDescent="0.25">
      <c r="A174" s="691"/>
      <c r="B174" s="691"/>
      <c r="C174" s="692"/>
      <c r="D174" s="692" t="s">
        <v>88</v>
      </c>
      <c r="E174" s="693" t="s">
        <v>89</v>
      </c>
      <c r="F174" s="694">
        <f>[96]Source!DN1228</f>
        <v>125</v>
      </c>
      <c r="G174" s="695"/>
      <c r="H174" s="696"/>
      <c r="I174" s="694"/>
      <c r="J174" s="697">
        <f>SUM(Q168:Q173)</f>
        <v>34.840000000000003</v>
      </c>
      <c r="K174" s="694">
        <f>[96]Source!BZ1228</f>
        <v>100</v>
      </c>
      <c r="L174" s="697">
        <f>SUM(R168:R173)</f>
        <v>675.29</v>
      </c>
    </row>
    <row r="175" spans="1:27" ht="15" x14ac:dyDescent="0.25">
      <c r="A175" s="691"/>
      <c r="B175" s="691"/>
      <c r="C175" s="692"/>
      <c r="D175" s="692" t="s">
        <v>90</v>
      </c>
      <c r="E175" s="693" t="s">
        <v>89</v>
      </c>
      <c r="F175" s="694">
        <f>[96]Source!DO1228</f>
        <v>94</v>
      </c>
      <c r="G175" s="695"/>
      <c r="H175" s="696"/>
      <c r="I175" s="694"/>
      <c r="J175" s="697">
        <f>SUM(S168:S174)</f>
        <v>26.2</v>
      </c>
      <c r="K175" s="694">
        <f>[96]Source!CA1228</f>
        <v>45</v>
      </c>
      <c r="L175" s="697">
        <f>SUM(T168:T174)</f>
        <v>303.88</v>
      </c>
    </row>
    <row r="176" spans="1:27" ht="15" x14ac:dyDescent="0.25">
      <c r="A176" s="691"/>
      <c r="B176" s="691"/>
      <c r="C176" s="692"/>
      <c r="D176" s="692" t="s">
        <v>91</v>
      </c>
      <c r="E176" s="693" t="s">
        <v>89</v>
      </c>
      <c r="F176" s="694">
        <f>175</f>
        <v>175</v>
      </c>
      <c r="G176" s="695"/>
      <c r="H176" s="696"/>
      <c r="I176" s="694"/>
      <c r="J176" s="697">
        <f>SUM(U168:U175)-J182</f>
        <v>0.28000000000000003</v>
      </c>
      <c r="K176" s="694">
        <f>157</f>
        <v>157</v>
      </c>
      <c r="L176" s="697">
        <f>SUM(V168:V175)-L182</f>
        <v>6.16</v>
      </c>
    </row>
    <row r="177" spans="1:27" ht="15" x14ac:dyDescent="0.25">
      <c r="A177" s="691"/>
      <c r="B177" s="691"/>
      <c r="C177" s="692"/>
      <c r="D177" s="692" t="s">
        <v>92</v>
      </c>
      <c r="E177" s="693" t="s">
        <v>93</v>
      </c>
      <c r="F177" s="694">
        <f>[96]Source!AQ1228</f>
        <v>141</v>
      </c>
      <c r="G177" s="695"/>
      <c r="H177" s="696" t="str">
        <f>[96]Source!DI1228</f>
        <v/>
      </c>
      <c r="I177" s="694">
        <f>[96]Source!AV1228</f>
        <v>1.0669999999999999</v>
      </c>
      <c r="J177" s="697">
        <f>[96]Source!U1228</f>
        <v>1.47</v>
      </c>
      <c r="K177" s="694"/>
      <c r="L177" s="697"/>
    </row>
    <row r="178" spans="1:27" ht="14.25" x14ac:dyDescent="0.2">
      <c r="I178" s="1067">
        <f>J169+J170+J172+J174+J175+J176+SUM(J173:J173)</f>
        <v>218.53</v>
      </c>
      <c r="J178" s="1067"/>
      <c r="K178" s="1067">
        <f>L169+L170+L172+L174+L175+L176+SUM(L173:L173)</f>
        <v>2162.6799999999998</v>
      </c>
      <c r="L178" s="1067"/>
      <c r="O178" s="736">
        <f>J169+J170+J172+J174+J175+J176+SUM(J173:J173)</f>
        <v>218.53</v>
      </c>
      <c r="P178" s="736">
        <f>L169+L170+L172+L174+L175+L176+SUM(L173:L173)</f>
        <v>2162.6799999999998</v>
      </c>
      <c r="X178" s="718">
        <f>IF([96]Source!BI1228&lt;=1,J169+J170+J172+J174+J175+J176-0, 0)</f>
        <v>95.4</v>
      </c>
      <c r="Y178" s="718">
        <f>IF([96]Source!BI1228=2,J169+J170+J172+J174+J175+J176-0, 0)</f>
        <v>0</v>
      </c>
      <c r="Z178" s="718">
        <f>IF([96]Source!BI1228=3,J169+J170+J172+J174+J175+J176-0, 0)</f>
        <v>0</v>
      </c>
      <c r="AA178" s="718">
        <f>IF([96]Source!BI1228=4,J169+J170+J172+J174+J175+J176,0)</f>
        <v>0</v>
      </c>
    </row>
    <row r="179" spans="1:27" ht="30" x14ac:dyDescent="0.25">
      <c r="A179" s="701"/>
      <c r="B179" s="701"/>
      <c r="C179" s="702"/>
      <c r="D179" s="702" t="s">
        <v>94</v>
      </c>
      <c r="E179" s="693"/>
      <c r="F179" s="703"/>
      <c r="G179" s="704"/>
      <c r="H179" s="693"/>
      <c r="I179" s="703"/>
      <c r="J179" s="700"/>
      <c r="K179" s="703"/>
      <c r="L179" s="700"/>
    </row>
    <row r="180" spans="1:27" ht="15" x14ac:dyDescent="0.25">
      <c r="A180" s="701"/>
      <c r="B180" s="701"/>
      <c r="C180" s="702"/>
      <c r="D180" s="702" t="s">
        <v>85</v>
      </c>
      <c r="E180" s="693"/>
      <c r="F180" s="703"/>
      <c r="G180" s="704">
        <f t="shared" ref="G180:L180" si="11">G181</f>
        <v>15.43</v>
      </c>
      <c r="H180" s="705" t="str">
        <f t="shared" si="11"/>
        <v>)*(1.67-1)</v>
      </c>
      <c r="I180" s="703">
        <f t="shared" si="11"/>
        <v>1.0669999999999999</v>
      </c>
      <c r="J180" s="700">
        <f t="shared" si="11"/>
        <v>0.11</v>
      </c>
      <c r="K180" s="703">
        <f t="shared" si="11"/>
        <v>24.23</v>
      </c>
      <c r="L180" s="700">
        <f t="shared" si="11"/>
        <v>2.62</v>
      </c>
    </row>
    <row r="181" spans="1:27" ht="15" x14ac:dyDescent="0.25">
      <c r="A181" s="701"/>
      <c r="B181" s="701"/>
      <c r="C181" s="702"/>
      <c r="D181" s="702" t="s">
        <v>86</v>
      </c>
      <c r="E181" s="693"/>
      <c r="F181" s="703"/>
      <c r="G181" s="704">
        <f>[96]Source!AN1228</f>
        <v>15.43</v>
      </c>
      <c r="H181" s="705" t="s">
        <v>95</v>
      </c>
      <c r="I181" s="703">
        <f>[96]Source!AV1228</f>
        <v>1.0669999999999999</v>
      </c>
      <c r="J181" s="700">
        <f>ROUND(F168*G181*I181*(1.67-1), 2)</f>
        <v>0.11</v>
      </c>
      <c r="K181" s="703">
        <f>IF([96]Source!BS1228&lt;&gt; 0, [96]Source!BS1228, 1)</f>
        <v>24.23</v>
      </c>
      <c r="L181" s="700">
        <f>ROUND(F168*G181*I181*(1.67-1)*K181, 2)</f>
        <v>2.62</v>
      </c>
      <c r="W181" s="718">
        <f>J181</f>
        <v>0.11</v>
      </c>
    </row>
    <row r="182" spans="1:27" ht="15" x14ac:dyDescent="0.25">
      <c r="A182" s="701"/>
      <c r="B182" s="701"/>
      <c r="C182" s="702"/>
      <c r="D182" s="702" t="s">
        <v>91</v>
      </c>
      <c r="E182" s="693" t="s">
        <v>89</v>
      </c>
      <c r="F182" s="703">
        <f>175</f>
        <v>175</v>
      </c>
      <c r="G182" s="704"/>
      <c r="H182" s="693"/>
      <c r="I182" s="703"/>
      <c r="J182" s="700">
        <f>ROUND(J181*(F182/100), 2)</f>
        <v>0.19</v>
      </c>
      <c r="K182" s="703">
        <f>157</f>
        <v>157</v>
      </c>
      <c r="L182" s="700">
        <f>ROUND(L181*(K182/100), 2)</f>
        <v>4.1100000000000003</v>
      </c>
    </row>
    <row r="183" spans="1:27" ht="14.25" x14ac:dyDescent="0.2">
      <c r="I183" s="1067">
        <f>J182+J181</f>
        <v>0.3</v>
      </c>
      <c r="J183" s="1067"/>
      <c r="K183" s="1067">
        <f>L182+L181</f>
        <v>6.73</v>
      </c>
      <c r="L183" s="1067"/>
      <c r="O183" s="736">
        <f>I183</f>
        <v>0.3</v>
      </c>
      <c r="P183" s="736">
        <f>K183</f>
        <v>6.73</v>
      </c>
      <c r="X183" s="718">
        <f>IF([96]Source!BI1228&lt;=1,I183, 0)</f>
        <v>0.3</v>
      </c>
      <c r="Y183" s="718">
        <f>IF([96]Source!BI1228=2,I183, 0)</f>
        <v>0</v>
      </c>
      <c r="Z183" s="718">
        <f>IF([96]Source!BI1228=3,I183, 0)</f>
        <v>0</v>
      </c>
      <c r="AA183" s="718">
        <f>IF([96]Source!BI1228=4,I183, 0)</f>
        <v>0</v>
      </c>
    </row>
    <row r="185" spans="1:27" ht="15" x14ac:dyDescent="0.25">
      <c r="A185" s="706"/>
      <c r="B185" s="706"/>
      <c r="C185" s="707"/>
      <c r="D185" s="707" t="s">
        <v>96</v>
      </c>
      <c r="E185" s="708"/>
      <c r="F185" s="709"/>
      <c r="G185" s="710"/>
      <c r="H185" s="711"/>
      <c r="I185" s="1067">
        <f>I178+I183</f>
        <v>218.83</v>
      </c>
      <c r="J185" s="1067"/>
      <c r="K185" s="1067">
        <f>K178+K183</f>
        <v>2169.41</v>
      </c>
      <c r="L185" s="1067"/>
    </row>
    <row r="186" spans="1:27" ht="75" x14ac:dyDescent="0.25">
      <c r="A186" s="691">
        <v>28</v>
      </c>
      <c r="B186" s="691" t="str">
        <f>[96]Source!E1240</f>
        <v>185</v>
      </c>
      <c r="C186" s="692" t="str">
        <f>[96]Source!F1240</f>
        <v>3.20-1-9</v>
      </c>
      <c r="D186" s="692" t="s">
        <v>534</v>
      </c>
      <c r="E186" s="693" t="str">
        <f>[96]Source!H1240</f>
        <v>100 м2 поверхности воздуховодов</v>
      </c>
      <c r="F186" s="694">
        <f>[96]Source!I1240</f>
        <v>7.6799999999999993E-2</v>
      </c>
      <c r="G186" s="695"/>
      <c r="H186" s="696"/>
      <c r="I186" s="694"/>
      <c r="J186" s="697"/>
      <c r="K186" s="694"/>
      <c r="L186" s="697"/>
      <c r="Q186" s="718">
        <f>ROUND(([96]Source!DN1240/100)*ROUND((ROUND(([96]Source!AF1240*[96]Source!AV1240*[96]Source!I1240),2)),2), 2)</f>
        <v>273.04000000000002</v>
      </c>
      <c r="R186" s="718">
        <f>[96]Source!X1240</f>
        <v>5292.56</v>
      </c>
      <c r="S186" s="718">
        <f>ROUND(([96]Source!DO1240/100)*ROUND((ROUND(([96]Source!AF1240*[96]Source!AV1240*[96]Source!I1240),2)),2), 2)</f>
        <v>205.32</v>
      </c>
      <c r="T186" s="718">
        <f>[96]Source!Y1240</f>
        <v>2381.65</v>
      </c>
      <c r="U186" s="718">
        <f>ROUND((175/100)*ROUND((ROUND(([96]Source!AE1240*[96]Source!AV1240*[96]Source!I1240),2)),2), 2)</f>
        <v>3.69</v>
      </c>
      <c r="V186" s="718">
        <f>ROUND((157/100)*ROUND(ROUND((ROUND(([96]Source!AE1240*[96]Source!AV1240*[96]Source!I1240),2)*[96]Source!BS1240),2), 2), 2)</f>
        <v>80.27</v>
      </c>
    </row>
    <row r="187" spans="1:27" ht="15" x14ac:dyDescent="0.25">
      <c r="A187" s="691"/>
      <c r="B187" s="691"/>
      <c r="C187" s="692"/>
      <c r="D187" s="692" t="s">
        <v>84</v>
      </c>
      <c r="E187" s="693"/>
      <c r="F187" s="694"/>
      <c r="G187" s="695">
        <f>[96]Source!AO1240</f>
        <v>1596.12</v>
      </c>
      <c r="H187" s="696" t="str">
        <f>[96]Source!DG1240</f>
        <v>)*1,67</v>
      </c>
      <c r="I187" s="694">
        <f>[96]Source!AV1240</f>
        <v>1.0669999999999999</v>
      </c>
      <c r="J187" s="697">
        <f>ROUND((ROUND(([96]Source!AF1240*[96]Source!AV1240*[96]Source!I1240),2)),2)</f>
        <v>218.43</v>
      </c>
      <c r="K187" s="694">
        <f>IF([96]Source!BA1240&lt;&gt; 0, [96]Source!BA1240, 1)</f>
        <v>24.23</v>
      </c>
      <c r="L187" s="697">
        <f>[96]Source!S1240</f>
        <v>5292.56</v>
      </c>
      <c r="W187" s="718">
        <f>J187</f>
        <v>218.43</v>
      </c>
    </row>
    <row r="188" spans="1:27" ht="15" x14ac:dyDescent="0.25">
      <c r="A188" s="691"/>
      <c r="B188" s="691"/>
      <c r="C188" s="692"/>
      <c r="D188" s="692" t="s">
        <v>85</v>
      </c>
      <c r="E188" s="693"/>
      <c r="F188" s="694"/>
      <c r="G188" s="695">
        <f>[96]Source!AM1240</f>
        <v>125.93</v>
      </c>
      <c r="H188" s="696" t="str">
        <f>[96]Source!DE1240</f>
        <v/>
      </c>
      <c r="I188" s="694">
        <f>[96]Source!AV1240</f>
        <v>1.0669999999999999</v>
      </c>
      <c r="J188" s="697">
        <f>(ROUND((ROUND((([96]Source!ET1240)*[96]Source!AV1240*[96]Source!I1240),2)),2)+ROUND((ROUND((([96]Source!AE1240-([96]Source!EU1240))*[96]Source!AV1240*[96]Source!I1240),2)),2))-J198</f>
        <v>10.32</v>
      </c>
      <c r="K188" s="694">
        <f>IF([96]Source!BB1240&lt;&gt; 0, [96]Source!BB1240, 1)</f>
        <v>8.59</v>
      </c>
      <c r="L188" s="697">
        <f>[96]Source!Q1240-L198</f>
        <v>88.72</v>
      </c>
    </row>
    <row r="189" spans="1:27" ht="15" x14ac:dyDescent="0.25">
      <c r="A189" s="691"/>
      <c r="B189" s="691"/>
      <c r="C189" s="692"/>
      <c r="D189" s="692" t="s">
        <v>86</v>
      </c>
      <c r="E189" s="693"/>
      <c r="F189" s="694"/>
      <c r="G189" s="695">
        <f>[96]Source!AN1240</f>
        <v>15.43</v>
      </c>
      <c r="H189" s="696" t="str">
        <f>[96]Source!DE1240</f>
        <v/>
      </c>
      <c r="I189" s="694">
        <f>[96]Source!AV1240</f>
        <v>1.0669999999999999</v>
      </c>
      <c r="J189" s="700">
        <f>ROUND((ROUND(([96]Source!AE1240*[96]Source!AV1240*[96]Source!I1240),2)),2)-J199</f>
        <v>1.26</v>
      </c>
      <c r="K189" s="694">
        <f>IF([96]Source!BS1240&lt;&gt; 0, [96]Source!BS1240, 1)</f>
        <v>24.23</v>
      </c>
      <c r="L189" s="700">
        <f>[96]Source!R1240-L199</f>
        <v>30.6</v>
      </c>
      <c r="W189" s="718">
        <f>J189</f>
        <v>1.26</v>
      </c>
    </row>
    <row r="190" spans="1:27" ht="15" x14ac:dyDescent="0.25">
      <c r="A190" s="691"/>
      <c r="B190" s="691"/>
      <c r="C190" s="692"/>
      <c r="D190" s="692" t="s">
        <v>87</v>
      </c>
      <c r="E190" s="693"/>
      <c r="F190" s="694"/>
      <c r="G190" s="695">
        <f>[96]Source!AL1240</f>
        <v>499.17</v>
      </c>
      <c r="H190" s="696" t="str">
        <f>[96]Source!DD1240</f>
        <v/>
      </c>
      <c r="I190" s="694">
        <f>[96]Source!AW1240</f>
        <v>1</v>
      </c>
      <c r="J190" s="697">
        <f>ROUND((ROUND(([96]Source!AC1240*[96]Source!AW1240*[96]Source!I1240),2)),2)</f>
        <v>38.340000000000003</v>
      </c>
      <c r="K190" s="694">
        <f>IF([96]Source!BC1240&lt;&gt; 0, [96]Source!BC1240, 1)</f>
        <v>3.65</v>
      </c>
      <c r="L190" s="697">
        <f>[96]Source!P1240</f>
        <v>139.94</v>
      </c>
    </row>
    <row r="191" spans="1:27" ht="67.150000000000006" customHeight="1" x14ac:dyDescent="0.25">
      <c r="A191" s="691">
        <v>29</v>
      </c>
      <c r="B191" s="691" t="str">
        <f>[96]Source!E1242</f>
        <v>185,1</v>
      </c>
      <c r="C191" s="692" t="str">
        <f>[96]Source!F1242</f>
        <v>1.19-3-12</v>
      </c>
      <c r="D191" s="692" t="s">
        <v>467</v>
      </c>
      <c r="E191" s="693" t="str">
        <f>[96]Source!H1242</f>
        <v>м2</v>
      </c>
      <c r="F191" s="694">
        <f>[96]Source!I1242</f>
        <v>7.68</v>
      </c>
      <c r="G191" s="695">
        <f>[96]Source!AK1242</f>
        <v>125.64</v>
      </c>
      <c r="H191" s="734" t="s">
        <v>42</v>
      </c>
      <c r="I191" s="694">
        <f>[96]Source!AW1242</f>
        <v>1</v>
      </c>
      <c r="J191" s="697">
        <f>ROUND((ROUND(([96]Source!AC1242*[96]Source!AW1242*[96]Source!I1242),2)),2)+(ROUND((ROUND((([96]Source!ET1242)*[96]Source!AV1242*[96]Source!I1242),2)),2)+ROUND((ROUND((([96]Source!AE1242-([96]Source!EU1242))*[96]Source!AV1242*[96]Source!I1242),2)),2))+ROUND((ROUND(([96]Source!AF1242*[96]Source!AV1242*[96]Source!I1242),2)),2)</f>
        <v>964.92</v>
      </c>
      <c r="K191" s="694">
        <f>IF([96]Source!BC1242&lt;&gt; 0, [96]Source!BC1242, 1)</f>
        <v>3.84</v>
      </c>
      <c r="L191" s="697">
        <f>[96]Source!O1242</f>
        <v>3705.29</v>
      </c>
      <c r="Q191" s="718">
        <f>ROUND(([96]Source!DN1242/100)*ROUND((ROUND(([96]Source!AF1242*[96]Source!AV1242*[96]Source!I1242),2)),2), 2)</f>
        <v>0</v>
      </c>
      <c r="R191" s="718">
        <f>[96]Source!X1242</f>
        <v>0</v>
      </c>
      <c r="S191" s="718">
        <f>ROUND(([96]Source!DO1242/100)*ROUND((ROUND(([96]Source!AF1242*[96]Source!AV1242*[96]Source!I1242),2)),2), 2)</f>
        <v>0</v>
      </c>
      <c r="T191" s="718">
        <f>[96]Source!Y1242</f>
        <v>0</v>
      </c>
      <c r="U191" s="718">
        <f>ROUND((175/100)*ROUND((ROUND(([96]Source!AE1242*[96]Source!AV1242*[96]Source!I1242),2)),2), 2)</f>
        <v>0</v>
      </c>
      <c r="V191" s="718">
        <f>ROUND((157/100)*ROUND(ROUND((ROUND(([96]Source!AE1242*[96]Source!AV1242*[96]Source!I1242),2)*[96]Source!BS1242),2), 2), 2)</f>
        <v>0</v>
      </c>
      <c r="X191" s="718">
        <f>IF([96]Source!BI1242&lt;=1,J191, 0)</f>
        <v>964.92</v>
      </c>
      <c r="Y191" s="718">
        <f>IF([96]Source!BI1242=2,J191, 0)</f>
        <v>0</v>
      </c>
      <c r="Z191" s="718">
        <f>IF([96]Source!BI1242=3,J191, 0)</f>
        <v>0</v>
      </c>
      <c r="AA191" s="718">
        <f>IF([96]Source!BI1242=4,J191, 0)</f>
        <v>0</v>
      </c>
    </row>
    <row r="192" spans="1:27" ht="15" x14ac:dyDescent="0.25">
      <c r="A192" s="691"/>
      <c r="B192" s="691"/>
      <c r="C192" s="692"/>
      <c r="D192" s="692" t="s">
        <v>88</v>
      </c>
      <c r="E192" s="693" t="s">
        <v>89</v>
      </c>
      <c r="F192" s="694">
        <f>[96]Source!DN1240</f>
        <v>125</v>
      </c>
      <c r="G192" s="695"/>
      <c r="H192" s="696"/>
      <c r="I192" s="694"/>
      <c r="J192" s="697">
        <f>SUM(Q186:Q191)</f>
        <v>273.04000000000002</v>
      </c>
      <c r="K192" s="694">
        <f>[96]Source!BZ1240</f>
        <v>100</v>
      </c>
      <c r="L192" s="697">
        <f>SUM(R186:R191)</f>
        <v>5292.56</v>
      </c>
    </row>
    <row r="193" spans="1:27" ht="15" x14ac:dyDescent="0.25">
      <c r="A193" s="691"/>
      <c r="B193" s="691"/>
      <c r="C193" s="692"/>
      <c r="D193" s="692" t="s">
        <v>90</v>
      </c>
      <c r="E193" s="693" t="s">
        <v>89</v>
      </c>
      <c r="F193" s="694">
        <f>[96]Source!DO1240</f>
        <v>94</v>
      </c>
      <c r="G193" s="695"/>
      <c r="H193" s="696"/>
      <c r="I193" s="694"/>
      <c r="J193" s="697">
        <f>SUM(S186:S192)</f>
        <v>205.32</v>
      </c>
      <c r="K193" s="694">
        <f>[96]Source!CA1240</f>
        <v>45</v>
      </c>
      <c r="L193" s="697">
        <f>SUM(T186:T192)</f>
        <v>2381.65</v>
      </c>
    </row>
    <row r="194" spans="1:27" ht="15" x14ac:dyDescent="0.25">
      <c r="A194" s="691"/>
      <c r="B194" s="691"/>
      <c r="C194" s="692"/>
      <c r="D194" s="692" t="s">
        <v>91</v>
      </c>
      <c r="E194" s="693" t="s">
        <v>89</v>
      </c>
      <c r="F194" s="694">
        <f>175</f>
        <v>175</v>
      </c>
      <c r="G194" s="695"/>
      <c r="H194" s="696"/>
      <c r="I194" s="694"/>
      <c r="J194" s="697">
        <f>SUM(U186:U193)-J200</f>
        <v>2.2000000000000002</v>
      </c>
      <c r="K194" s="694">
        <f>157</f>
        <v>157</v>
      </c>
      <c r="L194" s="697">
        <f>SUM(V186:V193)-L200</f>
        <v>48.04</v>
      </c>
    </row>
    <row r="195" spans="1:27" ht="15" x14ac:dyDescent="0.25">
      <c r="A195" s="691"/>
      <c r="B195" s="691"/>
      <c r="C195" s="692"/>
      <c r="D195" s="692" t="s">
        <v>92</v>
      </c>
      <c r="E195" s="693" t="s">
        <v>93</v>
      </c>
      <c r="F195" s="694">
        <f>[96]Source!AQ1240</f>
        <v>141</v>
      </c>
      <c r="G195" s="695"/>
      <c r="H195" s="696" t="str">
        <f>[96]Source!DI1240</f>
        <v/>
      </c>
      <c r="I195" s="694">
        <f>[96]Source!AV1240</f>
        <v>1.0669999999999999</v>
      </c>
      <c r="J195" s="697">
        <f>[96]Source!U1240</f>
        <v>11.55</v>
      </c>
      <c r="K195" s="694"/>
      <c r="L195" s="697"/>
    </row>
    <row r="196" spans="1:27" ht="14.25" x14ac:dyDescent="0.2">
      <c r="I196" s="1067">
        <f>J187+J188+J190+J192+J193+J194+SUM(J191:J191)</f>
        <v>1712.57</v>
      </c>
      <c r="J196" s="1067"/>
      <c r="K196" s="1067">
        <f>L187+L188+L190+L192+L193+L194+SUM(L191:L191)</f>
        <v>16948.759999999998</v>
      </c>
      <c r="L196" s="1067"/>
      <c r="O196" s="736">
        <f>J187+J188+J190+J192+J193+J194+SUM(J191:J191)</f>
        <v>1712.57</v>
      </c>
      <c r="P196" s="736">
        <f>L187+L188+L190+L192+L193+L194+SUM(L191:L191)</f>
        <v>16948.759999999998</v>
      </c>
      <c r="X196" s="718">
        <f>IF([96]Source!BI1240&lt;=1,J187+J188+J190+J192+J193+J194-0, 0)</f>
        <v>747.65</v>
      </c>
      <c r="Y196" s="718">
        <f>IF([96]Source!BI1240=2,J187+J188+J190+J192+J193+J194-0, 0)</f>
        <v>0</v>
      </c>
      <c r="Z196" s="718">
        <f>IF([96]Source!BI1240=3,J187+J188+J190+J192+J193+J194-0, 0)</f>
        <v>0</v>
      </c>
      <c r="AA196" s="718">
        <f>IF([96]Source!BI1240=4,J187+J188+J190+J192+J193+J194,0)</f>
        <v>0</v>
      </c>
    </row>
    <row r="197" spans="1:27" ht="30" x14ac:dyDescent="0.25">
      <c r="A197" s="701"/>
      <c r="B197" s="701"/>
      <c r="C197" s="702"/>
      <c r="D197" s="702" t="s">
        <v>94</v>
      </c>
      <c r="E197" s="693"/>
      <c r="F197" s="703"/>
      <c r="G197" s="704"/>
      <c r="H197" s="693"/>
      <c r="I197" s="703"/>
      <c r="J197" s="700"/>
      <c r="K197" s="703"/>
      <c r="L197" s="700"/>
    </row>
    <row r="198" spans="1:27" ht="15" x14ac:dyDescent="0.25">
      <c r="A198" s="701"/>
      <c r="B198" s="701"/>
      <c r="C198" s="702"/>
      <c r="D198" s="702" t="s">
        <v>85</v>
      </c>
      <c r="E198" s="693"/>
      <c r="F198" s="703"/>
      <c r="G198" s="704">
        <f t="shared" ref="G198:L198" si="12">G199</f>
        <v>15.43</v>
      </c>
      <c r="H198" s="705" t="str">
        <f t="shared" si="12"/>
        <v>)*(1.67-1)</v>
      </c>
      <c r="I198" s="703">
        <f t="shared" si="12"/>
        <v>1.0669999999999999</v>
      </c>
      <c r="J198" s="700">
        <f t="shared" si="12"/>
        <v>0.85</v>
      </c>
      <c r="K198" s="703">
        <f t="shared" si="12"/>
        <v>24.23</v>
      </c>
      <c r="L198" s="700">
        <f t="shared" si="12"/>
        <v>20.53</v>
      </c>
    </row>
    <row r="199" spans="1:27" ht="15" x14ac:dyDescent="0.25">
      <c r="A199" s="701"/>
      <c r="B199" s="701"/>
      <c r="C199" s="702"/>
      <c r="D199" s="702" t="s">
        <v>86</v>
      </c>
      <c r="E199" s="693"/>
      <c r="F199" s="703"/>
      <c r="G199" s="704">
        <f>[96]Source!AN1240</f>
        <v>15.43</v>
      </c>
      <c r="H199" s="705" t="s">
        <v>95</v>
      </c>
      <c r="I199" s="703">
        <f>[96]Source!AV1240</f>
        <v>1.0669999999999999</v>
      </c>
      <c r="J199" s="700">
        <f>ROUND(F186*G199*I199*(1.67-1), 2)</f>
        <v>0.85</v>
      </c>
      <c r="K199" s="703">
        <f>IF([96]Source!BS1240&lt;&gt; 0, [96]Source!BS1240, 1)</f>
        <v>24.23</v>
      </c>
      <c r="L199" s="700">
        <f>ROUND(F186*G199*I199*(1.67-1)*K199, 2)</f>
        <v>20.53</v>
      </c>
      <c r="W199" s="718">
        <f>J199</f>
        <v>0.85</v>
      </c>
    </row>
    <row r="200" spans="1:27" ht="15" x14ac:dyDescent="0.25">
      <c r="A200" s="701"/>
      <c r="B200" s="701"/>
      <c r="C200" s="702"/>
      <c r="D200" s="702" t="s">
        <v>91</v>
      </c>
      <c r="E200" s="693" t="s">
        <v>89</v>
      </c>
      <c r="F200" s="703">
        <f>175</f>
        <v>175</v>
      </c>
      <c r="G200" s="704"/>
      <c r="H200" s="693"/>
      <c r="I200" s="703"/>
      <c r="J200" s="700">
        <f>ROUND(J199*(F200/100), 2)</f>
        <v>1.49</v>
      </c>
      <c r="K200" s="703">
        <f>157</f>
        <v>157</v>
      </c>
      <c r="L200" s="700">
        <f>ROUND(L199*(K200/100), 2)</f>
        <v>32.229999999999997</v>
      </c>
    </row>
    <row r="201" spans="1:27" ht="14.25" x14ac:dyDescent="0.2">
      <c r="I201" s="1067">
        <f>J200+J199</f>
        <v>2.34</v>
      </c>
      <c r="J201" s="1067"/>
      <c r="K201" s="1067">
        <f>L200+L199</f>
        <v>52.76</v>
      </c>
      <c r="L201" s="1067"/>
      <c r="O201" s="736">
        <f>I201</f>
        <v>2.34</v>
      </c>
      <c r="P201" s="736">
        <f>K201</f>
        <v>52.76</v>
      </c>
      <c r="X201" s="718">
        <f>IF([96]Source!BI1240&lt;=1,I201, 0)</f>
        <v>2.34</v>
      </c>
      <c r="Y201" s="718">
        <f>IF([96]Source!BI1240=2,I201, 0)</f>
        <v>0</v>
      </c>
      <c r="Z201" s="718">
        <f>IF([96]Source!BI1240=3,I201, 0)</f>
        <v>0</v>
      </c>
      <c r="AA201" s="718">
        <f>IF([96]Source!BI1240=4,I201, 0)</f>
        <v>0</v>
      </c>
    </row>
    <row r="203" spans="1:27" ht="15" x14ac:dyDescent="0.25">
      <c r="A203" s="706"/>
      <c r="B203" s="706"/>
      <c r="C203" s="707"/>
      <c r="D203" s="707" t="s">
        <v>96</v>
      </c>
      <c r="E203" s="708"/>
      <c r="F203" s="709"/>
      <c r="G203" s="710"/>
      <c r="H203" s="711"/>
      <c r="I203" s="1067">
        <f>I196+I201</f>
        <v>1714.91</v>
      </c>
      <c r="J203" s="1067"/>
      <c r="K203" s="1067">
        <f>K196+K201</f>
        <v>17001.52</v>
      </c>
      <c r="L203" s="1067"/>
    </row>
    <row r="204" spans="1:27" ht="75" x14ac:dyDescent="0.25">
      <c r="A204" s="691">
        <v>30</v>
      </c>
      <c r="B204" s="691" t="str">
        <f>[96]Source!E1244</f>
        <v>186</v>
      </c>
      <c r="C204" s="692" t="str">
        <f>[96]Source!F1244</f>
        <v>3.20-1-10</v>
      </c>
      <c r="D204" s="692" t="s">
        <v>468</v>
      </c>
      <c r="E204" s="693" t="str">
        <f>[96]Source!H1244</f>
        <v>100 м2 поверхности воздуховодов</v>
      </c>
      <c r="F204" s="694">
        <f>[96]Source!I1244</f>
        <v>0.2208</v>
      </c>
      <c r="G204" s="695"/>
      <c r="H204" s="696"/>
      <c r="I204" s="694"/>
      <c r="J204" s="697"/>
      <c r="K204" s="694"/>
      <c r="L204" s="697"/>
      <c r="Q204" s="718">
        <f>ROUND(([96]Source!DN1244/100)*ROUND((ROUND(([96]Source!AF1244*[96]Source!AV1244*[96]Source!I1244),2)),2), 2)</f>
        <v>679.2</v>
      </c>
      <c r="R204" s="718">
        <f>[96]Source!X1244</f>
        <v>13165.61</v>
      </c>
      <c r="S204" s="718">
        <f>ROUND(([96]Source!DO1244/100)*ROUND((ROUND(([96]Source!AF1244*[96]Source!AV1244*[96]Source!I1244),2)),2), 2)</f>
        <v>510.76</v>
      </c>
      <c r="T204" s="718">
        <f>[96]Source!Y1244</f>
        <v>5924.52</v>
      </c>
      <c r="U204" s="718">
        <f>ROUND((175/100)*ROUND((ROUND(([96]Source!AE1244*[96]Source!AV1244*[96]Source!I1244),2)),2), 2)</f>
        <v>9.84</v>
      </c>
      <c r="V204" s="718">
        <f>ROUND((157/100)*ROUND(ROUND((ROUND(([96]Source!AE1244*[96]Source!AV1244*[96]Source!I1244),2)*[96]Source!BS1244),2), 2), 2)</f>
        <v>213.79</v>
      </c>
    </row>
    <row r="205" spans="1:27" ht="15" x14ac:dyDescent="0.25">
      <c r="A205" s="691"/>
      <c r="B205" s="691"/>
      <c r="C205" s="692"/>
      <c r="D205" s="692" t="s">
        <v>84</v>
      </c>
      <c r="E205" s="693"/>
      <c r="F205" s="694"/>
      <c r="G205" s="695">
        <f>[96]Source!AO1244</f>
        <v>1381.04</v>
      </c>
      <c r="H205" s="696" t="str">
        <f>[96]Source!DG1244</f>
        <v>)*1,67</v>
      </c>
      <c r="I205" s="694">
        <f>[96]Source!AV1244</f>
        <v>1.0669999999999999</v>
      </c>
      <c r="J205" s="697">
        <f>ROUND((ROUND(([96]Source!AF1244*[96]Source!AV1244*[96]Source!I1244),2)),2)</f>
        <v>543.36</v>
      </c>
      <c r="K205" s="694">
        <f>IF([96]Source!BA1244&lt;&gt; 0, [96]Source!BA1244, 1)</f>
        <v>24.23</v>
      </c>
      <c r="L205" s="697">
        <f>[96]Source!S1244</f>
        <v>13165.61</v>
      </c>
      <c r="W205" s="718">
        <f>J205</f>
        <v>543.36</v>
      </c>
    </row>
    <row r="206" spans="1:27" ht="15" x14ac:dyDescent="0.25">
      <c r="A206" s="691"/>
      <c r="B206" s="691"/>
      <c r="C206" s="692"/>
      <c r="D206" s="692" t="s">
        <v>85</v>
      </c>
      <c r="E206" s="693"/>
      <c r="F206" s="694"/>
      <c r="G206" s="695">
        <f>[96]Source!AM1244</f>
        <v>116.7</v>
      </c>
      <c r="H206" s="696" t="str">
        <f>[96]Source!DE1244</f>
        <v/>
      </c>
      <c r="I206" s="694">
        <f>[96]Source!AV1244</f>
        <v>1.0669999999999999</v>
      </c>
      <c r="J206" s="697">
        <f>(ROUND((ROUND((([96]Source!ET1244)*[96]Source!AV1244*[96]Source!I1244),2)),2)+ROUND((ROUND((([96]Source!AE1244-([96]Source!EU1244))*[96]Source!AV1244*[96]Source!I1244),2)),2))-J216</f>
        <v>27.49</v>
      </c>
      <c r="K206" s="694">
        <f>IF([96]Source!BB1244&lt;&gt; 0, [96]Source!BB1244, 1)</f>
        <v>8.59</v>
      </c>
      <c r="L206" s="697">
        <f>[96]Source!Q1244-L216</f>
        <v>236.25</v>
      </c>
    </row>
    <row r="207" spans="1:27" ht="15" x14ac:dyDescent="0.25">
      <c r="A207" s="691"/>
      <c r="B207" s="691"/>
      <c r="C207" s="692"/>
      <c r="D207" s="692" t="s">
        <v>86</v>
      </c>
      <c r="E207" s="693"/>
      <c r="F207" s="694"/>
      <c r="G207" s="695">
        <f>[96]Source!AN1244</f>
        <v>14.29</v>
      </c>
      <c r="H207" s="696" t="str">
        <f>[96]Source!DE1244</f>
        <v/>
      </c>
      <c r="I207" s="694">
        <f>[96]Source!AV1244</f>
        <v>1.0669999999999999</v>
      </c>
      <c r="J207" s="700">
        <f>ROUND((ROUND(([96]Source!AE1244*[96]Source!AV1244*[96]Source!I1244),2)),2)-J217</f>
        <v>3.36</v>
      </c>
      <c r="K207" s="694">
        <f>IF([96]Source!BS1244&lt;&gt; 0, [96]Source!BS1244, 1)</f>
        <v>24.23</v>
      </c>
      <c r="L207" s="700">
        <f>[96]Source!R1244-L217</f>
        <v>81.52</v>
      </c>
      <c r="W207" s="718">
        <f>J207</f>
        <v>3.36</v>
      </c>
    </row>
    <row r="208" spans="1:27" ht="15" x14ac:dyDescent="0.25">
      <c r="A208" s="691"/>
      <c r="B208" s="691"/>
      <c r="C208" s="692"/>
      <c r="D208" s="692" t="s">
        <v>87</v>
      </c>
      <c r="E208" s="693"/>
      <c r="F208" s="694"/>
      <c r="G208" s="695">
        <f>[96]Source!AL1244</f>
        <v>599.72</v>
      </c>
      <c r="H208" s="696" t="str">
        <f>[96]Source!DD1244</f>
        <v/>
      </c>
      <c r="I208" s="694">
        <f>[96]Source!AW1244</f>
        <v>1</v>
      </c>
      <c r="J208" s="697">
        <f>ROUND((ROUND(([96]Source!AC1244*[96]Source!AW1244*[96]Source!I1244),2)),2)</f>
        <v>132.41999999999999</v>
      </c>
      <c r="K208" s="694">
        <f>IF([96]Source!BC1244&lt;&gt; 0, [96]Source!BC1244, 1)</f>
        <v>4.18</v>
      </c>
      <c r="L208" s="697">
        <f>[96]Source!P1244</f>
        <v>553.52</v>
      </c>
    </row>
    <row r="209" spans="1:27" ht="65.45" customHeight="1" x14ac:dyDescent="0.25">
      <c r="A209" s="691">
        <v>31</v>
      </c>
      <c r="B209" s="691" t="str">
        <f>[96]Source!E1246</f>
        <v>186,1</v>
      </c>
      <c r="C209" s="692" t="str">
        <f>[96]Source!F1246</f>
        <v>1.19-3-13</v>
      </c>
      <c r="D209" s="692" t="s">
        <v>469</v>
      </c>
      <c r="E209" s="693" t="str">
        <f>[96]Source!H1246</f>
        <v>м2</v>
      </c>
      <c r="F209" s="694">
        <f>[96]Source!I1246</f>
        <v>22.08</v>
      </c>
      <c r="G209" s="695">
        <f>[96]Source!AK1246</f>
        <v>157.54</v>
      </c>
      <c r="H209" s="734" t="s">
        <v>42</v>
      </c>
      <c r="I209" s="694">
        <f>[96]Source!AW1246</f>
        <v>1</v>
      </c>
      <c r="J209" s="697">
        <f>ROUND((ROUND(([96]Source!AC1246*[96]Source!AW1246*[96]Source!I1246),2)),2)+(ROUND((ROUND((([96]Source!ET1246)*[96]Source!AV1246*[96]Source!I1246),2)),2)+ROUND((ROUND((([96]Source!AE1246-([96]Source!EU1246))*[96]Source!AV1246*[96]Source!I1246),2)),2))+ROUND((ROUND(([96]Source!AF1246*[96]Source!AV1246*[96]Source!I1246),2)),2)</f>
        <v>3478.48</v>
      </c>
      <c r="K209" s="694">
        <f>IF([96]Source!BC1246&lt;&gt; 0, [96]Source!BC1246, 1)</f>
        <v>3.07</v>
      </c>
      <c r="L209" s="697">
        <f>[96]Source!O1246</f>
        <v>10678.93</v>
      </c>
      <c r="Q209" s="718">
        <f>ROUND(([96]Source!DN1246/100)*ROUND((ROUND(([96]Source!AF1246*[96]Source!AV1246*[96]Source!I1246),2)),2), 2)</f>
        <v>0</v>
      </c>
      <c r="R209" s="718">
        <f>[96]Source!X1246</f>
        <v>0</v>
      </c>
      <c r="S209" s="718">
        <f>ROUND(([96]Source!DO1246/100)*ROUND((ROUND(([96]Source!AF1246*[96]Source!AV1246*[96]Source!I1246),2)),2), 2)</f>
        <v>0</v>
      </c>
      <c r="T209" s="718">
        <f>[96]Source!Y1246</f>
        <v>0</v>
      </c>
      <c r="U209" s="718">
        <f>ROUND((175/100)*ROUND((ROUND(([96]Source!AE1246*[96]Source!AV1246*[96]Source!I1246),2)),2), 2)</f>
        <v>0</v>
      </c>
      <c r="V209" s="718">
        <f>ROUND((157/100)*ROUND(ROUND((ROUND(([96]Source!AE1246*[96]Source!AV1246*[96]Source!I1246),2)*[96]Source!BS1246),2), 2), 2)</f>
        <v>0</v>
      </c>
      <c r="X209" s="718">
        <f>IF([96]Source!BI1246&lt;=1,J209, 0)</f>
        <v>3478.48</v>
      </c>
      <c r="Y209" s="718">
        <f>IF([96]Source!BI1246=2,J209, 0)</f>
        <v>0</v>
      </c>
      <c r="Z209" s="718">
        <f>IF([96]Source!BI1246=3,J209, 0)</f>
        <v>0</v>
      </c>
      <c r="AA209" s="718">
        <f>IF([96]Source!BI1246=4,J209, 0)</f>
        <v>0</v>
      </c>
    </row>
    <row r="210" spans="1:27" ht="15" x14ac:dyDescent="0.25">
      <c r="A210" s="691"/>
      <c r="B210" s="691"/>
      <c r="C210" s="692"/>
      <c r="D210" s="692" t="s">
        <v>88</v>
      </c>
      <c r="E210" s="693" t="s">
        <v>89</v>
      </c>
      <c r="F210" s="694">
        <f>[96]Source!DN1244</f>
        <v>125</v>
      </c>
      <c r="G210" s="695"/>
      <c r="H210" s="696"/>
      <c r="I210" s="694"/>
      <c r="J210" s="697">
        <f>SUM(Q204:Q209)</f>
        <v>679.2</v>
      </c>
      <c r="K210" s="694">
        <f>[96]Source!BZ1244</f>
        <v>100</v>
      </c>
      <c r="L210" s="697">
        <f>SUM(R204:R209)</f>
        <v>13165.61</v>
      </c>
    </row>
    <row r="211" spans="1:27" ht="15" x14ac:dyDescent="0.25">
      <c r="A211" s="691"/>
      <c r="B211" s="691"/>
      <c r="C211" s="692"/>
      <c r="D211" s="692" t="s">
        <v>90</v>
      </c>
      <c r="E211" s="693" t="s">
        <v>89</v>
      </c>
      <c r="F211" s="694">
        <f>[96]Source!DO1244</f>
        <v>94</v>
      </c>
      <c r="G211" s="695"/>
      <c r="H211" s="696"/>
      <c r="I211" s="694"/>
      <c r="J211" s="697">
        <f>SUM(S204:S210)</f>
        <v>510.76</v>
      </c>
      <c r="K211" s="694">
        <f>[96]Source!CA1244</f>
        <v>45</v>
      </c>
      <c r="L211" s="697">
        <f>SUM(T204:T210)</f>
        <v>5924.52</v>
      </c>
    </row>
    <row r="212" spans="1:27" ht="15" x14ac:dyDescent="0.25">
      <c r="A212" s="691"/>
      <c r="B212" s="691"/>
      <c r="C212" s="692"/>
      <c r="D212" s="692" t="s">
        <v>91</v>
      </c>
      <c r="E212" s="693" t="s">
        <v>89</v>
      </c>
      <c r="F212" s="694">
        <f>175</f>
        <v>175</v>
      </c>
      <c r="G212" s="695"/>
      <c r="H212" s="696"/>
      <c r="I212" s="694"/>
      <c r="J212" s="697">
        <f>SUM(U204:U211)-J218</f>
        <v>5.88</v>
      </c>
      <c r="K212" s="694">
        <f>157</f>
        <v>157</v>
      </c>
      <c r="L212" s="697">
        <f>SUM(V204:V211)-L218</f>
        <v>127.99</v>
      </c>
    </row>
    <row r="213" spans="1:27" ht="15" x14ac:dyDescent="0.25">
      <c r="A213" s="691"/>
      <c r="B213" s="691"/>
      <c r="C213" s="692"/>
      <c r="D213" s="692" t="s">
        <v>92</v>
      </c>
      <c r="E213" s="693" t="s">
        <v>93</v>
      </c>
      <c r="F213" s="694">
        <f>[96]Source!AQ1244</f>
        <v>122</v>
      </c>
      <c r="G213" s="695"/>
      <c r="H213" s="696" t="str">
        <f>[96]Source!DI1244</f>
        <v/>
      </c>
      <c r="I213" s="694">
        <f>[96]Source!AV1244</f>
        <v>1.0669999999999999</v>
      </c>
      <c r="J213" s="697">
        <f>[96]Source!U1244</f>
        <v>28.74</v>
      </c>
      <c r="K213" s="694"/>
      <c r="L213" s="697"/>
    </row>
    <row r="214" spans="1:27" ht="14.25" x14ac:dyDescent="0.2">
      <c r="I214" s="1067">
        <f>J205+J206+J208+J210+J211+J212+SUM(J209:J209)</f>
        <v>5377.59</v>
      </c>
      <c r="J214" s="1067"/>
      <c r="K214" s="1067">
        <f>L205+L206+L208+L210+L211+L212+SUM(L209:L209)</f>
        <v>43852.43</v>
      </c>
      <c r="L214" s="1067"/>
      <c r="O214" s="736">
        <f>J205+J206+J208+J210+J211+J212+SUM(J209:J209)</f>
        <v>5377.59</v>
      </c>
      <c r="P214" s="736">
        <f>L205+L206+L208+L210+L211+L212+SUM(L209:L209)</f>
        <v>43852.43</v>
      </c>
      <c r="X214" s="718">
        <f>IF([96]Source!BI1244&lt;=1,J205+J206+J208+J210+J211+J212-0, 0)</f>
        <v>1899.11</v>
      </c>
      <c r="Y214" s="718">
        <f>IF([96]Source!BI1244=2,J205+J206+J208+J210+J211+J212-0, 0)</f>
        <v>0</v>
      </c>
      <c r="Z214" s="718">
        <f>IF([96]Source!BI1244=3,J205+J206+J208+J210+J211+J212-0, 0)</f>
        <v>0</v>
      </c>
      <c r="AA214" s="718">
        <f>IF([96]Source!BI1244=4,J205+J206+J208+J210+J211+J212,0)</f>
        <v>0</v>
      </c>
    </row>
    <row r="215" spans="1:27" ht="30" x14ac:dyDescent="0.25">
      <c r="A215" s="701"/>
      <c r="B215" s="701"/>
      <c r="C215" s="702"/>
      <c r="D215" s="702" t="s">
        <v>94</v>
      </c>
      <c r="E215" s="693"/>
      <c r="F215" s="703"/>
      <c r="G215" s="704"/>
      <c r="H215" s="693"/>
      <c r="I215" s="703"/>
      <c r="J215" s="700"/>
      <c r="K215" s="703"/>
      <c r="L215" s="700"/>
    </row>
    <row r="216" spans="1:27" ht="15" x14ac:dyDescent="0.25">
      <c r="A216" s="701"/>
      <c r="B216" s="701"/>
      <c r="C216" s="702"/>
      <c r="D216" s="702" t="s">
        <v>85</v>
      </c>
      <c r="E216" s="693"/>
      <c r="F216" s="703"/>
      <c r="G216" s="704">
        <f t="shared" ref="G216:L216" si="13">G217</f>
        <v>14.29</v>
      </c>
      <c r="H216" s="705" t="str">
        <f t="shared" si="13"/>
        <v>)*(1.67-1)</v>
      </c>
      <c r="I216" s="703">
        <f t="shared" si="13"/>
        <v>1.0669999999999999</v>
      </c>
      <c r="J216" s="700">
        <f t="shared" si="13"/>
        <v>2.2599999999999998</v>
      </c>
      <c r="K216" s="703">
        <f t="shared" si="13"/>
        <v>24.23</v>
      </c>
      <c r="L216" s="700">
        <f t="shared" si="13"/>
        <v>54.65</v>
      </c>
    </row>
    <row r="217" spans="1:27" ht="15" x14ac:dyDescent="0.25">
      <c r="A217" s="701"/>
      <c r="B217" s="701"/>
      <c r="C217" s="702"/>
      <c r="D217" s="702" t="s">
        <v>86</v>
      </c>
      <c r="E217" s="693"/>
      <c r="F217" s="703"/>
      <c r="G217" s="704">
        <f>[96]Source!AN1244</f>
        <v>14.29</v>
      </c>
      <c r="H217" s="705" t="s">
        <v>95</v>
      </c>
      <c r="I217" s="703">
        <f>[96]Source!AV1244</f>
        <v>1.0669999999999999</v>
      </c>
      <c r="J217" s="700">
        <f>ROUND(F204*G217*I217*(1.67-1), 2)</f>
        <v>2.2599999999999998</v>
      </c>
      <c r="K217" s="703">
        <f>IF([96]Source!BS1244&lt;&gt; 0, [96]Source!BS1244, 1)</f>
        <v>24.23</v>
      </c>
      <c r="L217" s="700">
        <f>ROUND(F204*G217*I217*(1.67-1)*K217, 2)</f>
        <v>54.65</v>
      </c>
      <c r="W217" s="718">
        <f>J217</f>
        <v>2.2599999999999998</v>
      </c>
    </row>
    <row r="218" spans="1:27" ht="15" x14ac:dyDescent="0.25">
      <c r="A218" s="701"/>
      <c r="B218" s="701"/>
      <c r="C218" s="702"/>
      <c r="D218" s="702" t="s">
        <v>91</v>
      </c>
      <c r="E218" s="693" t="s">
        <v>89</v>
      </c>
      <c r="F218" s="703">
        <f>175</f>
        <v>175</v>
      </c>
      <c r="G218" s="704"/>
      <c r="H218" s="693"/>
      <c r="I218" s="703"/>
      <c r="J218" s="700">
        <f>ROUND(J217*(F218/100), 2)</f>
        <v>3.96</v>
      </c>
      <c r="K218" s="703">
        <f>157</f>
        <v>157</v>
      </c>
      <c r="L218" s="700">
        <f>ROUND(L217*(K218/100), 2)</f>
        <v>85.8</v>
      </c>
    </row>
    <row r="219" spans="1:27" ht="14.25" x14ac:dyDescent="0.2">
      <c r="I219" s="1067">
        <f>J218+J217</f>
        <v>6.22</v>
      </c>
      <c r="J219" s="1067"/>
      <c r="K219" s="1067">
        <f>L218+L217</f>
        <v>140.44999999999999</v>
      </c>
      <c r="L219" s="1067"/>
      <c r="O219" s="736">
        <f>I219</f>
        <v>6.22</v>
      </c>
      <c r="P219" s="736">
        <f>K219</f>
        <v>140.44999999999999</v>
      </c>
      <c r="X219" s="718">
        <f>IF([96]Source!BI1244&lt;=1,I219, 0)</f>
        <v>6.22</v>
      </c>
      <c r="Y219" s="718">
        <f>IF([96]Source!BI1244=2,I219, 0)</f>
        <v>0</v>
      </c>
      <c r="Z219" s="718">
        <f>IF([96]Source!BI1244=3,I219, 0)</f>
        <v>0</v>
      </c>
      <c r="AA219" s="718">
        <f>IF([96]Source!BI1244=4,I219, 0)</f>
        <v>0</v>
      </c>
    </row>
    <row r="221" spans="1:27" ht="15" x14ac:dyDescent="0.25">
      <c r="A221" s="706"/>
      <c r="B221" s="706"/>
      <c r="C221" s="707"/>
      <c r="D221" s="707" t="s">
        <v>96</v>
      </c>
      <c r="E221" s="708"/>
      <c r="F221" s="709"/>
      <c r="G221" s="710"/>
      <c r="H221" s="711"/>
      <c r="I221" s="1067">
        <f>I214+I219</f>
        <v>5383.81</v>
      </c>
      <c r="J221" s="1067"/>
      <c r="K221" s="1067">
        <f>K214+K219</f>
        <v>43992.88</v>
      </c>
      <c r="L221" s="1067"/>
    </row>
    <row r="222" spans="1:27" ht="75" x14ac:dyDescent="0.25">
      <c r="A222" s="691">
        <v>32</v>
      </c>
      <c r="B222" s="691" t="str">
        <f>[96]Source!E1256</f>
        <v>189</v>
      </c>
      <c r="C222" s="692" t="str">
        <f>[96]Source!F1256</f>
        <v>3.20-1-11</v>
      </c>
      <c r="D222" s="692" t="s">
        <v>470</v>
      </c>
      <c r="E222" s="693" t="str">
        <f>[96]Source!H1256</f>
        <v>100 м2 поверхности воздуховодов</v>
      </c>
      <c r="F222" s="694">
        <f>[96]Source!I1256</f>
        <v>0.26700000000000002</v>
      </c>
      <c r="G222" s="695"/>
      <c r="H222" s="696"/>
      <c r="I222" s="694"/>
      <c r="J222" s="697"/>
      <c r="K222" s="694"/>
      <c r="L222" s="697"/>
      <c r="Q222" s="718">
        <f>ROUND(([96]Source!DN1256/100)*ROUND((ROUND(([96]Source!AF1256*[96]Source!AV1256*[96]Source!I1256),2)),2), 2)</f>
        <v>618.01</v>
      </c>
      <c r="R222" s="718">
        <f>[96]Source!X1256</f>
        <v>11979.55</v>
      </c>
      <c r="S222" s="718">
        <f>ROUND(([96]Source!DO1256/100)*ROUND((ROUND(([96]Source!AF1256*[96]Source!AV1256*[96]Source!I1256),2)),2), 2)</f>
        <v>464.75</v>
      </c>
      <c r="T222" s="718">
        <f>[96]Source!Y1256</f>
        <v>5390.8</v>
      </c>
      <c r="U222" s="718">
        <f>ROUND((175/100)*ROUND((ROUND(([96]Source!AE1256*[96]Source!AV1256*[96]Source!I1256),2)),2), 2)</f>
        <v>8.91</v>
      </c>
      <c r="V222" s="718">
        <f>ROUND((157/100)*ROUND(ROUND((ROUND(([96]Source!AE1256*[96]Source!AV1256*[96]Source!I1256),2)*[96]Source!BS1256),2), 2), 2)</f>
        <v>193.63</v>
      </c>
    </row>
    <row r="223" spans="1:27" ht="15" x14ac:dyDescent="0.25">
      <c r="A223" s="691"/>
      <c r="B223" s="691"/>
      <c r="C223" s="692"/>
      <c r="D223" s="692" t="s">
        <v>84</v>
      </c>
      <c r="E223" s="693"/>
      <c r="F223" s="694"/>
      <c r="G223" s="695">
        <f>[96]Source!AO1256</f>
        <v>1039.18</v>
      </c>
      <c r="H223" s="696" t="str">
        <f>[96]Source!DG1256</f>
        <v>)*1,67</v>
      </c>
      <c r="I223" s="694">
        <f>[96]Source!AV1256</f>
        <v>1.0669999999999999</v>
      </c>
      <c r="J223" s="697">
        <f>ROUND((ROUND(([96]Source!AF1256*[96]Source!AV1256*[96]Source!I1256),2)),2)</f>
        <v>494.41</v>
      </c>
      <c r="K223" s="694">
        <f>IF([96]Source!BA1256&lt;&gt; 0, [96]Source!BA1256, 1)</f>
        <v>24.23</v>
      </c>
      <c r="L223" s="697">
        <f>[96]Source!S1256</f>
        <v>11979.55</v>
      </c>
      <c r="W223" s="718">
        <f>J223</f>
        <v>494.41</v>
      </c>
    </row>
    <row r="224" spans="1:27" ht="15" x14ac:dyDescent="0.25">
      <c r="A224" s="691"/>
      <c r="B224" s="691"/>
      <c r="C224" s="692"/>
      <c r="D224" s="692" t="s">
        <v>85</v>
      </c>
      <c r="E224" s="693"/>
      <c r="F224" s="694"/>
      <c r="G224" s="695">
        <f>[96]Source!AM1256</f>
        <v>87.46</v>
      </c>
      <c r="H224" s="696" t="str">
        <f>[96]Source!DE1256</f>
        <v/>
      </c>
      <c r="I224" s="694">
        <f>[96]Source!AV1256</f>
        <v>1.0669999999999999</v>
      </c>
      <c r="J224" s="697">
        <f>(ROUND((ROUND((([96]Source!ET1256)*[96]Source!AV1256*[96]Source!I1256),2)),2)+ROUND((ROUND((([96]Source!AE1256-([96]Source!EU1256))*[96]Source!AV1256*[96]Source!I1256),2)),2))-J234</f>
        <v>24.92</v>
      </c>
      <c r="K224" s="694">
        <f>IF([96]Source!BB1256&lt;&gt; 0, [96]Source!BB1256, 1)</f>
        <v>8.6</v>
      </c>
      <c r="L224" s="697">
        <f>[96]Source!Q1256-L234</f>
        <v>214.3</v>
      </c>
    </row>
    <row r="225" spans="1:27" ht="15" x14ac:dyDescent="0.25">
      <c r="A225" s="691"/>
      <c r="B225" s="691"/>
      <c r="C225" s="692"/>
      <c r="D225" s="692" t="s">
        <v>86</v>
      </c>
      <c r="E225" s="693"/>
      <c r="F225" s="694"/>
      <c r="G225" s="695">
        <f>[96]Source!AN1256</f>
        <v>10.69</v>
      </c>
      <c r="H225" s="696" t="str">
        <f>[96]Source!DE1256</f>
        <v/>
      </c>
      <c r="I225" s="694">
        <f>[96]Source!AV1256</f>
        <v>1.0669999999999999</v>
      </c>
      <c r="J225" s="700">
        <f>ROUND((ROUND(([96]Source!AE1256*[96]Source!AV1256*[96]Source!I1256),2)),2)-J235</f>
        <v>3.05</v>
      </c>
      <c r="K225" s="694">
        <f>IF([96]Source!BS1256&lt;&gt; 0, [96]Source!BS1256, 1)</f>
        <v>24.23</v>
      </c>
      <c r="L225" s="700">
        <f>[96]Source!R1256-L235</f>
        <v>73.89</v>
      </c>
      <c r="W225" s="718">
        <f>J225</f>
        <v>3.05</v>
      </c>
    </row>
    <row r="226" spans="1:27" ht="15" x14ac:dyDescent="0.25">
      <c r="A226" s="691"/>
      <c r="B226" s="691"/>
      <c r="C226" s="692"/>
      <c r="D226" s="692" t="s">
        <v>87</v>
      </c>
      <c r="E226" s="693"/>
      <c r="F226" s="694"/>
      <c r="G226" s="695">
        <f>[96]Source!AL1256</f>
        <v>409.71</v>
      </c>
      <c r="H226" s="696" t="str">
        <f>[96]Source!DD1256</f>
        <v/>
      </c>
      <c r="I226" s="694">
        <f>[96]Source!AW1256</f>
        <v>1</v>
      </c>
      <c r="J226" s="697">
        <f>ROUND((ROUND(([96]Source!AC1256*[96]Source!AW1256*[96]Source!I1256),2)),2)</f>
        <v>109.39</v>
      </c>
      <c r="K226" s="694">
        <f>IF([96]Source!BC1256&lt;&gt; 0, [96]Source!BC1256, 1)</f>
        <v>3.31</v>
      </c>
      <c r="L226" s="697">
        <f>[96]Source!P1256</f>
        <v>362.08</v>
      </c>
    </row>
    <row r="227" spans="1:27" ht="69.599999999999994" customHeight="1" x14ac:dyDescent="0.25">
      <c r="A227" s="691">
        <v>33</v>
      </c>
      <c r="B227" s="691" t="str">
        <f>[96]Source!E1258</f>
        <v>189,1</v>
      </c>
      <c r="C227" s="692" t="str">
        <f>[96]Source!F1258</f>
        <v>1.19-3-13</v>
      </c>
      <c r="D227" s="692" t="s">
        <v>469</v>
      </c>
      <c r="E227" s="693" t="str">
        <f>[96]Source!H1258</f>
        <v>м2</v>
      </c>
      <c r="F227" s="694">
        <f>[96]Source!I1258</f>
        <v>26.7</v>
      </c>
      <c r="G227" s="695">
        <f>[96]Source!AK1258</f>
        <v>157.54</v>
      </c>
      <c r="H227" s="734" t="s">
        <v>42</v>
      </c>
      <c r="I227" s="694">
        <f>[96]Source!AW1258</f>
        <v>1</v>
      </c>
      <c r="J227" s="697">
        <f>ROUND((ROUND(([96]Source!AC1258*[96]Source!AW1258*[96]Source!I1258),2)),2)+(ROUND((ROUND((([96]Source!ET1258)*[96]Source!AV1258*[96]Source!I1258),2)),2)+ROUND((ROUND((([96]Source!AE1258-([96]Source!EU1258))*[96]Source!AV1258*[96]Source!I1258),2)),2))+ROUND((ROUND(([96]Source!AF1258*[96]Source!AV1258*[96]Source!I1258),2)),2)</f>
        <v>4206.32</v>
      </c>
      <c r="K227" s="694">
        <f>IF([96]Source!BC1258&lt;&gt; 0, [96]Source!BC1258, 1)</f>
        <v>3.07</v>
      </c>
      <c r="L227" s="697">
        <f>[96]Source!O1258</f>
        <v>12913.4</v>
      </c>
      <c r="Q227" s="718">
        <f>ROUND(([96]Source!DN1258/100)*ROUND((ROUND(([96]Source!AF1258*[96]Source!AV1258*[96]Source!I1258),2)),2), 2)</f>
        <v>0</v>
      </c>
      <c r="R227" s="718">
        <f>[96]Source!X1258</f>
        <v>0</v>
      </c>
      <c r="S227" s="718">
        <f>ROUND(([96]Source!DO1258/100)*ROUND((ROUND(([96]Source!AF1258*[96]Source!AV1258*[96]Source!I1258),2)),2), 2)</f>
        <v>0</v>
      </c>
      <c r="T227" s="718">
        <f>[96]Source!Y1258</f>
        <v>0</v>
      </c>
      <c r="U227" s="718">
        <f>ROUND((175/100)*ROUND((ROUND(([96]Source!AE1258*[96]Source!AV1258*[96]Source!I1258),2)),2), 2)</f>
        <v>0</v>
      </c>
      <c r="V227" s="718">
        <f>ROUND((157/100)*ROUND(ROUND((ROUND(([96]Source!AE1258*[96]Source!AV1258*[96]Source!I1258),2)*[96]Source!BS1258),2), 2), 2)</f>
        <v>0</v>
      </c>
      <c r="X227" s="718">
        <f>IF([96]Source!BI1258&lt;=1,J227, 0)</f>
        <v>4206.32</v>
      </c>
      <c r="Y227" s="718">
        <f>IF([96]Source!BI1258=2,J227, 0)</f>
        <v>0</v>
      </c>
      <c r="Z227" s="718">
        <f>IF([96]Source!BI1258=3,J227, 0)</f>
        <v>0</v>
      </c>
      <c r="AA227" s="718">
        <f>IF([96]Source!BI1258=4,J227, 0)</f>
        <v>0</v>
      </c>
    </row>
    <row r="228" spans="1:27" ht="15" x14ac:dyDescent="0.25">
      <c r="A228" s="691"/>
      <c r="B228" s="691"/>
      <c r="C228" s="692"/>
      <c r="D228" s="692" t="s">
        <v>88</v>
      </c>
      <c r="E228" s="693" t="s">
        <v>89</v>
      </c>
      <c r="F228" s="694">
        <f>[96]Source!DN1256</f>
        <v>125</v>
      </c>
      <c r="G228" s="695"/>
      <c r="H228" s="696"/>
      <c r="I228" s="694"/>
      <c r="J228" s="697">
        <f>SUM(Q222:Q227)</f>
        <v>618.01</v>
      </c>
      <c r="K228" s="694">
        <f>[96]Source!BZ1256</f>
        <v>100</v>
      </c>
      <c r="L228" s="697">
        <f>SUM(R222:R227)</f>
        <v>11979.55</v>
      </c>
    </row>
    <row r="229" spans="1:27" ht="15" x14ac:dyDescent="0.25">
      <c r="A229" s="691"/>
      <c r="B229" s="691"/>
      <c r="C229" s="692"/>
      <c r="D229" s="692" t="s">
        <v>90</v>
      </c>
      <c r="E229" s="693" t="s">
        <v>89</v>
      </c>
      <c r="F229" s="694">
        <f>[96]Source!DO1256</f>
        <v>94</v>
      </c>
      <c r="G229" s="695"/>
      <c r="H229" s="696"/>
      <c r="I229" s="694"/>
      <c r="J229" s="697">
        <f>SUM(S222:S228)</f>
        <v>464.75</v>
      </c>
      <c r="K229" s="694">
        <f>[96]Source!CA1256</f>
        <v>45</v>
      </c>
      <c r="L229" s="697">
        <f>SUM(T222:T228)</f>
        <v>5390.8</v>
      </c>
    </row>
    <row r="230" spans="1:27" ht="15" x14ac:dyDescent="0.25">
      <c r="A230" s="691"/>
      <c r="B230" s="691"/>
      <c r="C230" s="692"/>
      <c r="D230" s="692" t="s">
        <v>91</v>
      </c>
      <c r="E230" s="693" t="s">
        <v>89</v>
      </c>
      <c r="F230" s="694">
        <f>175</f>
        <v>175</v>
      </c>
      <c r="G230" s="695"/>
      <c r="H230" s="696"/>
      <c r="I230" s="694"/>
      <c r="J230" s="697">
        <f>SUM(U222:U229)-J236</f>
        <v>5.34</v>
      </c>
      <c r="K230" s="694">
        <f>157</f>
        <v>157</v>
      </c>
      <c r="L230" s="697">
        <f>SUM(V222:V229)-L236</f>
        <v>116.01</v>
      </c>
    </row>
    <row r="231" spans="1:27" ht="15" x14ac:dyDescent="0.25">
      <c r="A231" s="691"/>
      <c r="B231" s="691"/>
      <c r="C231" s="692"/>
      <c r="D231" s="692" t="s">
        <v>92</v>
      </c>
      <c r="E231" s="693" t="s">
        <v>93</v>
      </c>
      <c r="F231" s="694">
        <f>[96]Source!AQ1256</f>
        <v>91.8</v>
      </c>
      <c r="G231" s="695"/>
      <c r="H231" s="696" t="str">
        <f>[96]Source!DI1256</f>
        <v/>
      </c>
      <c r="I231" s="694">
        <f>[96]Source!AV1256</f>
        <v>1.0669999999999999</v>
      </c>
      <c r="J231" s="697">
        <f>[96]Source!U1256</f>
        <v>26.15</v>
      </c>
      <c r="K231" s="694"/>
      <c r="L231" s="697"/>
    </row>
    <row r="232" spans="1:27" ht="14.25" x14ac:dyDescent="0.2">
      <c r="I232" s="1067">
        <f>J223+J224+J226+J228+J229+J230+SUM(J227:J227)</f>
        <v>5923.14</v>
      </c>
      <c r="J232" s="1067"/>
      <c r="K232" s="1067">
        <f>L223+L224+L226+L228+L229+L230+SUM(L227:L227)</f>
        <v>42955.69</v>
      </c>
      <c r="L232" s="1067"/>
      <c r="O232" s="736">
        <f>J223+J224+J226+J228+J229+J230+SUM(J227:J227)</f>
        <v>5923.14</v>
      </c>
      <c r="P232" s="736">
        <f>L223+L224+L226+L228+L229+L230+SUM(L227:L227)</f>
        <v>42955.69</v>
      </c>
      <c r="X232" s="718">
        <f>IF([96]Source!BI1256&lt;=1,J223+J224+J226+J228+J229+J230-0, 0)</f>
        <v>1716.82</v>
      </c>
      <c r="Y232" s="718">
        <f>IF([96]Source!BI1256=2,J223+J224+J226+J228+J229+J230-0, 0)</f>
        <v>0</v>
      </c>
      <c r="Z232" s="718">
        <f>IF([96]Source!BI1256=3,J223+J224+J226+J228+J229+J230-0, 0)</f>
        <v>0</v>
      </c>
      <c r="AA232" s="718">
        <f>IF([96]Source!BI1256=4,J223+J224+J226+J228+J229+J230,0)</f>
        <v>0</v>
      </c>
    </row>
    <row r="233" spans="1:27" ht="30" x14ac:dyDescent="0.25">
      <c r="A233" s="701"/>
      <c r="B233" s="701"/>
      <c r="C233" s="702"/>
      <c r="D233" s="702" t="s">
        <v>94</v>
      </c>
      <c r="E233" s="693"/>
      <c r="F233" s="703"/>
      <c r="G233" s="704"/>
      <c r="H233" s="693"/>
      <c r="I233" s="703"/>
      <c r="J233" s="700"/>
      <c r="K233" s="703"/>
      <c r="L233" s="700"/>
    </row>
    <row r="234" spans="1:27" ht="15" x14ac:dyDescent="0.25">
      <c r="A234" s="701"/>
      <c r="B234" s="701"/>
      <c r="C234" s="702"/>
      <c r="D234" s="702" t="s">
        <v>85</v>
      </c>
      <c r="E234" s="693"/>
      <c r="F234" s="703"/>
      <c r="G234" s="704">
        <f t="shared" ref="G234:L234" si="14">G235</f>
        <v>10.69</v>
      </c>
      <c r="H234" s="705" t="str">
        <f t="shared" si="14"/>
        <v>)*(1.67-1)</v>
      </c>
      <c r="I234" s="703">
        <f t="shared" si="14"/>
        <v>1.0669999999999999</v>
      </c>
      <c r="J234" s="700">
        <f t="shared" si="14"/>
        <v>2.04</v>
      </c>
      <c r="K234" s="703">
        <f t="shared" si="14"/>
        <v>24.23</v>
      </c>
      <c r="L234" s="700">
        <f t="shared" si="14"/>
        <v>49.44</v>
      </c>
    </row>
    <row r="235" spans="1:27" ht="15" x14ac:dyDescent="0.25">
      <c r="A235" s="701"/>
      <c r="B235" s="701"/>
      <c r="C235" s="702"/>
      <c r="D235" s="702" t="s">
        <v>86</v>
      </c>
      <c r="E235" s="693"/>
      <c r="F235" s="703"/>
      <c r="G235" s="704">
        <f>[96]Source!AN1256</f>
        <v>10.69</v>
      </c>
      <c r="H235" s="705" t="s">
        <v>95</v>
      </c>
      <c r="I235" s="703">
        <f>[96]Source!AV1256</f>
        <v>1.0669999999999999</v>
      </c>
      <c r="J235" s="700">
        <f>ROUND(F222*G235*I235*(1.67-1), 2)</f>
        <v>2.04</v>
      </c>
      <c r="K235" s="703">
        <f>IF([96]Source!BS1256&lt;&gt; 0, [96]Source!BS1256, 1)</f>
        <v>24.23</v>
      </c>
      <c r="L235" s="700">
        <f>ROUND(F222*G235*I235*(1.67-1)*K235, 2)</f>
        <v>49.44</v>
      </c>
      <c r="W235" s="718">
        <f>J235</f>
        <v>2.04</v>
      </c>
    </row>
    <row r="236" spans="1:27" ht="15" x14ac:dyDescent="0.25">
      <c r="A236" s="701"/>
      <c r="B236" s="701"/>
      <c r="C236" s="702"/>
      <c r="D236" s="702" t="s">
        <v>91</v>
      </c>
      <c r="E236" s="693" t="s">
        <v>89</v>
      </c>
      <c r="F236" s="703">
        <f>175</f>
        <v>175</v>
      </c>
      <c r="G236" s="704"/>
      <c r="H236" s="693"/>
      <c r="I236" s="703"/>
      <c r="J236" s="700">
        <f>ROUND(J235*(F236/100), 2)</f>
        <v>3.57</v>
      </c>
      <c r="K236" s="703">
        <f>157</f>
        <v>157</v>
      </c>
      <c r="L236" s="700">
        <f>ROUND(L235*(K236/100), 2)</f>
        <v>77.62</v>
      </c>
    </row>
    <row r="237" spans="1:27" ht="14.25" x14ac:dyDescent="0.2">
      <c r="I237" s="1067">
        <f>J236+J235</f>
        <v>5.61</v>
      </c>
      <c r="J237" s="1067"/>
      <c r="K237" s="1067">
        <f>L236+L235</f>
        <v>127.06</v>
      </c>
      <c r="L237" s="1067"/>
      <c r="O237" s="736">
        <f>I237</f>
        <v>5.61</v>
      </c>
      <c r="P237" s="736">
        <f>K237</f>
        <v>127.06</v>
      </c>
      <c r="X237" s="718">
        <f>IF([96]Source!BI1256&lt;=1,I237, 0)</f>
        <v>5.61</v>
      </c>
      <c r="Y237" s="718">
        <f>IF([96]Source!BI1256=2,I237, 0)</f>
        <v>0</v>
      </c>
      <c r="Z237" s="718">
        <f>IF([96]Source!BI1256=3,I237, 0)</f>
        <v>0</v>
      </c>
      <c r="AA237" s="718">
        <f>IF([96]Source!BI1256=4,I237, 0)</f>
        <v>0</v>
      </c>
    </row>
    <row r="239" spans="1:27" ht="15" x14ac:dyDescent="0.25">
      <c r="A239" s="706"/>
      <c r="B239" s="706"/>
      <c r="C239" s="707"/>
      <c r="D239" s="707" t="s">
        <v>96</v>
      </c>
      <c r="E239" s="708"/>
      <c r="F239" s="709"/>
      <c r="G239" s="710"/>
      <c r="H239" s="711"/>
      <c r="I239" s="1067">
        <f>I232+I237</f>
        <v>5928.75</v>
      </c>
      <c r="J239" s="1067"/>
      <c r="K239" s="1067">
        <f>K232+K237</f>
        <v>43082.75</v>
      </c>
      <c r="L239" s="1067"/>
    </row>
    <row r="240" spans="1:27" ht="75" x14ac:dyDescent="0.25">
      <c r="A240" s="691">
        <v>34</v>
      </c>
      <c r="B240" s="691" t="str">
        <f>[96]Source!E1260</f>
        <v>190</v>
      </c>
      <c r="C240" s="692" t="str">
        <f>[96]Source!F1260</f>
        <v>3.20-1-12</v>
      </c>
      <c r="D240" s="692" t="s">
        <v>471</v>
      </c>
      <c r="E240" s="693" t="str">
        <f>[96]Source!H1260</f>
        <v>100 м2 поверхности воздуховодов</v>
      </c>
      <c r="F240" s="694">
        <f>[96]Source!I1260</f>
        <v>1.23E-2</v>
      </c>
      <c r="G240" s="695"/>
      <c r="H240" s="696"/>
      <c r="I240" s="694"/>
      <c r="J240" s="697"/>
      <c r="K240" s="694"/>
      <c r="L240" s="697"/>
      <c r="Q240" s="718">
        <f>ROUND(([96]Source!DN1260/100)*ROUND((ROUND(([96]Source!AF1260*[96]Source!AV1260*[96]Source!I1260),2)),2), 2)</f>
        <v>23.01</v>
      </c>
      <c r="R240" s="718">
        <f>[96]Source!X1260</f>
        <v>446.07</v>
      </c>
      <c r="S240" s="718">
        <f>ROUND(([96]Source!DO1260/100)*ROUND((ROUND(([96]Source!AF1260*[96]Source!AV1260*[96]Source!I1260),2)),2), 2)</f>
        <v>17.309999999999999</v>
      </c>
      <c r="T240" s="718">
        <f>[96]Source!Y1260</f>
        <v>200.73</v>
      </c>
      <c r="U240" s="718">
        <f>ROUND((175/100)*ROUND((ROUND(([96]Source!AE1260*[96]Source!AV1260*[96]Source!I1260),2)),2), 2)</f>
        <v>0.44</v>
      </c>
      <c r="V240" s="718">
        <f>ROUND((157/100)*ROUND(ROUND((ROUND(([96]Source!AE1260*[96]Source!AV1260*[96]Source!I1260),2)*[96]Source!BS1260),2), 2), 2)</f>
        <v>9.51</v>
      </c>
    </row>
    <row r="241" spans="1:27" ht="15" x14ac:dyDescent="0.25">
      <c r="A241" s="691"/>
      <c r="B241" s="691"/>
      <c r="C241" s="692"/>
      <c r="D241" s="692" t="s">
        <v>84</v>
      </c>
      <c r="E241" s="693"/>
      <c r="F241" s="694"/>
      <c r="G241" s="695">
        <f>[96]Source!AO1260</f>
        <v>839.94</v>
      </c>
      <c r="H241" s="696" t="str">
        <f>[96]Source!DG1260</f>
        <v>)*1,67</v>
      </c>
      <c r="I241" s="694">
        <f>[96]Source!AV1260</f>
        <v>1.0669999999999999</v>
      </c>
      <c r="J241" s="697">
        <f>ROUND((ROUND(([96]Source!AF1260*[96]Source!AV1260*[96]Source!I1260),2)),2)</f>
        <v>18.41</v>
      </c>
      <c r="K241" s="694">
        <f>IF([96]Source!BA1260&lt;&gt; 0, [96]Source!BA1260, 1)</f>
        <v>24.23</v>
      </c>
      <c r="L241" s="697">
        <f>[96]Source!S1260</f>
        <v>446.07</v>
      </c>
      <c r="W241" s="718">
        <f>J241</f>
        <v>18.41</v>
      </c>
    </row>
    <row r="242" spans="1:27" ht="15" x14ac:dyDescent="0.25">
      <c r="A242" s="691"/>
      <c r="B242" s="691"/>
      <c r="C242" s="692"/>
      <c r="D242" s="692" t="s">
        <v>85</v>
      </c>
      <c r="E242" s="693"/>
      <c r="F242" s="694"/>
      <c r="G242" s="695">
        <f>[96]Source!AM1260</f>
        <v>92.82</v>
      </c>
      <c r="H242" s="696" t="str">
        <f>[96]Source!DE1260</f>
        <v/>
      </c>
      <c r="I242" s="694">
        <f>[96]Source!AV1260</f>
        <v>1.0669999999999999</v>
      </c>
      <c r="J242" s="697">
        <f>(ROUND((ROUND((([96]Source!ET1260)*[96]Source!AV1260*[96]Source!I1260),2)),2)+ROUND((ROUND((([96]Source!AE1260-([96]Source!EU1260))*[96]Source!AV1260*[96]Source!I1260),2)),2))-J252</f>
        <v>1.22</v>
      </c>
      <c r="K242" s="694">
        <f>IF([96]Source!BB1260&lt;&gt; 0, [96]Source!BB1260, 1)</f>
        <v>8.6</v>
      </c>
      <c r="L242" s="697">
        <f>[96]Source!Q1260-L252</f>
        <v>10.49</v>
      </c>
    </row>
    <row r="243" spans="1:27" ht="15" x14ac:dyDescent="0.25">
      <c r="A243" s="691"/>
      <c r="B243" s="691"/>
      <c r="C243" s="692"/>
      <c r="D243" s="692" t="s">
        <v>86</v>
      </c>
      <c r="E243" s="693"/>
      <c r="F243" s="694"/>
      <c r="G243" s="695">
        <f>[96]Source!AN1260</f>
        <v>11.34</v>
      </c>
      <c r="H243" s="696" t="str">
        <f>[96]Source!DE1260</f>
        <v/>
      </c>
      <c r="I243" s="694">
        <f>[96]Source!AV1260</f>
        <v>1.0669999999999999</v>
      </c>
      <c r="J243" s="700">
        <f>ROUND((ROUND(([96]Source!AE1260*[96]Source!AV1260*[96]Source!I1260),2)),2)-J253</f>
        <v>0.15</v>
      </c>
      <c r="K243" s="694">
        <f>IF([96]Source!BS1260&lt;&gt; 0, [96]Source!BS1260, 1)</f>
        <v>24.23</v>
      </c>
      <c r="L243" s="700">
        <f>[96]Source!R1260-L253</f>
        <v>3.64</v>
      </c>
      <c r="W243" s="718">
        <f>J243</f>
        <v>0.15</v>
      </c>
    </row>
    <row r="244" spans="1:27" ht="15" x14ac:dyDescent="0.25">
      <c r="A244" s="691"/>
      <c r="B244" s="691"/>
      <c r="C244" s="692"/>
      <c r="D244" s="692" t="s">
        <v>87</v>
      </c>
      <c r="E244" s="693"/>
      <c r="F244" s="694"/>
      <c r="G244" s="695">
        <f>[96]Source!AL1260</f>
        <v>490.65</v>
      </c>
      <c r="H244" s="696" t="str">
        <f>[96]Source!DD1260</f>
        <v/>
      </c>
      <c r="I244" s="694">
        <f>[96]Source!AW1260</f>
        <v>1</v>
      </c>
      <c r="J244" s="697">
        <f>ROUND((ROUND(([96]Source!AC1260*[96]Source!AW1260*[96]Source!I1260),2)),2)</f>
        <v>6.03</v>
      </c>
      <c r="K244" s="694">
        <f>IF([96]Source!BC1260&lt;&gt; 0, [96]Source!BC1260, 1)</f>
        <v>3.92</v>
      </c>
      <c r="L244" s="697">
        <f>[96]Source!P1260</f>
        <v>23.64</v>
      </c>
    </row>
    <row r="245" spans="1:27" ht="69.599999999999994" customHeight="1" x14ac:dyDescent="0.25">
      <c r="A245" s="691">
        <v>35</v>
      </c>
      <c r="B245" s="691" t="str">
        <f>[96]Source!E1262</f>
        <v>190,1</v>
      </c>
      <c r="C245" s="692" t="str">
        <f>[96]Source!F1262</f>
        <v>1.19-3-13</v>
      </c>
      <c r="D245" s="692" t="s">
        <v>469</v>
      </c>
      <c r="E245" s="693" t="str">
        <f>[96]Source!H1262</f>
        <v>м2</v>
      </c>
      <c r="F245" s="694">
        <f>[96]Source!I1262</f>
        <v>1.23</v>
      </c>
      <c r="G245" s="695">
        <f>[96]Source!AK1262</f>
        <v>157.54</v>
      </c>
      <c r="H245" s="734" t="s">
        <v>42</v>
      </c>
      <c r="I245" s="694">
        <f>[96]Source!AW1262</f>
        <v>1</v>
      </c>
      <c r="J245" s="697">
        <f>ROUND((ROUND(([96]Source!AC1262*[96]Source!AW1262*[96]Source!I1262),2)),2)+(ROUND((ROUND((([96]Source!ET1262)*[96]Source!AV1262*[96]Source!I1262),2)),2)+ROUND((ROUND((([96]Source!AE1262-([96]Source!EU1262))*[96]Source!AV1262*[96]Source!I1262),2)),2))+ROUND((ROUND(([96]Source!AF1262*[96]Source!AV1262*[96]Source!I1262),2)),2)</f>
        <v>193.77</v>
      </c>
      <c r="K245" s="694">
        <f>IF([96]Source!BC1262&lt;&gt; 0, [96]Source!BC1262, 1)</f>
        <v>3.07</v>
      </c>
      <c r="L245" s="697">
        <f>[96]Source!O1262</f>
        <v>594.87</v>
      </c>
      <c r="Q245" s="718">
        <f>ROUND(([96]Source!DN1262/100)*ROUND((ROUND(([96]Source!AF1262*[96]Source!AV1262*[96]Source!I1262),2)),2), 2)</f>
        <v>0</v>
      </c>
      <c r="R245" s="718">
        <f>[96]Source!X1262</f>
        <v>0</v>
      </c>
      <c r="S245" s="718">
        <f>ROUND(([96]Source!DO1262/100)*ROUND((ROUND(([96]Source!AF1262*[96]Source!AV1262*[96]Source!I1262),2)),2), 2)</f>
        <v>0</v>
      </c>
      <c r="T245" s="718">
        <f>[96]Source!Y1262</f>
        <v>0</v>
      </c>
      <c r="U245" s="718">
        <f>ROUND((175/100)*ROUND((ROUND(([96]Source!AE1262*[96]Source!AV1262*[96]Source!I1262),2)),2), 2)</f>
        <v>0</v>
      </c>
      <c r="V245" s="718">
        <f>ROUND((157/100)*ROUND(ROUND((ROUND(([96]Source!AE1262*[96]Source!AV1262*[96]Source!I1262),2)*[96]Source!BS1262),2), 2), 2)</f>
        <v>0</v>
      </c>
      <c r="X245" s="718">
        <f>IF([96]Source!BI1262&lt;=1,J245, 0)</f>
        <v>193.77</v>
      </c>
      <c r="Y245" s="718">
        <f>IF([96]Source!BI1262=2,J245, 0)</f>
        <v>0</v>
      </c>
      <c r="Z245" s="718">
        <f>IF([96]Source!BI1262=3,J245, 0)</f>
        <v>0</v>
      </c>
      <c r="AA245" s="718">
        <f>IF([96]Source!BI1262=4,J245, 0)</f>
        <v>0</v>
      </c>
    </row>
    <row r="246" spans="1:27" ht="15" x14ac:dyDescent="0.25">
      <c r="A246" s="691"/>
      <c r="B246" s="691"/>
      <c r="C246" s="692"/>
      <c r="D246" s="692" t="s">
        <v>88</v>
      </c>
      <c r="E246" s="693" t="s">
        <v>89</v>
      </c>
      <c r="F246" s="694">
        <f>[96]Source!DN1260</f>
        <v>125</v>
      </c>
      <c r="G246" s="695"/>
      <c r="H246" s="696"/>
      <c r="I246" s="694"/>
      <c r="J246" s="697">
        <f>SUM(Q240:Q245)</f>
        <v>23.01</v>
      </c>
      <c r="K246" s="694">
        <f>[96]Source!BZ1260</f>
        <v>100</v>
      </c>
      <c r="L246" s="697">
        <f>SUM(R240:R245)</f>
        <v>446.07</v>
      </c>
    </row>
    <row r="247" spans="1:27" ht="15" x14ac:dyDescent="0.25">
      <c r="A247" s="691"/>
      <c r="B247" s="691"/>
      <c r="C247" s="692"/>
      <c r="D247" s="692" t="s">
        <v>90</v>
      </c>
      <c r="E247" s="693" t="s">
        <v>89</v>
      </c>
      <c r="F247" s="694">
        <f>[96]Source!DO1260</f>
        <v>94</v>
      </c>
      <c r="G247" s="695"/>
      <c r="H247" s="696"/>
      <c r="I247" s="694"/>
      <c r="J247" s="697">
        <f>SUM(S240:S246)</f>
        <v>17.309999999999999</v>
      </c>
      <c r="K247" s="694">
        <f>[96]Source!CA1260</f>
        <v>45</v>
      </c>
      <c r="L247" s="697">
        <f>SUM(T240:T246)</f>
        <v>200.73</v>
      </c>
    </row>
    <row r="248" spans="1:27" ht="15" x14ac:dyDescent="0.25">
      <c r="A248" s="691"/>
      <c r="B248" s="691"/>
      <c r="C248" s="692"/>
      <c r="D248" s="692" t="s">
        <v>91</v>
      </c>
      <c r="E248" s="693" t="s">
        <v>89</v>
      </c>
      <c r="F248" s="694">
        <f>175</f>
        <v>175</v>
      </c>
      <c r="G248" s="695"/>
      <c r="H248" s="696"/>
      <c r="I248" s="694"/>
      <c r="J248" s="697">
        <f>SUM(U240:U247)-J254</f>
        <v>0.26</v>
      </c>
      <c r="K248" s="694">
        <f>157</f>
        <v>157</v>
      </c>
      <c r="L248" s="697">
        <f>SUM(V240:V247)-L254</f>
        <v>5.71</v>
      </c>
    </row>
    <row r="249" spans="1:27" ht="15" x14ac:dyDescent="0.25">
      <c r="A249" s="691"/>
      <c r="B249" s="691"/>
      <c r="C249" s="692"/>
      <c r="D249" s="692" t="s">
        <v>92</v>
      </c>
      <c r="E249" s="693" t="s">
        <v>93</v>
      </c>
      <c r="F249" s="694">
        <f>[96]Source!AQ1260</f>
        <v>74.2</v>
      </c>
      <c r="G249" s="695"/>
      <c r="H249" s="696" t="str">
        <f>[96]Source!DI1260</f>
        <v/>
      </c>
      <c r="I249" s="694">
        <f>[96]Source!AV1260</f>
        <v>1.0669999999999999</v>
      </c>
      <c r="J249" s="697">
        <f>[96]Source!U1260</f>
        <v>0.97</v>
      </c>
      <c r="K249" s="694"/>
      <c r="L249" s="697"/>
    </row>
    <row r="250" spans="1:27" ht="14.25" x14ac:dyDescent="0.2">
      <c r="I250" s="1067">
        <f>J241+J242+J244+J246+J247+J248+SUM(J245:J245)</f>
        <v>260.01</v>
      </c>
      <c r="J250" s="1067"/>
      <c r="K250" s="1067">
        <f>L241+L242+L244+L246+L247+L248+SUM(L245:L245)</f>
        <v>1727.58</v>
      </c>
      <c r="L250" s="1067"/>
      <c r="O250" s="736">
        <f>J241+J242+J244+J246+J247+J248+SUM(J245:J245)</f>
        <v>260.01</v>
      </c>
      <c r="P250" s="736">
        <f>L241+L242+L244+L246+L247+L248+SUM(L245:L245)</f>
        <v>1727.58</v>
      </c>
      <c r="X250" s="718">
        <f>IF([96]Source!BI1260&lt;=1,J241+J242+J244+J246+J247+J248-0, 0)</f>
        <v>66.239999999999995</v>
      </c>
      <c r="Y250" s="718">
        <f>IF([96]Source!BI1260=2,J241+J242+J244+J246+J247+J248-0, 0)</f>
        <v>0</v>
      </c>
      <c r="Z250" s="718">
        <f>IF([96]Source!BI1260=3,J241+J242+J244+J246+J247+J248-0, 0)</f>
        <v>0</v>
      </c>
      <c r="AA250" s="718">
        <f>IF([96]Source!BI1260=4,J241+J242+J244+J246+J247+J248,0)</f>
        <v>0</v>
      </c>
    </row>
    <row r="251" spans="1:27" ht="30" x14ac:dyDescent="0.25">
      <c r="A251" s="701"/>
      <c r="B251" s="701"/>
      <c r="C251" s="702"/>
      <c r="D251" s="702" t="s">
        <v>94</v>
      </c>
      <c r="E251" s="693"/>
      <c r="F251" s="703"/>
      <c r="G251" s="704"/>
      <c r="H251" s="693"/>
      <c r="I251" s="703"/>
      <c r="J251" s="700"/>
      <c r="K251" s="703"/>
      <c r="L251" s="700"/>
    </row>
    <row r="252" spans="1:27" ht="15" x14ac:dyDescent="0.25">
      <c r="A252" s="701"/>
      <c r="B252" s="701"/>
      <c r="C252" s="702"/>
      <c r="D252" s="702" t="s">
        <v>85</v>
      </c>
      <c r="E252" s="693"/>
      <c r="F252" s="703"/>
      <c r="G252" s="704">
        <f t="shared" ref="G252:L252" si="15">G253</f>
        <v>11.34</v>
      </c>
      <c r="H252" s="705" t="str">
        <f t="shared" si="15"/>
        <v>)*(1.67-1)</v>
      </c>
      <c r="I252" s="703">
        <f t="shared" si="15"/>
        <v>1.0669999999999999</v>
      </c>
      <c r="J252" s="700">
        <f t="shared" si="15"/>
        <v>0.1</v>
      </c>
      <c r="K252" s="703">
        <f t="shared" si="15"/>
        <v>24.23</v>
      </c>
      <c r="L252" s="700">
        <f t="shared" si="15"/>
        <v>2.42</v>
      </c>
    </row>
    <row r="253" spans="1:27" ht="15" x14ac:dyDescent="0.25">
      <c r="A253" s="701"/>
      <c r="B253" s="701"/>
      <c r="C253" s="702"/>
      <c r="D253" s="702" t="s">
        <v>86</v>
      </c>
      <c r="E253" s="693"/>
      <c r="F253" s="703"/>
      <c r="G253" s="704">
        <f>[96]Source!AN1260</f>
        <v>11.34</v>
      </c>
      <c r="H253" s="705" t="s">
        <v>95</v>
      </c>
      <c r="I253" s="703">
        <f>[96]Source!AV1260</f>
        <v>1.0669999999999999</v>
      </c>
      <c r="J253" s="700">
        <f>ROUND(F240*G253*I253*(1.67-1), 2)</f>
        <v>0.1</v>
      </c>
      <c r="K253" s="703">
        <f>IF([96]Source!BS1260&lt;&gt; 0, [96]Source!BS1260, 1)</f>
        <v>24.23</v>
      </c>
      <c r="L253" s="700">
        <f>ROUND(F240*G253*I253*(1.67-1)*K253, 2)</f>
        <v>2.42</v>
      </c>
      <c r="W253" s="718">
        <f>J253</f>
        <v>0.1</v>
      </c>
    </row>
    <row r="254" spans="1:27" ht="15" x14ac:dyDescent="0.25">
      <c r="A254" s="701"/>
      <c r="B254" s="701"/>
      <c r="C254" s="702"/>
      <c r="D254" s="702" t="s">
        <v>91</v>
      </c>
      <c r="E254" s="693" t="s">
        <v>89</v>
      </c>
      <c r="F254" s="703">
        <f>175</f>
        <v>175</v>
      </c>
      <c r="G254" s="704"/>
      <c r="H254" s="693"/>
      <c r="I254" s="703"/>
      <c r="J254" s="700">
        <f>ROUND(J253*(F254/100), 2)</f>
        <v>0.18</v>
      </c>
      <c r="K254" s="703">
        <f>157</f>
        <v>157</v>
      </c>
      <c r="L254" s="700">
        <f>ROUND(L253*(K254/100), 2)</f>
        <v>3.8</v>
      </c>
    </row>
    <row r="255" spans="1:27" ht="14.25" x14ac:dyDescent="0.2">
      <c r="I255" s="1067">
        <f>J254+J253</f>
        <v>0.28000000000000003</v>
      </c>
      <c r="J255" s="1067"/>
      <c r="K255" s="1067">
        <f>L254+L253</f>
        <v>6.22</v>
      </c>
      <c r="L255" s="1067"/>
      <c r="O255" s="736">
        <f>I255</f>
        <v>0.28000000000000003</v>
      </c>
      <c r="P255" s="736">
        <f>K255</f>
        <v>6.22</v>
      </c>
      <c r="X255" s="718">
        <f>IF([96]Source!BI1260&lt;=1,I255, 0)</f>
        <v>0.28000000000000003</v>
      </c>
      <c r="Y255" s="718">
        <f>IF([96]Source!BI1260=2,I255, 0)</f>
        <v>0</v>
      </c>
      <c r="Z255" s="718">
        <f>IF([96]Source!BI1260=3,I255, 0)</f>
        <v>0</v>
      </c>
      <c r="AA255" s="718">
        <f>IF([96]Source!BI1260=4,I255, 0)</f>
        <v>0</v>
      </c>
    </row>
    <row r="257" spans="1:27" ht="15" x14ac:dyDescent="0.25">
      <c r="A257" s="706"/>
      <c r="B257" s="706"/>
      <c r="C257" s="707"/>
      <c r="D257" s="707" t="s">
        <v>96</v>
      </c>
      <c r="E257" s="708"/>
      <c r="F257" s="709"/>
      <c r="G257" s="710"/>
      <c r="H257" s="711"/>
      <c r="I257" s="1067">
        <f>I250+I255</f>
        <v>260.29000000000002</v>
      </c>
      <c r="J257" s="1067"/>
      <c r="K257" s="1067">
        <f>K250+K255</f>
        <v>1733.8</v>
      </c>
      <c r="L257" s="1067"/>
    </row>
    <row r="258" spans="1:27" ht="75" x14ac:dyDescent="0.25">
      <c r="A258" s="691">
        <v>36</v>
      </c>
      <c r="B258" s="691" t="str">
        <f>[96]Source!E1268</f>
        <v>192</v>
      </c>
      <c r="C258" s="692" t="str">
        <f>[96]Source!F1268</f>
        <v>3.20-1-15</v>
      </c>
      <c r="D258" s="692" t="s">
        <v>535</v>
      </c>
      <c r="E258" s="693" t="str">
        <f>[96]Source!H1268</f>
        <v>100 м2 поверхности воздуховодов</v>
      </c>
      <c r="F258" s="694">
        <f>[96]Source!I1268</f>
        <v>1.0500000000000001E-2</v>
      </c>
      <c r="G258" s="695"/>
      <c r="H258" s="696"/>
      <c r="I258" s="694"/>
      <c r="J258" s="697"/>
      <c r="K258" s="694"/>
      <c r="L258" s="697"/>
      <c r="Q258" s="718">
        <f>ROUND(([96]Source!DN1268/100)*ROUND((ROUND(([96]Source!AF1268*[96]Source!AV1268*[96]Source!I1268),2)),2), 2)</f>
        <v>16.739999999999998</v>
      </c>
      <c r="R258" s="718">
        <f>[96]Source!X1268</f>
        <v>324.44</v>
      </c>
      <c r="S258" s="718">
        <f>ROUND(([96]Source!DO1268/100)*ROUND((ROUND(([96]Source!AF1268*[96]Source!AV1268*[96]Source!I1268),2)),2), 2)</f>
        <v>12.59</v>
      </c>
      <c r="T258" s="718">
        <f>[96]Source!Y1268</f>
        <v>146</v>
      </c>
      <c r="U258" s="718">
        <f>ROUND((175/100)*ROUND((ROUND(([96]Source!AE1268*[96]Source!AV1268*[96]Source!I1268),2)),2), 2)</f>
        <v>0.37</v>
      </c>
      <c r="V258" s="718">
        <f>ROUND((157/100)*ROUND(ROUND((ROUND(([96]Source!AE1268*[96]Source!AV1268*[96]Source!I1268),2)*[96]Source!BS1268),2), 2), 2)</f>
        <v>7.99</v>
      </c>
    </row>
    <row r="259" spans="1:27" ht="15" x14ac:dyDescent="0.25">
      <c r="A259" s="691"/>
      <c r="B259" s="691"/>
      <c r="C259" s="692"/>
      <c r="D259" s="692" t="s">
        <v>84</v>
      </c>
      <c r="E259" s="693"/>
      <c r="F259" s="694"/>
      <c r="G259" s="695">
        <f>[96]Source!AO1268</f>
        <v>715.73</v>
      </c>
      <c r="H259" s="696" t="str">
        <f>[96]Source!DG1268</f>
        <v>)*1,67</v>
      </c>
      <c r="I259" s="694">
        <f>[96]Source!AV1268</f>
        <v>1.0669999999999999</v>
      </c>
      <c r="J259" s="697">
        <f>ROUND((ROUND(([96]Source!AF1268*[96]Source!AV1268*[96]Source!I1268),2)),2)</f>
        <v>13.39</v>
      </c>
      <c r="K259" s="694">
        <f>IF([96]Source!BA1268&lt;&gt; 0, [96]Source!BA1268, 1)</f>
        <v>24.23</v>
      </c>
      <c r="L259" s="697">
        <f>[96]Source!S1268</f>
        <v>324.44</v>
      </c>
      <c r="W259" s="718">
        <f>J259</f>
        <v>13.39</v>
      </c>
    </row>
    <row r="260" spans="1:27" ht="15" x14ac:dyDescent="0.25">
      <c r="A260" s="691"/>
      <c r="B260" s="691"/>
      <c r="C260" s="692"/>
      <c r="D260" s="692" t="s">
        <v>85</v>
      </c>
      <c r="E260" s="693"/>
      <c r="F260" s="694"/>
      <c r="G260" s="695">
        <f>[96]Source!AM1268</f>
        <v>92.5</v>
      </c>
      <c r="H260" s="696" t="str">
        <f>[96]Source!DE1268</f>
        <v/>
      </c>
      <c r="I260" s="694">
        <f>[96]Source!AV1268</f>
        <v>1.0669999999999999</v>
      </c>
      <c r="J260" s="697">
        <f>(ROUND((ROUND((([96]Source!ET1268)*[96]Source!AV1268*[96]Source!I1268),2)),2)+ROUND((ROUND((([96]Source!AE1268-([96]Source!EU1268))*[96]Source!AV1268*[96]Source!I1268),2)),2))-J270</f>
        <v>1.04</v>
      </c>
      <c r="K260" s="694">
        <f>IF([96]Source!BB1268&lt;&gt; 0, [96]Source!BB1268, 1)</f>
        <v>8.5299999999999994</v>
      </c>
      <c r="L260" s="697">
        <f>[96]Source!Q1268-L270</f>
        <v>8.8000000000000007</v>
      </c>
    </row>
    <row r="261" spans="1:27" ht="15" x14ac:dyDescent="0.25">
      <c r="A261" s="691"/>
      <c r="B261" s="691"/>
      <c r="C261" s="692"/>
      <c r="D261" s="692" t="s">
        <v>86</v>
      </c>
      <c r="E261" s="693"/>
      <c r="F261" s="694"/>
      <c r="G261" s="695">
        <f>[96]Source!AN1268</f>
        <v>11.04</v>
      </c>
      <c r="H261" s="696" t="str">
        <f>[96]Source!DE1268</f>
        <v/>
      </c>
      <c r="I261" s="694">
        <f>[96]Source!AV1268</f>
        <v>1.0669999999999999</v>
      </c>
      <c r="J261" s="700">
        <f>ROUND((ROUND(([96]Source!AE1268*[96]Source!AV1268*[96]Source!I1268),2)),2)-J271</f>
        <v>0.13</v>
      </c>
      <c r="K261" s="694">
        <f>IF([96]Source!BS1268&lt;&gt; 0, [96]Source!BS1268, 1)</f>
        <v>24.23</v>
      </c>
      <c r="L261" s="700">
        <f>[96]Source!R1268-L271</f>
        <v>3.08</v>
      </c>
      <c r="W261" s="718">
        <f>J261</f>
        <v>0.13</v>
      </c>
    </row>
    <row r="262" spans="1:27" ht="15" x14ac:dyDescent="0.25">
      <c r="A262" s="691"/>
      <c r="B262" s="691"/>
      <c r="C262" s="692"/>
      <c r="D262" s="692" t="s">
        <v>87</v>
      </c>
      <c r="E262" s="693"/>
      <c r="F262" s="694"/>
      <c r="G262" s="695">
        <f>[96]Source!AL1268</f>
        <v>516.49</v>
      </c>
      <c r="H262" s="696" t="str">
        <f>[96]Source!DD1268</f>
        <v/>
      </c>
      <c r="I262" s="694">
        <f>[96]Source!AW1268</f>
        <v>1</v>
      </c>
      <c r="J262" s="697">
        <f>ROUND((ROUND(([96]Source!AC1268*[96]Source!AW1268*[96]Source!I1268),2)),2)</f>
        <v>5.42</v>
      </c>
      <c r="K262" s="694">
        <f>IF([96]Source!BC1268&lt;&gt; 0, [96]Source!BC1268, 1)</f>
        <v>3.83</v>
      </c>
      <c r="L262" s="697">
        <f>[96]Source!P1268</f>
        <v>20.76</v>
      </c>
    </row>
    <row r="263" spans="1:27" ht="63" customHeight="1" x14ac:dyDescent="0.25">
      <c r="A263" s="691">
        <v>37</v>
      </c>
      <c r="B263" s="691" t="str">
        <f>[96]Source!E1272</f>
        <v>192,2</v>
      </c>
      <c r="C263" s="692" t="str">
        <f>[96]Source!F1272</f>
        <v>1.19-3-14</v>
      </c>
      <c r="D263" s="692" t="s">
        <v>536</v>
      </c>
      <c r="E263" s="693" t="str">
        <f>[96]Source!H1272</f>
        <v>м2</v>
      </c>
      <c r="F263" s="694">
        <f>[96]Source!I1272</f>
        <v>1.05</v>
      </c>
      <c r="G263" s="695">
        <f>[96]Source!AK1272</f>
        <v>159.4</v>
      </c>
      <c r="H263" s="734" t="s">
        <v>42</v>
      </c>
      <c r="I263" s="694">
        <f>[96]Source!AW1272</f>
        <v>1</v>
      </c>
      <c r="J263" s="697">
        <f>ROUND((ROUND(([96]Source!AC1272*[96]Source!AW1272*[96]Source!I1272),2)),2)+(ROUND((ROUND((([96]Source!ET1272)*[96]Source!AV1272*[96]Source!I1272),2)),2)+ROUND((ROUND((([96]Source!AE1272-([96]Source!EU1272))*[96]Source!AV1272*[96]Source!I1272),2)),2))+ROUND((ROUND(([96]Source!AF1272*[96]Source!AV1272*[96]Source!I1272),2)),2)</f>
        <v>167.37</v>
      </c>
      <c r="K263" s="694">
        <f>IF([96]Source!BC1272&lt;&gt; 0, [96]Source!BC1272, 1)</f>
        <v>3.03</v>
      </c>
      <c r="L263" s="697">
        <f>[96]Source!O1272</f>
        <v>507.13</v>
      </c>
      <c r="Q263" s="718">
        <f>ROUND(([96]Source!DN1272/100)*ROUND((ROUND(([96]Source!AF1272*[96]Source!AV1272*[96]Source!I1272),2)),2), 2)</f>
        <v>0</v>
      </c>
      <c r="R263" s="718">
        <f>[96]Source!X1272</f>
        <v>0</v>
      </c>
      <c r="S263" s="718">
        <f>ROUND(([96]Source!DO1272/100)*ROUND((ROUND(([96]Source!AF1272*[96]Source!AV1272*[96]Source!I1272),2)),2), 2)</f>
        <v>0</v>
      </c>
      <c r="T263" s="718">
        <f>[96]Source!Y1272</f>
        <v>0</v>
      </c>
      <c r="U263" s="718">
        <f>ROUND((175/100)*ROUND((ROUND(([96]Source!AE1272*[96]Source!AV1272*[96]Source!I1272),2)),2), 2)</f>
        <v>0</v>
      </c>
      <c r="V263" s="718">
        <f>ROUND((157/100)*ROUND(ROUND((ROUND(([96]Source!AE1272*[96]Source!AV1272*[96]Source!I1272),2)*[96]Source!BS1272),2), 2), 2)</f>
        <v>0</v>
      </c>
      <c r="X263" s="718">
        <f>IF([96]Source!BI1272&lt;=1,J263, 0)</f>
        <v>167.37</v>
      </c>
      <c r="Y263" s="718">
        <f>IF([96]Source!BI1272=2,J263, 0)</f>
        <v>0</v>
      </c>
      <c r="Z263" s="718">
        <f>IF([96]Source!BI1272=3,J263, 0)</f>
        <v>0</v>
      </c>
      <c r="AA263" s="718">
        <f>IF([96]Source!BI1272=4,J263, 0)</f>
        <v>0</v>
      </c>
    </row>
    <row r="264" spans="1:27" ht="15" x14ac:dyDescent="0.25">
      <c r="A264" s="691"/>
      <c r="B264" s="691"/>
      <c r="C264" s="692"/>
      <c r="D264" s="692" t="s">
        <v>88</v>
      </c>
      <c r="E264" s="693" t="s">
        <v>89</v>
      </c>
      <c r="F264" s="694">
        <f>[96]Source!DN1268</f>
        <v>125</v>
      </c>
      <c r="G264" s="695"/>
      <c r="H264" s="696"/>
      <c r="I264" s="694"/>
      <c r="J264" s="697">
        <f>SUM(Q258:Q263)</f>
        <v>16.739999999999998</v>
      </c>
      <c r="K264" s="694">
        <f>[96]Source!BZ1268</f>
        <v>100</v>
      </c>
      <c r="L264" s="697">
        <f>SUM(R258:R263)</f>
        <v>324.44</v>
      </c>
    </row>
    <row r="265" spans="1:27" ht="15" x14ac:dyDescent="0.25">
      <c r="A265" s="691"/>
      <c r="B265" s="691"/>
      <c r="C265" s="692"/>
      <c r="D265" s="692" t="s">
        <v>90</v>
      </c>
      <c r="E265" s="693" t="s">
        <v>89</v>
      </c>
      <c r="F265" s="694">
        <f>[96]Source!DO1268</f>
        <v>94</v>
      </c>
      <c r="G265" s="695"/>
      <c r="H265" s="696"/>
      <c r="I265" s="694"/>
      <c r="J265" s="697">
        <f>SUM(S258:S264)</f>
        <v>12.59</v>
      </c>
      <c r="K265" s="694">
        <f>[96]Source!CA1268</f>
        <v>45</v>
      </c>
      <c r="L265" s="697">
        <f>SUM(T258:T264)</f>
        <v>146</v>
      </c>
    </row>
    <row r="266" spans="1:27" ht="15" x14ac:dyDescent="0.25">
      <c r="A266" s="691"/>
      <c r="B266" s="691"/>
      <c r="C266" s="692"/>
      <c r="D266" s="692" t="s">
        <v>91</v>
      </c>
      <c r="E266" s="693" t="s">
        <v>89</v>
      </c>
      <c r="F266" s="694">
        <f>175</f>
        <v>175</v>
      </c>
      <c r="G266" s="695"/>
      <c r="H266" s="696"/>
      <c r="I266" s="694"/>
      <c r="J266" s="697">
        <f>SUM(U258:U265)-J272</f>
        <v>0.23</v>
      </c>
      <c r="K266" s="694">
        <f>157</f>
        <v>157</v>
      </c>
      <c r="L266" s="697">
        <f>SUM(V258:V265)-L272</f>
        <v>4.83</v>
      </c>
    </row>
    <row r="267" spans="1:27" ht="15" x14ac:dyDescent="0.25">
      <c r="A267" s="691"/>
      <c r="B267" s="691"/>
      <c r="C267" s="692"/>
      <c r="D267" s="692" t="s">
        <v>92</v>
      </c>
      <c r="E267" s="693" t="s">
        <v>93</v>
      </c>
      <c r="F267" s="694">
        <f>[96]Source!AQ1268</f>
        <v>62.4</v>
      </c>
      <c r="G267" s="695"/>
      <c r="H267" s="696" t="str">
        <f>[96]Source!DI1268</f>
        <v/>
      </c>
      <c r="I267" s="694">
        <f>[96]Source!AV1268</f>
        <v>1.0669999999999999</v>
      </c>
      <c r="J267" s="697">
        <f>[96]Source!U1268</f>
        <v>0.7</v>
      </c>
      <c r="K267" s="694"/>
      <c r="L267" s="697"/>
    </row>
    <row r="268" spans="1:27" ht="14.25" x14ac:dyDescent="0.2">
      <c r="I268" s="1067">
        <f>J259+J260+J262+J264+J265+J266+SUM(J263:J263)</f>
        <v>216.78</v>
      </c>
      <c r="J268" s="1067"/>
      <c r="K268" s="1067">
        <f>L259+L260+L262+L264+L265+L266+SUM(L263:L263)</f>
        <v>1336.4</v>
      </c>
      <c r="L268" s="1067"/>
      <c r="O268" s="736">
        <f>J259+J260+J262+J264+J265+J266+SUM(J263:J263)</f>
        <v>216.78</v>
      </c>
      <c r="P268" s="736">
        <f>L259+L260+L262+L264+L265+L266+SUM(L263:L263)</f>
        <v>1336.4</v>
      </c>
      <c r="X268" s="718">
        <f>IF([96]Source!BI1268&lt;=1,J259+J260+J262+J264+J265+J266-0, 0)</f>
        <v>49.41</v>
      </c>
      <c r="Y268" s="718">
        <f>IF([96]Source!BI1268=2,J259+J260+J262+J264+J265+J266-0, 0)</f>
        <v>0</v>
      </c>
      <c r="Z268" s="718">
        <f>IF([96]Source!BI1268=3,J259+J260+J262+J264+J265+J266-0, 0)</f>
        <v>0</v>
      </c>
      <c r="AA268" s="718">
        <f>IF([96]Source!BI1268=4,J259+J260+J262+J264+J265+J266,0)</f>
        <v>0</v>
      </c>
    </row>
    <row r="269" spans="1:27" ht="30" x14ac:dyDescent="0.25">
      <c r="A269" s="701"/>
      <c r="B269" s="701"/>
      <c r="C269" s="702"/>
      <c r="D269" s="702" t="s">
        <v>94</v>
      </c>
      <c r="E269" s="693"/>
      <c r="F269" s="703"/>
      <c r="G269" s="704"/>
      <c r="H269" s="693"/>
      <c r="I269" s="703"/>
      <c r="J269" s="700"/>
      <c r="K269" s="703"/>
      <c r="L269" s="700"/>
    </row>
    <row r="270" spans="1:27" ht="15" x14ac:dyDescent="0.25">
      <c r="A270" s="701"/>
      <c r="B270" s="701"/>
      <c r="C270" s="702"/>
      <c r="D270" s="702" t="s">
        <v>85</v>
      </c>
      <c r="E270" s="693"/>
      <c r="F270" s="703"/>
      <c r="G270" s="704">
        <f t="shared" ref="G270:L270" si="16">G271</f>
        <v>11.04</v>
      </c>
      <c r="H270" s="705" t="str">
        <f t="shared" si="16"/>
        <v>)*(1.67-1)</v>
      </c>
      <c r="I270" s="703">
        <f t="shared" si="16"/>
        <v>1.0669999999999999</v>
      </c>
      <c r="J270" s="700">
        <f t="shared" si="16"/>
        <v>0.08</v>
      </c>
      <c r="K270" s="703">
        <f t="shared" si="16"/>
        <v>24.23</v>
      </c>
      <c r="L270" s="700">
        <f t="shared" si="16"/>
        <v>2.0099999999999998</v>
      </c>
    </row>
    <row r="271" spans="1:27" ht="15" x14ac:dyDescent="0.25">
      <c r="A271" s="701"/>
      <c r="B271" s="701"/>
      <c r="C271" s="702"/>
      <c r="D271" s="702" t="s">
        <v>86</v>
      </c>
      <c r="E271" s="693"/>
      <c r="F271" s="703"/>
      <c r="G271" s="704">
        <f>[96]Source!AN1268</f>
        <v>11.04</v>
      </c>
      <c r="H271" s="705" t="s">
        <v>95</v>
      </c>
      <c r="I271" s="703">
        <f>[96]Source!AV1268</f>
        <v>1.0669999999999999</v>
      </c>
      <c r="J271" s="700">
        <f>ROUND(F258*G271*I271*(1.67-1), 2)</f>
        <v>0.08</v>
      </c>
      <c r="K271" s="703">
        <f>IF([96]Source!BS1268&lt;&gt; 0, [96]Source!BS1268, 1)</f>
        <v>24.23</v>
      </c>
      <c r="L271" s="700">
        <f>ROUND(F258*G271*I271*(1.67-1)*K271, 2)</f>
        <v>2.0099999999999998</v>
      </c>
      <c r="W271" s="718">
        <f>J271</f>
        <v>0.08</v>
      </c>
    </row>
    <row r="272" spans="1:27" ht="15" x14ac:dyDescent="0.25">
      <c r="A272" s="701"/>
      <c r="B272" s="701"/>
      <c r="C272" s="702"/>
      <c r="D272" s="702" t="s">
        <v>91</v>
      </c>
      <c r="E272" s="693" t="s">
        <v>89</v>
      </c>
      <c r="F272" s="703">
        <f>175</f>
        <v>175</v>
      </c>
      <c r="G272" s="704"/>
      <c r="H272" s="693"/>
      <c r="I272" s="703"/>
      <c r="J272" s="700">
        <f>ROUND(J271*(F272/100), 2)</f>
        <v>0.14000000000000001</v>
      </c>
      <c r="K272" s="703">
        <f>157</f>
        <v>157</v>
      </c>
      <c r="L272" s="700">
        <f>ROUND(L271*(K272/100), 2)</f>
        <v>3.16</v>
      </c>
    </row>
    <row r="273" spans="1:27" ht="14.25" x14ac:dyDescent="0.2">
      <c r="I273" s="1067">
        <f>J272+J271</f>
        <v>0.22</v>
      </c>
      <c r="J273" s="1067"/>
      <c r="K273" s="1067">
        <f>L272+L271</f>
        <v>5.17</v>
      </c>
      <c r="L273" s="1067"/>
      <c r="O273" s="736">
        <f>I273</f>
        <v>0.22</v>
      </c>
      <c r="P273" s="736">
        <f>K273</f>
        <v>5.17</v>
      </c>
      <c r="X273" s="718">
        <f>IF([96]Source!BI1268&lt;=1,I273, 0)</f>
        <v>0.22</v>
      </c>
      <c r="Y273" s="718">
        <f>IF([96]Source!BI1268=2,I273, 0)</f>
        <v>0</v>
      </c>
      <c r="Z273" s="718">
        <f>IF([96]Source!BI1268=3,I273, 0)</f>
        <v>0</v>
      </c>
      <c r="AA273" s="718">
        <f>IF([96]Source!BI1268=4,I273, 0)</f>
        <v>0</v>
      </c>
    </row>
    <row r="275" spans="1:27" ht="15" x14ac:dyDescent="0.25">
      <c r="A275" s="706"/>
      <c r="B275" s="706"/>
      <c r="C275" s="707"/>
      <c r="D275" s="707" t="s">
        <v>96</v>
      </c>
      <c r="E275" s="708"/>
      <c r="F275" s="709"/>
      <c r="G275" s="710"/>
      <c r="H275" s="711"/>
      <c r="I275" s="1067">
        <f>I268+I273</f>
        <v>217</v>
      </c>
      <c r="J275" s="1067"/>
      <c r="K275" s="1067">
        <f>K268+K273</f>
        <v>1341.57</v>
      </c>
      <c r="L275" s="1067"/>
    </row>
    <row r="276" spans="1:27" ht="75" x14ac:dyDescent="0.25">
      <c r="A276" s="691">
        <v>38</v>
      </c>
      <c r="B276" s="691" t="str">
        <f>[96]Source!E1278</f>
        <v>194</v>
      </c>
      <c r="C276" s="692" t="str">
        <f>[96]Source!F1278</f>
        <v>3.20-1-9</v>
      </c>
      <c r="D276" s="692" t="s">
        <v>534</v>
      </c>
      <c r="E276" s="693" t="str">
        <f>[96]Source!H1278</f>
        <v>100 м2 поверхности воздуховодов</v>
      </c>
      <c r="F276" s="694">
        <f>[96]Source!I1278</f>
        <v>0.33489999999999998</v>
      </c>
      <c r="G276" s="695"/>
      <c r="H276" s="696"/>
      <c r="I276" s="694"/>
      <c r="J276" s="697"/>
      <c r="K276" s="694"/>
      <c r="L276" s="697"/>
      <c r="Q276" s="718">
        <f>ROUND(([96]Source!DN1278/100)*ROUND((ROUND(([96]Source!AF1278*[96]Source!AV1278*[96]Source!I1278),2)),2), 2)</f>
        <v>1190.6099999999999</v>
      </c>
      <c r="R276" s="718">
        <f>[96]Source!X1278</f>
        <v>23078.83</v>
      </c>
      <c r="S276" s="718">
        <f>ROUND(([96]Source!DO1278/100)*ROUND((ROUND(([96]Source!AF1278*[96]Source!AV1278*[96]Source!I1278),2)),2), 2)</f>
        <v>895.34</v>
      </c>
      <c r="T276" s="718">
        <f>[96]Source!Y1278</f>
        <v>10385.469999999999</v>
      </c>
      <c r="U276" s="718">
        <f>ROUND((175/100)*ROUND((ROUND(([96]Source!AE1278*[96]Source!AV1278*[96]Source!I1278),2)),2), 2)</f>
        <v>16.12</v>
      </c>
      <c r="V276" s="718">
        <f>ROUND((157/100)*ROUND(ROUND((ROUND(([96]Source!AE1278*[96]Source!AV1278*[96]Source!I1278),2)*[96]Source!BS1278),2), 2), 2)</f>
        <v>350.36</v>
      </c>
    </row>
    <row r="277" spans="1:27" ht="15" x14ac:dyDescent="0.25">
      <c r="A277" s="691"/>
      <c r="B277" s="691"/>
      <c r="C277" s="692"/>
      <c r="D277" s="692" t="s">
        <v>84</v>
      </c>
      <c r="E277" s="693"/>
      <c r="F277" s="694"/>
      <c r="G277" s="695">
        <f>[96]Source!AO1278</f>
        <v>1596.12</v>
      </c>
      <c r="H277" s="696" t="str">
        <f>[96]Source!DG1278</f>
        <v>)*1,67</v>
      </c>
      <c r="I277" s="694">
        <f>[96]Source!AV1278</f>
        <v>1.0669999999999999</v>
      </c>
      <c r="J277" s="697">
        <f>ROUND((ROUND(([96]Source!AF1278*[96]Source!AV1278*[96]Source!I1278),2)),2)</f>
        <v>952.49</v>
      </c>
      <c r="K277" s="694">
        <f>IF([96]Source!BA1278&lt;&gt; 0, [96]Source!BA1278, 1)</f>
        <v>24.23</v>
      </c>
      <c r="L277" s="697">
        <f>[96]Source!S1278</f>
        <v>23078.83</v>
      </c>
      <c r="W277" s="718">
        <f>J277</f>
        <v>952.49</v>
      </c>
    </row>
    <row r="278" spans="1:27" ht="15" x14ac:dyDescent="0.25">
      <c r="A278" s="691"/>
      <c r="B278" s="691"/>
      <c r="C278" s="692"/>
      <c r="D278" s="692" t="s">
        <v>85</v>
      </c>
      <c r="E278" s="693"/>
      <c r="F278" s="694"/>
      <c r="G278" s="695">
        <f>[96]Source!AM1278</f>
        <v>125.93</v>
      </c>
      <c r="H278" s="696" t="str">
        <f>[96]Source!DE1278</f>
        <v/>
      </c>
      <c r="I278" s="694">
        <f>[96]Source!AV1278</f>
        <v>1.0669999999999999</v>
      </c>
      <c r="J278" s="697">
        <f>(ROUND((ROUND((([96]Source!ET1278)*[96]Source!AV1278*[96]Source!I1278),2)),2)+ROUND((ROUND((([96]Source!AE1278-([96]Source!EU1278))*[96]Source!AV1278*[96]Source!I1278),2)),2))-J288</f>
        <v>45</v>
      </c>
      <c r="K278" s="694">
        <f>IF([96]Source!BB1278&lt;&gt; 0, [96]Source!BB1278, 1)</f>
        <v>8.59</v>
      </c>
      <c r="L278" s="697">
        <f>[96]Source!Q1278-L288</f>
        <v>386.45</v>
      </c>
    </row>
    <row r="279" spans="1:27" ht="15" x14ac:dyDescent="0.25">
      <c r="A279" s="691"/>
      <c r="B279" s="691"/>
      <c r="C279" s="692"/>
      <c r="D279" s="692" t="s">
        <v>86</v>
      </c>
      <c r="E279" s="693"/>
      <c r="F279" s="694"/>
      <c r="G279" s="695">
        <f>[96]Source!AN1278</f>
        <v>15.43</v>
      </c>
      <c r="H279" s="696" t="str">
        <f>[96]Source!DE1278</f>
        <v/>
      </c>
      <c r="I279" s="694">
        <f>[96]Source!AV1278</f>
        <v>1.0669999999999999</v>
      </c>
      <c r="J279" s="700">
        <f>ROUND((ROUND(([96]Source!AE1278*[96]Source!AV1278*[96]Source!I1278),2)),2)-J289</f>
        <v>5.52</v>
      </c>
      <c r="K279" s="694">
        <f>IF([96]Source!BS1278&lt;&gt; 0, [96]Source!BS1278, 1)</f>
        <v>24.23</v>
      </c>
      <c r="L279" s="700">
        <f>[96]Source!R1278-L289</f>
        <v>133.65</v>
      </c>
      <c r="W279" s="718">
        <f>J279</f>
        <v>5.52</v>
      </c>
    </row>
    <row r="280" spans="1:27" ht="15" x14ac:dyDescent="0.25">
      <c r="A280" s="691"/>
      <c r="B280" s="691"/>
      <c r="C280" s="692"/>
      <c r="D280" s="692" t="s">
        <v>87</v>
      </c>
      <c r="E280" s="693"/>
      <c r="F280" s="694"/>
      <c r="G280" s="695">
        <f>[96]Source!AL1278</f>
        <v>499.17</v>
      </c>
      <c r="H280" s="696" t="str">
        <f>[96]Source!DD1278</f>
        <v/>
      </c>
      <c r="I280" s="694">
        <f>[96]Source!AW1278</f>
        <v>1</v>
      </c>
      <c r="J280" s="697">
        <f>ROUND((ROUND(([96]Source!AC1278*[96]Source!AW1278*[96]Source!I1278),2)),2)</f>
        <v>167.17</v>
      </c>
      <c r="K280" s="694">
        <f>IF([96]Source!BC1278&lt;&gt; 0, [96]Source!BC1278, 1)</f>
        <v>3.65</v>
      </c>
      <c r="L280" s="697">
        <f>[96]Source!P1278</f>
        <v>610.16999999999996</v>
      </c>
    </row>
    <row r="281" spans="1:27" ht="62.45" customHeight="1" x14ac:dyDescent="0.25">
      <c r="A281" s="691">
        <v>39</v>
      </c>
      <c r="B281" s="691" t="str">
        <f>[96]Source!E1280</f>
        <v>194,1</v>
      </c>
      <c r="C281" s="692" t="str">
        <f>[96]Source!F1280</f>
        <v>1.19-3-12</v>
      </c>
      <c r="D281" s="692" t="s">
        <v>467</v>
      </c>
      <c r="E281" s="693" t="str">
        <f>[96]Source!H1280</f>
        <v>м2</v>
      </c>
      <c r="F281" s="694">
        <f>[96]Source!I1280</f>
        <v>33.49</v>
      </c>
      <c r="G281" s="695">
        <f>[96]Source!AK1280</f>
        <v>125.64</v>
      </c>
      <c r="H281" s="734" t="s">
        <v>42</v>
      </c>
      <c r="I281" s="694">
        <f>[96]Source!AW1280</f>
        <v>1</v>
      </c>
      <c r="J281" s="697">
        <f>ROUND((ROUND(([96]Source!AC1280*[96]Source!AW1280*[96]Source!I1280),2)),2)+(ROUND((ROUND((([96]Source!ET1280)*[96]Source!AV1280*[96]Source!I1280),2)),2)+ROUND((ROUND((([96]Source!AE1280-([96]Source!EU1280))*[96]Source!AV1280*[96]Source!I1280),2)),2))+ROUND((ROUND(([96]Source!AF1280*[96]Source!AV1280*[96]Source!I1280),2)),2)</f>
        <v>4207.68</v>
      </c>
      <c r="K281" s="694">
        <f>IF([96]Source!BC1280&lt;&gt; 0, [96]Source!BC1280, 1)</f>
        <v>3.84</v>
      </c>
      <c r="L281" s="697">
        <f>[96]Source!O1280</f>
        <v>16157.49</v>
      </c>
      <c r="Q281" s="718">
        <f>ROUND(([96]Source!DN1280/100)*ROUND((ROUND(([96]Source!AF1280*[96]Source!AV1280*[96]Source!I1280),2)),2), 2)</f>
        <v>0</v>
      </c>
      <c r="R281" s="718">
        <f>[96]Source!X1280</f>
        <v>0</v>
      </c>
      <c r="S281" s="718">
        <f>ROUND(([96]Source!DO1280/100)*ROUND((ROUND(([96]Source!AF1280*[96]Source!AV1280*[96]Source!I1280),2)),2), 2)</f>
        <v>0</v>
      </c>
      <c r="T281" s="718">
        <f>[96]Source!Y1280</f>
        <v>0</v>
      </c>
      <c r="U281" s="718">
        <f>ROUND((175/100)*ROUND((ROUND(([96]Source!AE1280*[96]Source!AV1280*[96]Source!I1280),2)),2), 2)</f>
        <v>0</v>
      </c>
      <c r="V281" s="718">
        <f>ROUND((157/100)*ROUND(ROUND((ROUND(([96]Source!AE1280*[96]Source!AV1280*[96]Source!I1280),2)*[96]Source!BS1280),2), 2), 2)</f>
        <v>0</v>
      </c>
      <c r="X281" s="718">
        <f>IF([96]Source!BI1280&lt;=1,J281, 0)</f>
        <v>4207.68</v>
      </c>
      <c r="Y281" s="718">
        <f>IF([96]Source!BI1280=2,J281, 0)</f>
        <v>0</v>
      </c>
      <c r="Z281" s="718">
        <f>IF([96]Source!BI1280=3,J281, 0)</f>
        <v>0</v>
      </c>
      <c r="AA281" s="718">
        <f>IF([96]Source!BI1280=4,J281, 0)</f>
        <v>0</v>
      </c>
    </row>
    <row r="282" spans="1:27" ht="15" x14ac:dyDescent="0.25">
      <c r="A282" s="691"/>
      <c r="B282" s="691"/>
      <c r="C282" s="692"/>
      <c r="D282" s="692" t="s">
        <v>88</v>
      </c>
      <c r="E282" s="693" t="s">
        <v>89</v>
      </c>
      <c r="F282" s="694">
        <f>[96]Source!DN1278</f>
        <v>125</v>
      </c>
      <c r="G282" s="695"/>
      <c r="H282" s="696"/>
      <c r="I282" s="694"/>
      <c r="J282" s="697">
        <f>SUM(Q276:Q281)</f>
        <v>1190.6099999999999</v>
      </c>
      <c r="K282" s="694">
        <f>[96]Source!BZ1278</f>
        <v>100</v>
      </c>
      <c r="L282" s="697">
        <f>SUM(R276:R281)</f>
        <v>23078.83</v>
      </c>
    </row>
    <row r="283" spans="1:27" ht="15" x14ac:dyDescent="0.25">
      <c r="A283" s="691"/>
      <c r="B283" s="691"/>
      <c r="C283" s="692"/>
      <c r="D283" s="692" t="s">
        <v>90</v>
      </c>
      <c r="E283" s="693" t="s">
        <v>89</v>
      </c>
      <c r="F283" s="694">
        <f>[96]Source!DO1278</f>
        <v>94</v>
      </c>
      <c r="G283" s="695"/>
      <c r="H283" s="696"/>
      <c r="I283" s="694"/>
      <c r="J283" s="697">
        <f>SUM(S276:S282)</f>
        <v>895.34</v>
      </c>
      <c r="K283" s="694">
        <f>[96]Source!CA1278</f>
        <v>45</v>
      </c>
      <c r="L283" s="697">
        <f>SUM(T276:T282)</f>
        <v>10385.469999999999</v>
      </c>
    </row>
    <row r="284" spans="1:27" ht="15" x14ac:dyDescent="0.25">
      <c r="A284" s="691"/>
      <c r="B284" s="691"/>
      <c r="C284" s="692"/>
      <c r="D284" s="692" t="s">
        <v>91</v>
      </c>
      <c r="E284" s="693" t="s">
        <v>89</v>
      </c>
      <c r="F284" s="694">
        <f>175</f>
        <v>175</v>
      </c>
      <c r="G284" s="695"/>
      <c r="H284" s="696"/>
      <c r="I284" s="694"/>
      <c r="J284" s="697">
        <f>SUM(U276:U283)-J290</f>
        <v>9.66</v>
      </c>
      <c r="K284" s="694">
        <f>157</f>
        <v>157</v>
      </c>
      <c r="L284" s="697">
        <f>SUM(V276:V283)-L290</f>
        <v>209.83</v>
      </c>
    </row>
    <row r="285" spans="1:27" ht="15" x14ac:dyDescent="0.25">
      <c r="A285" s="691"/>
      <c r="B285" s="691"/>
      <c r="C285" s="692"/>
      <c r="D285" s="692" t="s">
        <v>92</v>
      </c>
      <c r="E285" s="693" t="s">
        <v>93</v>
      </c>
      <c r="F285" s="694">
        <f>[96]Source!AQ1278</f>
        <v>141</v>
      </c>
      <c r="G285" s="695"/>
      <c r="H285" s="696" t="str">
        <f>[96]Source!DI1278</f>
        <v/>
      </c>
      <c r="I285" s="694">
        <f>[96]Source!AV1278</f>
        <v>1.0669999999999999</v>
      </c>
      <c r="J285" s="697">
        <f>[96]Source!U1278</f>
        <v>50.38</v>
      </c>
      <c r="K285" s="694"/>
      <c r="L285" s="697"/>
    </row>
    <row r="286" spans="1:27" ht="14.25" x14ac:dyDescent="0.2">
      <c r="I286" s="1067">
        <f>J277+J278+J280+J282+J283+J284+SUM(J281:J281)</f>
        <v>7467.95</v>
      </c>
      <c r="J286" s="1067"/>
      <c r="K286" s="1067">
        <f>L277+L278+L280+L282+L283+L284+SUM(L281:L281)</f>
        <v>73907.070000000007</v>
      </c>
      <c r="L286" s="1067"/>
      <c r="O286" s="736">
        <f>J277+J278+J280+J282+J283+J284+SUM(J281:J281)</f>
        <v>7467.95</v>
      </c>
      <c r="P286" s="736">
        <f>L277+L278+L280+L282+L283+L284+SUM(L281:L281)</f>
        <v>73907.070000000007</v>
      </c>
      <c r="X286" s="718">
        <f>IF([96]Source!BI1278&lt;=1,J277+J278+J280+J282+J283+J284-0, 0)</f>
        <v>3260.27</v>
      </c>
      <c r="Y286" s="718">
        <f>IF([96]Source!BI1278=2,J277+J278+J280+J282+J283+J284-0, 0)</f>
        <v>0</v>
      </c>
      <c r="Z286" s="718">
        <f>IF([96]Source!BI1278=3,J277+J278+J280+J282+J283+J284-0, 0)</f>
        <v>0</v>
      </c>
      <c r="AA286" s="718">
        <f>IF([96]Source!BI1278=4,J277+J278+J280+J282+J283+J284,0)</f>
        <v>0</v>
      </c>
    </row>
    <row r="287" spans="1:27" ht="30" x14ac:dyDescent="0.25">
      <c r="A287" s="701"/>
      <c r="B287" s="701"/>
      <c r="C287" s="702"/>
      <c r="D287" s="702" t="s">
        <v>94</v>
      </c>
      <c r="E287" s="693"/>
      <c r="F287" s="703"/>
      <c r="G287" s="704"/>
      <c r="H287" s="693"/>
      <c r="I287" s="703"/>
      <c r="J287" s="700"/>
      <c r="K287" s="703"/>
      <c r="L287" s="700"/>
    </row>
    <row r="288" spans="1:27" ht="15" x14ac:dyDescent="0.25">
      <c r="A288" s="701"/>
      <c r="B288" s="701"/>
      <c r="C288" s="702"/>
      <c r="D288" s="702" t="s">
        <v>85</v>
      </c>
      <c r="E288" s="693"/>
      <c r="F288" s="703"/>
      <c r="G288" s="704">
        <f t="shared" ref="G288:L288" si="17">G289</f>
        <v>15.43</v>
      </c>
      <c r="H288" s="705" t="str">
        <f t="shared" si="17"/>
        <v>)*(1.67-1)</v>
      </c>
      <c r="I288" s="703">
        <f t="shared" si="17"/>
        <v>1.0669999999999999</v>
      </c>
      <c r="J288" s="700">
        <f t="shared" si="17"/>
        <v>3.69</v>
      </c>
      <c r="K288" s="703">
        <f t="shared" si="17"/>
        <v>24.23</v>
      </c>
      <c r="L288" s="700">
        <f t="shared" si="17"/>
        <v>89.51</v>
      </c>
    </row>
    <row r="289" spans="1:27" ht="15" x14ac:dyDescent="0.25">
      <c r="A289" s="701"/>
      <c r="B289" s="701"/>
      <c r="C289" s="702"/>
      <c r="D289" s="702" t="s">
        <v>86</v>
      </c>
      <c r="E289" s="693"/>
      <c r="F289" s="703"/>
      <c r="G289" s="704">
        <f>[96]Source!AN1278</f>
        <v>15.43</v>
      </c>
      <c r="H289" s="705" t="s">
        <v>95</v>
      </c>
      <c r="I289" s="703">
        <f>[96]Source!AV1278</f>
        <v>1.0669999999999999</v>
      </c>
      <c r="J289" s="700">
        <f>ROUND(F276*G289*I289*(1.67-1), 2)</f>
        <v>3.69</v>
      </c>
      <c r="K289" s="703">
        <f>IF([96]Source!BS1278&lt;&gt; 0, [96]Source!BS1278, 1)</f>
        <v>24.23</v>
      </c>
      <c r="L289" s="700">
        <f>ROUND(F276*G289*I289*(1.67-1)*K289, 2)</f>
        <v>89.51</v>
      </c>
      <c r="W289" s="718">
        <f>J289</f>
        <v>3.69</v>
      </c>
    </row>
    <row r="290" spans="1:27" ht="15" x14ac:dyDescent="0.25">
      <c r="A290" s="701"/>
      <c r="B290" s="701"/>
      <c r="C290" s="702"/>
      <c r="D290" s="702" t="s">
        <v>91</v>
      </c>
      <c r="E290" s="693" t="s">
        <v>89</v>
      </c>
      <c r="F290" s="703">
        <f>175</f>
        <v>175</v>
      </c>
      <c r="G290" s="704"/>
      <c r="H290" s="693"/>
      <c r="I290" s="703"/>
      <c r="J290" s="700">
        <f>ROUND(J289*(F290/100), 2)</f>
        <v>6.46</v>
      </c>
      <c r="K290" s="703">
        <f>157</f>
        <v>157</v>
      </c>
      <c r="L290" s="700">
        <f>ROUND(L289*(K290/100), 2)</f>
        <v>140.53</v>
      </c>
    </row>
    <row r="291" spans="1:27" ht="14.25" x14ac:dyDescent="0.2">
      <c r="I291" s="1067">
        <f>J290+J289</f>
        <v>10.15</v>
      </c>
      <c r="J291" s="1067"/>
      <c r="K291" s="1067">
        <f>L290+L289</f>
        <v>230.04</v>
      </c>
      <c r="L291" s="1067"/>
      <c r="O291" s="736">
        <f>I291</f>
        <v>10.15</v>
      </c>
      <c r="P291" s="736">
        <f>K291</f>
        <v>230.04</v>
      </c>
      <c r="X291" s="718">
        <f>IF([96]Source!BI1278&lt;=1,I291, 0)</f>
        <v>10.15</v>
      </c>
      <c r="Y291" s="718">
        <f>IF([96]Source!BI1278=2,I291, 0)</f>
        <v>0</v>
      </c>
      <c r="Z291" s="718">
        <f>IF([96]Source!BI1278=3,I291, 0)</f>
        <v>0</v>
      </c>
      <c r="AA291" s="718">
        <f>IF([96]Source!BI1278=4,I291, 0)</f>
        <v>0</v>
      </c>
    </row>
    <row r="293" spans="1:27" ht="15" x14ac:dyDescent="0.25">
      <c r="A293" s="706"/>
      <c r="B293" s="706"/>
      <c r="C293" s="707"/>
      <c r="D293" s="707" t="s">
        <v>96</v>
      </c>
      <c r="E293" s="708"/>
      <c r="F293" s="709"/>
      <c r="G293" s="710"/>
      <c r="H293" s="711"/>
      <c r="I293" s="1067">
        <f>I286+I291</f>
        <v>7478.1</v>
      </c>
      <c r="J293" s="1067"/>
      <c r="K293" s="1067">
        <f>K286+K291</f>
        <v>74137.11</v>
      </c>
      <c r="L293" s="1067"/>
    </row>
    <row r="294" spans="1:27" ht="75" x14ac:dyDescent="0.25">
      <c r="A294" s="691">
        <v>40</v>
      </c>
      <c r="B294" s="691" t="str">
        <f>[96]Source!E1282</f>
        <v>195</v>
      </c>
      <c r="C294" s="692" t="str">
        <f>[96]Source!F1282</f>
        <v>3.20-1-10</v>
      </c>
      <c r="D294" s="692" t="s">
        <v>468</v>
      </c>
      <c r="E294" s="693" t="str">
        <f>[96]Source!H1282</f>
        <v>100 м2 поверхности воздуховодов</v>
      </c>
      <c r="F294" s="694">
        <f>[96]Source!I1282</f>
        <v>3.8100000000000002E-2</v>
      </c>
      <c r="G294" s="695"/>
      <c r="H294" s="696"/>
      <c r="I294" s="694"/>
      <c r="J294" s="697"/>
      <c r="K294" s="694"/>
      <c r="L294" s="697"/>
      <c r="Q294" s="718">
        <f>ROUND(([96]Source!DN1282/100)*ROUND((ROUND(([96]Source!AF1282*[96]Source!AV1282*[96]Source!I1282),2)),2), 2)</f>
        <v>117.2</v>
      </c>
      <c r="R294" s="718">
        <f>[96]Source!X1282</f>
        <v>2271.8000000000002</v>
      </c>
      <c r="S294" s="718">
        <f>ROUND(([96]Source!DO1282/100)*ROUND((ROUND(([96]Source!AF1282*[96]Source!AV1282*[96]Source!I1282),2)),2), 2)</f>
        <v>88.13</v>
      </c>
      <c r="T294" s="718">
        <f>[96]Source!Y1282</f>
        <v>1022.31</v>
      </c>
      <c r="U294" s="718">
        <f>ROUND((175/100)*ROUND((ROUND(([96]Source!AE1282*[96]Source!AV1282*[96]Source!I1282),2)),2), 2)</f>
        <v>1.7</v>
      </c>
      <c r="V294" s="718">
        <f>ROUND((157/100)*ROUND(ROUND((ROUND(([96]Source!AE1282*[96]Source!AV1282*[96]Source!I1282),2)*[96]Source!BS1282),2), 2), 2)</f>
        <v>36.9</v>
      </c>
    </row>
    <row r="295" spans="1:27" ht="15" x14ac:dyDescent="0.25">
      <c r="A295" s="691"/>
      <c r="B295" s="691"/>
      <c r="C295" s="692"/>
      <c r="D295" s="692" t="s">
        <v>84</v>
      </c>
      <c r="E295" s="693"/>
      <c r="F295" s="694"/>
      <c r="G295" s="695">
        <f>[96]Source!AO1282</f>
        <v>1381.04</v>
      </c>
      <c r="H295" s="696" t="str">
        <f>[96]Source!DG1282</f>
        <v>)*1,67</v>
      </c>
      <c r="I295" s="694">
        <f>[96]Source!AV1282</f>
        <v>1.0669999999999999</v>
      </c>
      <c r="J295" s="697">
        <f>ROUND((ROUND(([96]Source!AF1282*[96]Source!AV1282*[96]Source!I1282),2)),2)</f>
        <v>93.76</v>
      </c>
      <c r="K295" s="694">
        <f>IF([96]Source!BA1282&lt;&gt; 0, [96]Source!BA1282, 1)</f>
        <v>24.23</v>
      </c>
      <c r="L295" s="697">
        <f>[96]Source!S1282</f>
        <v>2271.8000000000002</v>
      </c>
      <c r="W295" s="718">
        <f>J295</f>
        <v>93.76</v>
      </c>
    </row>
    <row r="296" spans="1:27" ht="15" x14ac:dyDescent="0.25">
      <c r="A296" s="691"/>
      <c r="B296" s="691"/>
      <c r="C296" s="692"/>
      <c r="D296" s="692" t="s">
        <v>85</v>
      </c>
      <c r="E296" s="693"/>
      <c r="F296" s="694"/>
      <c r="G296" s="695">
        <f>[96]Source!AM1282</f>
        <v>116.7</v>
      </c>
      <c r="H296" s="696" t="str">
        <f>[96]Source!DE1282</f>
        <v/>
      </c>
      <c r="I296" s="694">
        <f>[96]Source!AV1282</f>
        <v>1.0669999999999999</v>
      </c>
      <c r="J296" s="697">
        <f>(ROUND((ROUND((([96]Source!ET1282)*[96]Source!AV1282*[96]Source!I1282),2)),2)+ROUND((ROUND((([96]Source!AE1282-([96]Source!EU1282))*[96]Source!AV1282*[96]Source!I1282),2)),2))-J306</f>
        <v>4.74</v>
      </c>
      <c r="K296" s="694">
        <f>IF([96]Source!BB1282&lt;&gt; 0, [96]Source!BB1282, 1)</f>
        <v>8.59</v>
      </c>
      <c r="L296" s="697">
        <f>[96]Source!Q1282-L306</f>
        <v>40.74</v>
      </c>
    </row>
    <row r="297" spans="1:27" ht="15" x14ac:dyDescent="0.25">
      <c r="A297" s="691"/>
      <c r="B297" s="691"/>
      <c r="C297" s="692"/>
      <c r="D297" s="692" t="s">
        <v>86</v>
      </c>
      <c r="E297" s="693"/>
      <c r="F297" s="694"/>
      <c r="G297" s="695">
        <f>[96]Source!AN1282</f>
        <v>14.29</v>
      </c>
      <c r="H297" s="696" t="str">
        <f>[96]Source!DE1282</f>
        <v/>
      </c>
      <c r="I297" s="694">
        <f>[96]Source!AV1282</f>
        <v>1.0669999999999999</v>
      </c>
      <c r="J297" s="700">
        <f>ROUND((ROUND(([96]Source!AE1282*[96]Source!AV1282*[96]Source!I1282),2)),2)-J307</f>
        <v>0.57999999999999996</v>
      </c>
      <c r="K297" s="694">
        <f>IF([96]Source!BS1282&lt;&gt; 0, [96]Source!BS1282, 1)</f>
        <v>24.23</v>
      </c>
      <c r="L297" s="700">
        <f>[96]Source!R1282-L307</f>
        <v>14.07</v>
      </c>
      <c r="W297" s="718">
        <f>J297</f>
        <v>0.57999999999999996</v>
      </c>
    </row>
    <row r="298" spans="1:27" ht="15" x14ac:dyDescent="0.25">
      <c r="A298" s="691"/>
      <c r="B298" s="691"/>
      <c r="C298" s="692"/>
      <c r="D298" s="692" t="s">
        <v>87</v>
      </c>
      <c r="E298" s="693"/>
      <c r="F298" s="694"/>
      <c r="G298" s="695">
        <f>[96]Source!AL1282</f>
        <v>599.72</v>
      </c>
      <c r="H298" s="696" t="str">
        <f>[96]Source!DD1282</f>
        <v/>
      </c>
      <c r="I298" s="694">
        <f>[96]Source!AW1282</f>
        <v>1</v>
      </c>
      <c r="J298" s="697">
        <f>ROUND((ROUND(([96]Source!AC1282*[96]Source!AW1282*[96]Source!I1282),2)),2)</f>
        <v>22.85</v>
      </c>
      <c r="K298" s="694">
        <f>IF([96]Source!BC1282&lt;&gt; 0, [96]Source!BC1282, 1)</f>
        <v>4.18</v>
      </c>
      <c r="L298" s="697">
        <f>[96]Source!P1282</f>
        <v>95.51</v>
      </c>
    </row>
    <row r="299" spans="1:27" ht="65.45" customHeight="1" x14ac:dyDescent="0.25">
      <c r="A299" s="691">
        <v>41</v>
      </c>
      <c r="B299" s="691" t="str">
        <f>[96]Source!E1284</f>
        <v>195,1</v>
      </c>
      <c r="C299" s="692" t="str">
        <f>[96]Source!F1284</f>
        <v>1.19-3-13</v>
      </c>
      <c r="D299" s="692" t="s">
        <v>469</v>
      </c>
      <c r="E299" s="693" t="str">
        <f>[96]Source!H1284</f>
        <v>м2</v>
      </c>
      <c r="F299" s="694">
        <f>[96]Source!I1284</f>
        <v>3.81</v>
      </c>
      <c r="G299" s="695">
        <f>[96]Source!AK1284</f>
        <v>157.54</v>
      </c>
      <c r="H299" s="734" t="s">
        <v>42</v>
      </c>
      <c r="I299" s="694">
        <f>[96]Source!AW1284</f>
        <v>1</v>
      </c>
      <c r="J299" s="697">
        <f>ROUND((ROUND(([96]Source!AC1284*[96]Source!AW1284*[96]Source!I1284),2)),2)+(ROUND((ROUND((([96]Source!ET1284)*[96]Source!AV1284*[96]Source!I1284),2)),2)+ROUND((ROUND((([96]Source!AE1284-([96]Source!EU1284))*[96]Source!AV1284*[96]Source!I1284),2)),2))+ROUND((ROUND(([96]Source!AF1284*[96]Source!AV1284*[96]Source!I1284),2)),2)</f>
        <v>600.23</v>
      </c>
      <c r="K299" s="694">
        <f>IF([96]Source!BC1284&lt;&gt; 0, [96]Source!BC1284, 1)</f>
        <v>3.07</v>
      </c>
      <c r="L299" s="697">
        <f>[96]Source!O1284</f>
        <v>1842.71</v>
      </c>
      <c r="Q299" s="718">
        <f>ROUND(([96]Source!DN1284/100)*ROUND((ROUND(([96]Source!AF1284*[96]Source!AV1284*[96]Source!I1284),2)),2), 2)</f>
        <v>0</v>
      </c>
      <c r="R299" s="718">
        <f>[96]Source!X1284</f>
        <v>0</v>
      </c>
      <c r="S299" s="718">
        <f>ROUND(([96]Source!DO1284/100)*ROUND((ROUND(([96]Source!AF1284*[96]Source!AV1284*[96]Source!I1284),2)),2), 2)</f>
        <v>0</v>
      </c>
      <c r="T299" s="718">
        <f>[96]Source!Y1284</f>
        <v>0</v>
      </c>
      <c r="U299" s="718">
        <f>ROUND((175/100)*ROUND((ROUND(([96]Source!AE1284*[96]Source!AV1284*[96]Source!I1284),2)),2), 2)</f>
        <v>0</v>
      </c>
      <c r="V299" s="718">
        <f>ROUND((157/100)*ROUND(ROUND((ROUND(([96]Source!AE1284*[96]Source!AV1284*[96]Source!I1284),2)*[96]Source!BS1284),2), 2), 2)</f>
        <v>0</v>
      </c>
      <c r="X299" s="718">
        <f>IF([96]Source!BI1284&lt;=1,J299, 0)</f>
        <v>600.23</v>
      </c>
      <c r="Y299" s="718">
        <f>IF([96]Source!BI1284=2,J299, 0)</f>
        <v>0</v>
      </c>
      <c r="Z299" s="718">
        <f>IF([96]Source!BI1284=3,J299, 0)</f>
        <v>0</v>
      </c>
      <c r="AA299" s="718">
        <f>IF([96]Source!BI1284=4,J299, 0)</f>
        <v>0</v>
      </c>
    </row>
    <row r="300" spans="1:27" ht="15" x14ac:dyDescent="0.25">
      <c r="A300" s="691"/>
      <c r="B300" s="691"/>
      <c r="C300" s="692"/>
      <c r="D300" s="692" t="s">
        <v>88</v>
      </c>
      <c r="E300" s="693" t="s">
        <v>89</v>
      </c>
      <c r="F300" s="694">
        <f>[96]Source!DN1282</f>
        <v>125</v>
      </c>
      <c r="G300" s="695"/>
      <c r="H300" s="696"/>
      <c r="I300" s="694"/>
      <c r="J300" s="697">
        <f>SUM(Q294:Q299)</f>
        <v>117.2</v>
      </c>
      <c r="K300" s="694">
        <f>[96]Source!BZ1282</f>
        <v>100</v>
      </c>
      <c r="L300" s="697">
        <f>SUM(R294:R299)</f>
        <v>2271.8000000000002</v>
      </c>
    </row>
    <row r="301" spans="1:27" ht="15" x14ac:dyDescent="0.25">
      <c r="A301" s="691"/>
      <c r="B301" s="691"/>
      <c r="C301" s="692"/>
      <c r="D301" s="692" t="s">
        <v>90</v>
      </c>
      <c r="E301" s="693" t="s">
        <v>89</v>
      </c>
      <c r="F301" s="694">
        <f>[96]Source!DO1282</f>
        <v>94</v>
      </c>
      <c r="G301" s="695"/>
      <c r="H301" s="696"/>
      <c r="I301" s="694"/>
      <c r="J301" s="697">
        <f>SUM(S294:S300)</f>
        <v>88.13</v>
      </c>
      <c r="K301" s="694">
        <f>[96]Source!CA1282</f>
        <v>45</v>
      </c>
      <c r="L301" s="697">
        <f>SUM(T294:T300)</f>
        <v>1022.31</v>
      </c>
    </row>
    <row r="302" spans="1:27" ht="15" x14ac:dyDescent="0.25">
      <c r="A302" s="691"/>
      <c r="B302" s="691"/>
      <c r="C302" s="692"/>
      <c r="D302" s="692" t="s">
        <v>91</v>
      </c>
      <c r="E302" s="693" t="s">
        <v>89</v>
      </c>
      <c r="F302" s="694">
        <f>175</f>
        <v>175</v>
      </c>
      <c r="G302" s="695"/>
      <c r="H302" s="696"/>
      <c r="I302" s="694"/>
      <c r="J302" s="697">
        <f>SUM(U294:U301)-J308</f>
        <v>1.02</v>
      </c>
      <c r="K302" s="694">
        <f>157</f>
        <v>157</v>
      </c>
      <c r="L302" s="697">
        <f>SUM(V294:V301)-L308</f>
        <v>22.09</v>
      </c>
    </row>
    <row r="303" spans="1:27" ht="15" x14ac:dyDescent="0.25">
      <c r="A303" s="691"/>
      <c r="B303" s="691"/>
      <c r="C303" s="692"/>
      <c r="D303" s="692" t="s">
        <v>92</v>
      </c>
      <c r="E303" s="693" t="s">
        <v>93</v>
      </c>
      <c r="F303" s="694">
        <f>[96]Source!AQ1282</f>
        <v>122</v>
      </c>
      <c r="G303" s="695"/>
      <c r="H303" s="696" t="str">
        <f>[96]Source!DI1282</f>
        <v/>
      </c>
      <c r="I303" s="694">
        <f>[96]Source!AV1282</f>
        <v>1.0669999999999999</v>
      </c>
      <c r="J303" s="697">
        <f>[96]Source!U1282</f>
        <v>4.96</v>
      </c>
      <c r="K303" s="694"/>
      <c r="L303" s="697"/>
    </row>
    <row r="304" spans="1:27" ht="14.25" x14ac:dyDescent="0.2">
      <c r="I304" s="1067">
        <f>J295+J296+J298+J300+J301+J302+SUM(J299:J299)</f>
        <v>927.93</v>
      </c>
      <c r="J304" s="1067"/>
      <c r="K304" s="1067">
        <f>L295+L296+L298+L300+L301+L302+SUM(L299:L299)</f>
        <v>7566.96</v>
      </c>
      <c r="L304" s="1067"/>
      <c r="O304" s="736">
        <f>J295+J296+J298+J300+J301+J302+SUM(J299:J299)</f>
        <v>927.93</v>
      </c>
      <c r="P304" s="736">
        <f>L295+L296+L298+L300+L301+L302+SUM(L299:L299)</f>
        <v>7566.96</v>
      </c>
      <c r="X304" s="718">
        <f>IF([96]Source!BI1282&lt;=1,J295+J296+J298+J300+J301+J302-0, 0)</f>
        <v>327.7</v>
      </c>
      <c r="Y304" s="718">
        <f>IF([96]Source!BI1282=2,J295+J296+J298+J300+J301+J302-0, 0)</f>
        <v>0</v>
      </c>
      <c r="Z304" s="718">
        <f>IF([96]Source!BI1282=3,J295+J296+J298+J300+J301+J302-0, 0)</f>
        <v>0</v>
      </c>
      <c r="AA304" s="718">
        <f>IF([96]Source!BI1282=4,J295+J296+J298+J300+J301+J302,0)</f>
        <v>0</v>
      </c>
    </row>
    <row r="305" spans="1:27" ht="30" x14ac:dyDescent="0.25">
      <c r="A305" s="701"/>
      <c r="B305" s="701"/>
      <c r="C305" s="702"/>
      <c r="D305" s="702" t="s">
        <v>94</v>
      </c>
      <c r="E305" s="693"/>
      <c r="F305" s="703"/>
      <c r="G305" s="704"/>
      <c r="H305" s="693"/>
      <c r="I305" s="703"/>
      <c r="J305" s="700"/>
      <c r="K305" s="703"/>
      <c r="L305" s="700"/>
    </row>
    <row r="306" spans="1:27" ht="15" x14ac:dyDescent="0.25">
      <c r="A306" s="701"/>
      <c r="B306" s="701"/>
      <c r="C306" s="702"/>
      <c r="D306" s="702" t="s">
        <v>85</v>
      </c>
      <c r="E306" s="693"/>
      <c r="F306" s="703"/>
      <c r="G306" s="704">
        <f t="shared" ref="G306:L306" si="18">G307</f>
        <v>14.29</v>
      </c>
      <c r="H306" s="705" t="str">
        <f t="shared" si="18"/>
        <v>)*(1.67-1)</v>
      </c>
      <c r="I306" s="703">
        <f t="shared" si="18"/>
        <v>1.0669999999999999</v>
      </c>
      <c r="J306" s="700">
        <f t="shared" si="18"/>
        <v>0.39</v>
      </c>
      <c r="K306" s="703">
        <f t="shared" si="18"/>
        <v>24.23</v>
      </c>
      <c r="L306" s="700">
        <f t="shared" si="18"/>
        <v>9.43</v>
      </c>
    </row>
    <row r="307" spans="1:27" ht="15" x14ac:dyDescent="0.25">
      <c r="A307" s="701"/>
      <c r="B307" s="701"/>
      <c r="C307" s="702"/>
      <c r="D307" s="702" t="s">
        <v>86</v>
      </c>
      <c r="E307" s="693"/>
      <c r="F307" s="703"/>
      <c r="G307" s="704">
        <f>[96]Source!AN1282</f>
        <v>14.29</v>
      </c>
      <c r="H307" s="705" t="s">
        <v>95</v>
      </c>
      <c r="I307" s="703">
        <f>[96]Source!AV1282</f>
        <v>1.0669999999999999</v>
      </c>
      <c r="J307" s="700">
        <f>ROUND(F294*G307*I307*(1.67-1), 2)</f>
        <v>0.39</v>
      </c>
      <c r="K307" s="703">
        <f>IF([96]Source!BS1282&lt;&gt; 0, [96]Source!BS1282, 1)</f>
        <v>24.23</v>
      </c>
      <c r="L307" s="700">
        <f>ROUND(F294*G307*I307*(1.67-1)*K307, 2)</f>
        <v>9.43</v>
      </c>
      <c r="W307" s="718">
        <f>J307</f>
        <v>0.39</v>
      </c>
    </row>
    <row r="308" spans="1:27" ht="15" x14ac:dyDescent="0.25">
      <c r="A308" s="701"/>
      <c r="B308" s="701"/>
      <c r="C308" s="702"/>
      <c r="D308" s="702" t="s">
        <v>91</v>
      </c>
      <c r="E308" s="693" t="s">
        <v>89</v>
      </c>
      <c r="F308" s="703">
        <f>175</f>
        <v>175</v>
      </c>
      <c r="G308" s="704"/>
      <c r="H308" s="693"/>
      <c r="I308" s="703"/>
      <c r="J308" s="700">
        <f>ROUND(J307*(F308/100), 2)</f>
        <v>0.68</v>
      </c>
      <c r="K308" s="703">
        <f>157</f>
        <v>157</v>
      </c>
      <c r="L308" s="700">
        <f>ROUND(L307*(K308/100), 2)</f>
        <v>14.81</v>
      </c>
    </row>
    <row r="309" spans="1:27" ht="14.25" x14ac:dyDescent="0.2">
      <c r="I309" s="1067">
        <f>J308+J307</f>
        <v>1.07</v>
      </c>
      <c r="J309" s="1067"/>
      <c r="K309" s="1067">
        <f>L308+L307</f>
        <v>24.24</v>
      </c>
      <c r="L309" s="1067"/>
      <c r="O309" s="736">
        <f>I309</f>
        <v>1.07</v>
      </c>
      <c r="P309" s="736">
        <f>K309</f>
        <v>24.24</v>
      </c>
      <c r="X309" s="718">
        <f>IF([96]Source!BI1282&lt;=1,I309, 0)</f>
        <v>1.07</v>
      </c>
      <c r="Y309" s="718">
        <f>IF([96]Source!BI1282=2,I309, 0)</f>
        <v>0</v>
      </c>
      <c r="Z309" s="718">
        <f>IF([96]Source!BI1282=3,I309, 0)</f>
        <v>0</v>
      </c>
      <c r="AA309" s="718">
        <f>IF([96]Source!BI1282=4,I309, 0)</f>
        <v>0</v>
      </c>
    </row>
    <row r="311" spans="1:27" ht="15" x14ac:dyDescent="0.25">
      <c r="A311" s="706"/>
      <c r="B311" s="706"/>
      <c r="C311" s="707"/>
      <c r="D311" s="707" t="s">
        <v>96</v>
      </c>
      <c r="E311" s="708"/>
      <c r="F311" s="709"/>
      <c r="G311" s="710"/>
      <c r="H311" s="711"/>
      <c r="I311" s="1067">
        <f>I304+I309</f>
        <v>929</v>
      </c>
      <c r="J311" s="1067"/>
      <c r="K311" s="1067">
        <f>K304+K309</f>
        <v>7591.2</v>
      </c>
      <c r="L311" s="1067"/>
    </row>
    <row r="312" spans="1:27" ht="75" x14ac:dyDescent="0.25">
      <c r="A312" s="691">
        <v>42</v>
      </c>
      <c r="B312" s="691" t="str">
        <f>[96]Source!E1286</f>
        <v>196</v>
      </c>
      <c r="C312" s="692" t="str">
        <f>[96]Source!F1286</f>
        <v>3.20-1-11</v>
      </c>
      <c r="D312" s="692" t="s">
        <v>470</v>
      </c>
      <c r="E312" s="693" t="str">
        <f>[96]Source!H1286</f>
        <v>100 м2 поверхности воздуховодов</v>
      </c>
      <c r="F312" s="694">
        <f>[96]Source!I1286</f>
        <v>4.3999999999999997E-2</v>
      </c>
      <c r="G312" s="695"/>
      <c r="H312" s="696"/>
      <c r="I312" s="694"/>
      <c r="J312" s="697"/>
      <c r="K312" s="694"/>
      <c r="L312" s="697"/>
      <c r="Q312" s="718">
        <f>ROUND(([96]Source!DN1286/100)*ROUND((ROUND(([96]Source!AF1286*[96]Source!AV1286*[96]Source!I1286),2)),2), 2)</f>
        <v>101.84</v>
      </c>
      <c r="R312" s="718">
        <f>[96]Source!X1286</f>
        <v>1974.02</v>
      </c>
      <c r="S312" s="718">
        <f>ROUND(([96]Source!DO1286/100)*ROUND((ROUND(([96]Source!AF1286*[96]Source!AV1286*[96]Source!I1286),2)),2), 2)</f>
        <v>76.58</v>
      </c>
      <c r="T312" s="718">
        <f>[96]Source!Y1286</f>
        <v>888.31</v>
      </c>
      <c r="U312" s="718">
        <f>ROUND((175/100)*ROUND((ROUND(([96]Source!AE1286*[96]Source!AV1286*[96]Source!I1286),2)),2), 2)</f>
        <v>1.47</v>
      </c>
      <c r="V312" s="718">
        <f>ROUND((157/100)*ROUND(ROUND((ROUND(([96]Source!AE1286*[96]Source!AV1286*[96]Source!I1286),2)*[96]Source!BS1286),2), 2), 2)</f>
        <v>31.95</v>
      </c>
    </row>
    <row r="313" spans="1:27" ht="15" x14ac:dyDescent="0.25">
      <c r="A313" s="691"/>
      <c r="B313" s="691"/>
      <c r="C313" s="692"/>
      <c r="D313" s="692" t="s">
        <v>84</v>
      </c>
      <c r="E313" s="693"/>
      <c r="F313" s="694"/>
      <c r="G313" s="695">
        <f>[96]Source!AO1286</f>
        <v>1039.18</v>
      </c>
      <c r="H313" s="696" t="str">
        <f>[96]Source!DG1286</f>
        <v>)*1,67</v>
      </c>
      <c r="I313" s="694">
        <f>[96]Source!AV1286</f>
        <v>1.0669999999999999</v>
      </c>
      <c r="J313" s="697">
        <f>ROUND((ROUND(([96]Source!AF1286*[96]Source!AV1286*[96]Source!I1286),2)),2)</f>
        <v>81.47</v>
      </c>
      <c r="K313" s="694">
        <f>IF([96]Source!BA1286&lt;&gt; 0, [96]Source!BA1286, 1)</f>
        <v>24.23</v>
      </c>
      <c r="L313" s="697">
        <f>[96]Source!S1286</f>
        <v>1974.02</v>
      </c>
      <c r="W313" s="718">
        <f>J313</f>
        <v>81.47</v>
      </c>
    </row>
    <row r="314" spans="1:27" ht="15" x14ac:dyDescent="0.25">
      <c r="A314" s="691"/>
      <c r="B314" s="691"/>
      <c r="C314" s="692"/>
      <c r="D314" s="692" t="s">
        <v>85</v>
      </c>
      <c r="E314" s="693"/>
      <c r="F314" s="694"/>
      <c r="G314" s="695">
        <f>[96]Source!AM1286</f>
        <v>87.46</v>
      </c>
      <c r="H314" s="696" t="str">
        <f>[96]Source!DE1286</f>
        <v/>
      </c>
      <c r="I314" s="694">
        <f>[96]Source!AV1286</f>
        <v>1.0669999999999999</v>
      </c>
      <c r="J314" s="697">
        <f>(ROUND((ROUND((([96]Source!ET1286)*[96]Source!AV1286*[96]Source!I1286),2)),2)+ROUND((ROUND((([96]Source!AE1286-([96]Source!EU1286))*[96]Source!AV1286*[96]Source!I1286),2)),2))-J324</f>
        <v>4.1100000000000003</v>
      </c>
      <c r="K314" s="694">
        <f>IF([96]Source!BB1286&lt;&gt; 0, [96]Source!BB1286, 1)</f>
        <v>8.6</v>
      </c>
      <c r="L314" s="697">
        <f>[96]Source!Q1286-L324</f>
        <v>35.44</v>
      </c>
    </row>
    <row r="315" spans="1:27" ht="15" x14ac:dyDescent="0.25">
      <c r="A315" s="691"/>
      <c r="B315" s="691"/>
      <c r="C315" s="692"/>
      <c r="D315" s="692" t="s">
        <v>86</v>
      </c>
      <c r="E315" s="693"/>
      <c r="F315" s="694"/>
      <c r="G315" s="695">
        <f>[96]Source!AN1286</f>
        <v>10.69</v>
      </c>
      <c r="H315" s="696" t="str">
        <f>[96]Source!DE1286</f>
        <v/>
      </c>
      <c r="I315" s="694">
        <f>[96]Source!AV1286</f>
        <v>1.0669999999999999</v>
      </c>
      <c r="J315" s="700">
        <f>ROUND((ROUND(([96]Source!AE1286*[96]Source!AV1286*[96]Source!I1286),2)),2)-J325</f>
        <v>0.5</v>
      </c>
      <c r="K315" s="694">
        <f>IF([96]Source!BS1286&lt;&gt; 0, [96]Source!BS1286, 1)</f>
        <v>24.23</v>
      </c>
      <c r="L315" s="700">
        <f>[96]Source!R1286-L325</f>
        <v>12.2</v>
      </c>
      <c r="W315" s="718">
        <f>J315</f>
        <v>0.5</v>
      </c>
    </row>
    <row r="316" spans="1:27" ht="15" x14ac:dyDescent="0.25">
      <c r="A316" s="691"/>
      <c r="B316" s="691"/>
      <c r="C316" s="692"/>
      <c r="D316" s="692" t="s">
        <v>87</v>
      </c>
      <c r="E316" s="693"/>
      <c r="F316" s="694"/>
      <c r="G316" s="695">
        <f>[96]Source!AL1286</f>
        <v>409.71</v>
      </c>
      <c r="H316" s="696" t="str">
        <f>[96]Source!DD1286</f>
        <v/>
      </c>
      <c r="I316" s="694">
        <f>[96]Source!AW1286</f>
        <v>1</v>
      </c>
      <c r="J316" s="697">
        <f>ROUND((ROUND(([96]Source!AC1286*[96]Source!AW1286*[96]Source!I1286),2)),2)</f>
        <v>18.03</v>
      </c>
      <c r="K316" s="694">
        <f>IF([96]Source!BC1286&lt;&gt; 0, [96]Source!BC1286, 1)</f>
        <v>3.31</v>
      </c>
      <c r="L316" s="697">
        <f>[96]Source!P1286</f>
        <v>59.68</v>
      </c>
    </row>
    <row r="317" spans="1:27" ht="62.45" customHeight="1" x14ac:dyDescent="0.25">
      <c r="A317" s="691">
        <v>43</v>
      </c>
      <c r="B317" s="691" t="str">
        <f>[96]Source!E1288</f>
        <v>196,1</v>
      </c>
      <c r="C317" s="692" t="str">
        <f>[96]Source!F1288</f>
        <v>1.19-3-13</v>
      </c>
      <c r="D317" s="692" t="s">
        <v>469</v>
      </c>
      <c r="E317" s="693" t="str">
        <f>[96]Source!H1288</f>
        <v>м2</v>
      </c>
      <c r="F317" s="694">
        <f>[96]Source!I1288</f>
        <v>4.4000000000000004</v>
      </c>
      <c r="G317" s="695">
        <f>[96]Source!AK1288</f>
        <v>157.54</v>
      </c>
      <c r="H317" s="734" t="s">
        <v>42</v>
      </c>
      <c r="I317" s="694">
        <f>[96]Source!AW1288</f>
        <v>1</v>
      </c>
      <c r="J317" s="697">
        <f>ROUND((ROUND(([96]Source!AC1288*[96]Source!AW1288*[96]Source!I1288),2)),2)+(ROUND((ROUND((([96]Source!ET1288)*[96]Source!AV1288*[96]Source!I1288),2)),2)+ROUND((ROUND((([96]Source!AE1288-([96]Source!EU1288))*[96]Source!AV1288*[96]Source!I1288),2)),2))+ROUND((ROUND(([96]Source!AF1288*[96]Source!AV1288*[96]Source!I1288),2)),2)</f>
        <v>693.18</v>
      </c>
      <c r="K317" s="694">
        <f>IF([96]Source!BC1288&lt;&gt; 0, [96]Source!BC1288, 1)</f>
        <v>3.07</v>
      </c>
      <c r="L317" s="697">
        <f>[96]Source!O1288</f>
        <v>2128.06</v>
      </c>
      <c r="Q317" s="718">
        <f>ROUND(([96]Source!DN1288/100)*ROUND((ROUND(([96]Source!AF1288*[96]Source!AV1288*[96]Source!I1288),2)),2), 2)</f>
        <v>0</v>
      </c>
      <c r="R317" s="718">
        <f>[96]Source!X1288</f>
        <v>0</v>
      </c>
      <c r="S317" s="718">
        <f>ROUND(([96]Source!DO1288/100)*ROUND((ROUND(([96]Source!AF1288*[96]Source!AV1288*[96]Source!I1288),2)),2), 2)</f>
        <v>0</v>
      </c>
      <c r="T317" s="718">
        <f>[96]Source!Y1288</f>
        <v>0</v>
      </c>
      <c r="U317" s="718">
        <f>ROUND((175/100)*ROUND((ROUND(([96]Source!AE1288*[96]Source!AV1288*[96]Source!I1288),2)),2), 2)</f>
        <v>0</v>
      </c>
      <c r="V317" s="718">
        <f>ROUND((157/100)*ROUND(ROUND((ROUND(([96]Source!AE1288*[96]Source!AV1288*[96]Source!I1288),2)*[96]Source!BS1288),2), 2), 2)</f>
        <v>0</v>
      </c>
      <c r="X317" s="718">
        <f>IF([96]Source!BI1288&lt;=1,J317, 0)</f>
        <v>693.18</v>
      </c>
      <c r="Y317" s="718">
        <f>IF([96]Source!BI1288=2,J317, 0)</f>
        <v>0</v>
      </c>
      <c r="Z317" s="718">
        <f>IF([96]Source!BI1288=3,J317, 0)</f>
        <v>0</v>
      </c>
      <c r="AA317" s="718">
        <f>IF([96]Source!BI1288=4,J317, 0)</f>
        <v>0</v>
      </c>
    </row>
    <row r="318" spans="1:27" ht="15" x14ac:dyDescent="0.25">
      <c r="A318" s="691"/>
      <c r="B318" s="691"/>
      <c r="C318" s="692"/>
      <c r="D318" s="692" t="s">
        <v>88</v>
      </c>
      <c r="E318" s="693" t="s">
        <v>89</v>
      </c>
      <c r="F318" s="694">
        <f>[96]Source!DN1286</f>
        <v>125</v>
      </c>
      <c r="G318" s="695"/>
      <c r="H318" s="696"/>
      <c r="I318" s="694"/>
      <c r="J318" s="697">
        <f>SUM(Q312:Q317)</f>
        <v>101.84</v>
      </c>
      <c r="K318" s="694">
        <f>[96]Source!BZ1286</f>
        <v>100</v>
      </c>
      <c r="L318" s="697">
        <f>SUM(R312:R317)</f>
        <v>1974.02</v>
      </c>
    </row>
    <row r="319" spans="1:27" ht="15" x14ac:dyDescent="0.25">
      <c r="A319" s="691"/>
      <c r="B319" s="691"/>
      <c r="C319" s="692"/>
      <c r="D319" s="692" t="s">
        <v>90</v>
      </c>
      <c r="E319" s="693" t="s">
        <v>89</v>
      </c>
      <c r="F319" s="694">
        <f>[96]Source!DO1286</f>
        <v>94</v>
      </c>
      <c r="G319" s="695"/>
      <c r="H319" s="696"/>
      <c r="I319" s="694"/>
      <c r="J319" s="697">
        <f>SUM(S312:S318)</f>
        <v>76.58</v>
      </c>
      <c r="K319" s="694">
        <f>[96]Source!CA1286</f>
        <v>45</v>
      </c>
      <c r="L319" s="697">
        <f>SUM(T312:T318)</f>
        <v>888.31</v>
      </c>
    </row>
    <row r="320" spans="1:27" ht="15" x14ac:dyDescent="0.25">
      <c r="A320" s="691"/>
      <c r="B320" s="691"/>
      <c r="C320" s="692"/>
      <c r="D320" s="692" t="s">
        <v>91</v>
      </c>
      <c r="E320" s="693" t="s">
        <v>89</v>
      </c>
      <c r="F320" s="694">
        <f>175</f>
        <v>175</v>
      </c>
      <c r="G320" s="695"/>
      <c r="H320" s="696"/>
      <c r="I320" s="694"/>
      <c r="J320" s="697">
        <f>SUM(U312:U319)-J326</f>
        <v>0.87</v>
      </c>
      <c r="K320" s="694">
        <f>157</f>
        <v>157</v>
      </c>
      <c r="L320" s="697">
        <f>SUM(V312:V319)-L326</f>
        <v>19.149999999999999</v>
      </c>
    </row>
    <row r="321" spans="1:43" ht="15" x14ac:dyDescent="0.25">
      <c r="A321" s="691"/>
      <c r="B321" s="691"/>
      <c r="C321" s="692"/>
      <c r="D321" s="692" t="s">
        <v>92</v>
      </c>
      <c r="E321" s="693" t="s">
        <v>93</v>
      </c>
      <c r="F321" s="694">
        <f>[96]Source!AQ1286</f>
        <v>91.8</v>
      </c>
      <c r="G321" s="695"/>
      <c r="H321" s="696" t="str">
        <f>[96]Source!DI1286</f>
        <v/>
      </c>
      <c r="I321" s="694">
        <f>[96]Source!AV1286</f>
        <v>1.0669999999999999</v>
      </c>
      <c r="J321" s="697">
        <f>[96]Source!U1286</f>
        <v>4.3099999999999996</v>
      </c>
      <c r="K321" s="694"/>
      <c r="L321" s="697"/>
    </row>
    <row r="322" spans="1:43" ht="14.25" x14ac:dyDescent="0.2">
      <c r="I322" s="1067">
        <f>J313+J314+J316+J318+J319+J320+SUM(J317:J317)</f>
        <v>976.08</v>
      </c>
      <c r="J322" s="1067"/>
      <c r="K322" s="1067">
        <f>L313+L314+L316+L318+L319+L320+SUM(L317:L317)</f>
        <v>7078.68</v>
      </c>
      <c r="L322" s="1067"/>
      <c r="O322" s="736">
        <f>J313+J314+J316+J318+J319+J320+SUM(J317:J317)</f>
        <v>976.08</v>
      </c>
      <c r="P322" s="736">
        <f>L313+L314+L316+L318+L319+L320+SUM(L317:L317)</f>
        <v>7078.68</v>
      </c>
      <c r="X322" s="718">
        <f>IF([96]Source!BI1286&lt;=1,J313+J314+J316+J318+J319+J320-0, 0)</f>
        <v>282.89999999999998</v>
      </c>
      <c r="Y322" s="718">
        <f>IF([96]Source!BI1286=2,J313+J314+J316+J318+J319+J320-0, 0)</f>
        <v>0</v>
      </c>
      <c r="Z322" s="718">
        <f>IF([96]Source!BI1286=3,J313+J314+J316+J318+J319+J320-0, 0)</f>
        <v>0</v>
      </c>
      <c r="AA322" s="718">
        <f>IF([96]Source!BI1286=4,J313+J314+J316+J318+J319+J320,0)</f>
        <v>0</v>
      </c>
    </row>
    <row r="323" spans="1:43" ht="30" x14ac:dyDescent="0.25">
      <c r="A323" s="701"/>
      <c r="B323" s="701"/>
      <c r="C323" s="702"/>
      <c r="D323" s="702" t="s">
        <v>94</v>
      </c>
      <c r="E323" s="693"/>
      <c r="F323" s="703"/>
      <c r="G323" s="704"/>
      <c r="H323" s="693"/>
      <c r="I323" s="703"/>
      <c r="J323" s="700"/>
      <c r="K323" s="703"/>
      <c r="L323" s="700"/>
    </row>
    <row r="324" spans="1:43" ht="15" x14ac:dyDescent="0.25">
      <c r="A324" s="701"/>
      <c r="B324" s="701"/>
      <c r="C324" s="702"/>
      <c r="D324" s="702" t="s">
        <v>85</v>
      </c>
      <c r="E324" s="693"/>
      <c r="F324" s="703"/>
      <c r="G324" s="704">
        <f t="shared" ref="G324:L324" si="19">G325</f>
        <v>10.69</v>
      </c>
      <c r="H324" s="705" t="str">
        <f t="shared" si="19"/>
        <v>)*(1.67-1)</v>
      </c>
      <c r="I324" s="703">
        <f t="shared" si="19"/>
        <v>1.0669999999999999</v>
      </c>
      <c r="J324" s="700">
        <f t="shared" si="19"/>
        <v>0.34</v>
      </c>
      <c r="K324" s="703">
        <f t="shared" si="19"/>
        <v>24.23</v>
      </c>
      <c r="L324" s="700">
        <f t="shared" si="19"/>
        <v>8.15</v>
      </c>
    </row>
    <row r="325" spans="1:43" ht="15" x14ac:dyDescent="0.25">
      <c r="A325" s="701"/>
      <c r="B325" s="701"/>
      <c r="C325" s="702"/>
      <c r="D325" s="702" t="s">
        <v>86</v>
      </c>
      <c r="E325" s="693"/>
      <c r="F325" s="703"/>
      <c r="G325" s="704">
        <f>[96]Source!AN1286</f>
        <v>10.69</v>
      </c>
      <c r="H325" s="705" t="s">
        <v>95</v>
      </c>
      <c r="I325" s="703">
        <f>[96]Source!AV1286</f>
        <v>1.0669999999999999</v>
      </c>
      <c r="J325" s="700">
        <f>ROUND(F312*G325*I325*(1.67-1), 2)</f>
        <v>0.34</v>
      </c>
      <c r="K325" s="703">
        <f>IF([96]Source!BS1286&lt;&gt; 0, [96]Source!BS1286, 1)</f>
        <v>24.23</v>
      </c>
      <c r="L325" s="700">
        <f>ROUND(F312*G325*I325*(1.67-1)*K325, 2)</f>
        <v>8.15</v>
      </c>
      <c r="W325" s="718">
        <f>J325</f>
        <v>0.34</v>
      </c>
    </row>
    <row r="326" spans="1:43" ht="15" x14ac:dyDescent="0.25">
      <c r="A326" s="701"/>
      <c r="B326" s="701"/>
      <c r="C326" s="702"/>
      <c r="D326" s="702" t="s">
        <v>91</v>
      </c>
      <c r="E326" s="693" t="s">
        <v>89</v>
      </c>
      <c r="F326" s="703">
        <f>175</f>
        <v>175</v>
      </c>
      <c r="G326" s="704"/>
      <c r="H326" s="693"/>
      <c r="I326" s="703"/>
      <c r="J326" s="700">
        <f>ROUND(J325*(F326/100), 2)</f>
        <v>0.6</v>
      </c>
      <c r="K326" s="703">
        <f>157</f>
        <v>157</v>
      </c>
      <c r="L326" s="700">
        <f>ROUND(L325*(K326/100), 2)</f>
        <v>12.8</v>
      </c>
    </row>
    <row r="327" spans="1:43" ht="14.25" x14ac:dyDescent="0.2">
      <c r="I327" s="1067">
        <f>J326+J325</f>
        <v>0.94</v>
      </c>
      <c r="J327" s="1067"/>
      <c r="K327" s="1067">
        <f>L326+L325</f>
        <v>20.95</v>
      </c>
      <c r="L327" s="1067"/>
      <c r="O327" s="736">
        <f>I327</f>
        <v>0.94</v>
      </c>
      <c r="P327" s="736">
        <f>K327</f>
        <v>20.95</v>
      </c>
      <c r="X327" s="718">
        <f>IF([96]Source!BI1286&lt;=1,I327, 0)</f>
        <v>0.94</v>
      </c>
      <c r="Y327" s="718">
        <f>IF([96]Source!BI1286=2,I327, 0)</f>
        <v>0</v>
      </c>
      <c r="Z327" s="718">
        <f>IF([96]Source!BI1286=3,I327, 0)</f>
        <v>0</v>
      </c>
      <c r="AA327" s="718">
        <f>IF([96]Source!BI1286=4,I327, 0)</f>
        <v>0</v>
      </c>
    </row>
    <row r="329" spans="1:43" ht="15" x14ac:dyDescent="0.25">
      <c r="A329" s="706"/>
      <c r="B329" s="706"/>
      <c r="C329" s="707"/>
      <c r="D329" s="707" t="s">
        <v>96</v>
      </c>
      <c r="E329" s="708"/>
      <c r="F329" s="709"/>
      <c r="G329" s="710"/>
      <c r="H329" s="711"/>
      <c r="I329" s="1067">
        <f>I322+I327</f>
        <v>977.02</v>
      </c>
      <c r="J329" s="1067"/>
      <c r="K329" s="1067">
        <f>K322+K327</f>
        <v>7099.63</v>
      </c>
      <c r="L329" s="1067"/>
    </row>
    <row r="330" spans="1:43" ht="148.15" customHeight="1" x14ac:dyDescent="0.25">
      <c r="A330" s="691">
        <v>44</v>
      </c>
      <c r="B330" s="691" t="str">
        <f>[96]Source!E1316</f>
        <v>204</v>
      </c>
      <c r="C330" s="692" t="str">
        <f>[96]Source!F1316</f>
        <v>МКЭ-33-355/9-1  21.03.2019</v>
      </c>
      <c r="D330" s="692" t="s">
        <v>744</v>
      </c>
      <c r="E330" s="693" t="str">
        <f>[96]Source!H1316</f>
        <v>м2</v>
      </c>
      <c r="F330" s="694">
        <f>[96]Source!I1316</f>
        <v>73.58</v>
      </c>
      <c r="G330" s="695">
        <f>[96]Source!AL1316</f>
        <v>33.81</v>
      </c>
      <c r="H330" s="696" t="str">
        <f>[96]Source!DD1316</f>
        <v/>
      </c>
      <c r="I330" s="694">
        <f>[96]Source!AW1316</f>
        <v>1</v>
      </c>
      <c r="J330" s="697">
        <f>ROUND((ROUND(([96]Source!AC1316*[96]Source!AW1316*[96]Source!I1316),2)),2)</f>
        <v>2487.7399999999998</v>
      </c>
      <c r="K330" s="694">
        <f>IF([96]Source!BC1316&lt;&gt; 0, [96]Source!BC1316, 1)</f>
        <v>5.58</v>
      </c>
      <c r="L330" s="697">
        <f>F330*AQ330*1.02</f>
        <v>13883.04</v>
      </c>
      <c r="M330" s="749">
        <f>F330*AQ330*1.02</f>
        <v>13883.04</v>
      </c>
      <c r="Q330" s="718">
        <f>ROUND(([96]Source!DN1316/100)*ROUND((ROUND(([96]Source!AF1316*[96]Source!AV1316*[96]Source!I1316),2)),2), 2)</f>
        <v>0</v>
      </c>
      <c r="R330" s="718">
        <f>[96]Source!X1316</f>
        <v>0</v>
      </c>
      <c r="S330" s="718">
        <f>ROUND(([96]Source!DO1316/100)*ROUND((ROUND(([96]Source!AF1316*[96]Source!AV1316*[96]Source!I1316),2)),2), 2)</f>
        <v>0</v>
      </c>
      <c r="T330" s="718">
        <f>[96]Source!Y1316</f>
        <v>0</v>
      </c>
      <c r="U330" s="718">
        <f>ROUND((175/100)*ROUND((ROUND(([96]Source!AE1316*[96]Source!AV1316*[96]Source!I1316),2)),2), 2)</f>
        <v>0</v>
      </c>
      <c r="V330" s="718">
        <f>ROUND((157/100)*ROUND(ROUND((ROUND(([96]Source!AE1316*[96]Source!AV1316*[96]Source!I1316),2)*[96]Source!BS1316),2), 2), 2)</f>
        <v>0</v>
      </c>
      <c r="AQ330" s="718">
        <v>184.98</v>
      </c>
    </row>
    <row r="331" spans="1:43" ht="14.25" x14ac:dyDescent="0.2">
      <c r="A331" s="737"/>
      <c r="B331" s="737"/>
      <c r="C331" s="737"/>
      <c r="D331" s="737"/>
      <c r="E331" s="737"/>
      <c r="F331" s="737"/>
      <c r="G331" s="737"/>
      <c r="H331" s="737"/>
      <c r="I331" s="1067">
        <f>J330</f>
        <v>2487.7399999999998</v>
      </c>
      <c r="J331" s="1067"/>
      <c r="K331" s="1067">
        <f>L330</f>
        <v>13883.04</v>
      </c>
      <c r="L331" s="1067"/>
      <c r="M331" s="749">
        <f t="shared" ref="M331:M332" si="20">F331*AQ331*1.02</f>
        <v>0</v>
      </c>
      <c r="O331" s="736">
        <f>J330</f>
        <v>2487.7399999999998</v>
      </c>
      <c r="P331" s="736">
        <f>L330</f>
        <v>13883.04</v>
      </c>
      <c r="X331" s="718">
        <f>IF([96]Source!BI1316&lt;=1,J330-0, 0)</f>
        <v>2487.7399999999998</v>
      </c>
      <c r="Y331" s="718">
        <f>IF([96]Source!BI1316=2,J330-0, 0)</f>
        <v>0</v>
      </c>
      <c r="Z331" s="718">
        <f>IF([96]Source!BI1316=3,J330-0, 0)</f>
        <v>0</v>
      </c>
      <c r="AA331" s="718">
        <f>IF([96]Source!BI1316=4,J330,0)</f>
        <v>0</v>
      </c>
    </row>
    <row r="332" spans="1:43" ht="163.15" customHeight="1" x14ac:dyDescent="0.25">
      <c r="A332" s="691">
        <v>45</v>
      </c>
      <c r="B332" s="691" t="str">
        <f>[96]Source!E1318</f>
        <v>205</v>
      </c>
      <c r="C332" s="692" t="str">
        <f>[96]Source!F1318</f>
        <v>МКЭ-28-2296/6-10 14.06.2018</v>
      </c>
      <c r="D332" s="692" t="s">
        <v>745</v>
      </c>
      <c r="E332" s="693" t="str">
        <f>[96]Source!H1318</f>
        <v>м2</v>
      </c>
      <c r="F332" s="694">
        <f>[96]Source!I1318</f>
        <v>3.56</v>
      </c>
      <c r="G332" s="695">
        <f>[96]Source!AL1318</f>
        <v>38.135035999999999</v>
      </c>
      <c r="H332" s="696" t="str">
        <f>[96]Source!DD1318</f>
        <v>*1,02</v>
      </c>
      <c r="I332" s="694">
        <f>[96]Source!AW1318</f>
        <v>1</v>
      </c>
      <c r="J332" s="697">
        <f>ROUND((ROUND(([96]Source!AC1318*[96]Source!AW1318*[96]Source!I1318),2)),2)</f>
        <v>138.47999999999999</v>
      </c>
      <c r="K332" s="694">
        <f>IF([96]Source!BC1318&lt;&gt; 0, [96]Source!BC1318, 1)</f>
        <v>5.48</v>
      </c>
      <c r="L332" s="697">
        <f>F332*AQ332*1.02</f>
        <v>758.85</v>
      </c>
      <c r="M332" s="749">
        <f t="shared" si="20"/>
        <v>758.85</v>
      </c>
      <c r="Q332" s="718">
        <f>ROUND(([96]Source!DN1318/100)*ROUND((ROUND(([96]Source!AF1318*[96]Source!AV1318*[96]Source!I1318),2)),2), 2)</f>
        <v>0</v>
      </c>
      <c r="R332" s="718">
        <f>[96]Source!X1318</f>
        <v>0</v>
      </c>
      <c r="S332" s="718">
        <f>ROUND(([96]Source!DO1318/100)*ROUND((ROUND(([96]Source!AF1318*[96]Source!AV1318*[96]Source!I1318),2)),2), 2)</f>
        <v>0</v>
      </c>
      <c r="T332" s="718">
        <f>[96]Source!Y1318</f>
        <v>0</v>
      </c>
      <c r="U332" s="718">
        <f>ROUND((175/100)*ROUND((ROUND(([96]Source!AE1318*[96]Source!AV1318*[96]Source!I1318),2)),2), 2)</f>
        <v>0</v>
      </c>
      <c r="V332" s="718">
        <f>ROUND((157/100)*ROUND(ROUND((ROUND(([96]Source!AE1318*[96]Source!AV1318*[96]Source!I1318),2)*[96]Source!BS1318),2), 2), 2)</f>
        <v>0</v>
      </c>
      <c r="AQ332" s="718">
        <v>208.98</v>
      </c>
    </row>
    <row r="333" spans="1:43" ht="14.25" x14ac:dyDescent="0.2">
      <c r="A333" s="737"/>
      <c r="B333" s="737"/>
      <c r="C333" s="737"/>
      <c r="D333" s="737"/>
      <c r="E333" s="737"/>
      <c r="F333" s="737"/>
      <c r="G333" s="737"/>
      <c r="H333" s="737"/>
      <c r="I333" s="1067">
        <f>J332</f>
        <v>138.47999999999999</v>
      </c>
      <c r="J333" s="1067"/>
      <c r="K333" s="1067">
        <f>L332</f>
        <v>758.85</v>
      </c>
      <c r="L333" s="1067"/>
      <c r="O333" s="736">
        <f>J332</f>
        <v>138.47999999999999</v>
      </c>
      <c r="P333" s="736">
        <f>L332</f>
        <v>758.85</v>
      </c>
      <c r="X333" s="718">
        <f>IF([96]Source!BI1318&lt;=1,J332-0, 0)</f>
        <v>138.47999999999999</v>
      </c>
      <c r="Y333" s="718">
        <f>IF([96]Source!BI1318=2,J332-0, 0)</f>
        <v>0</v>
      </c>
      <c r="Z333" s="718">
        <f>IF([96]Source!BI1318=3,J332-0, 0)</f>
        <v>0</v>
      </c>
      <c r="AA333" s="718">
        <f>IF([96]Source!BI1318=4,J332,0)</f>
        <v>0</v>
      </c>
    </row>
    <row r="335" spans="1:43" ht="14.25" x14ac:dyDescent="0.2">
      <c r="A335" s="1068" t="str">
        <f>CONCATENATE("Итого по подразделу: ",IF([96]Source!G1357&lt;&gt;"Новый подраздел", [96]Source!G1357, ""))</f>
        <v>Итого по подразделу: В2-35</v>
      </c>
      <c r="B335" s="1068"/>
      <c r="C335" s="1068"/>
      <c r="D335" s="1068"/>
      <c r="E335" s="1068"/>
      <c r="F335" s="1068"/>
      <c r="G335" s="1068"/>
      <c r="H335" s="1068"/>
      <c r="I335" s="1069">
        <f>SUM(O16:O334)</f>
        <v>131931.06</v>
      </c>
      <c r="J335" s="1070"/>
      <c r="K335" s="1069">
        <f>SUM(P16:P334)</f>
        <v>932931.29</v>
      </c>
      <c r="L335" s="1070"/>
    </row>
    <row r="336" spans="1:43" hidden="1" x14ac:dyDescent="0.2">
      <c r="A336" s="718" t="s">
        <v>139</v>
      </c>
      <c r="I336" s="718">
        <f>SUM(AC16:AC335)</f>
        <v>0</v>
      </c>
      <c r="K336" s="718">
        <f>SUM(AD16:AD335)</f>
        <v>0</v>
      </c>
    </row>
    <row r="337" spans="1:38" hidden="1" x14ac:dyDescent="0.2">
      <c r="A337" s="718" t="s">
        <v>140</v>
      </c>
      <c r="I337" s="718">
        <f>SUM(AE16:AE336)</f>
        <v>0</v>
      </c>
      <c r="K337" s="718">
        <f>SUM(AF16:AF336)</f>
        <v>0</v>
      </c>
    </row>
    <row r="340" spans="1:38" ht="16.5" customHeight="1" x14ac:dyDescent="0.2">
      <c r="A340" s="1068" t="s">
        <v>694</v>
      </c>
      <c r="B340" s="1068"/>
      <c r="C340" s="1068"/>
      <c r="D340" s="1068"/>
      <c r="E340" s="1068"/>
      <c r="F340" s="1068"/>
      <c r="G340" s="1068"/>
      <c r="H340" s="1068"/>
      <c r="I340" s="1069">
        <f>SUM(O8:O339)</f>
        <v>131931.06</v>
      </c>
      <c r="J340" s="1070"/>
      <c r="K340" s="1069">
        <f>SUM(P8:P339)</f>
        <v>932931.29</v>
      </c>
      <c r="L340" s="1070"/>
      <c r="AL340" s="712" t="str">
        <f>CONCATENATE("Итого по акту: ",IF([96]Source!G2396&lt;&gt;"Новый объект", [96]Source!G2396, ""))</f>
        <v>Итого по акту: 48961-ТПК_5-0786-Р-ССР2 изм. 1.1 12-4017-Л-Р-11.5.3-ОВ-СМ1К Станционный комплекс Аминьевское шоссе. Инженерные системы ТПП. Отопление, вентиляция, кондиционирование, дымоудаление</v>
      </c>
    </row>
    <row r="341" spans="1:38" ht="15" x14ac:dyDescent="0.25">
      <c r="D341" s="714" t="s">
        <v>114</v>
      </c>
      <c r="I341" s="1079">
        <v>112126.36</v>
      </c>
      <c r="J341" s="1080"/>
      <c r="K341" s="1079">
        <f>L332+L330+L317+L316+L299+L298+L281+L280+L263+L262+L245+L244+L227+L226+L209+L208+L191+L190+L173+L172+L155+L154+L137+L136+L130+L117+L111+L109+L107+L94+L88+L86+L84+L82+L80+L78+L76+L74+L61+L55+L42+L36+L23+L22+L21</f>
        <v>566390.68999999994</v>
      </c>
      <c r="L341" s="1080"/>
    </row>
    <row r="342" spans="1:38" ht="15" x14ac:dyDescent="0.25">
      <c r="D342" s="714" t="s">
        <v>115</v>
      </c>
      <c r="I342" s="1079">
        <v>87.33</v>
      </c>
      <c r="J342" s="1080"/>
      <c r="K342" s="1079">
        <v>2116.0100000000002</v>
      </c>
      <c r="L342" s="1080"/>
    </row>
    <row r="343" spans="1:38" ht="15" x14ac:dyDescent="0.25">
      <c r="D343" s="714" t="s">
        <v>116</v>
      </c>
      <c r="I343" s="1079">
        <v>6058.98</v>
      </c>
      <c r="J343" s="1080"/>
      <c r="K343" s="1079">
        <v>146809.06</v>
      </c>
      <c r="L343" s="1080"/>
    </row>
    <row r="344" spans="1:38" ht="14.25" x14ac:dyDescent="0.2">
      <c r="A344" s="671"/>
      <c r="B344" s="671"/>
      <c r="C344" s="671"/>
      <c r="D344" s="712"/>
      <c r="E344" s="712"/>
      <c r="F344" s="712"/>
      <c r="G344" s="712"/>
      <c r="H344" s="712"/>
      <c r="I344" s="715"/>
      <c r="J344" s="715"/>
      <c r="K344" s="716"/>
      <c r="L344" s="716"/>
    </row>
    <row r="345" spans="1:38" ht="15" x14ac:dyDescent="0.25">
      <c r="A345" s="671"/>
      <c r="B345" s="671"/>
      <c r="C345" s="671"/>
      <c r="D345" s="717" t="s">
        <v>268</v>
      </c>
      <c r="J345" s="719">
        <f>I340</f>
        <v>131931.06</v>
      </c>
      <c r="K345" s="719"/>
      <c r="L345" s="719">
        <f>K340</f>
        <v>932931.29</v>
      </c>
    </row>
    <row r="346" spans="1:38" ht="15" x14ac:dyDescent="0.25">
      <c r="A346" s="671"/>
      <c r="B346" s="671"/>
      <c r="C346" s="671"/>
      <c r="D346" s="717" t="s">
        <v>3</v>
      </c>
      <c r="J346" s="719">
        <f>J345</f>
        <v>131931.06</v>
      </c>
      <c r="K346" s="719"/>
      <c r="L346" s="719">
        <f>L345</f>
        <v>932931.29</v>
      </c>
    </row>
    <row r="347" spans="1:38" ht="15" x14ac:dyDescent="0.25">
      <c r="A347" s="671"/>
      <c r="B347" s="671"/>
      <c r="C347" s="671"/>
      <c r="D347" s="717" t="s">
        <v>269</v>
      </c>
      <c r="J347" s="719">
        <f>I343+I342</f>
        <v>6146.31</v>
      </c>
      <c r="K347" s="719"/>
      <c r="L347" s="719">
        <f>K343+K342</f>
        <v>148925.07</v>
      </c>
    </row>
    <row r="348" spans="1:38" ht="15" x14ac:dyDescent="0.25">
      <c r="A348" s="671"/>
      <c r="B348" s="671"/>
      <c r="C348" s="671"/>
      <c r="D348" s="717" t="s">
        <v>270</v>
      </c>
      <c r="J348" s="719">
        <f>I341</f>
        <v>112126.36</v>
      </c>
      <c r="K348" s="719"/>
      <c r="L348" s="719">
        <f>K341</f>
        <v>566390.68999999994</v>
      </c>
    </row>
    <row r="349" spans="1:38" ht="15" hidden="1" x14ac:dyDescent="0.25">
      <c r="A349" s="750"/>
      <c r="B349" s="750"/>
      <c r="C349" s="750"/>
      <c r="D349" s="717" t="s">
        <v>271</v>
      </c>
      <c r="J349" s="743">
        <v>0</v>
      </c>
      <c r="K349" s="743"/>
      <c r="L349" s="743">
        <v>0</v>
      </c>
    </row>
    <row r="350" spans="1:38" ht="15" hidden="1" x14ac:dyDescent="0.25">
      <c r="A350" s="745"/>
      <c r="B350" s="745"/>
      <c r="C350" s="745"/>
      <c r="D350" s="1074" t="s">
        <v>583</v>
      </c>
      <c r="E350" s="1074"/>
      <c r="F350" s="1074"/>
      <c r="G350" s="1074"/>
      <c r="H350" s="1074"/>
      <c r="I350" s="720"/>
      <c r="J350" s="720">
        <v>0</v>
      </c>
      <c r="K350" s="720"/>
      <c r="L350" s="720">
        <v>0</v>
      </c>
    </row>
    <row r="351" spans="1:38" ht="15" x14ac:dyDescent="0.25">
      <c r="A351" s="744"/>
      <c r="B351" s="744"/>
      <c r="C351" s="744"/>
      <c r="D351" s="1074" t="s">
        <v>323</v>
      </c>
      <c r="E351" s="1074"/>
      <c r="F351" s="1074"/>
      <c r="G351" s="1074"/>
      <c r="H351" s="1074"/>
      <c r="I351" s="671"/>
      <c r="J351" s="721">
        <v>0</v>
      </c>
      <c r="K351" s="721"/>
      <c r="L351" s="721">
        <v>0</v>
      </c>
    </row>
    <row r="352" spans="1:38" ht="13.9" customHeight="1" x14ac:dyDescent="0.25">
      <c r="A352" s="745"/>
      <c r="B352" s="745"/>
      <c r="C352" s="745"/>
      <c r="D352" s="1076" t="s">
        <v>584</v>
      </c>
      <c r="E352" s="1076"/>
      <c r="F352" s="1076"/>
      <c r="G352" s="1076"/>
      <c r="H352" s="1076"/>
      <c r="I352" s="671"/>
      <c r="J352" s="721">
        <f>J347*0.15</f>
        <v>921.95</v>
      </c>
      <c r="K352" s="721"/>
      <c r="L352" s="721">
        <f>L347*0.15</f>
        <v>22338.76</v>
      </c>
    </row>
    <row r="353" spans="1:256" ht="14.25" x14ac:dyDescent="0.2">
      <c r="A353" s="751"/>
      <c r="B353" s="751"/>
      <c r="C353" s="751"/>
      <c r="D353" s="1068" t="s">
        <v>688</v>
      </c>
      <c r="E353" s="1068"/>
      <c r="F353" s="1068"/>
      <c r="G353" s="1068"/>
      <c r="H353" s="1068"/>
      <c r="I353" s="671"/>
      <c r="J353" s="650">
        <f>J346+J352</f>
        <v>132853.01</v>
      </c>
      <c r="K353" s="650"/>
      <c r="L353" s="650">
        <f>L346+L352</f>
        <v>955270.05</v>
      </c>
    </row>
    <row r="354" spans="1:256" s="671" customFormat="1" ht="15" x14ac:dyDescent="0.25">
      <c r="D354" s="1074"/>
      <c r="E354" s="1074"/>
      <c r="F354" s="1074"/>
      <c r="G354" s="1074"/>
      <c r="H354" s="1074"/>
      <c r="I354" s="1075"/>
      <c r="J354" s="1075"/>
      <c r="K354" s="1075"/>
      <c r="L354" s="1075"/>
    </row>
    <row r="355" spans="1:256" s="675" customFormat="1" ht="15" x14ac:dyDescent="0.25">
      <c r="A355" s="398"/>
      <c r="B355" s="398"/>
      <c r="C355" s="398"/>
      <c r="D355" s="651" t="s">
        <v>596</v>
      </c>
      <c r="E355" s="652"/>
      <c r="F355" s="652"/>
      <c r="G355" s="652"/>
      <c r="H355" s="652"/>
      <c r="I355" s="652"/>
      <c r="J355" s="653"/>
      <c r="K355" s="653"/>
      <c r="L355" s="653">
        <f>L345*0.925</f>
        <v>862961.44</v>
      </c>
      <c r="M355" s="399"/>
      <c r="N355" s="400"/>
      <c r="O355" s="400"/>
      <c r="P355" s="400"/>
      <c r="Q355" s="400"/>
      <c r="R355" s="400"/>
      <c r="S355" s="400"/>
      <c r="T355" s="400"/>
      <c r="U355" s="400"/>
      <c r="V355" s="400"/>
      <c r="W355" s="400"/>
      <c r="X355" s="400"/>
      <c r="Y355" s="400"/>
      <c r="Z355" s="400"/>
      <c r="AA355" s="400"/>
      <c r="AB355" s="400"/>
      <c r="AC355" s="400"/>
      <c r="AD355" s="400"/>
      <c r="AE355" s="400"/>
      <c r="AF355" s="400"/>
      <c r="AG355" s="400"/>
      <c r="AH355" s="400"/>
      <c r="AI355" s="400"/>
      <c r="AJ355" s="400"/>
      <c r="AK355" s="400"/>
      <c r="AL355" s="400"/>
      <c r="AM355" s="400"/>
      <c r="AN355" s="400"/>
      <c r="AO355" s="400"/>
      <c r="AP355" s="400"/>
      <c r="AQ355" s="400"/>
      <c r="AR355" s="400"/>
      <c r="AS355" s="400"/>
      <c r="AT355" s="400"/>
      <c r="AU355" s="400"/>
      <c r="AV355" s="400"/>
      <c r="AW355" s="400"/>
      <c r="AX355" s="400"/>
      <c r="AY355" s="400"/>
      <c r="AZ355" s="400"/>
      <c r="BA355" s="400"/>
      <c r="BB355" s="400"/>
      <c r="BC355" s="400"/>
      <c r="BD355" s="400"/>
      <c r="BE355" s="400"/>
      <c r="BF355" s="400"/>
      <c r="BG355" s="400"/>
      <c r="BH355" s="400"/>
      <c r="BI355" s="400"/>
      <c r="BJ355" s="400"/>
      <c r="BK355" s="400"/>
      <c r="BL355" s="400"/>
      <c r="BM355" s="400"/>
      <c r="BN355" s="400"/>
      <c r="BO355" s="400"/>
      <c r="BP355" s="400"/>
      <c r="BQ355" s="400"/>
      <c r="BR355" s="400"/>
      <c r="BS355" s="400"/>
      <c r="BT355" s="400"/>
      <c r="BU355" s="400"/>
      <c r="BV355" s="400"/>
      <c r="BW355" s="400"/>
      <c r="BX355" s="400"/>
      <c r="BY355" s="400"/>
      <c r="BZ355" s="400"/>
      <c r="CA355" s="400"/>
      <c r="CB355" s="400"/>
      <c r="CC355" s="400"/>
      <c r="CD355" s="400"/>
      <c r="CE355" s="400"/>
      <c r="CF355" s="400"/>
      <c r="CG355" s="400"/>
      <c r="CH355" s="400"/>
      <c r="CI355" s="400"/>
      <c r="CJ355" s="400"/>
      <c r="CK355" s="400"/>
      <c r="CL355" s="400"/>
      <c r="CM355" s="400"/>
      <c r="CN355" s="400"/>
      <c r="CO355" s="400"/>
      <c r="CP355" s="400"/>
      <c r="CQ355" s="400"/>
      <c r="CR355" s="400"/>
      <c r="CS355" s="400"/>
      <c r="CT355" s="400"/>
      <c r="CU355" s="400"/>
      <c r="CV355" s="400"/>
      <c r="CW355" s="400"/>
      <c r="CX355" s="400"/>
      <c r="CY355" s="400"/>
      <c r="CZ355" s="400"/>
      <c r="DA355" s="400"/>
      <c r="DB355" s="400"/>
      <c r="DC355" s="400"/>
      <c r="DD355" s="400"/>
      <c r="DE355" s="400"/>
      <c r="DF355" s="400"/>
      <c r="DG355" s="400"/>
      <c r="DH355" s="400"/>
      <c r="DI355" s="400"/>
      <c r="DJ355" s="400"/>
      <c r="DK355" s="400"/>
      <c r="DL355" s="400"/>
      <c r="DM355" s="400"/>
      <c r="DN355" s="400"/>
      <c r="DO355" s="400"/>
      <c r="DP355" s="400"/>
      <c r="DQ355" s="400"/>
      <c r="DR355" s="400"/>
      <c r="DS355" s="400"/>
      <c r="DT355" s="400"/>
      <c r="DU355" s="400"/>
      <c r="DV355" s="400"/>
      <c r="DW355" s="400"/>
      <c r="DX355" s="400"/>
      <c r="DY355" s="400"/>
      <c r="DZ355" s="400"/>
      <c r="EA355" s="400"/>
      <c r="EB355" s="400"/>
      <c r="EC355" s="400"/>
      <c r="ED355" s="400"/>
      <c r="EE355" s="400"/>
      <c r="EF355" s="400"/>
      <c r="EG355" s="400"/>
      <c r="EH355" s="400"/>
      <c r="EI355" s="400"/>
      <c r="EJ355" s="400"/>
      <c r="EK355" s="400"/>
      <c r="EL355" s="400"/>
      <c r="EM355" s="400"/>
      <c r="EN355" s="400"/>
      <c r="EO355" s="400"/>
      <c r="EP355" s="400"/>
      <c r="EQ355" s="400"/>
      <c r="ER355" s="400"/>
      <c r="ES355" s="400"/>
      <c r="ET355" s="400"/>
      <c r="EU355" s="400"/>
      <c r="EV355" s="400"/>
      <c r="EW355" s="400"/>
      <c r="EX355" s="400"/>
      <c r="EY355" s="400"/>
      <c r="EZ355" s="400"/>
      <c r="FA355" s="400"/>
      <c r="FB355" s="400"/>
      <c r="FC355" s="400"/>
      <c r="FD355" s="400"/>
      <c r="FE355" s="400"/>
      <c r="FF355" s="400"/>
      <c r="FG355" s="400"/>
      <c r="FH355" s="400"/>
      <c r="FI355" s="400"/>
      <c r="FJ355" s="400"/>
      <c r="FK355" s="400"/>
      <c r="FL355" s="400"/>
      <c r="FM355" s="400"/>
      <c r="FN355" s="400"/>
      <c r="FO355" s="400"/>
      <c r="FP355" s="400"/>
      <c r="FQ355" s="400"/>
      <c r="FR355" s="400"/>
      <c r="FS355" s="400"/>
      <c r="FT355" s="400"/>
      <c r="FU355" s="400"/>
      <c r="FV355" s="400"/>
      <c r="FW355" s="400"/>
      <c r="FX355" s="400"/>
      <c r="FY355" s="400"/>
      <c r="FZ355" s="400"/>
      <c r="GA355" s="400"/>
      <c r="GB355" s="400"/>
      <c r="GC355" s="400"/>
      <c r="GD355" s="400"/>
      <c r="GE355" s="400"/>
      <c r="GF355" s="400"/>
      <c r="GG355" s="400"/>
      <c r="GH355" s="400"/>
      <c r="GI355" s="400"/>
      <c r="GJ355" s="400"/>
      <c r="GK355" s="400"/>
      <c r="GL355" s="400"/>
      <c r="GM355" s="400"/>
      <c r="GN355" s="400"/>
      <c r="GO355" s="400"/>
      <c r="GP355" s="400"/>
      <c r="GQ355" s="400"/>
      <c r="GR355" s="400"/>
      <c r="GS355" s="400"/>
      <c r="GT355" s="400"/>
      <c r="GU355" s="400"/>
      <c r="GV355" s="400"/>
      <c r="GW355" s="400"/>
      <c r="GX355" s="400"/>
      <c r="GY355" s="400"/>
      <c r="GZ355" s="400"/>
      <c r="HA355" s="400"/>
      <c r="HB355" s="400"/>
      <c r="HC355" s="400"/>
      <c r="HD355" s="400"/>
      <c r="HE355" s="400"/>
      <c r="HF355" s="400"/>
      <c r="HG355" s="400"/>
      <c r="HH355" s="400"/>
      <c r="HI355" s="400"/>
      <c r="HJ355" s="400"/>
      <c r="HK355" s="400"/>
      <c r="HL355" s="400"/>
      <c r="HM355" s="400"/>
      <c r="HN355" s="400"/>
      <c r="HO355" s="400"/>
      <c r="HP355" s="400"/>
      <c r="HQ355" s="400"/>
      <c r="HR355" s="400"/>
      <c r="HS355" s="400"/>
      <c r="HT355" s="400"/>
      <c r="HU355" s="400"/>
      <c r="HV355" s="400"/>
      <c r="HW355" s="400"/>
      <c r="HX355" s="400"/>
      <c r="HY355" s="400"/>
      <c r="HZ355" s="400"/>
      <c r="IA355" s="400"/>
      <c r="IB355" s="400"/>
      <c r="IC355" s="400"/>
      <c r="ID355" s="400"/>
      <c r="IE355" s="400"/>
      <c r="IF355" s="400"/>
      <c r="IG355" s="400"/>
      <c r="IH355" s="400"/>
      <c r="II355" s="400"/>
      <c r="IJ355" s="400"/>
      <c r="IK355" s="400"/>
      <c r="IL355" s="400"/>
      <c r="IM355" s="400"/>
      <c r="IN355" s="400"/>
      <c r="IO355" s="400"/>
      <c r="IP355" s="400"/>
      <c r="IQ355" s="400"/>
      <c r="IR355" s="400"/>
      <c r="IS355" s="400"/>
      <c r="IT355" s="400"/>
      <c r="IU355" s="400"/>
      <c r="IV355" s="400"/>
    </row>
    <row r="356" spans="1:256" s="675" customFormat="1" ht="15" x14ac:dyDescent="0.25">
      <c r="A356" s="398"/>
      <c r="B356" s="398"/>
      <c r="C356" s="398"/>
      <c r="D356" s="652" t="s">
        <v>3</v>
      </c>
      <c r="E356" s="652"/>
      <c r="F356" s="652"/>
      <c r="G356" s="652"/>
      <c r="H356" s="652"/>
      <c r="I356" s="652"/>
      <c r="J356" s="654"/>
      <c r="K356" s="654"/>
      <c r="L356" s="654">
        <f>L355</f>
        <v>862961.44</v>
      </c>
      <c r="M356" s="399"/>
      <c r="N356" s="400"/>
      <c r="O356" s="400"/>
      <c r="P356" s="400"/>
      <c r="Q356" s="400"/>
      <c r="R356" s="400"/>
      <c r="S356" s="400"/>
      <c r="T356" s="400"/>
      <c r="U356" s="400"/>
      <c r="V356" s="400"/>
      <c r="W356" s="400"/>
      <c r="X356" s="400"/>
      <c r="Y356" s="400"/>
      <c r="Z356" s="400"/>
      <c r="AA356" s="400"/>
      <c r="AB356" s="400"/>
      <c r="AC356" s="400"/>
      <c r="AD356" s="400"/>
      <c r="AE356" s="400"/>
      <c r="AF356" s="400"/>
      <c r="AG356" s="400"/>
      <c r="AH356" s="400"/>
      <c r="AI356" s="400"/>
      <c r="AJ356" s="400"/>
      <c r="AK356" s="400"/>
      <c r="AL356" s="400"/>
      <c r="AM356" s="400"/>
      <c r="AN356" s="400"/>
      <c r="AO356" s="400"/>
      <c r="AP356" s="400"/>
      <c r="AQ356" s="400"/>
      <c r="AR356" s="400"/>
      <c r="AS356" s="400"/>
      <c r="AT356" s="400"/>
      <c r="AU356" s="400"/>
      <c r="AV356" s="400"/>
      <c r="AW356" s="400"/>
      <c r="AX356" s="400"/>
      <c r="AY356" s="400"/>
      <c r="AZ356" s="400"/>
      <c r="BA356" s="400"/>
      <c r="BB356" s="400"/>
      <c r="BC356" s="400"/>
      <c r="BD356" s="400"/>
      <c r="BE356" s="400"/>
      <c r="BF356" s="400"/>
      <c r="BG356" s="400"/>
      <c r="BH356" s="400"/>
      <c r="BI356" s="400"/>
      <c r="BJ356" s="400"/>
      <c r="BK356" s="400"/>
      <c r="BL356" s="400"/>
      <c r="BM356" s="400"/>
      <c r="BN356" s="400"/>
      <c r="BO356" s="400"/>
      <c r="BP356" s="400"/>
      <c r="BQ356" s="400"/>
      <c r="BR356" s="400"/>
      <c r="BS356" s="400"/>
      <c r="BT356" s="400"/>
      <c r="BU356" s="400"/>
      <c r="BV356" s="400"/>
      <c r="BW356" s="400"/>
      <c r="BX356" s="400"/>
      <c r="BY356" s="400"/>
      <c r="BZ356" s="400"/>
      <c r="CA356" s="400"/>
      <c r="CB356" s="400"/>
      <c r="CC356" s="400"/>
      <c r="CD356" s="400"/>
      <c r="CE356" s="400"/>
      <c r="CF356" s="400"/>
      <c r="CG356" s="400"/>
      <c r="CH356" s="400"/>
      <c r="CI356" s="400"/>
      <c r="CJ356" s="400"/>
      <c r="CK356" s="400"/>
      <c r="CL356" s="400"/>
      <c r="CM356" s="400"/>
      <c r="CN356" s="400"/>
      <c r="CO356" s="400"/>
      <c r="CP356" s="400"/>
      <c r="CQ356" s="400"/>
      <c r="CR356" s="400"/>
      <c r="CS356" s="400"/>
      <c r="CT356" s="400"/>
      <c r="CU356" s="400"/>
      <c r="CV356" s="400"/>
      <c r="CW356" s="400"/>
      <c r="CX356" s="400"/>
      <c r="CY356" s="400"/>
      <c r="CZ356" s="400"/>
      <c r="DA356" s="400"/>
      <c r="DB356" s="400"/>
      <c r="DC356" s="400"/>
      <c r="DD356" s="400"/>
      <c r="DE356" s="400"/>
      <c r="DF356" s="400"/>
      <c r="DG356" s="400"/>
      <c r="DH356" s="400"/>
      <c r="DI356" s="400"/>
      <c r="DJ356" s="400"/>
      <c r="DK356" s="400"/>
      <c r="DL356" s="400"/>
      <c r="DM356" s="400"/>
      <c r="DN356" s="400"/>
      <c r="DO356" s="400"/>
      <c r="DP356" s="400"/>
      <c r="DQ356" s="400"/>
      <c r="DR356" s="400"/>
      <c r="DS356" s="400"/>
      <c r="DT356" s="400"/>
      <c r="DU356" s="400"/>
      <c r="DV356" s="400"/>
      <c r="DW356" s="400"/>
      <c r="DX356" s="400"/>
      <c r="DY356" s="400"/>
      <c r="DZ356" s="400"/>
      <c r="EA356" s="400"/>
      <c r="EB356" s="400"/>
      <c r="EC356" s="400"/>
      <c r="ED356" s="400"/>
      <c r="EE356" s="400"/>
      <c r="EF356" s="400"/>
      <c r="EG356" s="400"/>
      <c r="EH356" s="400"/>
      <c r="EI356" s="400"/>
      <c r="EJ356" s="400"/>
      <c r="EK356" s="400"/>
      <c r="EL356" s="400"/>
      <c r="EM356" s="400"/>
      <c r="EN356" s="400"/>
      <c r="EO356" s="400"/>
      <c r="EP356" s="400"/>
      <c r="EQ356" s="400"/>
      <c r="ER356" s="400"/>
      <c r="ES356" s="400"/>
      <c r="ET356" s="400"/>
      <c r="EU356" s="400"/>
      <c r="EV356" s="400"/>
      <c r="EW356" s="400"/>
      <c r="EX356" s="400"/>
      <c r="EY356" s="400"/>
      <c r="EZ356" s="400"/>
      <c r="FA356" s="400"/>
      <c r="FB356" s="400"/>
      <c r="FC356" s="400"/>
      <c r="FD356" s="400"/>
      <c r="FE356" s="400"/>
      <c r="FF356" s="400"/>
      <c r="FG356" s="400"/>
      <c r="FH356" s="400"/>
      <c r="FI356" s="400"/>
      <c r="FJ356" s="400"/>
      <c r="FK356" s="400"/>
      <c r="FL356" s="400"/>
      <c r="FM356" s="400"/>
      <c r="FN356" s="400"/>
      <c r="FO356" s="400"/>
      <c r="FP356" s="400"/>
      <c r="FQ356" s="400"/>
      <c r="FR356" s="400"/>
      <c r="FS356" s="400"/>
      <c r="FT356" s="400"/>
      <c r="FU356" s="400"/>
      <c r="FV356" s="400"/>
      <c r="FW356" s="400"/>
      <c r="FX356" s="400"/>
      <c r="FY356" s="400"/>
      <c r="FZ356" s="400"/>
      <c r="GA356" s="400"/>
      <c r="GB356" s="400"/>
      <c r="GC356" s="400"/>
      <c r="GD356" s="400"/>
      <c r="GE356" s="400"/>
      <c r="GF356" s="400"/>
      <c r="GG356" s="400"/>
      <c r="GH356" s="400"/>
      <c r="GI356" s="400"/>
      <c r="GJ356" s="400"/>
      <c r="GK356" s="400"/>
      <c r="GL356" s="400"/>
      <c r="GM356" s="400"/>
      <c r="GN356" s="400"/>
      <c r="GO356" s="400"/>
      <c r="GP356" s="400"/>
      <c r="GQ356" s="400"/>
      <c r="GR356" s="400"/>
      <c r="GS356" s="400"/>
      <c r="GT356" s="400"/>
      <c r="GU356" s="400"/>
      <c r="GV356" s="400"/>
      <c r="GW356" s="400"/>
      <c r="GX356" s="400"/>
      <c r="GY356" s="400"/>
      <c r="GZ356" s="400"/>
      <c r="HA356" s="400"/>
      <c r="HB356" s="400"/>
      <c r="HC356" s="400"/>
      <c r="HD356" s="400"/>
      <c r="HE356" s="400"/>
      <c r="HF356" s="400"/>
      <c r="HG356" s="400"/>
      <c r="HH356" s="400"/>
      <c r="HI356" s="400"/>
      <c r="HJ356" s="400"/>
      <c r="HK356" s="400"/>
      <c r="HL356" s="400"/>
      <c r="HM356" s="400"/>
      <c r="HN356" s="400"/>
      <c r="HO356" s="400"/>
      <c r="HP356" s="400"/>
      <c r="HQ356" s="400"/>
      <c r="HR356" s="400"/>
      <c r="HS356" s="400"/>
      <c r="HT356" s="400"/>
      <c r="HU356" s="400"/>
      <c r="HV356" s="400"/>
      <c r="HW356" s="400"/>
      <c r="HX356" s="400"/>
      <c r="HY356" s="400"/>
      <c r="HZ356" s="400"/>
      <c r="IA356" s="400"/>
      <c r="IB356" s="400"/>
      <c r="IC356" s="400"/>
      <c r="ID356" s="400"/>
      <c r="IE356" s="400"/>
      <c r="IF356" s="400"/>
      <c r="IG356" s="400"/>
      <c r="IH356" s="400"/>
      <c r="II356" s="400"/>
      <c r="IJ356" s="400"/>
      <c r="IK356" s="400"/>
      <c r="IL356" s="400"/>
      <c r="IM356" s="400"/>
      <c r="IN356" s="400"/>
      <c r="IO356" s="400"/>
      <c r="IP356" s="400"/>
      <c r="IQ356" s="400"/>
      <c r="IR356" s="400"/>
      <c r="IS356" s="400"/>
      <c r="IT356" s="400"/>
      <c r="IU356" s="400"/>
      <c r="IV356" s="400"/>
    </row>
    <row r="357" spans="1:256" s="675" customFormat="1" ht="15" x14ac:dyDescent="0.25">
      <c r="A357" s="398"/>
      <c r="B357" s="398"/>
      <c r="C357" s="398"/>
      <c r="D357" s="652" t="s">
        <v>269</v>
      </c>
      <c r="E357" s="652"/>
      <c r="F357" s="652"/>
      <c r="G357" s="652"/>
      <c r="H357" s="652"/>
      <c r="I357" s="652"/>
      <c r="J357" s="654"/>
      <c r="K357" s="654"/>
      <c r="L357" s="654">
        <f>L347*0.925</f>
        <v>137755.69</v>
      </c>
      <c r="M357" s="399"/>
      <c r="N357" s="400"/>
      <c r="O357" s="400"/>
      <c r="P357" s="400"/>
      <c r="Q357" s="400"/>
      <c r="R357" s="400"/>
      <c r="S357" s="400"/>
      <c r="T357" s="400"/>
      <c r="U357" s="400"/>
      <c r="V357" s="400"/>
      <c r="W357" s="400"/>
      <c r="X357" s="400"/>
      <c r="Y357" s="400"/>
      <c r="Z357" s="400"/>
      <c r="AA357" s="400"/>
      <c r="AB357" s="400"/>
      <c r="AC357" s="400"/>
      <c r="AD357" s="400"/>
      <c r="AE357" s="400"/>
      <c r="AF357" s="400"/>
      <c r="AG357" s="400"/>
      <c r="AH357" s="400"/>
      <c r="AI357" s="400"/>
      <c r="AJ357" s="400"/>
      <c r="AK357" s="400"/>
      <c r="AL357" s="400"/>
      <c r="AM357" s="400"/>
      <c r="AN357" s="400"/>
      <c r="AO357" s="400"/>
      <c r="AP357" s="400"/>
      <c r="AQ357" s="400"/>
      <c r="AR357" s="400"/>
      <c r="AS357" s="400"/>
      <c r="AT357" s="400"/>
      <c r="AU357" s="400"/>
      <c r="AV357" s="400"/>
      <c r="AW357" s="400"/>
      <c r="AX357" s="400"/>
      <c r="AY357" s="400"/>
      <c r="AZ357" s="400"/>
      <c r="BA357" s="400"/>
      <c r="BB357" s="400"/>
      <c r="BC357" s="400"/>
      <c r="BD357" s="400"/>
      <c r="BE357" s="400"/>
      <c r="BF357" s="400"/>
      <c r="BG357" s="400"/>
      <c r="BH357" s="400"/>
      <c r="BI357" s="400"/>
      <c r="BJ357" s="400"/>
      <c r="BK357" s="400"/>
      <c r="BL357" s="400"/>
      <c r="BM357" s="400"/>
      <c r="BN357" s="400"/>
      <c r="BO357" s="400"/>
      <c r="BP357" s="400"/>
      <c r="BQ357" s="400"/>
      <c r="BR357" s="400"/>
      <c r="BS357" s="400"/>
      <c r="BT357" s="400"/>
      <c r="BU357" s="400"/>
      <c r="BV357" s="400"/>
      <c r="BW357" s="400"/>
      <c r="BX357" s="400"/>
      <c r="BY357" s="400"/>
      <c r="BZ357" s="400"/>
      <c r="CA357" s="400"/>
      <c r="CB357" s="400"/>
      <c r="CC357" s="400"/>
      <c r="CD357" s="400"/>
      <c r="CE357" s="400"/>
      <c r="CF357" s="400"/>
      <c r="CG357" s="400"/>
      <c r="CH357" s="400"/>
      <c r="CI357" s="400"/>
      <c r="CJ357" s="400"/>
      <c r="CK357" s="400"/>
      <c r="CL357" s="400"/>
      <c r="CM357" s="400"/>
      <c r="CN357" s="400"/>
      <c r="CO357" s="400"/>
      <c r="CP357" s="400"/>
      <c r="CQ357" s="400"/>
      <c r="CR357" s="400"/>
      <c r="CS357" s="400"/>
      <c r="CT357" s="400"/>
      <c r="CU357" s="400"/>
      <c r="CV357" s="400"/>
      <c r="CW357" s="400"/>
      <c r="CX357" s="400"/>
      <c r="CY357" s="400"/>
      <c r="CZ357" s="400"/>
      <c r="DA357" s="400"/>
      <c r="DB357" s="400"/>
      <c r="DC357" s="400"/>
      <c r="DD357" s="400"/>
      <c r="DE357" s="400"/>
      <c r="DF357" s="400"/>
      <c r="DG357" s="400"/>
      <c r="DH357" s="400"/>
      <c r="DI357" s="400"/>
      <c r="DJ357" s="400"/>
      <c r="DK357" s="400"/>
      <c r="DL357" s="400"/>
      <c r="DM357" s="400"/>
      <c r="DN357" s="400"/>
      <c r="DO357" s="400"/>
      <c r="DP357" s="400"/>
      <c r="DQ357" s="400"/>
      <c r="DR357" s="400"/>
      <c r="DS357" s="400"/>
      <c r="DT357" s="400"/>
      <c r="DU357" s="400"/>
      <c r="DV357" s="400"/>
      <c r="DW357" s="400"/>
      <c r="DX357" s="400"/>
      <c r="DY357" s="400"/>
      <c r="DZ357" s="400"/>
      <c r="EA357" s="400"/>
      <c r="EB357" s="400"/>
      <c r="EC357" s="400"/>
      <c r="ED357" s="400"/>
      <c r="EE357" s="400"/>
      <c r="EF357" s="400"/>
      <c r="EG357" s="400"/>
      <c r="EH357" s="400"/>
      <c r="EI357" s="400"/>
      <c r="EJ357" s="400"/>
      <c r="EK357" s="400"/>
      <c r="EL357" s="400"/>
      <c r="EM357" s="400"/>
      <c r="EN357" s="400"/>
      <c r="EO357" s="400"/>
      <c r="EP357" s="400"/>
      <c r="EQ357" s="400"/>
      <c r="ER357" s="400"/>
      <c r="ES357" s="400"/>
      <c r="ET357" s="400"/>
      <c r="EU357" s="400"/>
      <c r="EV357" s="400"/>
      <c r="EW357" s="400"/>
      <c r="EX357" s="400"/>
      <c r="EY357" s="400"/>
      <c r="EZ357" s="400"/>
      <c r="FA357" s="400"/>
      <c r="FB357" s="400"/>
      <c r="FC357" s="400"/>
      <c r="FD357" s="400"/>
      <c r="FE357" s="400"/>
      <c r="FF357" s="400"/>
      <c r="FG357" s="400"/>
      <c r="FH357" s="400"/>
      <c r="FI357" s="400"/>
      <c r="FJ357" s="400"/>
      <c r="FK357" s="400"/>
      <c r="FL357" s="400"/>
      <c r="FM357" s="400"/>
      <c r="FN357" s="400"/>
      <c r="FO357" s="400"/>
      <c r="FP357" s="400"/>
      <c r="FQ357" s="400"/>
      <c r="FR357" s="400"/>
      <c r="FS357" s="400"/>
      <c r="FT357" s="400"/>
      <c r="FU357" s="400"/>
      <c r="FV357" s="400"/>
      <c r="FW357" s="400"/>
      <c r="FX357" s="400"/>
      <c r="FY357" s="400"/>
      <c r="FZ357" s="400"/>
      <c r="GA357" s="400"/>
      <c r="GB357" s="400"/>
      <c r="GC357" s="400"/>
      <c r="GD357" s="400"/>
      <c r="GE357" s="400"/>
      <c r="GF357" s="400"/>
      <c r="GG357" s="400"/>
      <c r="GH357" s="400"/>
      <c r="GI357" s="400"/>
      <c r="GJ357" s="400"/>
      <c r="GK357" s="400"/>
      <c r="GL357" s="400"/>
      <c r="GM357" s="400"/>
      <c r="GN357" s="400"/>
      <c r="GO357" s="400"/>
      <c r="GP357" s="400"/>
      <c r="GQ357" s="400"/>
      <c r="GR357" s="400"/>
      <c r="GS357" s="400"/>
      <c r="GT357" s="400"/>
      <c r="GU357" s="400"/>
      <c r="GV357" s="400"/>
      <c r="GW357" s="400"/>
      <c r="GX357" s="400"/>
      <c r="GY357" s="400"/>
      <c r="GZ357" s="400"/>
      <c r="HA357" s="400"/>
      <c r="HB357" s="400"/>
      <c r="HC357" s="400"/>
      <c r="HD357" s="400"/>
      <c r="HE357" s="400"/>
      <c r="HF357" s="400"/>
      <c r="HG357" s="400"/>
      <c r="HH357" s="400"/>
      <c r="HI357" s="400"/>
      <c r="HJ357" s="400"/>
      <c r="HK357" s="400"/>
      <c r="HL357" s="400"/>
      <c r="HM357" s="400"/>
      <c r="HN357" s="400"/>
      <c r="HO357" s="400"/>
      <c r="HP357" s="400"/>
      <c r="HQ357" s="400"/>
      <c r="HR357" s="400"/>
      <c r="HS357" s="400"/>
      <c r="HT357" s="400"/>
      <c r="HU357" s="400"/>
      <c r="HV357" s="400"/>
      <c r="HW357" s="400"/>
      <c r="HX357" s="400"/>
      <c r="HY357" s="400"/>
      <c r="HZ357" s="400"/>
      <c r="IA357" s="400"/>
      <c r="IB357" s="400"/>
      <c r="IC357" s="400"/>
      <c r="ID357" s="400"/>
      <c r="IE357" s="400"/>
      <c r="IF357" s="400"/>
      <c r="IG357" s="400"/>
      <c r="IH357" s="400"/>
      <c r="II357" s="400"/>
      <c r="IJ357" s="400"/>
      <c r="IK357" s="400"/>
      <c r="IL357" s="400"/>
      <c r="IM357" s="400"/>
      <c r="IN357" s="400"/>
      <c r="IO357" s="400"/>
      <c r="IP357" s="400"/>
      <c r="IQ357" s="400"/>
      <c r="IR357" s="400"/>
      <c r="IS357" s="400"/>
      <c r="IT357" s="400"/>
      <c r="IU357" s="400"/>
      <c r="IV357" s="400"/>
    </row>
    <row r="358" spans="1:256" s="675" customFormat="1" ht="15" x14ac:dyDescent="0.25">
      <c r="A358" s="398"/>
      <c r="B358" s="398"/>
      <c r="C358" s="398"/>
      <c r="D358" s="652" t="s">
        <v>597</v>
      </c>
      <c r="E358" s="652"/>
      <c r="F358" s="652"/>
      <c r="G358" s="652"/>
      <c r="H358" s="652"/>
      <c r="I358" s="652"/>
      <c r="J358" s="654"/>
      <c r="K358" s="654"/>
      <c r="L358" s="654">
        <f>L348*0.925</f>
        <v>523911.39</v>
      </c>
      <c r="M358" s="399"/>
    </row>
    <row r="359" spans="1:256" s="675" customFormat="1" ht="15" x14ac:dyDescent="0.25">
      <c r="A359" s="398"/>
      <c r="B359" s="398"/>
      <c r="C359" s="398"/>
      <c r="D359" s="655" t="s">
        <v>323</v>
      </c>
      <c r="E359" s="652"/>
      <c r="F359" s="652"/>
      <c r="G359" s="652"/>
      <c r="H359" s="652"/>
      <c r="I359" s="652"/>
      <c r="J359" s="656"/>
      <c r="K359" s="654"/>
      <c r="L359" s="656">
        <v>0</v>
      </c>
      <c r="M359" s="399"/>
    </row>
    <row r="360" spans="1:256" s="675" customFormat="1" ht="15" x14ac:dyDescent="0.25">
      <c r="A360" s="398"/>
      <c r="B360" s="398"/>
      <c r="C360" s="398"/>
      <c r="D360" s="652" t="s">
        <v>598</v>
      </c>
      <c r="E360" s="652"/>
      <c r="F360" s="652"/>
      <c r="G360" s="652"/>
      <c r="H360" s="652"/>
      <c r="I360" s="652"/>
      <c r="J360" s="654"/>
      <c r="K360" s="654"/>
      <c r="L360" s="654">
        <f>L357*0.15</f>
        <v>20663.349999999999</v>
      </c>
      <c r="M360" s="399"/>
    </row>
    <row r="361" spans="1:256" s="675" customFormat="1" ht="14.25" x14ac:dyDescent="0.2">
      <c r="A361" s="398"/>
      <c r="B361" s="398"/>
      <c r="C361" s="398"/>
      <c r="D361" s="651" t="s">
        <v>599</v>
      </c>
      <c r="E361" s="657"/>
      <c r="F361" s="657"/>
      <c r="G361" s="657"/>
      <c r="H361" s="657"/>
      <c r="I361" s="657"/>
      <c r="J361" s="653"/>
      <c r="K361" s="657"/>
      <c r="L361" s="653">
        <f>L360+L355</f>
        <v>883624.79</v>
      </c>
      <c r="M361" s="399"/>
    </row>
    <row r="362" spans="1:256" s="675" customFormat="1" ht="15" x14ac:dyDescent="0.25">
      <c r="A362" s="398"/>
      <c r="B362" s="398"/>
      <c r="C362" s="398"/>
      <c r="D362" s="658"/>
      <c r="E362" s="658"/>
      <c r="F362" s="658"/>
      <c r="G362" s="658"/>
      <c r="H362" s="658"/>
      <c r="I362" s="658"/>
      <c r="J362" s="658"/>
      <c r="K362" s="658"/>
      <c r="L362" s="658"/>
      <c r="M362" s="399"/>
    </row>
    <row r="363" spans="1:256" s="675" customFormat="1" ht="15" x14ac:dyDescent="0.25">
      <c r="A363" s="398"/>
      <c r="B363" s="398"/>
      <c r="C363" s="398"/>
      <c r="D363" s="658"/>
      <c r="E363" s="658"/>
      <c r="F363" s="658"/>
      <c r="G363" s="658"/>
      <c r="H363" s="658"/>
      <c r="I363" s="658"/>
      <c r="J363" s="658"/>
      <c r="K363" s="658"/>
      <c r="L363" s="658"/>
      <c r="M363" s="399"/>
    </row>
    <row r="364" spans="1:256" s="675" customFormat="1" ht="14.25" x14ac:dyDescent="0.2">
      <c r="A364" s="398"/>
      <c r="B364" s="398"/>
      <c r="C364" s="398"/>
      <c r="D364" s="659"/>
      <c r="E364" s="660"/>
      <c r="F364" s="660"/>
      <c r="G364" s="660"/>
      <c r="H364" s="660"/>
      <c r="I364" s="661"/>
      <c r="J364" s="662"/>
      <c r="K364" s="663"/>
      <c r="L364" s="662"/>
      <c r="M364" s="399"/>
    </row>
    <row r="365" spans="1:256" s="675" customFormat="1" ht="15" x14ac:dyDescent="0.25">
      <c r="A365" s="398"/>
      <c r="B365" s="398"/>
      <c r="C365" s="398"/>
      <c r="D365" s="664"/>
      <c r="E365" s="665"/>
      <c r="F365" s="665"/>
      <c r="G365" s="665"/>
      <c r="H365" s="665"/>
      <c r="I365" s="666"/>
      <c r="J365" s="667"/>
      <c r="K365" s="668"/>
      <c r="L365" s="667"/>
      <c r="M365" s="399"/>
    </row>
    <row r="366" spans="1:256" s="675" customFormat="1" ht="15" x14ac:dyDescent="0.25">
      <c r="A366" s="398"/>
      <c r="B366" s="398"/>
      <c r="C366" s="398"/>
      <c r="D366" s="664"/>
      <c r="E366" s="665"/>
      <c r="F366" s="665"/>
      <c r="G366" s="665"/>
      <c r="H366" s="665"/>
      <c r="I366" s="666"/>
      <c r="J366" s="667"/>
      <c r="K366" s="669"/>
      <c r="L366" s="667"/>
      <c r="M366" s="399"/>
    </row>
    <row r="367" spans="1:256" s="675" customFormat="1" ht="15" x14ac:dyDescent="0.25">
      <c r="A367" s="398"/>
      <c r="B367" s="398"/>
      <c r="C367" s="398"/>
      <c r="D367" s="664"/>
      <c r="E367" s="665"/>
      <c r="F367" s="665"/>
      <c r="G367" s="665"/>
      <c r="H367" s="665"/>
      <c r="I367" s="666"/>
      <c r="J367" s="667"/>
      <c r="K367" s="667"/>
      <c r="L367" s="667"/>
      <c r="M367" s="399"/>
    </row>
    <row r="368" spans="1:256" s="675" customFormat="1" ht="15" x14ac:dyDescent="0.25">
      <c r="A368" s="398"/>
      <c r="B368" s="398"/>
      <c r="C368" s="398"/>
      <c r="D368" s="664"/>
      <c r="E368" s="665"/>
      <c r="F368" s="665"/>
      <c r="G368" s="665"/>
      <c r="H368" s="665"/>
      <c r="I368" s="666"/>
      <c r="J368" s="670"/>
      <c r="K368" s="670"/>
      <c r="L368" s="670"/>
      <c r="M368" s="399"/>
    </row>
  </sheetData>
  <mergeCells count="163">
    <mergeCell ref="D354:H354"/>
    <mergeCell ref="I354:J354"/>
    <mergeCell ref="K354:L354"/>
    <mergeCell ref="D351:H351"/>
    <mergeCell ref="D352:H352"/>
    <mergeCell ref="D353:H353"/>
    <mergeCell ref="K343:L343"/>
    <mergeCell ref="I343:J343"/>
    <mergeCell ref="I327:J327"/>
    <mergeCell ref="K327:L327"/>
    <mergeCell ref="I329:J329"/>
    <mergeCell ref="K329:L329"/>
    <mergeCell ref="I331:J331"/>
    <mergeCell ref="K331:L331"/>
    <mergeCell ref="I333:J333"/>
    <mergeCell ref="K333:L333"/>
    <mergeCell ref="D350:H350"/>
    <mergeCell ref="A335:H335"/>
    <mergeCell ref="I335:J335"/>
    <mergeCell ref="K335:L335"/>
    <mergeCell ref="K340:L340"/>
    <mergeCell ref="K341:L341"/>
    <mergeCell ref="K342:L342"/>
    <mergeCell ref="A340:H340"/>
    <mergeCell ref="I340:J340"/>
    <mergeCell ref="I341:J341"/>
    <mergeCell ref="I342:J342"/>
    <mergeCell ref="I203:J203"/>
    <mergeCell ref="K203:L203"/>
    <mergeCell ref="I214:J214"/>
    <mergeCell ref="K214:L214"/>
    <mergeCell ref="I219:J219"/>
    <mergeCell ref="K219:L219"/>
    <mergeCell ref="I232:J232"/>
    <mergeCell ref="K232:L232"/>
    <mergeCell ref="I237:J237"/>
    <mergeCell ref="K237:L237"/>
    <mergeCell ref="I221:J221"/>
    <mergeCell ref="K221:L221"/>
    <mergeCell ref="I293:J293"/>
    <mergeCell ref="K293:L293"/>
    <mergeCell ref="I322:J322"/>
    <mergeCell ref="K322:L322"/>
    <mergeCell ref="I311:J311"/>
    <mergeCell ref="K311:L311"/>
    <mergeCell ref="I309:J309"/>
    <mergeCell ref="K309:L309"/>
    <mergeCell ref="I275:J275"/>
    <mergeCell ref="I167:J167"/>
    <mergeCell ref="K167:L167"/>
    <mergeCell ref="I178:J178"/>
    <mergeCell ref="K178:L178"/>
    <mergeCell ref="I183:J183"/>
    <mergeCell ref="K183:L183"/>
    <mergeCell ref="I196:J196"/>
    <mergeCell ref="K196:L196"/>
    <mergeCell ref="I201:J201"/>
    <mergeCell ref="K201:L201"/>
    <mergeCell ref="I89:J89"/>
    <mergeCell ref="K89:L89"/>
    <mergeCell ref="I99:J99"/>
    <mergeCell ref="K99:L99"/>
    <mergeCell ref="I104:J104"/>
    <mergeCell ref="K104:L104"/>
    <mergeCell ref="I106:J106"/>
    <mergeCell ref="K106:L106"/>
    <mergeCell ref="I108:J108"/>
    <mergeCell ref="K108:L108"/>
    <mergeCell ref="A16:L16"/>
    <mergeCell ref="I28:J28"/>
    <mergeCell ref="K28:L28"/>
    <mergeCell ref="I33:J33"/>
    <mergeCell ref="K33:L33"/>
    <mergeCell ref="I35:J35"/>
    <mergeCell ref="K35:L35"/>
    <mergeCell ref="A2:L2"/>
    <mergeCell ref="A8:L8"/>
    <mergeCell ref="A9:B9"/>
    <mergeCell ref="C9:C14"/>
    <mergeCell ref="D9:D14"/>
    <mergeCell ref="E9:E14"/>
    <mergeCell ref="F9:F14"/>
    <mergeCell ref="G9:G14"/>
    <mergeCell ref="H9:H14"/>
    <mergeCell ref="I9:I14"/>
    <mergeCell ref="J9:J14"/>
    <mergeCell ref="K9:K14"/>
    <mergeCell ref="L9:L14"/>
    <mergeCell ref="A10:A14"/>
    <mergeCell ref="B10:B14"/>
    <mergeCell ref="I37:J37"/>
    <mergeCell ref="K37:L37"/>
    <mergeCell ref="I47:J47"/>
    <mergeCell ref="K47:L47"/>
    <mergeCell ref="I52:J52"/>
    <mergeCell ref="K52:L52"/>
    <mergeCell ref="I77:J77"/>
    <mergeCell ref="K77:L77"/>
    <mergeCell ref="I75:J75"/>
    <mergeCell ref="K75:L75"/>
    <mergeCell ref="I54:J54"/>
    <mergeCell ref="K54:L54"/>
    <mergeCell ref="I56:J56"/>
    <mergeCell ref="K56:L56"/>
    <mergeCell ref="I66:J66"/>
    <mergeCell ref="K66:L66"/>
    <mergeCell ref="I71:J71"/>
    <mergeCell ref="K71:L71"/>
    <mergeCell ref="I73:J73"/>
    <mergeCell ref="K73:L73"/>
    <mergeCell ref="I79:J79"/>
    <mergeCell ref="K79:L79"/>
    <mergeCell ref="I81:J81"/>
    <mergeCell ref="K81:L81"/>
    <mergeCell ref="I83:J83"/>
    <mergeCell ref="K83:L83"/>
    <mergeCell ref="I85:J85"/>
    <mergeCell ref="K85:L85"/>
    <mergeCell ref="I87:J87"/>
    <mergeCell ref="K87:L87"/>
    <mergeCell ref="I110:J110"/>
    <mergeCell ref="K110:L110"/>
    <mergeCell ref="I112:J112"/>
    <mergeCell ref="K112:L112"/>
    <mergeCell ref="I127:J127"/>
    <mergeCell ref="K127:L127"/>
    <mergeCell ref="I149:J149"/>
    <mergeCell ref="K149:L149"/>
    <mergeCell ref="I185:J185"/>
    <mergeCell ref="K185:L185"/>
    <mergeCell ref="I122:J122"/>
    <mergeCell ref="K122:L122"/>
    <mergeCell ref="I129:J129"/>
    <mergeCell ref="K129:L129"/>
    <mergeCell ref="I131:J131"/>
    <mergeCell ref="K131:L131"/>
    <mergeCell ref="I142:J142"/>
    <mergeCell ref="K142:L142"/>
    <mergeCell ref="I147:J147"/>
    <mergeCell ref="K147:L147"/>
    <mergeCell ref="I160:J160"/>
    <mergeCell ref="K160:L160"/>
    <mergeCell ref="I165:J165"/>
    <mergeCell ref="K165:L165"/>
    <mergeCell ref="K275:L275"/>
    <mergeCell ref="I286:J286"/>
    <mergeCell ref="K286:L286"/>
    <mergeCell ref="I291:J291"/>
    <mergeCell ref="K291:L291"/>
    <mergeCell ref="I304:J304"/>
    <mergeCell ref="K304:L304"/>
    <mergeCell ref="I239:J239"/>
    <mergeCell ref="K239:L239"/>
    <mergeCell ref="I250:J250"/>
    <mergeCell ref="K250:L250"/>
    <mergeCell ref="I255:J255"/>
    <mergeCell ref="K255:L255"/>
    <mergeCell ref="I268:J268"/>
    <mergeCell ref="K268:L268"/>
    <mergeCell ref="I273:J273"/>
    <mergeCell ref="K273:L273"/>
    <mergeCell ref="I257:J257"/>
    <mergeCell ref="K257:L257"/>
  </mergeCells>
  <pageMargins left="0.78740157480314965" right="0" top="0.39370078740157483" bottom="0.39370078740157483" header="0.31496062992125984" footer="0.31496062992125984"/>
  <pageSetup paperSize="9" scale="57" firstPageNumber="16" fitToHeight="0" orientation="portrait" blackAndWhite="1" useFirstPageNumber="1" r:id="rId1"/>
  <headerFooter>
    <oddFooter>&amp;R&amp;P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IV165"/>
  <sheetViews>
    <sheetView view="pageBreakPreview" topLeftCell="A127" zoomScale="60" zoomScaleNormal="55" workbookViewId="0">
      <selection activeCell="F18" sqref="F18"/>
    </sheetView>
  </sheetViews>
  <sheetFormatPr defaultRowHeight="11.25" x14ac:dyDescent="0.2"/>
  <cols>
    <col min="1" max="1" width="10.5" style="718" customWidth="1"/>
    <col min="2" max="2" width="6.6640625" style="718" customWidth="1"/>
    <col min="3" max="3" width="13.6640625" style="718" customWidth="1"/>
    <col min="4" max="4" width="47.5" style="718" customWidth="1"/>
    <col min="5" max="5" width="13.6640625" style="718" customWidth="1"/>
    <col min="6" max="6" width="10.1640625" style="718" bestFit="1" customWidth="1"/>
    <col min="7" max="7" width="20" style="718" customWidth="1"/>
    <col min="8" max="8" width="16.5" style="718" customWidth="1"/>
    <col min="9" max="9" width="14.6640625" style="718" customWidth="1"/>
    <col min="10" max="10" width="15.83203125" style="718" customWidth="1"/>
    <col min="11" max="11" width="12.6640625" style="718" bestFit="1" customWidth="1"/>
    <col min="12" max="12" width="18" style="718" customWidth="1"/>
    <col min="13" max="13" width="13.6640625" style="718" customWidth="1"/>
    <col min="14" max="35" width="0" style="718" hidden="1" customWidth="1"/>
    <col min="36" max="36" width="106.1640625" style="718" hidden="1" customWidth="1"/>
    <col min="37" max="37" width="157.1640625" style="718" hidden="1" customWidth="1"/>
    <col min="38" max="38" width="117.83203125" style="718" hidden="1" customWidth="1"/>
    <col min="39" max="42" width="0" style="718" hidden="1" customWidth="1"/>
    <col min="43" max="16384" width="9.33203125" style="718"/>
  </cols>
  <sheetData>
    <row r="1" spans="1:37" ht="18.75" x14ac:dyDescent="0.3">
      <c r="A1" s="1052" t="s">
        <v>695</v>
      </c>
      <c r="B1" s="1052"/>
      <c r="C1" s="1052"/>
      <c r="D1" s="1052"/>
      <c r="E1" s="1052"/>
      <c r="F1" s="1052"/>
      <c r="G1" s="1052"/>
      <c r="H1" s="1052"/>
      <c r="I1" s="1052"/>
      <c r="J1" s="1052"/>
      <c r="K1" s="1052"/>
      <c r="L1" s="1052"/>
    </row>
    <row r="2" spans="1:37" ht="18.75" x14ac:dyDescent="0.3">
      <c r="A2" s="686"/>
      <c r="B2" s="686"/>
      <c r="C2" s="686"/>
      <c r="D2" s="686"/>
      <c r="E2" s="686"/>
      <c r="F2" s="686"/>
      <c r="G2" s="686"/>
      <c r="H2" s="686"/>
      <c r="I2" s="686"/>
      <c r="J2" s="686"/>
      <c r="K2" s="686"/>
      <c r="L2" s="686"/>
    </row>
    <row r="3" spans="1:37" ht="18.75" x14ac:dyDescent="0.3">
      <c r="A3" s="686"/>
      <c r="B3" s="686"/>
      <c r="C3" s="753" t="s">
        <v>516</v>
      </c>
      <c r="D3" s="753"/>
      <c r="E3" s="753"/>
      <c r="F3" s="753"/>
      <c r="G3" s="753"/>
      <c r="H3" s="686"/>
      <c r="I3" s="686"/>
      <c r="J3" s="686"/>
      <c r="K3" s="686"/>
      <c r="L3" s="686"/>
    </row>
    <row r="4" spans="1:37" ht="18.75" x14ac:dyDescent="0.3">
      <c r="A4" s="686"/>
      <c r="B4" s="686"/>
      <c r="C4" s="753" t="s">
        <v>591</v>
      </c>
      <c r="D4" s="753"/>
      <c r="E4" s="753"/>
      <c r="F4" s="753"/>
      <c r="G4" s="753"/>
      <c r="H4" s="686"/>
      <c r="I4" s="686"/>
      <c r="J4" s="686"/>
      <c r="K4" s="686"/>
      <c r="L4" s="686"/>
    </row>
    <row r="5" spans="1:37" ht="18.75" x14ac:dyDescent="0.3">
      <c r="A5" s="686"/>
      <c r="B5" s="686"/>
      <c r="C5" s="753"/>
      <c r="D5" s="753"/>
      <c r="E5" s="753"/>
      <c r="F5" s="753"/>
      <c r="G5" s="753"/>
      <c r="H5" s="686"/>
      <c r="I5" s="686"/>
      <c r="J5" s="686"/>
      <c r="K5" s="686"/>
      <c r="L5" s="686"/>
    </row>
    <row r="6" spans="1:37" ht="41.25" customHeight="1" x14ac:dyDescent="0.3">
      <c r="A6" s="686"/>
      <c r="B6" s="686"/>
      <c r="C6" s="1084" t="s">
        <v>517</v>
      </c>
      <c r="D6" s="1084"/>
      <c r="E6" s="1084"/>
      <c r="F6" s="1084"/>
      <c r="G6" s="1084"/>
      <c r="H6" s="686"/>
      <c r="I6" s="686"/>
      <c r="J6" s="686"/>
      <c r="K6" s="686"/>
      <c r="L6" s="686"/>
    </row>
    <row r="7" spans="1:37" ht="15" x14ac:dyDescent="0.25">
      <c r="A7" s="727" t="s">
        <v>587</v>
      </c>
      <c r="B7" s="727"/>
      <c r="C7" s="727"/>
      <c r="D7" s="727"/>
      <c r="E7" s="727"/>
      <c r="F7" s="727"/>
      <c r="G7" s="727"/>
      <c r="H7" s="754"/>
      <c r="I7" s="754"/>
      <c r="J7" s="727"/>
      <c r="K7" s="727"/>
      <c r="L7" s="727"/>
      <c r="AK7" s="718" t="s">
        <v>537</v>
      </c>
    </row>
    <row r="8" spans="1:37" ht="15" x14ac:dyDescent="0.2">
      <c r="A8" s="1065" t="s">
        <v>67</v>
      </c>
      <c r="B8" s="1065"/>
      <c r="C8" s="1065" t="s">
        <v>68</v>
      </c>
      <c r="D8" s="1065" t="s">
        <v>69</v>
      </c>
      <c r="E8" s="1065" t="s">
        <v>70</v>
      </c>
      <c r="F8" s="1065" t="s">
        <v>457</v>
      </c>
      <c r="G8" s="1065" t="s">
        <v>458</v>
      </c>
      <c r="H8" s="1062" t="s">
        <v>459</v>
      </c>
      <c r="I8" s="1062" t="s">
        <v>460</v>
      </c>
      <c r="J8" s="1065" t="s">
        <v>461</v>
      </c>
      <c r="K8" s="1065" t="s">
        <v>462</v>
      </c>
      <c r="L8" s="1065" t="s">
        <v>463</v>
      </c>
    </row>
    <row r="9" spans="1:37" x14ac:dyDescent="0.2">
      <c r="A9" s="1062" t="s">
        <v>78</v>
      </c>
      <c r="B9" s="1062" t="s">
        <v>79</v>
      </c>
      <c r="C9" s="1065"/>
      <c r="D9" s="1065"/>
      <c r="E9" s="1065"/>
      <c r="F9" s="1065"/>
      <c r="G9" s="1065"/>
      <c r="H9" s="1063"/>
      <c r="I9" s="1063"/>
      <c r="J9" s="1065"/>
      <c r="K9" s="1065"/>
      <c r="L9" s="1065"/>
    </row>
    <row r="10" spans="1:37" x14ac:dyDescent="0.2">
      <c r="A10" s="1063"/>
      <c r="B10" s="1063"/>
      <c r="C10" s="1065"/>
      <c r="D10" s="1065"/>
      <c r="E10" s="1065"/>
      <c r="F10" s="1065"/>
      <c r="G10" s="1065"/>
      <c r="H10" s="1063"/>
      <c r="I10" s="1063"/>
      <c r="J10" s="1065"/>
      <c r="K10" s="1065"/>
      <c r="L10" s="1065"/>
    </row>
    <row r="11" spans="1:37" x14ac:dyDescent="0.2">
      <c r="A11" s="1063"/>
      <c r="B11" s="1063"/>
      <c r="C11" s="1065"/>
      <c r="D11" s="1065"/>
      <c r="E11" s="1065"/>
      <c r="F11" s="1065"/>
      <c r="G11" s="1065"/>
      <c r="H11" s="1063"/>
      <c r="I11" s="1063"/>
      <c r="J11" s="1065"/>
      <c r="K11" s="1065"/>
      <c r="L11" s="1065"/>
    </row>
    <row r="12" spans="1:37" x14ac:dyDescent="0.2">
      <c r="A12" s="1063"/>
      <c r="B12" s="1063"/>
      <c r="C12" s="1065"/>
      <c r="D12" s="1065"/>
      <c r="E12" s="1065"/>
      <c r="F12" s="1065"/>
      <c r="G12" s="1065"/>
      <c r="H12" s="1063"/>
      <c r="I12" s="1063"/>
      <c r="J12" s="1065"/>
      <c r="K12" s="1065"/>
      <c r="L12" s="1065"/>
    </row>
    <row r="13" spans="1:37" x14ac:dyDescent="0.2">
      <c r="A13" s="1064"/>
      <c r="B13" s="1064"/>
      <c r="C13" s="1065"/>
      <c r="D13" s="1065"/>
      <c r="E13" s="1065"/>
      <c r="F13" s="1065"/>
      <c r="G13" s="1065"/>
      <c r="H13" s="1064"/>
      <c r="I13" s="1064"/>
      <c r="J13" s="1065"/>
      <c r="K13" s="1065"/>
      <c r="L13" s="1065"/>
    </row>
    <row r="14" spans="1:37" ht="15" x14ac:dyDescent="0.2">
      <c r="A14" s="689">
        <v>1</v>
      </c>
      <c r="B14" s="689">
        <v>2</v>
      </c>
      <c r="C14" s="689">
        <v>3</v>
      </c>
      <c r="D14" s="689">
        <v>4</v>
      </c>
      <c r="E14" s="689">
        <v>5</v>
      </c>
      <c r="F14" s="689">
        <v>6</v>
      </c>
      <c r="G14" s="689">
        <v>7</v>
      </c>
      <c r="H14" s="689">
        <v>8</v>
      </c>
      <c r="I14" s="689">
        <v>9</v>
      </c>
      <c r="J14" s="689">
        <v>10</v>
      </c>
      <c r="K14" s="689">
        <v>11</v>
      </c>
      <c r="L14" s="689">
        <v>12</v>
      </c>
    </row>
    <row r="15" spans="1:37" ht="16.5" x14ac:dyDescent="0.25">
      <c r="A15" s="1066" t="str">
        <f>CONCATENATE("Подраздел: ",IF([97]Source!G1016&lt;&gt;"Новый подраздел", [97]Source!G1016, ""))</f>
        <v>Подраздел: В2-35</v>
      </c>
      <c r="B15" s="1066"/>
      <c r="C15" s="1066"/>
      <c r="D15" s="1066"/>
      <c r="E15" s="1066"/>
      <c r="F15" s="1066"/>
      <c r="G15" s="1066"/>
      <c r="H15" s="1066"/>
      <c r="I15" s="1066"/>
      <c r="J15" s="1066"/>
      <c r="K15" s="1066"/>
      <c r="L15" s="1066"/>
    </row>
    <row r="16" spans="1:37" ht="66.599999999999994" customHeight="1" x14ac:dyDescent="0.25">
      <c r="A16" s="691">
        <v>1</v>
      </c>
      <c r="B16" s="691" t="str">
        <f>[97]Source!E1122</f>
        <v>134</v>
      </c>
      <c r="C16" s="692" t="str">
        <f>[97]Source!F1122</f>
        <v>3.20-12-6</v>
      </c>
      <c r="D16" s="692" t="s">
        <v>527</v>
      </c>
      <c r="E16" s="693" t="str">
        <f>[97]Source!H1122</f>
        <v>1  ШТ.</v>
      </c>
      <c r="F16" s="694">
        <f>[97]Source!I1122</f>
        <v>8</v>
      </c>
      <c r="G16" s="695"/>
      <c r="H16" s="696"/>
      <c r="I16" s="694"/>
      <c r="J16" s="697"/>
      <c r="K16" s="694"/>
      <c r="L16" s="697"/>
      <c r="Q16" s="718">
        <f>ROUND(([97]Source!DN1122/100)*ROUND((ROUND(([97]Source!AF1122*[97]Source!AV1122*[97]Source!I1122),2)),2), 2)</f>
        <v>222.2</v>
      </c>
      <c r="R16" s="718">
        <f>[97]Source!X1122</f>
        <v>4307.12</v>
      </c>
      <c r="S16" s="718">
        <f>ROUND(([97]Source!DO1122/100)*ROUND((ROUND(([97]Source!AF1122*[97]Source!AV1122*[97]Source!I1122),2)),2), 2)</f>
        <v>167.09</v>
      </c>
      <c r="T16" s="718">
        <f>[97]Source!Y1122</f>
        <v>1938.2</v>
      </c>
      <c r="U16" s="718">
        <f>ROUND((175/100)*ROUND((ROUND(([97]Source!AE1122*[97]Source!AV1122*[97]Source!I1122),2)),2), 2)</f>
        <v>3.5</v>
      </c>
      <c r="V16" s="718">
        <f>ROUND((157/100)*ROUND(ROUND((ROUND(([97]Source!AE1122*[97]Source!AV1122*[97]Source!I1122),2)*[97]Source!BS1122),2), 2), 2)</f>
        <v>76.08</v>
      </c>
    </row>
    <row r="17" spans="1:27" ht="15" x14ac:dyDescent="0.25">
      <c r="A17" s="691"/>
      <c r="B17" s="691"/>
      <c r="C17" s="692"/>
      <c r="D17" s="692" t="s">
        <v>84</v>
      </c>
      <c r="E17" s="693"/>
      <c r="F17" s="694"/>
      <c r="G17" s="695">
        <f>[97]Source!AO1122</f>
        <v>12.47</v>
      </c>
      <c r="H17" s="696" t="str">
        <f>[97]Source!DG1122</f>
        <v>)*1,67</v>
      </c>
      <c r="I17" s="694">
        <f>[97]Source!AV1122</f>
        <v>1.0669999999999999</v>
      </c>
      <c r="J17" s="697">
        <f>ROUND((ROUND(([97]Source!AF1122*[97]Source!AV1122*[97]Source!I1122),2)),2)</f>
        <v>177.76</v>
      </c>
      <c r="K17" s="694">
        <f>IF([97]Source!BA1122&lt;&gt; 0, [97]Source!BA1122, 1)</f>
        <v>24.23</v>
      </c>
      <c r="L17" s="697">
        <f>[97]Source!S1122</f>
        <v>4307.12</v>
      </c>
      <c r="W17" s="718">
        <f>J17</f>
        <v>177.76</v>
      </c>
    </row>
    <row r="18" spans="1:27" ht="15" x14ac:dyDescent="0.25">
      <c r="A18" s="691"/>
      <c r="B18" s="691"/>
      <c r="C18" s="692"/>
      <c r="D18" s="692" t="s">
        <v>85</v>
      </c>
      <c r="E18" s="693"/>
      <c r="F18" s="694"/>
      <c r="G18" s="695">
        <f>[97]Source!AM1122</f>
        <v>0.77</v>
      </c>
      <c r="H18" s="696" t="str">
        <f>[97]Source!DE1122</f>
        <v/>
      </c>
      <c r="I18" s="694">
        <f>[97]Source!AV1122</f>
        <v>1.0669999999999999</v>
      </c>
      <c r="J18" s="697">
        <f>(ROUND((ROUND((([97]Source!ET1122)*[97]Source!AV1122*[97]Source!I1122),2)),2)+ROUND((ROUND((([97]Source!AE1122-([97]Source!EU1122))*[97]Source!AV1122*[97]Source!I1122),2)),2))-J27</f>
        <v>6.57</v>
      </c>
      <c r="K18" s="694">
        <f>IF([97]Source!BB1122&lt;&gt; 0, [97]Source!BB1122, 1)</f>
        <v>9.2899999999999991</v>
      </c>
      <c r="L18" s="697">
        <f>[97]Source!Q1122-L27</f>
        <v>61.02</v>
      </c>
    </row>
    <row r="19" spans="1:27" ht="15" x14ac:dyDescent="0.25">
      <c r="A19" s="691"/>
      <c r="B19" s="691"/>
      <c r="C19" s="692"/>
      <c r="D19" s="692" t="s">
        <v>86</v>
      </c>
      <c r="E19" s="693"/>
      <c r="F19" s="694"/>
      <c r="G19" s="695">
        <f>[97]Source!AN1122</f>
        <v>0.14000000000000001</v>
      </c>
      <c r="H19" s="696" t="str">
        <f>[97]Source!DE1122</f>
        <v/>
      </c>
      <c r="I19" s="694">
        <f>[97]Source!AV1122</f>
        <v>1.0669999999999999</v>
      </c>
      <c r="J19" s="700">
        <f>ROUND((ROUND(([97]Source!AE1122*[97]Source!AV1122*[97]Source!I1122),2)),2)-J28</f>
        <v>1.2</v>
      </c>
      <c r="K19" s="694">
        <f>IF([97]Source!BS1122&lt;&gt; 0, [97]Source!BS1122, 1)</f>
        <v>24.23</v>
      </c>
      <c r="L19" s="700">
        <f>[97]Source!R1122-L28</f>
        <v>29.06</v>
      </c>
      <c r="W19" s="718">
        <f>J19</f>
        <v>1.2</v>
      </c>
    </row>
    <row r="20" spans="1:27" ht="15" x14ac:dyDescent="0.25">
      <c r="A20" s="691"/>
      <c r="B20" s="691"/>
      <c r="C20" s="692"/>
      <c r="D20" s="692" t="s">
        <v>87</v>
      </c>
      <c r="E20" s="693"/>
      <c r="F20" s="694"/>
      <c r="G20" s="695">
        <f>[97]Source!AL1122</f>
        <v>16.53</v>
      </c>
      <c r="H20" s="696" t="str">
        <f>[97]Source!DD1122</f>
        <v/>
      </c>
      <c r="I20" s="694">
        <f>[97]Source!AW1122</f>
        <v>1</v>
      </c>
      <c r="J20" s="697">
        <f>ROUND((ROUND(([97]Source!AC1122*[97]Source!AW1122*[97]Source!I1122),2)),2)</f>
        <v>132.24</v>
      </c>
      <c r="K20" s="694">
        <f>IF([97]Source!BC1122&lt;&gt; 0, [97]Source!BC1122, 1)</f>
        <v>2.54</v>
      </c>
      <c r="L20" s="697">
        <f>[97]Source!P1122</f>
        <v>335.89</v>
      </c>
    </row>
    <row r="21" spans="1:27" ht="15" x14ac:dyDescent="0.25">
      <c r="A21" s="691"/>
      <c r="B21" s="691"/>
      <c r="C21" s="692"/>
      <c r="D21" s="692" t="s">
        <v>88</v>
      </c>
      <c r="E21" s="693" t="s">
        <v>89</v>
      </c>
      <c r="F21" s="694">
        <f>[97]Source!DN1122</f>
        <v>125</v>
      </c>
      <c r="G21" s="695"/>
      <c r="H21" s="696"/>
      <c r="I21" s="694"/>
      <c r="J21" s="697">
        <f>SUM(Q16:Q20)</f>
        <v>222.2</v>
      </c>
      <c r="K21" s="694">
        <f>[97]Source!BZ1122</f>
        <v>100</v>
      </c>
      <c r="L21" s="697">
        <f>SUM(R16:R20)</f>
        <v>4307.12</v>
      </c>
    </row>
    <row r="22" spans="1:27" ht="15" x14ac:dyDescent="0.25">
      <c r="A22" s="691"/>
      <c r="B22" s="691"/>
      <c r="C22" s="692"/>
      <c r="D22" s="692" t="s">
        <v>90</v>
      </c>
      <c r="E22" s="693" t="s">
        <v>89</v>
      </c>
      <c r="F22" s="694">
        <f>[97]Source!DO1122</f>
        <v>94</v>
      </c>
      <c r="G22" s="695"/>
      <c r="H22" s="696"/>
      <c r="I22" s="694"/>
      <c r="J22" s="697">
        <f>SUM(S16:S21)</f>
        <v>167.09</v>
      </c>
      <c r="K22" s="694">
        <f>[97]Source!CA1122</f>
        <v>45</v>
      </c>
      <c r="L22" s="697">
        <f>SUM(T16:T21)</f>
        <v>1938.2</v>
      </c>
    </row>
    <row r="23" spans="1:27" ht="15" x14ac:dyDescent="0.25">
      <c r="A23" s="691"/>
      <c r="B23" s="691"/>
      <c r="C23" s="692"/>
      <c r="D23" s="692" t="s">
        <v>91</v>
      </c>
      <c r="E23" s="693" t="s">
        <v>89</v>
      </c>
      <c r="F23" s="694">
        <f>175</f>
        <v>175</v>
      </c>
      <c r="G23" s="695"/>
      <c r="H23" s="696"/>
      <c r="I23" s="694"/>
      <c r="J23" s="697">
        <f>SUM(U16:U22)-J29</f>
        <v>2.1</v>
      </c>
      <c r="K23" s="694">
        <f>157</f>
        <v>157</v>
      </c>
      <c r="L23" s="697">
        <f>SUM(V16:V22)-L29</f>
        <v>45.62</v>
      </c>
    </row>
    <row r="24" spans="1:27" ht="15" x14ac:dyDescent="0.25">
      <c r="A24" s="691"/>
      <c r="B24" s="691"/>
      <c r="C24" s="692"/>
      <c r="D24" s="692" t="s">
        <v>92</v>
      </c>
      <c r="E24" s="693" t="s">
        <v>93</v>
      </c>
      <c r="F24" s="694">
        <f>[97]Source!AQ1122</f>
        <v>1.06</v>
      </c>
      <c r="G24" s="695"/>
      <c r="H24" s="696" t="str">
        <f>[97]Source!DI1122</f>
        <v/>
      </c>
      <c r="I24" s="694">
        <f>[97]Source!AV1122</f>
        <v>1.0669999999999999</v>
      </c>
      <c r="J24" s="697">
        <f>[97]Source!U1122</f>
        <v>9.0500000000000007</v>
      </c>
      <c r="K24" s="694"/>
      <c r="L24" s="697"/>
    </row>
    <row r="25" spans="1:27" ht="14.25" x14ac:dyDescent="0.2">
      <c r="I25" s="1067">
        <f>J17+J18+J20+J21+J22+J23</f>
        <v>707.96</v>
      </c>
      <c r="J25" s="1067"/>
      <c r="K25" s="1067">
        <f>L17+L18+L20+L21+L22+L23</f>
        <v>10994.97</v>
      </c>
      <c r="L25" s="1067"/>
      <c r="O25" s="736">
        <f>J17+J18+J20+J21+J22+J23</f>
        <v>707.96</v>
      </c>
      <c r="P25" s="736">
        <f>L17+L18+L20+L21+L22+L23</f>
        <v>10994.97</v>
      </c>
      <c r="X25" s="718">
        <f>IF([97]Source!BI1122&lt;=1,J17+J18+J20+J21+J22+J23-0, 0)</f>
        <v>707.96</v>
      </c>
      <c r="Y25" s="718">
        <f>IF([97]Source!BI1122=2,J17+J18+J20+J21+J22+J23-0, 0)</f>
        <v>0</v>
      </c>
      <c r="Z25" s="718">
        <f>IF([97]Source!BI1122=3,J17+J18+J20+J21+J22+J23-0, 0)</f>
        <v>0</v>
      </c>
      <c r="AA25" s="718">
        <f>IF([97]Source!BI1122=4,J17+J18+J20+J21+J22+J23,0)</f>
        <v>0</v>
      </c>
    </row>
    <row r="26" spans="1:27" ht="30" x14ac:dyDescent="0.25">
      <c r="A26" s="701"/>
      <c r="B26" s="701"/>
      <c r="C26" s="702"/>
      <c r="D26" s="702" t="s">
        <v>94</v>
      </c>
      <c r="E26" s="693"/>
      <c r="F26" s="703"/>
      <c r="G26" s="704"/>
      <c r="H26" s="693"/>
      <c r="I26" s="703"/>
      <c r="J26" s="700"/>
      <c r="K26" s="703"/>
      <c r="L26" s="700"/>
    </row>
    <row r="27" spans="1:27" ht="15" x14ac:dyDescent="0.25">
      <c r="A27" s="701"/>
      <c r="B27" s="701"/>
      <c r="C27" s="702"/>
      <c r="D27" s="702" t="s">
        <v>85</v>
      </c>
      <c r="E27" s="693"/>
      <c r="F27" s="703"/>
      <c r="G27" s="704">
        <f t="shared" ref="G27:L27" si="0">G28</f>
        <v>0.14000000000000001</v>
      </c>
      <c r="H27" s="705" t="str">
        <f t="shared" si="0"/>
        <v>)*(1.67-1)</v>
      </c>
      <c r="I27" s="703">
        <f t="shared" si="0"/>
        <v>1.0669999999999999</v>
      </c>
      <c r="J27" s="700">
        <f t="shared" si="0"/>
        <v>0.8</v>
      </c>
      <c r="K27" s="703">
        <f t="shared" si="0"/>
        <v>24.23</v>
      </c>
      <c r="L27" s="700">
        <f t="shared" si="0"/>
        <v>19.399999999999999</v>
      </c>
    </row>
    <row r="28" spans="1:27" ht="15" x14ac:dyDescent="0.25">
      <c r="A28" s="701"/>
      <c r="B28" s="701"/>
      <c r="C28" s="702"/>
      <c r="D28" s="702" t="s">
        <v>86</v>
      </c>
      <c r="E28" s="693"/>
      <c r="F28" s="703"/>
      <c r="G28" s="704">
        <f>[97]Source!AN1122</f>
        <v>0.14000000000000001</v>
      </c>
      <c r="H28" s="705" t="s">
        <v>95</v>
      </c>
      <c r="I28" s="703">
        <f>[97]Source!AV1122</f>
        <v>1.0669999999999999</v>
      </c>
      <c r="J28" s="700">
        <f>ROUND(F16*G28*I28*(1.67-1), 2)</f>
        <v>0.8</v>
      </c>
      <c r="K28" s="703">
        <f>IF([97]Source!BS1122&lt;&gt; 0, [97]Source!BS1122, 1)</f>
        <v>24.23</v>
      </c>
      <c r="L28" s="700">
        <f>ROUND(F16*G28*I28*(1.67-1)*K28, 2)</f>
        <v>19.399999999999999</v>
      </c>
      <c r="W28" s="718">
        <f>J28</f>
        <v>0.8</v>
      </c>
    </row>
    <row r="29" spans="1:27" ht="15" x14ac:dyDescent="0.25">
      <c r="A29" s="701"/>
      <c r="B29" s="701"/>
      <c r="C29" s="702"/>
      <c r="D29" s="702" t="s">
        <v>91</v>
      </c>
      <c r="E29" s="693" t="s">
        <v>89</v>
      </c>
      <c r="F29" s="703">
        <f>175</f>
        <v>175</v>
      </c>
      <c r="G29" s="704"/>
      <c r="H29" s="693"/>
      <c r="I29" s="703"/>
      <c r="J29" s="700">
        <f>ROUND(J28*(F29/100), 2)</f>
        <v>1.4</v>
      </c>
      <c r="K29" s="703">
        <f>157</f>
        <v>157</v>
      </c>
      <c r="L29" s="700">
        <f>ROUND(L28*(K29/100), 2)</f>
        <v>30.46</v>
      </c>
    </row>
    <row r="30" spans="1:27" ht="14.25" x14ac:dyDescent="0.2">
      <c r="I30" s="1067">
        <f>J29+J28</f>
        <v>2.2000000000000002</v>
      </c>
      <c r="J30" s="1067"/>
      <c r="K30" s="1067">
        <f>L29+L28</f>
        <v>49.86</v>
      </c>
      <c r="L30" s="1067"/>
      <c r="O30" s="736">
        <f>I30</f>
        <v>2.2000000000000002</v>
      </c>
      <c r="P30" s="736">
        <f>K30</f>
        <v>49.86</v>
      </c>
      <c r="X30" s="718">
        <f>IF([97]Source!BI1122&lt;=1,I30, 0)</f>
        <v>2.2000000000000002</v>
      </c>
      <c r="Y30" s="718">
        <f>IF([97]Source!BI1122=2,I30, 0)</f>
        <v>0</v>
      </c>
      <c r="Z30" s="718">
        <f>IF([97]Source!BI1122=3,I30, 0)</f>
        <v>0</v>
      </c>
      <c r="AA30" s="718">
        <f>IF([97]Source!BI1122=4,I30, 0)</f>
        <v>0</v>
      </c>
    </row>
    <row r="32" spans="1:27" ht="15" x14ac:dyDescent="0.25">
      <c r="A32" s="706"/>
      <c r="B32" s="706"/>
      <c r="C32" s="707"/>
      <c r="D32" s="707" t="s">
        <v>96</v>
      </c>
      <c r="E32" s="708"/>
      <c r="F32" s="709"/>
      <c r="G32" s="710"/>
      <c r="H32" s="711"/>
      <c r="I32" s="1067">
        <f>I25+I30</f>
        <v>710.16</v>
      </c>
      <c r="J32" s="1067"/>
      <c r="K32" s="1067">
        <f>K25+K30</f>
        <v>11044.83</v>
      </c>
      <c r="L32" s="1067"/>
    </row>
    <row r="33" spans="1:27" ht="76.150000000000006" customHeight="1" x14ac:dyDescent="0.25">
      <c r="A33" s="691">
        <v>2</v>
      </c>
      <c r="B33" s="691" t="str">
        <f>[97]Source!E1128</f>
        <v>135</v>
      </c>
      <c r="C33" s="692" t="str">
        <f>[97]Source!F1128</f>
        <v>1.19-6-75</v>
      </c>
      <c r="D33" s="692" t="s">
        <v>530</v>
      </c>
      <c r="E33" s="693" t="str">
        <f>[97]Source!H1128</f>
        <v>шт.</v>
      </c>
      <c r="F33" s="694">
        <f>[97]Source!I1128</f>
        <v>8</v>
      </c>
      <c r="G33" s="695">
        <f>[97]Source!AL1128</f>
        <v>258.63</v>
      </c>
      <c r="H33" s="696" t="str">
        <f>[97]Source!DD1128</f>
        <v/>
      </c>
      <c r="I33" s="694">
        <f>[97]Source!AW1128</f>
        <v>1</v>
      </c>
      <c r="J33" s="697">
        <f>ROUND((ROUND(([97]Source!AC1128*[97]Source!AW1128*[97]Source!I1128),2)),2)</f>
        <v>2069.04</v>
      </c>
      <c r="K33" s="694">
        <f>IF([97]Source!BC1128&lt;&gt; 0, [97]Source!BC1128, 1)</f>
        <v>3.51</v>
      </c>
      <c r="L33" s="697">
        <f>[97]Source!P1128</f>
        <v>7262.33</v>
      </c>
      <c r="Q33" s="718">
        <f>ROUND(([97]Source!DN1128/100)*ROUND((ROUND(([97]Source!AF1128*[97]Source!AV1128*[97]Source!I1128),2)),2), 2)</f>
        <v>0</v>
      </c>
      <c r="R33" s="718">
        <f>[97]Source!X1128</f>
        <v>0</v>
      </c>
      <c r="S33" s="718">
        <f>ROUND(([97]Source!DO1128/100)*ROUND((ROUND(([97]Source!AF1128*[97]Source!AV1128*[97]Source!I1128),2)),2), 2)</f>
        <v>0</v>
      </c>
      <c r="T33" s="718">
        <f>[97]Source!Y1128</f>
        <v>0</v>
      </c>
      <c r="U33" s="718">
        <f>ROUND((175/100)*ROUND((ROUND(([97]Source!AE1128*[97]Source!AV1128*[97]Source!I1128),2)),2), 2)</f>
        <v>0</v>
      </c>
      <c r="V33" s="718">
        <f>ROUND((157/100)*ROUND(ROUND((ROUND(([97]Source!AE1128*[97]Source!AV1128*[97]Source!I1128),2)*[97]Source!BS1128),2), 2), 2)</f>
        <v>0</v>
      </c>
    </row>
    <row r="34" spans="1:27" ht="14.25" x14ac:dyDescent="0.2">
      <c r="A34" s="737"/>
      <c r="B34" s="737"/>
      <c r="C34" s="737"/>
      <c r="D34" s="737"/>
      <c r="E34" s="737"/>
      <c r="F34" s="737"/>
      <c r="G34" s="737"/>
      <c r="H34" s="737"/>
      <c r="I34" s="1067">
        <f>J33</f>
        <v>2069.04</v>
      </c>
      <c r="J34" s="1067"/>
      <c r="K34" s="1067">
        <f>L33</f>
        <v>7262.33</v>
      </c>
      <c r="L34" s="1067"/>
      <c r="O34" s="736">
        <f>J33</f>
        <v>2069.04</v>
      </c>
      <c r="P34" s="736">
        <f>L33</f>
        <v>7262.33</v>
      </c>
      <c r="X34" s="718">
        <f>IF([97]Source!BI1128&lt;=1,J33-0, 0)</f>
        <v>2069.04</v>
      </c>
      <c r="Y34" s="718">
        <f>IF([97]Source!BI1128=2,J33-0, 0)</f>
        <v>0</v>
      </c>
      <c r="Z34" s="718">
        <f>IF([97]Source!BI1128=3,J33-0, 0)</f>
        <v>0</v>
      </c>
      <c r="AA34" s="718">
        <f>IF([97]Source!BI1128=4,J33,0)</f>
        <v>0</v>
      </c>
    </row>
    <row r="35" spans="1:27" ht="45" x14ac:dyDescent="0.25">
      <c r="A35" s="691">
        <v>3</v>
      </c>
      <c r="B35" s="691" t="str">
        <f>[97]Source!E1152</f>
        <v>147</v>
      </c>
      <c r="C35" s="692" t="str">
        <f>[97]Source!F1152</f>
        <v>3.20-11-15</v>
      </c>
      <c r="D35" s="692" t="s">
        <v>490</v>
      </c>
      <c r="E35" s="693" t="str">
        <f>[97]Source!H1152</f>
        <v>1 клапан</v>
      </c>
      <c r="F35" s="694">
        <f>[97]Source!I1152</f>
        <v>4</v>
      </c>
      <c r="G35" s="695"/>
      <c r="H35" s="696"/>
      <c r="I35" s="694"/>
      <c r="J35" s="697"/>
      <c r="K35" s="694"/>
      <c r="L35" s="697"/>
      <c r="Q35" s="718">
        <f>ROUND(([97]Source!DN1152/100)*ROUND((ROUND(([97]Source!AF1152*[97]Source!AV1152*[97]Source!I1152),2)),2), 2)</f>
        <v>442.3</v>
      </c>
      <c r="R35" s="718">
        <f>[97]Source!X1152</f>
        <v>8573.5400000000009</v>
      </c>
      <c r="S35" s="718">
        <f>ROUND(([97]Source!DO1152/100)*ROUND((ROUND(([97]Source!AF1152*[97]Source!AV1152*[97]Source!I1152),2)),2), 2)</f>
        <v>332.61</v>
      </c>
      <c r="T35" s="718">
        <f>[97]Source!Y1152</f>
        <v>3858.09</v>
      </c>
      <c r="U35" s="718">
        <f>ROUND((175/100)*ROUND((ROUND(([97]Source!AE1152*[97]Source!AV1152*[97]Source!I1152),2)),2), 2)</f>
        <v>4.59</v>
      </c>
      <c r="V35" s="718">
        <f>ROUND((157/100)*ROUND(ROUND((ROUND(([97]Source!AE1152*[97]Source!AV1152*[97]Source!I1152),2)*[97]Source!BS1152),2), 2), 2)</f>
        <v>99.66</v>
      </c>
    </row>
    <row r="36" spans="1:27" ht="15" x14ac:dyDescent="0.25">
      <c r="A36" s="691"/>
      <c r="B36" s="691"/>
      <c r="C36" s="692"/>
      <c r="D36" s="692" t="s">
        <v>84</v>
      </c>
      <c r="E36" s="693"/>
      <c r="F36" s="694"/>
      <c r="G36" s="695">
        <f>[97]Source!AO1152</f>
        <v>47.28</v>
      </c>
      <c r="H36" s="696" t="str">
        <f>[97]Source!DG1152</f>
        <v>)*1,67)*1,05</v>
      </c>
      <c r="I36" s="694">
        <f>[97]Source!AV1152</f>
        <v>1.0669999999999999</v>
      </c>
      <c r="J36" s="697">
        <f>ROUND((ROUND(([97]Source!AF1152*[97]Source!AV1152*[97]Source!I1152),2)),2)</f>
        <v>353.84</v>
      </c>
      <c r="K36" s="694">
        <f>IF([97]Source!BA1152&lt;&gt; 0, [97]Source!BA1152, 1)</f>
        <v>24.23</v>
      </c>
      <c r="L36" s="697">
        <f>[97]Source!S1152</f>
        <v>8573.5400000000009</v>
      </c>
      <c r="W36" s="718">
        <f>J36</f>
        <v>353.84</v>
      </c>
    </row>
    <row r="37" spans="1:27" ht="15" x14ac:dyDescent="0.25">
      <c r="A37" s="691"/>
      <c r="B37" s="691"/>
      <c r="C37" s="692"/>
      <c r="D37" s="692" t="s">
        <v>85</v>
      </c>
      <c r="E37" s="693"/>
      <c r="F37" s="694"/>
      <c r="G37" s="695">
        <f>[97]Source!AM1152</f>
        <v>1.49</v>
      </c>
      <c r="H37" s="696" t="str">
        <f>[97]Source!DE1152</f>
        <v>)*1,05</v>
      </c>
      <c r="I37" s="694">
        <f>[97]Source!AV1152</f>
        <v>1.0669999999999999</v>
      </c>
      <c r="J37" s="697">
        <f>(ROUND((ROUND(((([97]Source!ET1152*1.05))*[97]Source!AV1152*[97]Source!I1152),2)),2)+ROUND((ROUND((([97]Source!AE1152-(([97]Source!EU1152*1.05)))*[97]Source!AV1152*[97]Source!I1152),2)),2))-J46</f>
        <v>6.68</v>
      </c>
      <c r="K37" s="694">
        <f>IF([97]Source!BB1152&lt;&gt; 0, [97]Source!BB1152, 1)</f>
        <v>9.9499999999999993</v>
      </c>
      <c r="L37" s="697">
        <f>[97]Source!Q1152-L46</f>
        <v>66.45</v>
      </c>
    </row>
    <row r="38" spans="1:27" ht="15" x14ac:dyDescent="0.25">
      <c r="A38" s="691"/>
      <c r="B38" s="691"/>
      <c r="C38" s="692"/>
      <c r="D38" s="692" t="s">
        <v>86</v>
      </c>
      <c r="E38" s="693"/>
      <c r="F38" s="694"/>
      <c r="G38" s="695">
        <f>[97]Source!AN1152</f>
        <v>0.35</v>
      </c>
      <c r="H38" s="696" t="str">
        <f>[97]Source!DE1152</f>
        <v>)*1,05</v>
      </c>
      <c r="I38" s="694">
        <f>[97]Source!AV1152</f>
        <v>1.0669999999999999</v>
      </c>
      <c r="J38" s="700">
        <f>ROUND((ROUND(([97]Source!AE1152*[97]Source!AV1152*[97]Source!I1152),2)),2)-J47</f>
        <v>1.57</v>
      </c>
      <c r="K38" s="694">
        <f>IF([97]Source!BS1152&lt;&gt; 0, [97]Source!BS1152, 1)</f>
        <v>24.23</v>
      </c>
      <c r="L38" s="700">
        <f>[97]Source!R1152-L47</f>
        <v>38.020000000000003</v>
      </c>
      <c r="W38" s="718">
        <f>J38</f>
        <v>1.57</v>
      </c>
    </row>
    <row r="39" spans="1:27" ht="15" x14ac:dyDescent="0.25">
      <c r="A39" s="691"/>
      <c r="B39" s="691"/>
      <c r="C39" s="692"/>
      <c r="D39" s="692" t="s">
        <v>87</v>
      </c>
      <c r="E39" s="693"/>
      <c r="F39" s="694"/>
      <c r="G39" s="695">
        <f>[97]Source!AL1152</f>
        <v>15.67</v>
      </c>
      <c r="H39" s="696" t="str">
        <f>[97]Source!DD1152</f>
        <v/>
      </c>
      <c r="I39" s="694">
        <f>[97]Source!AW1152</f>
        <v>1</v>
      </c>
      <c r="J39" s="697">
        <f>ROUND((ROUND(([97]Source!AC1152*[97]Source!AW1152*[97]Source!I1152),2)),2)</f>
        <v>62.68</v>
      </c>
      <c r="K39" s="694">
        <f>IF([97]Source!BC1152&lt;&gt; 0, [97]Source!BC1152, 1)</f>
        <v>8.25</v>
      </c>
      <c r="L39" s="697">
        <f>[97]Source!P1152</f>
        <v>517.11</v>
      </c>
    </row>
    <row r="40" spans="1:27" ht="15" x14ac:dyDescent="0.25">
      <c r="A40" s="691"/>
      <c r="B40" s="691"/>
      <c r="C40" s="692"/>
      <c r="D40" s="692" t="s">
        <v>88</v>
      </c>
      <c r="E40" s="693" t="s">
        <v>89</v>
      </c>
      <c r="F40" s="694">
        <f>[97]Source!DN1152</f>
        <v>125</v>
      </c>
      <c r="G40" s="695"/>
      <c r="H40" s="696"/>
      <c r="I40" s="694"/>
      <c r="J40" s="697">
        <f>SUM(Q35:Q39)</f>
        <v>442.3</v>
      </c>
      <c r="K40" s="694">
        <f>[97]Source!BZ1152</f>
        <v>100</v>
      </c>
      <c r="L40" s="697">
        <f>SUM(R35:R39)</f>
        <v>8573.5400000000009</v>
      </c>
    </row>
    <row r="41" spans="1:27" ht="15" x14ac:dyDescent="0.25">
      <c r="A41" s="691"/>
      <c r="B41" s="691"/>
      <c r="C41" s="692"/>
      <c r="D41" s="692" t="s">
        <v>90</v>
      </c>
      <c r="E41" s="693" t="s">
        <v>89</v>
      </c>
      <c r="F41" s="694">
        <f>[97]Source!DO1152</f>
        <v>94</v>
      </c>
      <c r="G41" s="695"/>
      <c r="H41" s="696"/>
      <c r="I41" s="694"/>
      <c r="J41" s="697">
        <f>SUM(S35:S40)</f>
        <v>332.61</v>
      </c>
      <c r="K41" s="694">
        <f>[97]Source!CA1152</f>
        <v>45</v>
      </c>
      <c r="L41" s="697">
        <f>SUM(T35:T40)</f>
        <v>3858.09</v>
      </c>
    </row>
    <row r="42" spans="1:27" ht="15" x14ac:dyDescent="0.25">
      <c r="A42" s="691"/>
      <c r="B42" s="691"/>
      <c r="C42" s="692"/>
      <c r="D42" s="692" t="s">
        <v>91</v>
      </c>
      <c r="E42" s="693" t="s">
        <v>89</v>
      </c>
      <c r="F42" s="694">
        <f>175</f>
        <v>175</v>
      </c>
      <c r="G42" s="695"/>
      <c r="H42" s="696"/>
      <c r="I42" s="694"/>
      <c r="J42" s="697">
        <f>SUM(U35:U41)-J48</f>
        <v>2.75</v>
      </c>
      <c r="K42" s="694">
        <f>157</f>
        <v>157</v>
      </c>
      <c r="L42" s="697">
        <f>SUM(V35:V41)-L48</f>
        <v>59.69</v>
      </c>
    </row>
    <row r="43" spans="1:27" ht="15" x14ac:dyDescent="0.25">
      <c r="A43" s="691"/>
      <c r="B43" s="691"/>
      <c r="C43" s="692"/>
      <c r="D43" s="692" t="s">
        <v>92</v>
      </c>
      <c r="E43" s="693" t="s">
        <v>93</v>
      </c>
      <c r="F43" s="694">
        <f>[97]Source!AQ1152</f>
        <v>4.0199999999999996</v>
      </c>
      <c r="G43" s="695"/>
      <c r="H43" s="696" t="str">
        <f>[97]Source!DI1152</f>
        <v>)*1,05</v>
      </c>
      <c r="I43" s="694">
        <f>[97]Source!AV1152</f>
        <v>1.0669999999999999</v>
      </c>
      <c r="J43" s="697">
        <f>[97]Source!U1152</f>
        <v>18.02</v>
      </c>
      <c r="K43" s="694"/>
      <c r="L43" s="697"/>
    </row>
    <row r="44" spans="1:27" ht="14.25" x14ac:dyDescent="0.2">
      <c r="I44" s="1067">
        <f>J36+J37+J39+J40+J41+J42</f>
        <v>1200.8599999999999</v>
      </c>
      <c r="J44" s="1067"/>
      <c r="K44" s="1067">
        <f>L36+L37+L39+L40+L41+L42</f>
        <v>21648.42</v>
      </c>
      <c r="L44" s="1067"/>
      <c r="O44" s="736">
        <f>J36+J37+J39+J40+J41+J42</f>
        <v>1200.8599999999999</v>
      </c>
      <c r="P44" s="736">
        <f>L36+L37+L39+L40+L41+L42</f>
        <v>21648.42</v>
      </c>
      <c r="X44" s="718">
        <f>IF([97]Source!BI1152&lt;=1,J36+J37+J39+J40+J41+J42-0, 0)</f>
        <v>1200.8599999999999</v>
      </c>
      <c r="Y44" s="718">
        <f>IF([97]Source!BI1152=2,J36+J37+J39+J40+J41+J42-0, 0)</f>
        <v>0</v>
      </c>
      <c r="Z44" s="718">
        <f>IF([97]Source!BI1152=3,J36+J37+J39+J40+J41+J42-0, 0)</f>
        <v>0</v>
      </c>
      <c r="AA44" s="718">
        <f>IF([97]Source!BI1152=4,J36+J37+J39+J40+J41+J42,0)</f>
        <v>0</v>
      </c>
    </row>
    <row r="45" spans="1:27" ht="30" x14ac:dyDescent="0.25">
      <c r="A45" s="701"/>
      <c r="B45" s="701"/>
      <c r="C45" s="702"/>
      <c r="D45" s="702" t="s">
        <v>94</v>
      </c>
      <c r="E45" s="693"/>
      <c r="F45" s="703"/>
      <c r="G45" s="704"/>
      <c r="H45" s="693"/>
      <c r="I45" s="703"/>
      <c r="J45" s="700"/>
      <c r="K45" s="703"/>
      <c r="L45" s="700"/>
    </row>
    <row r="46" spans="1:27" ht="15" x14ac:dyDescent="0.25">
      <c r="A46" s="701"/>
      <c r="B46" s="701"/>
      <c r="C46" s="702"/>
      <c r="D46" s="702" t="s">
        <v>85</v>
      </c>
      <c r="E46" s="693"/>
      <c r="F46" s="703"/>
      <c r="G46" s="704">
        <f t="shared" ref="G46:L46" si="1">G47</f>
        <v>0.35</v>
      </c>
      <c r="H46" s="705" t="str">
        <f t="shared" si="1"/>
        <v>)*(1.67-1)*1.05</v>
      </c>
      <c r="I46" s="703">
        <f t="shared" si="1"/>
        <v>1.0669999999999999</v>
      </c>
      <c r="J46" s="700">
        <f t="shared" si="1"/>
        <v>1.05</v>
      </c>
      <c r="K46" s="703">
        <f t="shared" si="1"/>
        <v>24.23</v>
      </c>
      <c r="L46" s="700">
        <f t="shared" si="1"/>
        <v>25.46</v>
      </c>
    </row>
    <row r="47" spans="1:27" ht="15" x14ac:dyDescent="0.25">
      <c r="A47" s="701"/>
      <c r="B47" s="701"/>
      <c r="C47" s="702"/>
      <c r="D47" s="702" t="s">
        <v>86</v>
      </c>
      <c r="E47" s="693"/>
      <c r="F47" s="703"/>
      <c r="G47" s="704">
        <f>[97]Source!AN1152</f>
        <v>0.35</v>
      </c>
      <c r="H47" s="705" t="s">
        <v>491</v>
      </c>
      <c r="I47" s="703">
        <f>[97]Source!AV1152</f>
        <v>1.0669999999999999</v>
      </c>
      <c r="J47" s="700">
        <f>ROUND(F35*G47*I47*(1.67-1)*1.05, 2)</f>
        <v>1.05</v>
      </c>
      <c r="K47" s="703">
        <f>IF([97]Source!BS1152&lt;&gt; 0, [97]Source!BS1152, 1)</f>
        <v>24.23</v>
      </c>
      <c r="L47" s="700">
        <f>ROUND(F35*G47*I47*(1.67-1)*1.05*K47, 2)</f>
        <v>25.46</v>
      </c>
      <c r="W47" s="718">
        <f>J47</f>
        <v>1.05</v>
      </c>
    </row>
    <row r="48" spans="1:27" ht="15" x14ac:dyDescent="0.25">
      <c r="A48" s="701"/>
      <c r="B48" s="701"/>
      <c r="C48" s="702"/>
      <c r="D48" s="702" t="s">
        <v>91</v>
      </c>
      <c r="E48" s="693" t="s">
        <v>89</v>
      </c>
      <c r="F48" s="703">
        <f>175</f>
        <v>175</v>
      </c>
      <c r="G48" s="704"/>
      <c r="H48" s="693"/>
      <c r="I48" s="703"/>
      <c r="J48" s="700">
        <f>ROUND(J47*(F48/100), 2)</f>
        <v>1.84</v>
      </c>
      <c r="K48" s="703">
        <f>157</f>
        <v>157</v>
      </c>
      <c r="L48" s="700">
        <f>ROUND(L47*(K48/100), 2)</f>
        <v>39.97</v>
      </c>
    </row>
    <row r="49" spans="1:27" ht="14.25" x14ac:dyDescent="0.2">
      <c r="I49" s="1067">
        <f>J48+J47</f>
        <v>2.89</v>
      </c>
      <c r="J49" s="1067"/>
      <c r="K49" s="1067">
        <f>L48+L47</f>
        <v>65.430000000000007</v>
      </c>
      <c r="L49" s="1067"/>
      <c r="O49" s="736">
        <f>I49</f>
        <v>2.89</v>
      </c>
      <c r="P49" s="736">
        <f>K49</f>
        <v>65.430000000000007</v>
      </c>
      <c r="X49" s="718">
        <f>IF([97]Source!BI1152&lt;=1,I49, 0)</f>
        <v>2.89</v>
      </c>
      <c r="Y49" s="718">
        <f>IF([97]Source!BI1152=2,I49, 0)</f>
        <v>0</v>
      </c>
      <c r="Z49" s="718">
        <f>IF([97]Source!BI1152=3,I49, 0)</f>
        <v>0</v>
      </c>
      <c r="AA49" s="718">
        <f>IF([97]Source!BI1152=4,I49, 0)</f>
        <v>0</v>
      </c>
    </row>
    <row r="51" spans="1:27" ht="15" x14ac:dyDescent="0.25">
      <c r="A51" s="706"/>
      <c r="B51" s="706"/>
      <c r="C51" s="707"/>
      <c r="D51" s="707" t="s">
        <v>96</v>
      </c>
      <c r="E51" s="708"/>
      <c r="F51" s="709"/>
      <c r="G51" s="710"/>
      <c r="H51" s="711"/>
      <c r="I51" s="1067">
        <f>I44+I49</f>
        <v>1203.75</v>
      </c>
      <c r="J51" s="1067"/>
      <c r="K51" s="1067">
        <f>K44+K49</f>
        <v>21713.85</v>
      </c>
      <c r="L51" s="1067"/>
    </row>
    <row r="52" spans="1:27" ht="193.9" customHeight="1" x14ac:dyDescent="0.25">
      <c r="A52" s="691">
        <v>4</v>
      </c>
      <c r="B52" s="691" t="str">
        <f>[97]Source!E1154</f>
        <v>148</v>
      </c>
      <c r="C52" s="692" t="str">
        <f>[97]Source!F1154</f>
        <v>МКЭ-33-1005/8-1 от 26.07.2018г.</v>
      </c>
      <c r="D52" s="692" t="s">
        <v>746</v>
      </c>
      <c r="E52" s="693" t="str">
        <f>[97]Source!H1154</f>
        <v>шт.</v>
      </c>
      <c r="F52" s="694">
        <f>[97]Source!I1154</f>
        <v>1</v>
      </c>
      <c r="G52" s="755">
        <f>13814.13/5.48*1.02</f>
        <v>2571.2399999999998</v>
      </c>
      <c r="H52" s="696"/>
      <c r="I52" s="694">
        <f>[97]Source!AW1154</f>
        <v>1</v>
      </c>
      <c r="J52" s="697">
        <f>ROUND((ROUND(([97]Source!AC1154*[97]Source!AW1154*[97]Source!I1154),2)),2)</f>
        <v>2689.01</v>
      </c>
      <c r="K52" s="694">
        <v>5.48</v>
      </c>
      <c r="L52" s="697">
        <f>F52*1.02*M52</f>
        <v>14090.41</v>
      </c>
      <c r="M52" s="718">
        <v>13814.13</v>
      </c>
      <c r="Q52" s="718">
        <f>ROUND(([97]Source!DN1154/100)*ROUND((ROUND(([97]Source!AF1154*[97]Source!AV1154*[97]Source!I1154),2)),2), 2)</f>
        <v>0</v>
      </c>
      <c r="R52" s="718">
        <f>[97]Source!X1154</f>
        <v>0</v>
      </c>
      <c r="S52" s="718">
        <f>ROUND(([97]Source!DO1154/100)*ROUND((ROUND(([97]Source!AF1154*[97]Source!AV1154*[97]Source!I1154),2)),2), 2)</f>
        <v>0</v>
      </c>
      <c r="T52" s="718">
        <f>[97]Source!Y1154</f>
        <v>0</v>
      </c>
      <c r="U52" s="718">
        <f>ROUND((175/100)*ROUND((ROUND(([97]Source!AE1154*[97]Source!AV1154*[97]Source!I1154),2)),2), 2)</f>
        <v>0</v>
      </c>
      <c r="V52" s="718">
        <f>ROUND((157/100)*ROUND(ROUND((ROUND(([97]Source!AE1154*[97]Source!AV1154*[97]Source!I1154),2)*[97]Source!BS1154),2), 2), 2)</f>
        <v>0</v>
      </c>
    </row>
    <row r="53" spans="1:27" ht="14.25" x14ac:dyDescent="0.2">
      <c r="A53" s="737"/>
      <c r="B53" s="737"/>
      <c r="C53" s="737"/>
      <c r="D53" s="737"/>
      <c r="E53" s="737"/>
      <c r="F53" s="737"/>
      <c r="G53" s="737"/>
      <c r="H53" s="737"/>
      <c r="I53" s="1067">
        <f>J52</f>
        <v>2689.01</v>
      </c>
      <c r="J53" s="1067"/>
      <c r="K53" s="1067">
        <f>L52</f>
        <v>14090.41</v>
      </c>
      <c r="L53" s="1067"/>
      <c r="O53" s="736">
        <f>J52</f>
        <v>2689.01</v>
      </c>
      <c r="P53" s="736">
        <f>L52</f>
        <v>14090.41</v>
      </c>
      <c r="X53" s="718">
        <f>IF([97]Source!BI1154&lt;=1,J52-0, 0)</f>
        <v>2689.01</v>
      </c>
      <c r="Y53" s="718">
        <f>IF([97]Source!BI1154=2,J52-0, 0)</f>
        <v>0</v>
      </c>
      <c r="Z53" s="718">
        <f>IF([97]Source!BI1154=3,J52-0, 0)</f>
        <v>0</v>
      </c>
      <c r="AA53" s="718">
        <f>IF([97]Source!BI1154=4,J52,0)</f>
        <v>0</v>
      </c>
    </row>
    <row r="54" spans="1:27" ht="179.45" customHeight="1" x14ac:dyDescent="0.25">
      <c r="A54" s="691">
        <v>5</v>
      </c>
      <c r="B54" s="691" t="str">
        <f>[97]Source!E1156</f>
        <v>149</v>
      </c>
      <c r="C54" s="692" t="str">
        <f>[97]Source!F1156</f>
        <v>МКЭ-33-1005/8-1  26.07.2018</v>
      </c>
      <c r="D54" s="692" t="s">
        <v>747</v>
      </c>
      <c r="E54" s="693" t="str">
        <f>[97]Source!H1156</f>
        <v>шт.</v>
      </c>
      <c r="F54" s="694">
        <f>[97]Source!I1156</f>
        <v>1</v>
      </c>
      <c r="G54" s="755">
        <f>13891.32/5.48*1.02</f>
        <v>2585.61</v>
      </c>
      <c r="H54" s="696" t="str">
        <f>[97]Source!DD1156</f>
        <v/>
      </c>
      <c r="I54" s="694">
        <f>[97]Source!AW1156</f>
        <v>1</v>
      </c>
      <c r="J54" s="697">
        <f>ROUND((ROUND(([97]Source!AC1156*[97]Source!AW1156*[97]Source!I1156),2)),2)</f>
        <v>2539.27</v>
      </c>
      <c r="K54" s="694">
        <v>5.48</v>
      </c>
      <c r="L54" s="697">
        <f>F54*1.02*M54</f>
        <v>14169.15</v>
      </c>
      <c r="M54" s="718">
        <v>13891.32</v>
      </c>
      <c r="Q54" s="718">
        <f>ROUND(([97]Source!DN1156/100)*ROUND((ROUND(([97]Source!AF1156*[97]Source!AV1156*[97]Source!I1156),2)),2), 2)</f>
        <v>0</v>
      </c>
      <c r="R54" s="718">
        <f>[97]Source!X1156</f>
        <v>0</v>
      </c>
      <c r="S54" s="718">
        <f>ROUND(([97]Source!DO1156/100)*ROUND((ROUND(([97]Source!AF1156*[97]Source!AV1156*[97]Source!I1156),2)),2), 2)</f>
        <v>0</v>
      </c>
      <c r="T54" s="718">
        <f>[97]Source!Y1156</f>
        <v>0</v>
      </c>
      <c r="U54" s="718">
        <f>ROUND((175/100)*ROUND((ROUND(([97]Source!AE1156*[97]Source!AV1156*[97]Source!I1156),2)),2), 2)</f>
        <v>0</v>
      </c>
      <c r="V54" s="718">
        <f>ROUND((157/100)*ROUND(ROUND((ROUND(([97]Source!AE1156*[97]Source!AV1156*[97]Source!I1156),2)*[97]Source!BS1156),2), 2), 2)</f>
        <v>0</v>
      </c>
    </row>
    <row r="55" spans="1:27" ht="14.25" x14ac:dyDescent="0.2">
      <c r="A55" s="737"/>
      <c r="B55" s="737"/>
      <c r="C55" s="737"/>
      <c r="D55" s="737"/>
      <c r="E55" s="737"/>
      <c r="F55" s="737"/>
      <c r="G55" s="737"/>
      <c r="H55" s="737"/>
      <c r="I55" s="1067">
        <f>J54</f>
        <v>2539.27</v>
      </c>
      <c r="J55" s="1067"/>
      <c r="K55" s="1067">
        <f>L54</f>
        <v>14169.15</v>
      </c>
      <c r="L55" s="1067"/>
      <c r="O55" s="736">
        <f>J54</f>
        <v>2539.27</v>
      </c>
      <c r="P55" s="736">
        <f>L54</f>
        <v>14169.15</v>
      </c>
      <c r="X55" s="718">
        <f>IF([97]Source!BI1156&lt;=1,J54-0, 0)</f>
        <v>2539.27</v>
      </c>
      <c r="Y55" s="718">
        <f>IF([97]Source!BI1156=2,J54-0, 0)</f>
        <v>0</v>
      </c>
      <c r="Z55" s="718">
        <f>IF([97]Source!BI1156=3,J54-0, 0)</f>
        <v>0</v>
      </c>
      <c r="AA55" s="718">
        <f>IF([97]Source!BI1156=4,J54,0)</f>
        <v>0</v>
      </c>
    </row>
    <row r="56" spans="1:27" ht="195.6" customHeight="1" x14ac:dyDescent="0.25">
      <c r="A56" s="691">
        <v>6</v>
      </c>
      <c r="B56" s="691" t="str">
        <f>[97]Source!E1160</f>
        <v>151</v>
      </c>
      <c r="C56" s="692" t="str">
        <f>[97]Source!F1160</f>
        <v>МКЭ-33-1005/8-1 от 26.07.2018г.</v>
      </c>
      <c r="D56" s="692" t="s">
        <v>748</v>
      </c>
      <c r="E56" s="693" t="str">
        <f>[97]Source!H1160</f>
        <v>шт.</v>
      </c>
      <c r="F56" s="694">
        <f>[97]Source!I1160</f>
        <v>1</v>
      </c>
      <c r="G56" s="755">
        <f>13968.5/5.48*1.02</f>
        <v>2599.98</v>
      </c>
      <c r="H56" s="696"/>
      <c r="I56" s="694">
        <f>[97]Source!AW1160</f>
        <v>1</v>
      </c>
      <c r="J56" s="697">
        <f>ROUND((ROUND(([97]Source!AC1160*[97]Source!AW1160*[97]Source!I1160),2)),2)</f>
        <v>2719.05</v>
      </c>
      <c r="K56" s="694">
        <v>5.48</v>
      </c>
      <c r="L56" s="697">
        <f>F56*1.02*M56</f>
        <v>14247.87</v>
      </c>
      <c r="M56" s="718">
        <v>13968.5</v>
      </c>
      <c r="Q56" s="718">
        <f>ROUND(([97]Source!DN1160/100)*ROUND((ROUND(([97]Source!AF1160*[97]Source!AV1160*[97]Source!I1160),2)),2), 2)</f>
        <v>0</v>
      </c>
      <c r="R56" s="718">
        <f>[97]Source!X1160</f>
        <v>0</v>
      </c>
      <c r="S56" s="718">
        <f>ROUND(([97]Source!DO1160/100)*ROUND((ROUND(([97]Source!AF1160*[97]Source!AV1160*[97]Source!I1160),2)),2), 2)</f>
        <v>0</v>
      </c>
      <c r="T56" s="718">
        <f>[97]Source!Y1160</f>
        <v>0</v>
      </c>
      <c r="U56" s="718">
        <f>ROUND((175/100)*ROUND((ROUND(([97]Source!AE1160*[97]Source!AV1160*[97]Source!I1160),2)),2), 2)</f>
        <v>0</v>
      </c>
      <c r="V56" s="718">
        <f>ROUND((157/100)*ROUND(ROUND((ROUND(([97]Source!AE1160*[97]Source!AV1160*[97]Source!I1160),2)*[97]Source!BS1160),2), 2), 2)</f>
        <v>0</v>
      </c>
    </row>
    <row r="57" spans="1:27" ht="14.25" x14ac:dyDescent="0.2">
      <c r="A57" s="737"/>
      <c r="B57" s="737"/>
      <c r="C57" s="737"/>
      <c r="D57" s="737"/>
      <c r="E57" s="737"/>
      <c r="F57" s="737"/>
      <c r="G57" s="737"/>
      <c r="H57" s="737"/>
      <c r="I57" s="1067">
        <f>J56</f>
        <v>2719.05</v>
      </c>
      <c r="J57" s="1067"/>
      <c r="K57" s="1067">
        <f>L56</f>
        <v>14247.87</v>
      </c>
      <c r="L57" s="1067"/>
      <c r="O57" s="736">
        <f>J56</f>
        <v>2719.05</v>
      </c>
      <c r="P57" s="736">
        <f>L56</f>
        <v>14247.87</v>
      </c>
      <c r="X57" s="718">
        <f>IF([97]Source!BI1160&lt;=1,J56-0, 0)</f>
        <v>2719.05</v>
      </c>
      <c r="Y57" s="718">
        <f>IF([97]Source!BI1160=2,J56-0, 0)</f>
        <v>0</v>
      </c>
      <c r="Z57" s="718">
        <f>IF([97]Source!BI1160=3,J56-0, 0)</f>
        <v>0</v>
      </c>
      <c r="AA57" s="718">
        <f>IF([97]Source!BI1160=4,J56,0)</f>
        <v>0</v>
      </c>
    </row>
    <row r="58" spans="1:27" ht="235.5" x14ac:dyDescent="0.25">
      <c r="A58" s="691">
        <v>7</v>
      </c>
      <c r="B58" s="691" t="str">
        <f>[97]Source!E1164</f>
        <v>153</v>
      </c>
      <c r="C58" s="692" t="str">
        <f>[97]Source!F1164</f>
        <v>МКЭ-33-1714/7-1  14.09.2017</v>
      </c>
      <c r="D58" s="692" t="s">
        <v>749</v>
      </c>
      <c r="E58" s="693" t="str">
        <f>[97]Source!H1164</f>
        <v>шт.</v>
      </c>
      <c r="F58" s="694">
        <f>[97]Source!I1164</f>
        <v>1</v>
      </c>
      <c r="G58" s="755">
        <f>14361.64/5.48*1.02</f>
        <v>2673.15</v>
      </c>
      <c r="H58" s="696" t="str">
        <f>[97]Source!DD1164</f>
        <v/>
      </c>
      <c r="I58" s="694">
        <f>[97]Source!AW1164</f>
        <v>1</v>
      </c>
      <c r="J58" s="697">
        <f>ROUND((ROUND(([97]Source!AC1164*[97]Source!AW1164*[97]Source!I1164),2)),2)</f>
        <v>2625.25</v>
      </c>
      <c r="K58" s="694">
        <v>5.48</v>
      </c>
      <c r="L58" s="697">
        <f>F58*1.02*M58</f>
        <v>14648.87</v>
      </c>
      <c r="M58" s="718">
        <v>14361.64</v>
      </c>
      <c r="Q58" s="718">
        <f>ROUND(([97]Source!DN1164/100)*ROUND((ROUND(([97]Source!AF1164*[97]Source!AV1164*[97]Source!I1164),2)),2), 2)</f>
        <v>0</v>
      </c>
      <c r="R58" s="718">
        <f>[97]Source!X1164</f>
        <v>0</v>
      </c>
      <c r="S58" s="718">
        <f>ROUND(([97]Source!DO1164/100)*ROUND((ROUND(([97]Source!AF1164*[97]Source!AV1164*[97]Source!I1164),2)),2), 2)</f>
        <v>0</v>
      </c>
      <c r="T58" s="718">
        <f>[97]Source!Y1164</f>
        <v>0</v>
      </c>
      <c r="U58" s="718">
        <f>ROUND((175/100)*ROUND((ROUND(([97]Source!AE1164*[97]Source!AV1164*[97]Source!I1164),2)),2), 2)</f>
        <v>0</v>
      </c>
      <c r="V58" s="718">
        <f>ROUND((157/100)*ROUND(ROUND((ROUND(([97]Source!AE1164*[97]Source!AV1164*[97]Source!I1164),2)*[97]Source!BS1164),2), 2), 2)</f>
        <v>0</v>
      </c>
    </row>
    <row r="59" spans="1:27" ht="14.25" x14ac:dyDescent="0.2">
      <c r="A59" s="737"/>
      <c r="B59" s="737"/>
      <c r="C59" s="737"/>
      <c r="D59" s="737"/>
      <c r="E59" s="737"/>
      <c r="F59" s="737"/>
      <c r="G59" s="737"/>
      <c r="H59" s="737"/>
      <c r="I59" s="1067">
        <f>J58</f>
        <v>2625.25</v>
      </c>
      <c r="J59" s="1067"/>
      <c r="K59" s="1067">
        <f>L58</f>
        <v>14648.87</v>
      </c>
      <c r="L59" s="1067"/>
      <c r="O59" s="736">
        <f>J58</f>
        <v>2625.25</v>
      </c>
      <c r="P59" s="736">
        <f>L58</f>
        <v>14648.87</v>
      </c>
      <c r="X59" s="718">
        <f>IF([97]Source!BI1164&lt;=1,J58-0, 0)</f>
        <v>2625.25</v>
      </c>
      <c r="Y59" s="718">
        <f>IF([97]Source!BI1164=2,J58-0, 0)</f>
        <v>0</v>
      </c>
      <c r="Z59" s="718">
        <f>IF([97]Source!BI1164=3,J58-0, 0)</f>
        <v>0</v>
      </c>
      <c r="AA59" s="718">
        <f>IF([97]Source!BI1164=4,J58,0)</f>
        <v>0</v>
      </c>
    </row>
    <row r="60" spans="1:27" ht="45" x14ac:dyDescent="0.25">
      <c r="A60" s="691">
        <v>8</v>
      </c>
      <c r="B60" s="691" t="str">
        <f>[97]Source!E1176</f>
        <v>159</v>
      </c>
      <c r="C60" s="692" t="str">
        <f>[97]Source!F1176</f>
        <v>3.20-11-16</v>
      </c>
      <c r="D60" s="692" t="s">
        <v>498</v>
      </c>
      <c r="E60" s="693" t="str">
        <f>[97]Source!H1176</f>
        <v>1 клапан</v>
      </c>
      <c r="F60" s="694">
        <f>[97]Source!I1176</f>
        <v>1</v>
      </c>
      <c r="G60" s="695"/>
      <c r="H60" s="696"/>
      <c r="I60" s="694"/>
      <c r="J60" s="697"/>
      <c r="K60" s="694"/>
      <c r="L60" s="697"/>
      <c r="Q60" s="718">
        <f>ROUND(([97]Source!DN1176/100)*ROUND((ROUND(([97]Source!AF1176*[97]Source!AV1176*[97]Source!I1176),2)),2), 2)</f>
        <v>148.25</v>
      </c>
      <c r="R60" s="718">
        <f>[97]Source!X1176</f>
        <v>2873.68</v>
      </c>
      <c r="S60" s="718">
        <f>ROUND(([97]Source!DO1176/100)*ROUND((ROUND(([97]Source!AF1176*[97]Source!AV1176*[97]Source!I1176),2)),2), 2)</f>
        <v>111.48</v>
      </c>
      <c r="T60" s="718">
        <f>[97]Source!Y1176</f>
        <v>1293.1600000000001</v>
      </c>
      <c r="U60" s="718">
        <f>ROUND((175/100)*ROUND((ROUND(([97]Source!AE1176*[97]Source!AV1176*[97]Source!I1176),2)),2), 2)</f>
        <v>5.76</v>
      </c>
      <c r="V60" s="718">
        <f>ROUND((157/100)*ROUND(ROUND((ROUND(([97]Source!AE1176*[97]Source!AV1176*[97]Source!I1176),2)*[97]Source!BS1176),2), 2), 2)</f>
        <v>125.16</v>
      </c>
    </row>
    <row r="61" spans="1:27" ht="15" x14ac:dyDescent="0.25">
      <c r="A61" s="691"/>
      <c r="B61" s="691"/>
      <c r="C61" s="692"/>
      <c r="D61" s="692" t="s">
        <v>84</v>
      </c>
      <c r="E61" s="693"/>
      <c r="F61" s="694"/>
      <c r="G61" s="695">
        <f>[97]Source!AO1176</f>
        <v>63.39</v>
      </c>
      <c r="H61" s="696" t="str">
        <f>[97]Source!DG1176</f>
        <v>)*1,67)*1,05</v>
      </c>
      <c r="I61" s="694">
        <f>[97]Source!AV1176</f>
        <v>1.0669999999999999</v>
      </c>
      <c r="J61" s="697">
        <f>ROUND((ROUND(([97]Source!AF1176*[97]Source!AV1176*[97]Source!I1176),2)),2)</f>
        <v>118.6</v>
      </c>
      <c r="K61" s="694">
        <f>IF([97]Source!BA1176&lt;&gt; 0, [97]Source!BA1176, 1)</f>
        <v>24.23</v>
      </c>
      <c r="L61" s="697">
        <f>[97]Source!S1176</f>
        <v>2873.68</v>
      </c>
      <c r="W61" s="718">
        <f>J61</f>
        <v>118.6</v>
      </c>
    </row>
    <row r="62" spans="1:27" ht="15" x14ac:dyDescent="0.25">
      <c r="A62" s="691"/>
      <c r="B62" s="691"/>
      <c r="C62" s="692"/>
      <c r="D62" s="692" t="s">
        <v>85</v>
      </c>
      <c r="E62" s="693"/>
      <c r="F62" s="694"/>
      <c r="G62" s="695">
        <f>[97]Source!AM1176</f>
        <v>7.44</v>
      </c>
      <c r="H62" s="696" t="str">
        <f>[97]Source!DE1176</f>
        <v>)*1,05</v>
      </c>
      <c r="I62" s="694">
        <f>[97]Source!AV1176</f>
        <v>1.0669999999999999</v>
      </c>
      <c r="J62" s="697">
        <f>(ROUND((ROUND(((([97]Source!ET1176*1.05))*[97]Source!AV1176*[97]Source!I1176),2)),2)+ROUND((ROUND((([97]Source!AE1176-(([97]Source!EU1176*1.05)))*[97]Source!AV1176*[97]Source!I1176),2)),2))-J71</f>
        <v>8.34</v>
      </c>
      <c r="K62" s="694">
        <f>IF([97]Source!BB1176&lt;&gt; 0, [97]Source!BB1176, 1)</f>
        <v>9.98</v>
      </c>
      <c r="L62" s="697">
        <f>[97]Source!Q1176-L71</f>
        <v>83.2</v>
      </c>
    </row>
    <row r="63" spans="1:27" ht="15" x14ac:dyDescent="0.25">
      <c r="A63" s="691"/>
      <c r="B63" s="691"/>
      <c r="C63" s="692"/>
      <c r="D63" s="692" t="s">
        <v>86</v>
      </c>
      <c r="E63" s="693"/>
      <c r="F63" s="694"/>
      <c r="G63" s="695">
        <f>[97]Source!AN1176</f>
        <v>1.76</v>
      </c>
      <c r="H63" s="696" t="str">
        <f>[97]Source!DE1176</f>
        <v>)*1,05</v>
      </c>
      <c r="I63" s="694">
        <f>[97]Source!AV1176</f>
        <v>1.0669999999999999</v>
      </c>
      <c r="J63" s="700">
        <f>ROUND((ROUND(([97]Source!AE1176*[97]Source!AV1176*[97]Source!I1176),2)),2)-J72</f>
        <v>1.97</v>
      </c>
      <c r="K63" s="694">
        <f>IF([97]Source!BS1176&lt;&gt; 0, [97]Source!BS1176, 1)</f>
        <v>24.23</v>
      </c>
      <c r="L63" s="700">
        <f>[97]Source!R1176-L72</f>
        <v>47.71</v>
      </c>
      <c r="W63" s="718">
        <f>J63</f>
        <v>1.97</v>
      </c>
    </row>
    <row r="64" spans="1:27" ht="15" x14ac:dyDescent="0.25">
      <c r="A64" s="691"/>
      <c r="B64" s="691"/>
      <c r="C64" s="692"/>
      <c r="D64" s="692" t="s">
        <v>87</v>
      </c>
      <c r="E64" s="693"/>
      <c r="F64" s="694"/>
      <c r="G64" s="695">
        <f>[97]Source!AL1176</f>
        <v>24.35</v>
      </c>
      <c r="H64" s="696" t="str">
        <f>[97]Source!DD1176</f>
        <v/>
      </c>
      <c r="I64" s="694">
        <f>[97]Source!AW1176</f>
        <v>1</v>
      </c>
      <c r="J64" s="697">
        <f>ROUND((ROUND(([97]Source!AC1176*[97]Source!AW1176*[97]Source!I1176),2)),2)</f>
        <v>24.35</v>
      </c>
      <c r="K64" s="694">
        <f>IF([97]Source!BC1176&lt;&gt; 0, [97]Source!BC1176, 1)</f>
        <v>7.3</v>
      </c>
      <c r="L64" s="697">
        <f>[97]Source!P1176</f>
        <v>177.76</v>
      </c>
    </row>
    <row r="65" spans="1:27" ht="15" x14ac:dyDescent="0.25">
      <c r="A65" s="691"/>
      <c r="B65" s="691"/>
      <c r="C65" s="692"/>
      <c r="D65" s="692" t="s">
        <v>88</v>
      </c>
      <c r="E65" s="693" t="s">
        <v>89</v>
      </c>
      <c r="F65" s="694">
        <f>[97]Source!DN1176</f>
        <v>125</v>
      </c>
      <c r="G65" s="695"/>
      <c r="H65" s="696"/>
      <c r="I65" s="694"/>
      <c r="J65" s="697">
        <f>SUM(Q60:Q64)</f>
        <v>148.25</v>
      </c>
      <c r="K65" s="694">
        <f>[97]Source!BZ1176</f>
        <v>100</v>
      </c>
      <c r="L65" s="697">
        <f>SUM(R60:R64)</f>
        <v>2873.68</v>
      </c>
    </row>
    <row r="66" spans="1:27" ht="15" x14ac:dyDescent="0.25">
      <c r="A66" s="691"/>
      <c r="B66" s="691"/>
      <c r="C66" s="692"/>
      <c r="D66" s="692" t="s">
        <v>90</v>
      </c>
      <c r="E66" s="693" t="s">
        <v>89</v>
      </c>
      <c r="F66" s="694">
        <f>[97]Source!DO1176</f>
        <v>94</v>
      </c>
      <c r="G66" s="695"/>
      <c r="H66" s="696"/>
      <c r="I66" s="694"/>
      <c r="J66" s="697">
        <f>SUM(S60:S65)</f>
        <v>111.48</v>
      </c>
      <c r="K66" s="694">
        <f>[97]Source!CA1176</f>
        <v>45</v>
      </c>
      <c r="L66" s="697">
        <f>SUM(T60:T65)</f>
        <v>1293.1600000000001</v>
      </c>
    </row>
    <row r="67" spans="1:27" ht="15" x14ac:dyDescent="0.25">
      <c r="A67" s="691"/>
      <c r="B67" s="691"/>
      <c r="C67" s="692"/>
      <c r="D67" s="692" t="s">
        <v>91</v>
      </c>
      <c r="E67" s="693" t="s">
        <v>89</v>
      </c>
      <c r="F67" s="694">
        <f>175</f>
        <v>175</v>
      </c>
      <c r="G67" s="695"/>
      <c r="H67" s="696"/>
      <c r="I67" s="694"/>
      <c r="J67" s="697">
        <f>SUM(U60:U66)-J73</f>
        <v>3.45</v>
      </c>
      <c r="K67" s="694">
        <f>157</f>
        <v>157</v>
      </c>
      <c r="L67" s="697">
        <f>SUM(V60:V66)-L73</f>
        <v>74.900000000000006</v>
      </c>
    </row>
    <row r="68" spans="1:27" ht="15" x14ac:dyDescent="0.25">
      <c r="A68" s="691"/>
      <c r="B68" s="691"/>
      <c r="C68" s="692"/>
      <c r="D68" s="692" t="s">
        <v>92</v>
      </c>
      <c r="E68" s="693" t="s">
        <v>93</v>
      </c>
      <c r="F68" s="694">
        <f>[97]Source!AQ1176</f>
        <v>5.46</v>
      </c>
      <c r="G68" s="695"/>
      <c r="H68" s="696" t="str">
        <f>[97]Source!DI1176</f>
        <v>)*1,05</v>
      </c>
      <c r="I68" s="694">
        <f>[97]Source!AV1176</f>
        <v>1.0669999999999999</v>
      </c>
      <c r="J68" s="697">
        <f>[97]Source!U1176</f>
        <v>6.12</v>
      </c>
      <c r="K68" s="694"/>
      <c r="L68" s="697"/>
    </row>
    <row r="69" spans="1:27" ht="14.25" x14ac:dyDescent="0.2">
      <c r="I69" s="1067">
        <f>J61+J62+J64+J65+J66+J67</f>
        <v>414.47</v>
      </c>
      <c r="J69" s="1067"/>
      <c r="K69" s="1067">
        <f>L61+L62+L64+L65+L66+L67</f>
        <v>7376.38</v>
      </c>
      <c r="L69" s="1067"/>
      <c r="O69" s="736">
        <f>J61+J62+J64+J65+J66+J67</f>
        <v>414.47</v>
      </c>
      <c r="P69" s="736">
        <f>L61+L62+L64+L65+L66+L67</f>
        <v>7376.38</v>
      </c>
      <c r="X69" s="718">
        <f>IF([97]Source!BI1176&lt;=1,J61+J62+J64+J65+J66+J67-0, 0)</f>
        <v>414.47</v>
      </c>
      <c r="Y69" s="718">
        <f>IF([97]Source!BI1176=2,J61+J62+J64+J65+J66+J67-0, 0)</f>
        <v>0</v>
      </c>
      <c r="Z69" s="718">
        <f>IF([97]Source!BI1176=3,J61+J62+J64+J65+J66+J67-0, 0)</f>
        <v>0</v>
      </c>
      <c r="AA69" s="718">
        <f>IF([97]Source!BI1176=4,J61+J62+J64+J65+J66+J67,0)</f>
        <v>0</v>
      </c>
    </row>
    <row r="70" spans="1:27" ht="30" x14ac:dyDescent="0.25">
      <c r="A70" s="701"/>
      <c r="B70" s="701"/>
      <c r="C70" s="702"/>
      <c r="D70" s="702" t="s">
        <v>94</v>
      </c>
      <c r="E70" s="693"/>
      <c r="F70" s="703"/>
      <c r="G70" s="704"/>
      <c r="H70" s="693"/>
      <c r="I70" s="703"/>
      <c r="J70" s="700"/>
      <c r="K70" s="703"/>
      <c r="L70" s="700"/>
    </row>
    <row r="71" spans="1:27" ht="15" x14ac:dyDescent="0.25">
      <c r="A71" s="701"/>
      <c r="B71" s="701"/>
      <c r="C71" s="702"/>
      <c r="D71" s="702" t="s">
        <v>85</v>
      </c>
      <c r="E71" s="693"/>
      <c r="F71" s="703"/>
      <c r="G71" s="704">
        <f t="shared" ref="G71:L71" si="2">G72</f>
        <v>1.76</v>
      </c>
      <c r="H71" s="705" t="str">
        <f t="shared" si="2"/>
        <v>)*(1.67-1)*1.05</v>
      </c>
      <c r="I71" s="703">
        <f t="shared" si="2"/>
        <v>1.0669999999999999</v>
      </c>
      <c r="J71" s="700">
        <f t="shared" si="2"/>
        <v>1.32</v>
      </c>
      <c r="K71" s="703">
        <f t="shared" si="2"/>
        <v>24.23</v>
      </c>
      <c r="L71" s="700">
        <f t="shared" si="2"/>
        <v>32.01</v>
      </c>
    </row>
    <row r="72" spans="1:27" ht="15" x14ac:dyDescent="0.25">
      <c r="A72" s="701"/>
      <c r="B72" s="701"/>
      <c r="C72" s="702"/>
      <c r="D72" s="702" t="s">
        <v>86</v>
      </c>
      <c r="E72" s="693"/>
      <c r="F72" s="703"/>
      <c r="G72" s="704">
        <f>[97]Source!AN1176</f>
        <v>1.76</v>
      </c>
      <c r="H72" s="705" t="s">
        <v>491</v>
      </c>
      <c r="I72" s="703">
        <f>[97]Source!AV1176</f>
        <v>1.0669999999999999</v>
      </c>
      <c r="J72" s="700">
        <f>ROUND(F60*G72*I72*(1.67-1)*1.05, 2)</f>
        <v>1.32</v>
      </c>
      <c r="K72" s="703">
        <f>IF([97]Source!BS1176&lt;&gt; 0, [97]Source!BS1176, 1)</f>
        <v>24.23</v>
      </c>
      <c r="L72" s="700">
        <f>ROUND(F60*G72*I72*(1.67-1)*1.05*K72, 2)</f>
        <v>32.01</v>
      </c>
      <c r="W72" s="718">
        <f>J72</f>
        <v>1.32</v>
      </c>
    </row>
    <row r="73" spans="1:27" ht="15" x14ac:dyDescent="0.25">
      <c r="A73" s="701"/>
      <c r="B73" s="701"/>
      <c r="C73" s="702"/>
      <c r="D73" s="702" t="s">
        <v>91</v>
      </c>
      <c r="E73" s="693" t="s">
        <v>89</v>
      </c>
      <c r="F73" s="703">
        <f>175</f>
        <v>175</v>
      </c>
      <c r="G73" s="704"/>
      <c r="H73" s="693"/>
      <c r="I73" s="703"/>
      <c r="J73" s="700">
        <f>ROUND(J72*(F73/100), 2)</f>
        <v>2.31</v>
      </c>
      <c r="K73" s="703">
        <f>157</f>
        <v>157</v>
      </c>
      <c r="L73" s="700">
        <f>ROUND(L72*(K73/100), 2)</f>
        <v>50.26</v>
      </c>
    </row>
    <row r="74" spans="1:27" ht="14.25" x14ac:dyDescent="0.2">
      <c r="I74" s="1067">
        <f>J73+J72</f>
        <v>3.63</v>
      </c>
      <c r="J74" s="1067"/>
      <c r="K74" s="1067">
        <f>L73+L72</f>
        <v>82.27</v>
      </c>
      <c r="L74" s="1067"/>
      <c r="O74" s="736">
        <f>I74</f>
        <v>3.63</v>
      </c>
      <c r="P74" s="736">
        <f>K74</f>
        <v>82.27</v>
      </c>
      <c r="X74" s="718">
        <f>IF([97]Source!BI1176&lt;=1,I74, 0)</f>
        <v>3.63</v>
      </c>
      <c r="Y74" s="718">
        <f>IF([97]Source!BI1176=2,I74, 0)</f>
        <v>0</v>
      </c>
      <c r="Z74" s="718">
        <f>IF([97]Source!BI1176=3,I74, 0)</f>
        <v>0</v>
      </c>
      <c r="AA74" s="718">
        <f>IF([97]Source!BI1176=4,I74, 0)</f>
        <v>0</v>
      </c>
    </row>
    <row r="76" spans="1:27" ht="15" x14ac:dyDescent="0.25">
      <c r="A76" s="706"/>
      <c r="B76" s="706"/>
      <c r="C76" s="707"/>
      <c r="D76" s="707" t="s">
        <v>96</v>
      </c>
      <c r="E76" s="708"/>
      <c r="F76" s="709"/>
      <c r="G76" s="710"/>
      <c r="H76" s="711"/>
      <c r="I76" s="1067">
        <f>I69+I74</f>
        <v>418.1</v>
      </c>
      <c r="J76" s="1067"/>
      <c r="K76" s="1067">
        <f>K69+K74</f>
        <v>7458.65</v>
      </c>
      <c r="L76" s="1067"/>
    </row>
    <row r="77" spans="1:27" ht="242.45" customHeight="1" x14ac:dyDescent="0.25">
      <c r="A77" s="691">
        <v>9</v>
      </c>
      <c r="B77" s="691" t="str">
        <f>[97]Source!E1178</f>
        <v>160</v>
      </c>
      <c r="C77" s="692" t="str">
        <f>[97]Source!F1178</f>
        <v>МКЭ-33-1714/7-1  14.09.2017</v>
      </c>
      <c r="D77" s="692" t="s">
        <v>750</v>
      </c>
      <c r="E77" s="693" t="str">
        <f>[97]Source!H1178</f>
        <v>шт.</v>
      </c>
      <c r="F77" s="694">
        <f>[97]Source!I1178</f>
        <v>1</v>
      </c>
      <c r="G77" s="755">
        <f>15314.39/5.48*1.02</f>
        <v>2850.49</v>
      </c>
      <c r="H77" s="696"/>
      <c r="I77" s="694">
        <f>[97]Source!AW1178</f>
        <v>1</v>
      </c>
      <c r="J77" s="697">
        <f>ROUND((ROUND(([97]Source!AC1178*[97]Source!AW1178*[97]Source!I1178),2)),2)</f>
        <v>2981.04</v>
      </c>
      <c r="K77" s="694">
        <v>5.48</v>
      </c>
      <c r="L77" s="697">
        <f>F77*1.02*M77</f>
        <v>15620.68</v>
      </c>
      <c r="M77" s="718">
        <v>15314.39</v>
      </c>
      <c r="Q77" s="718">
        <f>ROUND(([97]Source!DN1178/100)*ROUND((ROUND(([97]Source!AF1178*[97]Source!AV1178*[97]Source!I1178),2)),2), 2)</f>
        <v>0</v>
      </c>
      <c r="R77" s="718">
        <f>[97]Source!X1178</f>
        <v>0</v>
      </c>
      <c r="S77" s="718">
        <f>ROUND(([97]Source!DO1178/100)*ROUND((ROUND(([97]Source!AF1178*[97]Source!AV1178*[97]Source!I1178),2)),2), 2)</f>
        <v>0</v>
      </c>
      <c r="T77" s="718">
        <f>[97]Source!Y1178</f>
        <v>0</v>
      </c>
      <c r="U77" s="718">
        <f>ROUND((175/100)*ROUND((ROUND(([97]Source!AE1178*[97]Source!AV1178*[97]Source!I1178),2)),2), 2)</f>
        <v>0</v>
      </c>
      <c r="V77" s="718">
        <f>ROUND((157/100)*ROUND(ROUND((ROUND(([97]Source!AE1178*[97]Source!AV1178*[97]Source!I1178),2)*[97]Source!BS1178),2), 2), 2)</f>
        <v>0</v>
      </c>
    </row>
    <row r="78" spans="1:27" ht="14.25" x14ac:dyDescent="0.2">
      <c r="A78" s="737"/>
      <c r="B78" s="737"/>
      <c r="C78" s="737"/>
      <c r="D78" s="737"/>
      <c r="E78" s="737"/>
      <c r="F78" s="737"/>
      <c r="G78" s="737"/>
      <c r="H78" s="737"/>
      <c r="I78" s="1067">
        <f>J77</f>
        <v>2981.04</v>
      </c>
      <c r="J78" s="1067"/>
      <c r="K78" s="1067">
        <f>L77</f>
        <v>15620.68</v>
      </c>
      <c r="L78" s="1067"/>
      <c r="O78" s="736">
        <f>J77</f>
        <v>2981.04</v>
      </c>
      <c r="P78" s="736">
        <f>L77</f>
        <v>15620.68</v>
      </c>
      <c r="X78" s="718">
        <f>IF([97]Source!BI1178&lt;=1,J77-0, 0)</f>
        <v>2981.04</v>
      </c>
      <c r="Y78" s="718">
        <f>IF([97]Source!BI1178=2,J77-0, 0)</f>
        <v>0</v>
      </c>
      <c r="Z78" s="718">
        <f>IF([97]Source!BI1178=3,J77-0, 0)</f>
        <v>0</v>
      </c>
      <c r="AA78" s="718">
        <f>IF([97]Source!BI1178=4,J77,0)</f>
        <v>0</v>
      </c>
    </row>
    <row r="79" spans="1:27" ht="75" x14ac:dyDescent="0.25">
      <c r="A79" s="691">
        <v>10</v>
      </c>
      <c r="B79" s="691" t="str">
        <f>[97]Source!E1216</f>
        <v>179</v>
      </c>
      <c r="C79" s="692" t="str">
        <f>[97]Source!F1216</f>
        <v>3.20-1-2</v>
      </c>
      <c r="D79" s="692" t="s">
        <v>466</v>
      </c>
      <c r="E79" s="693" t="str">
        <f>[97]Source!H1216</f>
        <v>100 м2 поверхности воздуховодов</v>
      </c>
      <c r="F79" s="694">
        <f>[97]Source!I1216</f>
        <v>6.9199999999999998E-2</v>
      </c>
      <c r="G79" s="695"/>
      <c r="H79" s="696"/>
      <c r="I79" s="694"/>
      <c r="J79" s="697"/>
      <c r="K79" s="694"/>
      <c r="L79" s="697"/>
      <c r="Q79" s="718">
        <f>ROUND(([97]Source!DN1216/100)*ROUND((ROUND(([97]Source!AF1216*[97]Source!AV1216*[97]Source!I1216),2)),2), 2)</f>
        <v>268.7</v>
      </c>
      <c r="R79" s="718">
        <f>[97]Source!X1216</f>
        <v>5208.4799999999996</v>
      </c>
      <c r="S79" s="718">
        <f>ROUND(([97]Source!DO1216/100)*ROUND((ROUND(([97]Source!AF1216*[97]Source!AV1216*[97]Source!I1216),2)),2), 2)</f>
        <v>202.06</v>
      </c>
      <c r="T79" s="718">
        <f>[97]Source!Y1216</f>
        <v>2343.8200000000002</v>
      </c>
      <c r="U79" s="718">
        <f>ROUND((175/100)*ROUND((ROUND(([97]Source!AE1216*[97]Source!AV1216*[97]Source!I1216),2)),2), 2)</f>
        <v>4.22</v>
      </c>
      <c r="V79" s="718">
        <f>ROUND((157/100)*ROUND(ROUND((ROUND(([97]Source!AE1216*[97]Source!AV1216*[97]Source!I1216),2)*[97]Source!BS1216),2), 2), 2)</f>
        <v>91.67</v>
      </c>
    </row>
    <row r="80" spans="1:27" ht="15" x14ac:dyDescent="0.25">
      <c r="A80" s="691"/>
      <c r="B80" s="691"/>
      <c r="C80" s="692"/>
      <c r="D80" s="692" t="s">
        <v>84</v>
      </c>
      <c r="E80" s="693"/>
      <c r="F80" s="694"/>
      <c r="G80" s="695">
        <f>[97]Source!AO1216</f>
        <v>1743.28</v>
      </c>
      <c r="H80" s="696" t="str">
        <f>[97]Source!DG1216</f>
        <v>)*1,67</v>
      </c>
      <c r="I80" s="694">
        <f>[97]Source!AV1216</f>
        <v>1.0669999999999999</v>
      </c>
      <c r="J80" s="697">
        <f>ROUND((ROUND(([97]Source!AF1216*[97]Source!AV1216*[97]Source!I1216),2)),2)</f>
        <v>214.96</v>
      </c>
      <c r="K80" s="694">
        <f>IF([97]Source!BA1216&lt;&gt; 0, [97]Source!BA1216, 1)</f>
        <v>24.23</v>
      </c>
      <c r="L80" s="697">
        <f>[97]Source!S1216</f>
        <v>5208.4799999999996</v>
      </c>
      <c r="W80" s="718">
        <f>J80</f>
        <v>214.96</v>
      </c>
    </row>
    <row r="81" spans="1:27" ht="15" x14ac:dyDescent="0.25">
      <c r="A81" s="691"/>
      <c r="B81" s="691"/>
      <c r="C81" s="692"/>
      <c r="D81" s="692" t="s">
        <v>85</v>
      </c>
      <c r="E81" s="693"/>
      <c r="F81" s="694"/>
      <c r="G81" s="695">
        <f>[97]Source!AM1216</f>
        <v>158.18</v>
      </c>
      <c r="H81" s="696" t="str">
        <f>[97]Source!DE1216</f>
        <v/>
      </c>
      <c r="I81" s="694">
        <f>[97]Source!AV1216</f>
        <v>1.0669999999999999</v>
      </c>
      <c r="J81" s="697">
        <f>(ROUND((ROUND((([97]Source!ET1216)*[97]Source!AV1216*[97]Source!I1216),2)),2)+ROUND((ROUND((([97]Source!AE1216-([97]Source!EU1216))*[97]Source!AV1216*[97]Source!I1216),2)),2))-J91</f>
        <v>11.68</v>
      </c>
      <c r="K81" s="694">
        <f>IF([97]Source!BB1216&lt;&gt; 0, [97]Source!BB1216, 1)</f>
        <v>8.61</v>
      </c>
      <c r="L81" s="697">
        <f>[97]Source!Q1216-L91</f>
        <v>100.59</v>
      </c>
    </row>
    <row r="82" spans="1:27" ht="15" x14ac:dyDescent="0.25">
      <c r="A82" s="691"/>
      <c r="B82" s="691"/>
      <c r="C82" s="692"/>
      <c r="D82" s="692" t="s">
        <v>86</v>
      </c>
      <c r="E82" s="693"/>
      <c r="F82" s="694"/>
      <c r="G82" s="695">
        <f>[97]Source!AN1216</f>
        <v>19.579999999999998</v>
      </c>
      <c r="H82" s="696" t="str">
        <f>[97]Source!DE1216</f>
        <v/>
      </c>
      <c r="I82" s="694">
        <f>[97]Source!AV1216</f>
        <v>1.0669999999999999</v>
      </c>
      <c r="J82" s="700">
        <f>ROUND((ROUND(([97]Source!AE1216*[97]Source!AV1216*[97]Source!I1216),2)),2)-J92</f>
        <v>1.44</v>
      </c>
      <c r="K82" s="694">
        <f>IF([97]Source!BS1216&lt;&gt; 0, [97]Source!BS1216, 1)</f>
        <v>24.23</v>
      </c>
      <c r="L82" s="700">
        <f>[97]Source!R1216-L92</f>
        <v>34.92</v>
      </c>
      <c r="W82" s="718">
        <f>J82</f>
        <v>1.44</v>
      </c>
    </row>
    <row r="83" spans="1:27" ht="15" x14ac:dyDescent="0.25">
      <c r="A83" s="691"/>
      <c r="B83" s="691"/>
      <c r="C83" s="692"/>
      <c r="D83" s="692" t="s">
        <v>87</v>
      </c>
      <c r="E83" s="693"/>
      <c r="F83" s="694"/>
      <c r="G83" s="695">
        <f>[97]Source!AL1216</f>
        <v>499.52</v>
      </c>
      <c r="H83" s="696" t="str">
        <f>[97]Source!DD1216</f>
        <v/>
      </c>
      <c r="I83" s="694">
        <f>[97]Source!AW1216</f>
        <v>1</v>
      </c>
      <c r="J83" s="697">
        <f>ROUND((ROUND(([97]Source!AC1216*[97]Source!AW1216*[97]Source!I1216),2)),2)</f>
        <v>34.57</v>
      </c>
      <c r="K83" s="694">
        <f>IF([97]Source!BC1216&lt;&gt; 0, [97]Source!BC1216, 1)</f>
        <v>3.66</v>
      </c>
      <c r="L83" s="697">
        <f>[97]Source!P1216</f>
        <v>126.53</v>
      </c>
    </row>
    <row r="84" spans="1:27" ht="61.15" customHeight="1" x14ac:dyDescent="0.25">
      <c r="A84" s="691">
        <v>11</v>
      </c>
      <c r="B84" s="691" t="str">
        <f>[97]Source!E1218</f>
        <v>179,1</v>
      </c>
      <c r="C84" s="692" t="str">
        <f>[97]Source!F1218</f>
        <v>1.19-3-12</v>
      </c>
      <c r="D84" s="692" t="s">
        <v>467</v>
      </c>
      <c r="E84" s="693" t="str">
        <f>[97]Source!H1218</f>
        <v>м2</v>
      </c>
      <c r="F84" s="694">
        <f>[97]Source!I1218</f>
        <v>6.92</v>
      </c>
      <c r="G84" s="695">
        <f>[97]Source!AK1218</f>
        <v>125.64</v>
      </c>
      <c r="H84" s="734" t="s">
        <v>42</v>
      </c>
      <c r="I84" s="694">
        <f>[97]Source!AW1218</f>
        <v>1</v>
      </c>
      <c r="J84" s="697">
        <f>ROUND((ROUND(([97]Source!AC1218*[97]Source!AW1218*[97]Source!I1218),2)),2)+(ROUND((ROUND((([97]Source!ET1218)*[97]Source!AV1218*[97]Source!I1218),2)),2)+ROUND((ROUND((([97]Source!AE1218-([97]Source!EU1218))*[97]Source!AV1218*[97]Source!I1218),2)),2))+ROUND((ROUND(([97]Source!AF1218*[97]Source!AV1218*[97]Source!I1218),2)),2)</f>
        <v>869.43</v>
      </c>
      <c r="K84" s="694">
        <f>IF([97]Source!BC1218&lt;&gt; 0, [97]Source!BC1218, 1)</f>
        <v>3.84</v>
      </c>
      <c r="L84" s="697">
        <f>[97]Source!O1218</f>
        <v>3338.61</v>
      </c>
      <c r="Q84" s="718">
        <f>ROUND(([97]Source!DN1218/100)*ROUND((ROUND(([97]Source!AF1218*[97]Source!AV1218*[97]Source!I1218),2)),2), 2)</f>
        <v>0</v>
      </c>
      <c r="R84" s="718">
        <f>[97]Source!X1218</f>
        <v>0</v>
      </c>
      <c r="S84" s="718">
        <f>ROUND(([97]Source!DO1218/100)*ROUND((ROUND(([97]Source!AF1218*[97]Source!AV1218*[97]Source!I1218),2)),2), 2)</f>
        <v>0</v>
      </c>
      <c r="T84" s="718">
        <f>[97]Source!Y1218</f>
        <v>0</v>
      </c>
      <c r="U84" s="718">
        <f>ROUND((175/100)*ROUND((ROUND(([97]Source!AE1218*[97]Source!AV1218*[97]Source!I1218),2)),2), 2)</f>
        <v>0</v>
      </c>
      <c r="V84" s="718">
        <f>ROUND((157/100)*ROUND(ROUND((ROUND(([97]Source!AE1218*[97]Source!AV1218*[97]Source!I1218),2)*[97]Source!BS1218),2), 2), 2)</f>
        <v>0</v>
      </c>
      <c r="X84" s="718">
        <f>IF([97]Source!BI1218&lt;=1,J84, 0)</f>
        <v>869.43</v>
      </c>
      <c r="Y84" s="718">
        <f>IF([97]Source!BI1218=2,J84, 0)</f>
        <v>0</v>
      </c>
      <c r="Z84" s="718">
        <f>IF([97]Source!BI1218=3,J84, 0)</f>
        <v>0</v>
      </c>
      <c r="AA84" s="718">
        <f>IF([97]Source!BI1218=4,J84, 0)</f>
        <v>0</v>
      </c>
    </row>
    <row r="85" spans="1:27" ht="15" x14ac:dyDescent="0.25">
      <c r="A85" s="691"/>
      <c r="B85" s="691"/>
      <c r="C85" s="692"/>
      <c r="D85" s="692" t="s">
        <v>88</v>
      </c>
      <c r="E85" s="693" t="s">
        <v>89</v>
      </c>
      <c r="F85" s="694">
        <f>[97]Source!DN1216</f>
        <v>125</v>
      </c>
      <c r="G85" s="695"/>
      <c r="H85" s="696"/>
      <c r="I85" s="694"/>
      <c r="J85" s="697">
        <f>SUM(Q79:Q84)</f>
        <v>268.7</v>
      </c>
      <c r="K85" s="694">
        <f>[97]Source!BZ1216</f>
        <v>100</v>
      </c>
      <c r="L85" s="697">
        <f>SUM(R79:R84)</f>
        <v>5208.4799999999996</v>
      </c>
    </row>
    <row r="86" spans="1:27" ht="15" x14ac:dyDescent="0.25">
      <c r="A86" s="691"/>
      <c r="B86" s="691"/>
      <c r="C86" s="692"/>
      <c r="D86" s="692" t="s">
        <v>90</v>
      </c>
      <c r="E86" s="693" t="s">
        <v>89</v>
      </c>
      <c r="F86" s="694">
        <f>[97]Source!DO1216</f>
        <v>94</v>
      </c>
      <c r="G86" s="695"/>
      <c r="H86" s="696"/>
      <c r="I86" s="694"/>
      <c r="J86" s="697">
        <f>SUM(S79:S85)</f>
        <v>202.06</v>
      </c>
      <c r="K86" s="694">
        <f>[97]Source!CA1216</f>
        <v>45</v>
      </c>
      <c r="L86" s="697">
        <f>SUM(T79:T85)</f>
        <v>2343.8200000000002</v>
      </c>
    </row>
    <row r="87" spans="1:27" ht="15" x14ac:dyDescent="0.25">
      <c r="A87" s="691"/>
      <c r="B87" s="691"/>
      <c r="C87" s="692"/>
      <c r="D87" s="692" t="s">
        <v>91</v>
      </c>
      <c r="E87" s="693" t="s">
        <v>89</v>
      </c>
      <c r="F87" s="694">
        <f>175</f>
        <v>175</v>
      </c>
      <c r="G87" s="695"/>
      <c r="H87" s="696"/>
      <c r="I87" s="694"/>
      <c r="J87" s="697">
        <f>SUM(U79:U86)-J93</f>
        <v>2.52</v>
      </c>
      <c r="K87" s="694">
        <f>157</f>
        <v>157</v>
      </c>
      <c r="L87" s="697">
        <f>SUM(V79:V86)-L93</f>
        <v>54.82</v>
      </c>
    </row>
    <row r="88" spans="1:27" ht="15" x14ac:dyDescent="0.25">
      <c r="A88" s="691"/>
      <c r="B88" s="691"/>
      <c r="C88" s="692"/>
      <c r="D88" s="692" t="s">
        <v>92</v>
      </c>
      <c r="E88" s="693" t="s">
        <v>93</v>
      </c>
      <c r="F88" s="694">
        <f>[97]Source!AQ1216</f>
        <v>154</v>
      </c>
      <c r="G88" s="695"/>
      <c r="H88" s="696" t="str">
        <f>[97]Source!DI1216</f>
        <v/>
      </c>
      <c r="I88" s="694">
        <f>[97]Source!AV1216</f>
        <v>1.0669999999999999</v>
      </c>
      <c r="J88" s="697">
        <f>[97]Source!U1216</f>
        <v>11.37</v>
      </c>
      <c r="K88" s="694"/>
      <c r="L88" s="697"/>
    </row>
    <row r="89" spans="1:27" ht="14.25" x14ac:dyDescent="0.2">
      <c r="I89" s="1067">
        <f>J80+J81+J83+J85+J86+J87+SUM(J84:J84)</f>
        <v>1603.92</v>
      </c>
      <c r="J89" s="1067"/>
      <c r="K89" s="1067">
        <f>L80+L81+L83+L85+L86+L87+SUM(L84:L84)</f>
        <v>16381.33</v>
      </c>
      <c r="L89" s="1067"/>
      <c r="O89" s="736">
        <f>J80+J81+J83+J85+J86+J87+SUM(J84:J84)</f>
        <v>1603.92</v>
      </c>
      <c r="P89" s="736">
        <f>L80+L81+L83+L85+L86+L87+SUM(L84:L84)</f>
        <v>16381.33</v>
      </c>
      <c r="X89" s="718">
        <f>IF([97]Source!BI1216&lt;=1,J80+J81+J83+J85+J86+J87-0, 0)</f>
        <v>734.49</v>
      </c>
      <c r="Y89" s="718">
        <f>IF([97]Source!BI1216=2,J80+J81+J83+J85+J86+J87-0, 0)</f>
        <v>0</v>
      </c>
      <c r="Z89" s="718">
        <f>IF([97]Source!BI1216=3,J80+J81+J83+J85+J86+J87-0, 0)</f>
        <v>0</v>
      </c>
      <c r="AA89" s="718">
        <f>IF([97]Source!BI1216=4,J80+J81+J83+J85+J86+J87,0)</f>
        <v>0</v>
      </c>
    </row>
    <row r="90" spans="1:27" ht="30" x14ac:dyDescent="0.25">
      <c r="A90" s="701"/>
      <c r="B90" s="701"/>
      <c r="C90" s="702"/>
      <c r="D90" s="702" t="s">
        <v>94</v>
      </c>
      <c r="E90" s="693"/>
      <c r="F90" s="703"/>
      <c r="G90" s="704"/>
      <c r="H90" s="693"/>
      <c r="I90" s="703"/>
      <c r="J90" s="700"/>
      <c r="K90" s="703"/>
      <c r="L90" s="700"/>
    </row>
    <row r="91" spans="1:27" ht="15" x14ac:dyDescent="0.25">
      <c r="A91" s="701"/>
      <c r="B91" s="701"/>
      <c r="C91" s="702"/>
      <c r="D91" s="702" t="s">
        <v>85</v>
      </c>
      <c r="E91" s="693"/>
      <c r="F91" s="703"/>
      <c r="G91" s="704">
        <f t="shared" ref="G91:L91" si="3">G92</f>
        <v>19.579999999999998</v>
      </c>
      <c r="H91" s="705" t="str">
        <f t="shared" si="3"/>
        <v>)*(1.67-1)</v>
      </c>
      <c r="I91" s="703">
        <f t="shared" si="3"/>
        <v>1.0669999999999999</v>
      </c>
      <c r="J91" s="700">
        <f t="shared" si="3"/>
        <v>0.97</v>
      </c>
      <c r="K91" s="703">
        <f t="shared" si="3"/>
        <v>24.23</v>
      </c>
      <c r="L91" s="700">
        <f t="shared" si="3"/>
        <v>23.47</v>
      </c>
    </row>
    <row r="92" spans="1:27" ht="15" x14ac:dyDescent="0.25">
      <c r="A92" s="701"/>
      <c r="B92" s="701"/>
      <c r="C92" s="702"/>
      <c r="D92" s="702" t="s">
        <v>86</v>
      </c>
      <c r="E92" s="693"/>
      <c r="F92" s="703"/>
      <c r="G92" s="704">
        <f>[97]Source!AN1216</f>
        <v>19.579999999999998</v>
      </c>
      <c r="H92" s="705" t="s">
        <v>95</v>
      </c>
      <c r="I92" s="703">
        <f>[97]Source!AV1216</f>
        <v>1.0669999999999999</v>
      </c>
      <c r="J92" s="700">
        <f>ROUND(F79*G92*I92*(1.67-1), 2)</f>
        <v>0.97</v>
      </c>
      <c r="K92" s="703">
        <f>IF([97]Source!BS1216&lt;&gt; 0, [97]Source!BS1216, 1)</f>
        <v>24.23</v>
      </c>
      <c r="L92" s="700">
        <f>ROUND(F79*G92*I92*(1.67-1)*K92, 2)</f>
        <v>23.47</v>
      </c>
      <c r="W92" s="718">
        <f>J92</f>
        <v>0.97</v>
      </c>
    </row>
    <row r="93" spans="1:27" ht="15" x14ac:dyDescent="0.25">
      <c r="A93" s="701"/>
      <c r="B93" s="701"/>
      <c r="C93" s="702"/>
      <c r="D93" s="702" t="s">
        <v>91</v>
      </c>
      <c r="E93" s="693" t="s">
        <v>89</v>
      </c>
      <c r="F93" s="703">
        <f>175</f>
        <v>175</v>
      </c>
      <c r="G93" s="704"/>
      <c r="H93" s="693"/>
      <c r="I93" s="703"/>
      <c r="J93" s="700">
        <f>ROUND(J92*(F93/100), 2)</f>
        <v>1.7</v>
      </c>
      <c r="K93" s="703">
        <f>157</f>
        <v>157</v>
      </c>
      <c r="L93" s="700">
        <f>ROUND(L92*(K93/100), 2)</f>
        <v>36.85</v>
      </c>
    </row>
    <row r="94" spans="1:27" ht="14.25" x14ac:dyDescent="0.2">
      <c r="I94" s="1067">
        <f>J93+J92</f>
        <v>2.67</v>
      </c>
      <c r="J94" s="1067"/>
      <c r="K94" s="1067">
        <f>L93+L92</f>
        <v>60.32</v>
      </c>
      <c r="L94" s="1067"/>
      <c r="O94" s="736">
        <f>I94</f>
        <v>2.67</v>
      </c>
      <c r="P94" s="736">
        <f>K94</f>
        <v>60.32</v>
      </c>
      <c r="X94" s="718">
        <f>IF([97]Source!BI1216&lt;=1,I94, 0)</f>
        <v>2.67</v>
      </c>
      <c r="Y94" s="718">
        <f>IF([97]Source!BI1216=2,I94, 0)</f>
        <v>0</v>
      </c>
      <c r="Z94" s="718">
        <f>IF([97]Source!BI1216=3,I94, 0)</f>
        <v>0</v>
      </c>
      <c r="AA94" s="718">
        <f>IF([97]Source!BI1216=4,I94, 0)</f>
        <v>0</v>
      </c>
    </row>
    <row r="96" spans="1:27" ht="15" x14ac:dyDescent="0.25">
      <c r="A96" s="706"/>
      <c r="B96" s="706"/>
      <c r="C96" s="707"/>
      <c r="D96" s="707" t="s">
        <v>96</v>
      </c>
      <c r="E96" s="708"/>
      <c r="F96" s="709"/>
      <c r="G96" s="710"/>
      <c r="H96" s="711"/>
      <c r="I96" s="1067">
        <f>I89+I94</f>
        <v>1606.59</v>
      </c>
      <c r="J96" s="1067"/>
      <c r="K96" s="1067">
        <f>K89+K94</f>
        <v>16441.650000000001</v>
      </c>
      <c r="L96" s="1067"/>
    </row>
    <row r="97" spans="1:27" ht="75" x14ac:dyDescent="0.25">
      <c r="A97" s="691">
        <v>12</v>
      </c>
      <c r="B97" s="691" t="str">
        <f>[97]Source!E1282</f>
        <v>195</v>
      </c>
      <c r="C97" s="692" t="str">
        <f>[97]Source!F1282</f>
        <v>3.20-1-10</v>
      </c>
      <c r="D97" s="692" t="s">
        <v>468</v>
      </c>
      <c r="E97" s="693" t="str">
        <f>[97]Source!H1282</f>
        <v>100 м2 поверхности воздуховодов</v>
      </c>
      <c r="F97" s="694">
        <f>[97]Source!I1282</f>
        <v>0.19289999999999999</v>
      </c>
      <c r="G97" s="695"/>
      <c r="H97" s="696"/>
      <c r="I97" s="694"/>
      <c r="J97" s="697"/>
      <c r="K97" s="694"/>
      <c r="L97" s="697"/>
      <c r="Q97" s="718">
        <f>ROUND(([97]Source!DN1282/100)*ROUND((ROUND(([97]Source!AF1282*[97]Source!AV1282*[97]Source!I1282),2)),2), 2)</f>
        <v>593.38</v>
      </c>
      <c r="R97" s="718">
        <f>[97]Source!X1282</f>
        <v>11501.98</v>
      </c>
      <c r="S97" s="718">
        <f>ROUND(([97]Source!DO1282/100)*ROUND((ROUND(([97]Source!AF1282*[97]Source!AV1282*[97]Source!I1282),2)),2), 2)</f>
        <v>446.22</v>
      </c>
      <c r="T97" s="718">
        <f>[97]Source!Y1282</f>
        <v>5175.8900000000003</v>
      </c>
      <c r="U97" s="718">
        <f>ROUND((175/100)*ROUND((ROUND(([97]Source!AE1282*[97]Source!AV1282*[97]Source!I1282),2)),2), 2)</f>
        <v>8.59</v>
      </c>
      <c r="V97" s="718">
        <f>ROUND((157/100)*ROUND(ROUND((ROUND(([97]Source!AE1282*[97]Source!AV1282*[97]Source!I1282),2)*[97]Source!BS1282),2), 2), 2)</f>
        <v>186.78</v>
      </c>
    </row>
    <row r="98" spans="1:27" ht="15" x14ac:dyDescent="0.25">
      <c r="A98" s="691"/>
      <c r="B98" s="691"/>
      <c r="C98" s="692"/>
      <c r="D98" s="692" t="s">
        <v>84</v>
      </c>
      <c r="E98" s="693"/>
      <c r="F98" s="694"/>
      <c r="G98" s="695">
        <f>[97]Source!AO1282</f>
        <v>1381.04</v>
      </c>
      <c r="H98" s="696" t="str">
        <f>[97]Source!DG1282</f>
        <v>)*1,67</v>
      </c>
      <c r="I98" s="694">
        <f>[97]Source!AV1282</f>
        <v>1.0669999999999999</v>
      </c>
      <c r="J98" s="697">
        <f>ROUND((ROUND(([97]Source!AF1282*[97]Source!AV1282*[97]Source!I1282),2)),2)</f>
        <v>474.7</v>
      </c>
      <c r="K98" s="694">
        <f>IF([97]Source!BA1282&lt;&gt; 0, [97]Source!BA1282, 1)</f>
        <v>24.23</v>
      </c>
      <c r="L98" s="697">
        <f>[97]Source!S1282</f>
        <v>11501.98</v>
      </c>
      <c r="W98" s="718">
        <f>J98</f>
        <v>474.7</v>
      </c>
    </row>
    <row r="99" spans="1:27" ht="15" x14ac:dyDescent="0.25">
      <c r="A99" s="691"/>
      <c r="B99" s="691"/>
      <c r="C99" s="692"/>
      <c r="D99" s="692" t="s">
        <v>85</v>
      </c>
      <c r="E99" s="693"/>
      <c r="F99" s="694"/>
      <c r="G99" s="695">
        <f>[97]Source!AM1282</f>
        <v>116.7</v>
      </c>
      <c r="H99" s="696" t="str">
        <f>[97]Source!DE1282</f>
        <v/>
      </c>
      <c r="I99" s="694">
        <f>[97]Source!AV1282</f>
        <v>1.0669999999999999</v>
      </c>
      <c r="J99" s="697">
        <f>(ROUND((ROUND((([97]Source!ET1282)*[97]Source!AV1282*[97]Source!I1282),2)),2)+ROUND((ROUND((([97]Source!AE1282-([97]Source!EU1282))*[97]Source!AV1282*[97]Source!I1282),2)),2))-J109</f>
        <v>24.02</v>
      </c>
      <c r="K99" s="694">
        <f>IF([97]Source!BB1282&lt;&gt; 0, [97]Source!BB1282, 1)</f>
        <v>8.6</v>
      </c>
      <c r="L99" s="697">
        <f>[97]Source!Q1282-L109</f>
        <v>206.55</v>
      </c>
    </row>
    <row r="100" spans="1:27" ht="15" x14ac:dyDescent="0.25">
      <c r="A100" s="691"/>
      <c r="B100" s="691"/>
      <c r="C100" s="692"/>
      <c r="D100" s="692" t="s">
        <v>86</v>
      </c>
      <c r="E100" s="693"/>
      <c r="F100" s="694"/>
      <c r="G100" s="695">
        <f>[97]Source!AN1282</f>
        <v>14.29</v>
      </c>
      <c r="H100" s="696" t="str">
        <f>[97]Source!DE1282</f>
        <v/>
      </c>
      <c r="I100" s="694">
        <f>[97]Source!AV1282</f>
        <v>1.0669999999999999</v>
      </c>
      <c r="J100" s="700">
        <f>ROUND((ROUND(([97]Source!AE1282*[97]Source!AV1282*[97]Source!I1282),2)),2)-J110</f>
        <v>2.94</v>
      </c>
      <c r="K100" s="694">
        <f>IF([97]Source!BS1282&lt;&gt; 0, [97]Source!BS1282, 1)</f>
        <v>24.23</v>
      </c>
      <c r="L100" s="700">
        <f>[97]Source!R1282-L110</f>
        <v>71.22</v>
      </c>
      <c r="W100" s="718">
        <f>J100</f>
        <v>2.94</v>
      </c>
    </row>
    <row r="101" spans="1:27" ht="15" x14ac:dyDescent="0.25">
      <c r="A101" s="691"/>
      <c r="B101" s="691"/>
      <c r="C101" s="692"/>
      <c r="D101" s="692" t="s">
        <v>87</v>
      </c>
      <c r="E101" s="693"/>
      <c r="F101" s="694"/>
      <c r="G101" s="695">
        <f>[97]Source!AL1282</f>
        <v>599.72</v>
      </c>
      <c r="H101" s="696" t="str">
        <f>[97]Source!DD1282</f>
        <v/>
      </c>
      <c r="I101" s="694">
        <f>[97]Source!AW1282</f>
        <v>1</v>
      </c>
      <c r="J101" s="697">
        <f>ROUND((ROUND(([97]Source!AC1282*[97]Source!AW1282*[97]Source!I1282),2)),2)</f>
        <v>115.69</v>
      </c>
      <c r="K101" s="694">
        <f>IF([97]Source!BC1282&lt;&gt; 0, [97]Source!BC1282, 1)</f>
        <v>4.18</v>
      </c>
      <c r="L101" s="697">
        <f>[97]Source!P1282</f>
        <v>483.58</v>
      </c>
    </row>
    <row r="102" spans="1:27" ht="62.45" customHeight="1" x14ac:dyDescent="0.25">
      <c r="A102" s="691">
        <v>13</v>
      </c>
      <c r="B102" s="691" t="str">
        <f>[97]Source!E1284</f>
        <v>195,1</v>
      </c>
      <c r="C102" s="692" t="str">
        <f>[97]Source!F1284</f>
        <v>1.19-3-13</v>
      </c>
      <c r="D102" s="692" t="s">
        <v>469</v>
      </c>
      <c r="E102" s="693" t="str">
        <f>[97]Source!H1284</f>
        <v>м2</v>
      </c>
      <c r="F102" s="694">
        <f>[97]Source!I1284</f>
        <v>19.29</v>
      </c>
      <c r="G102" s="695">
        <f>[97]Source!AK1284</f>
        <v>157.54</v>
      </c>
      <c r="H102" s="734" t="s">
        <v>42</v>
      </c>
      <c r="I102" s="694">
        <f>[97]Source!AW1284</f>
        <v>1</v>
      </c>
      <c r="J102" s="697">
        <f>ROUND((ROUND(([97]Source!AC1284*[97]Source!AW1284*[97]Source!I1284),2)),2)+(ROUND((ROUND((([97]Source!ET1284)*[97]Source!AV1284*[97]Source!I1284),2)),2)+ROUND((ROUND((([97]Source!AE1284-([97]Source!EU1284))*[97]Source!AV1284*[97]Source!I1284),2)),2))+ROUND((ROUND(([97]Source!AF1284*[97]Source!AV1284*[97]Source!I1284),2)),2)</f>
        <v>3038.95</v>
      </c>
      <c r="K102" s="694">
        <f>IF([97]Source!BC1284&lt;&gt; 0, [97]Source!BC1284, 1)</f>
        <v>3.07</v>
      </c>
      <c r="L102" s="697">
        <f>[97]Source!O1284</f>
        <v>9329.58</v>
      </c>
      <c r="Q102" s="718">
        <f>ROUND(([97]Source!DN1284/100)*ROUND((ROUND(([97]Source!AF1284*[97]Source!AV1284*[97]Source!I1284),2)),2), 2)</f>
        <v>0</v>
      </c>
      <c r="R102" s="718">
        <f>[97]Source!X1284</f>
        <v>0</v>
      </c>
      <c r="S102" s="718">
        <f>ROUND(([97]Source!DO1284/100)*ROUND((ROUND(([97]Source!AF1284*[97]Source!AV1284*[97]Source!I1284),2)),2), 2)</f>
        <v>0</v>
      </c>
      <c r="T102" s="718">
        <f>[97]Source!Y1284</f>
        <v>0</v>
      </c>
      <c r="U102" s="718">
        <f>ROUND((175/100)*ROUND((ROUND(([97]Source!AE1284*[97]Source!AV1284*[97]Source!I1284),2)),2), 2)</f>
        <v>0</v>
      </c>
      <c r="V102" s="718">
        <f>ROUND((157/100)*ROUND(ROUND((ROUND(([97]Source!AE1284*[97]Source!AV1284*[97]Source!I1284),2)*[97]Source!BS1284),2), 2), 2)</f>
        <v>0</v>
      </c>
      <c r="X102" s="718">
        <f>IF([97]Source!BI1284&lt;=1,J102, 0)</f>
        <v>3038.95</v>
      </c>
      <c r="Y102" s="718">
        <f>IF([97]Source!BI1284=2,J102, 0)</f>
        <v>0</v>
      </c>
      <c r="Z102" s="718">
        <f>IF([97]Source!BI1284=3,J102, 0)</f>
        <v>0</v>
      </c>
      <c r="AA102" s="718">
        <f>IF([97]Source!BI1284=4,J102, 0)</f>
        <v>0</v>
      </c>
    </row>
    <row r="103" spans="1:27" ht="15" x14ac:dyDescent="0.25">
      <c r="A103" s="691"/>
      <c r="B103" s="691"/>
      <c r="C103" s="692"/>
      <c r="D103" s="692" t="s">
        <v>88</v>
      </c>
      <c r="E103" s="693" t="s">
        <v>89</v>
      </c>
      <c r="F103" s="694">
        <f>[97]Source!DN1282</f>
        <v>125</v>
      </c>
      <c r="G103" s="695"/>
      <c r="H103" s="696"/>
      <c r="I103" s="694"/>
      <c r="J103" s="697">
        <f>SUM(Q97:Q102)</f>
        <v>593.38</v>
      </c>
      <c r="K103" s="694">
        <f>[97]Source!BZ1282</f>
        <v>100</v>
      </c>
      <c r="L103" s="697">
        <f>SUM(R97:R102)</f>
        <v>11501.98</v>
      </c>
    </row>
    <row r="104" spans="1:27" ht="15" x14ac:dyDescent="0.25">
      <c r="A104" s="691"/>
      <c r="B104" s="691"/>
      <c r="C104" s="692"/>
      <c r="D104" s="692" t="s">
        <v>90</v>
      </c>
      <c r="E104" s="693" t="s">
        <v>89</v>
      </c>
      <c r="F104" s="694">
        <f>[97]Source!DO1282</f>
        <v>94</v>
      </c>
      <c r="G104" s="695"/>
      <c r="H104" s="696"/>
      <c r="I104" s="694"/>
      <c r="J104" s="697">
        <f>SUM(S97:S103)</f>
        <v>446.22</v>
      </c>
      <c r="K104" s="694">
        <f>[97]Source!CA1282</f>
        <v>45</v>
      </c>
      <c r="L104" s="697">
        <f>SUM(T97:T103)</f>
        <v>5175.8900000000003</v>
      </c>
    </row>
    <row r="105" spans="1:27" ht="15" x14ac:dyDescent="0.25">
      <c r="A105" s="691"/>
      <c r="B105" s="691"/>
      <c r="C105" s="692"/>
      <c r="D105" s="692" t="s">
        <v>91</v>
      </c>
      <c r="E105" s="693" t="s">
        <v>89</v>
      </c>
      <c r="F105" s="694">
        <f>175</f>
        <v>175</v>
      </c>
      <c r="G105" s="695"/>
      <c r="H105" s="696"/>
      <c r="I105" s="694"/>
      <c r="J105" s="697">
        <f>SUM(U97:U104)-J111</f>
        <v>5.14</v>
      </c>
      <c r="K105" s="694">
        <f>157</f>
        <v>157</v>
      </c>
      <c r="L105" s="697">
        <f>SUM(V97:V104)-L111</f>
        <v>111.81</v>
      </c>
    </row>
    <row r="106" spans="1:27" ht="15" x14ac:dyDescent="0.25">
      <c r="A106" s="691"/>
      <c r="B106" s="691"/>
      <c r="C106" s="692"/>
      <c r="D106" s="692" t="s">
        <v>92</v>
      </c>
      <c r="E106" s="693" t="s">
        <v>93</v>
      </c>
      <c r="F106" s="694">
        <f>[97]Source!AQ1282</f>
        <v>122</v>
      </c>
      <c r="G106" s="695"/>
      <c r="H106" s="696" t="str">
        <f>[97]Source!DI1282</f>
        <v/>
      </c>
      <c r="I106" s="694">
        <f>[97]Source!AV1282</f>
        <v>1.0669999999999999</v>
      </c>
      <c r="J106" s="697">
        <f>[97]Source!U1282</f>
        <v>25.11</v>
      </c>
      <c r="K106" s="694"/>
      <c r="L106" s="697"/>
    </row>
    <row r="107" spans="1:27" ht="14.25" x14ac:dyDescent="0.2">
      <c r="I107" s="1067">
        <f>J98+J99+J101+J103+J104+J105+SUM(J102:J102)</f>
        <v>4698.1000000000004</v>
      </c>
      <c r="J107" s="1067"/>
      <c r="K107" s="1067">
        <f>L98+L99+L101+L103+L104+L105+SUM(L102:L102)</f>
        <v>38311.370000000003</v>
      </c>
      <c r="L107" s="1067"/>
      <c r="O107" s="736">
        <f>J98+J99+J101+J103+J104+J105+SUM(J102:J102)</f>
        <v>4698.1000000000004</v>
      </c>
      <c r="P107" s="736">
        <f>L98+L99+L101+L103+L104+L105+SUM(L102:L102)</f>
        <v>38311.370000000003</v>
      </c>
      <c r="X107" s="718">
        <f>IF([97]Source!BI1282&lt;=1,J98+J99+J101+J103+J104+J105-0, 0)</f>
        <v>1659.15</v>
      </c>
      <c r="Y107" s="718">
        <f>IF([97]Source!BI1282=2,J98+J99+J101+J103+J104+J105-0, 0)</f>
        <v>0</v>
      </c>
      <c r="Z107" s="718">
        <f>IF([97]Source!BI1282=3,J98+J99+J101+J103+J104+J105-0, 0)</f>
        <v>0</v>
      </c>
      <c r="AA107" s="718">
        <f>IF([97]Source!BI1282=4,J98+J99+J101+J103+J104+J105,0)</f>
        <v>0</v>
      </c>
    </row>
    <row r="108" spans="1:27" ht="30" x14ac:dyDescent="0.25">
      <c r="A108" s="701"/>
      <c r="B108" s="701"/>
      <c r="C108" s="702"/>
      <c r="D108" s="702" t="s">
        <v>94</v>
      </c>
      <c r="E108" s="693"/>
      <c r="F108" s="703"/>
      <c r="G108" s="704"/>
      <c r="H108" s="693"/>
      <c r="I108" s="703"/>
      <c r="J108" s="700"/>
      <c r="K108" s="703"/>
      <c r="L108" s="700"/>
    </row>
    <row r="109" spans="1:27" ht="15" x14ac:dyDescent="0.25">
      <c r="A109" s="701"/>
      <c r="B109" s="701"/>
      <c r="C109" s="702"/>
      <c r="D109" s="702" t="s">
        <v>85</v>
      </c>
      <c r="E109" s="693"/>
      <c r="F109" s="703"/>
      <c r="G109" s="704">
        <f t="shared" ref="G109:L109" si="4">G110</f>
        <v>14.29</v>
      </c>
      <c r="H109" s="705" t="str">
        <f t="shared" si="4"/>
        <v>)*(1.67-1)</v>
      </c>
      <c r="I109" s="703">
        <f t="shared" si="4"/>
        <v>1.0669999999999999</v>
      </c>
      <c r="J109" s="700">
        <f t="shared" si="4"/>
        <v>1.97</v>
      </c>
      <c r="K109" s="703">
        <f t="shared" si="4"/>
        <v>24.23</v>
      </c>
      <c r="L109" s="700">
        <f t="shared" si="4"/>
        <v>47.75</v>
      </c>
    </row>
    <row r="110" spans="1:27" ht="15" x14ac:dyDescent="0.25">
      <c r="A110" s="701"/>
      <c r="B110" s="701"/>
      <c r="C110" s="702"/>
      <c r="D110" s="702" t="s">
        <v>86</v>
      </c>
      <c r="E110" s="693"/>
      <c r="F110" s="703"/>
      <c r="G110" s="704">
        <f>[97]Source!AN1282</f>
        <v>14.29</v>
      </c>
      <c r="H110" s="705" t="s">
        <v>95</v>
      </c>
      <c r="I110" s="703">
        <f>[97]Source!AV1282</f>
        <v>1.0669999999999999</v>
      </c>
      <c r="J110" s="700">
        <f>ROUND(F97*G110*I110*(1.67-1), 2)</f>
        <v>1.97</v>
      </c>
      <c r="K110" s="703">
        <f>IF([97]Source!BS1282&lt;&gt; 0, [97]Source!BS1282, 1)</f>
        <v>24.23</v>
      </c>
      <c r="L110" s="700">
        <f>ROUND(F97*G110*I110*(1.67-1)*K110, 2)</f>
        <v>47.75</v>
      </c>
      <c r="W110" s="718">
        <f>J110</f>
        <v>1.97</v>
      </c>
    </row>
    <row r="111" spans="1:27" ht="15" x14ac:dyDescent="0.25">
      <c r="A111" s="701"/>
      <c r="B111" s="701"/>
      <c r="C111" s="702"/>
      <c r="D111" s="702" t="s">
        <v>91</v>
      </c>
      <c r="E111" s="693" t="s">
        <v>89</v>
      </c>
      <c r="F111" s="703">
        <f>175</f>
        <v>175</v>
      </c>
      <c r="G111" s="704"/>
      <c r="H111" s="693"/>
      <c r="I111" s="703"/>
      <c r="J111" s="700">
        <f>ROUND(J110*(F111/100), 2)</f>
        <v>3.45</v>
      </c>
      <c r="K111" s="703">
        <f>157</f>
        <v>157</v>
      </c>
      <c r="L111" s="700">
        <f>ROUND(L110*(K111/100), 2)</f>
        <v>74.97</v>
      </c>
    </row>
    <row r="112" spans="1:27" ht="14.25" x14ac:dyDescent="0.2">
      <c r="I112" s="1067">
        <f>J111+J110</f>
        <v>5.42</v>
      </c>
      <c r="J112" s="1067"/>
      <c r="K112" s="1067">
        <f>L111+L110</f>
        <v>122.72</v>
      </c>
      <c r="L112" s="1067"/>
      <c r="O112" s="736">
        <f>I112</f>
        <v>5.42</v>
      </c>
      <c r="P112" s="736">
        <f>K112</f>
        <v>122.72</v>
      </c>
      <c r="X112" s="718">
        <f>IF([97]Source!BI1282&lt;=1,I112, 0)</f>
        <v>5.42</v>
      </c>
      <c r="Y112" s="718">
        <f>IF([97]Source!BI1282=2,I112, 0)</f>
        <v>0</v>
      </c>
      <c r="Z112" s="718">
        <f>IF([97]Source!BI1282=3,I112, 0)</f>
        <v>0</v>
      </c>
      <c r="AA112" s="718">
        <f>IF([97]Source!BI1282=4,I112, 0)</f>
        <v>0</v>
      </c>
    </row>
    <row r="114" spans="1:27" ht="15" x14ac:dyDescent="0.25">
      <c r="A114" s="706"/>
      <c r="B114" s="706"/>
      <c r="C114" s="707"/>
      <c r="D114" s="707" t="s">
        <v>96</v>
      </c>
      <c r="E114" s="708"/>
      <c r="F114" s="709"/>
      <c r="G114" s="710"/>
      <c r="H114" s="711"/>
      <c r="I114" s="1067">
        <f>I107+I112</f>
        <v>4703.5200000000004</v>
      </c>
      <c r="J114" s="1067"/>
      <c r="K114" s="1067">
        <f>K107+K112</f>
        <v>38434.089999999997</v>
      </c>
      <c r="L114" s="1067"/>
    </row>
    <row r="115" spans="1:27" ht="75" x14ac:dyDescent="0.25">
      <c r="A115" s="691">
        <v>14</v>
      </c>
      <c r="B115" s="691" t="str">
        <f>[97]Source!E1286</f>
        <v>196</v>
      </c>
      <c r="C115" s="692" t="str">
        <f>[97]Source!F1286</f>
        <v>3.20-1-11</v>
      </c>
      <c r="D115" s="692" t="s">
        <v>470</v>
      </c>
      <c r="E115" s="693" t="str">
        <f>[97]Source!H1286</f>
        <v>100 м2 поверхности воздуховодов</v>
      </c>
      <c r="F115" s="694">
        <f>[97]Source!I1286</f>
        <v>2.4199999999999999E-2</v>
      </c>
      <c r="G115" s="695"/>
      <c r="H115" s="696"/>
      <c r="I115" s="694"/>
      <c r="J115" s="697"/>
      <c r="K115" s="694"/>
      <c r="L115" s="697"/>
      <c r="Q115" s="718">
        <f>ROUND(([97]Source!DN1286/100)*ROUND((ROUND(([97]Source!AF1286*[97]Source!AV1286*[97]Source!I1286),2)),2), 2)</f>
        <v>56.01</v>
      </c>
      <c r="R115" s="718">
        <f>[97]Source!X1286</f>
        <v>1085.75</v>
      </c>
      <c r="S115" s="718">
        <f>ROUND(([97]Source!DO1286/100)*ROUND((ROUND(([97]Source!AF1286*[97]Source!AV1286*[97]Source!I1286),2)),2), 2)</f>
        <v>42.12</v>
      </c>
      <c r="T115" s="718">
        <f>[97]Source!Y1286</f>
        <v>488.59</v>
      </c>
      <c r="U115" s="718">
        <f>ROUND((175/100)*ROUND((ROUND(([97]Source!AE1286*[97]Source!AV1286*[97]Source!I1286),2)),2), 2)</f>
        <v>0.81</v>
      </c>
      <c r="V115" s="718">
        <f>ROUND((157/100)*ROUND(ROUND((ROUND(([97]Source!AE1286*[97]Source!AV1286*[97]Source!I1286),2)*[97]Source!BS1286),2), 2), 2)</f>
        <v>17.510000000000002</v>
      </c>
    </row>
    <row r="116" spans="1:27" ht="15" x14ac:dyDescent="0.25">
      <c r="A116" s="691"/>
      <c r="B116" s="691"/>
      <c r="C116" s="692"/>
      <c r="D116" s="692" t="s">
        <v>84</v>
      </c>
      <c r="E116" s="693"/>
      <c r="F116" s="694"/>
      <c r="G116" s="695">
        <f>[97]Source!AO1286</f>
        <v>1039.18</v>
      </c>
      <c r="H116" s="696" t="str">
        <f>[97]Source!DG1286</f>
        <v>)*1,67</v>
      </c>
      <c r="I116" s="694">
        <f>[97]Source!AV1286</f>
        <v>1.0669999999999999</v>
      </c>
      <c r="J116" s="697">
        <f>ROUND((ROUND(([97]Source!AF1286*[97]Source!AV1286*[97]Source!I1286),2)),2)</f>
        <v>44.81</v>
      </c>
      <c r="K116" s="694">
        <f>IF([97]Source!BA1286&lt;&gt; 0, [97]Source!BA1286, 1)</f>
        <v>24.23</v>
      </c>
      <c r="L116" s="697">
        <f>[97]Source!S1286</f>
        <v>1085.75</v>
      </c>
      <c r="W116" s="718">
        <f>J116</f>
        <v>44.81</v>
      </c>
    </row>
    <row r="117" spans="1:27" ht="15" x14ac:dyDescent="0.25">
      <c r="A117" s="691"/>
      <c r="B117" s="691"/>
      <c r="C117" s="692"/>
      <c r="D117" s="692" t="s">
        <v>85</v>
      </c>
      <c r="E117" s="693"/>
      <c r="F117" s="694"/>
      <c r="G117" s="695">
        <f>[97]Source!AM1286</f>
        <v>87.46</v>
      </c>
      <c r="H117" s="696" t="str">
        <f>[97]Source!DE1286</f>
        <v/>
      </c>
      <c r="I117" s="694">
        <f>[97]Source!AV1286</f>
        <v>1.0669999999999999</v>
      </c>
      <c r="J117" s="697">
        <f>(ROUND((ROUND((([97]Source!ET1286)*[97]Source!AV1286*[97]Source!I1286),2)),2)+ROUND((ROUND((([97]Source!AE1286-([97]Source!EU1286))*[97]Source!AV1286*[97]Source!I1286),2)),2))-J127</f>
        <v>2.2599999999999998</v>
      </c>
      <c r="K117" s="694">
        <f>IF([97]Source!BB1286&lt;&gt; 0, [97]Source!BB1286, 1)</f>
        <v>8.61</v>
      </c>
      <c r="L117" s="697">
        <f>[97]Source!Q1286-L127</f>
        <v>19.34</v>
      </c>
    </row>
    <row r="118" spans="1:27" ht="15" x14ac:dyDescent="0.25">
      <c r="A118" s="691"/>
      <c r="B118" s="691"/>
      <c r="C118" s="692"/>
      <c r="D118" s="692" t="s">
        <v>86</v>
      </c>
      <c r="E118" s="693"/>
      <c r="F118" s="694"/>
      <c r="G118" s="695">
        <f>[97]Source!AN1286</f>
        <v>10.69</v>
      </c>
      <c r="H118" s="696" t="str">
        <f>[97]Source!DE1286</f>
        <v/>
      </c>
      <c r="I118" s="694">
        <f>[97]Source!AV1286</f>
        <v>1.0669999999999999</v>
      </c>
      <c r="J118" s="700">
        <f>ROUND((ROUND(([97]Source!AE1286*[97]Source!AV1286*[97]Source!I1286),2)),2)-J128</f>
        <v>0.28000000000000003</v>
      </c>
      <c r="K118" s="694">
        <f>IF([97]Source!BS1286&lt;&gt; 0, [97]Source!BS1286, 1)</f>
        <v>24.23</v>
      </c>
      <c r="L118" s="700">
        <f>[97]Source!R1286-L128</f>
        <v>6.67</v>
      </c>
      <c r="W118" s="718">
        <f>J118</f>
        <v>0.28000000000000003</v>
      </c>
    </row>
    <row r="119" spans="1:27" ht="15" x14ac:dyDescent="0.25">
      <c r="A119" s="691"/>
      <c r="B119" s="691"/>
      <c r="C119" s="692"/>
      <c r="D119" s="692" t="s">
        <v>87</v>
      </c>
      <c r="E119" s="693"/>
      <c r="F119" s="694"/>
      <c r="G119" s="695">
        <f>[97]Source!AL1286</f>
        <v>409.71</v>
      </c>
      <c r="H119" s="696" t="str">
        <f>[97]Source!DD1286</f>
        <v/>
      </c>
      <c r="I119" s="694">
        <f>[97]Source!AW1286</f>
        <v>1</v>
      </c>
      <c r="J119" s="697">
        <f>ROUND((ROUND(([97]Source!AC1286*[97]Source!AW1286*[97]Source!I1286),2)),2)</f>
        <v>9.91</v>
      </c>
      <c r="K119" s="694">
        <f>IF([97]Source!BC1286&lt;&gt; 0, [97]Source!BC1286, 1)</f>
        <v>3.31</v>
      </c>
      <c r="L119" s="697">
        <f>[97]Source!P1286</f>
        <v>32.799999999999997</v>
      </c>
    </row>
    <row r="120" spans="1:27" ht="75.599999999999994" customHeight="1" x14ac:dyDescent="0.25">
      <c r="A120" s="691">
        <v>15</v>
      </c>
      <c r="B120" s="691" t="str">
        <f>[97]Source!E1288</f>
        <v>196,1</v>
      </c>
      <c r="C120" s="692" t="str">
        <f>[97]Source!F1288</f>
        <v>1.19-3-13</v>
      </c>
      <c r="D120" s="692" t="s">
        <v>469</v>
      </c>
      <c r="E120" s="693" t="str">
        <f>[97]Source!H1288</f>
        <v>м2</v>
      </c>
      <c r="F120" s="694">
        <f>[97]Source!I1288</f>
        <v>2.42</v>
      </c>
      <c r="G120" s="695">
        <f>[97]Source!AK1288</f>
        <v>157.54</v>
      </c>
      <c r="H120" s="734" t="s">
        <v>42</v>
      </c>
      <c r="I120" s="694">
        <f>[97]Source!AW1288</f>
        <v>1</v>
      </c>
      <c r="J120" s="697">
        <f>ROUND((ROUND(([97]Source!AC1288*[97]Source!AW1288*[97]Source!I1288),2)),2)+(ROUND((ROUND((([97]Source!ET1288)*[97]Source!AV1288*[97]Source!I1288),2)),2)+ROUND((ROUND((([97]Source!AE1288-([97]Source!EU1288))*[97]Source!AV1288*[97]Source!I1288),2)),2))+ROUND((ROUND(([97]Source!AF1288*[97]Source!AV1288*[97]Source!I1288),2)),2)</f>
        <v>381.25</v>
      </c>
      <c r="K120" s="694">
        <f>IF([97]Source!BC1288&lt;&gt; 0, [97]Source!BC1288, 1)</f>
        <v>3.07</v>
      </c>
      <c r="L120" s="697">
        <f>[97]Source!O1288</f>
        <v>1170.44</v>
      </c>
      <c r="Q120" s="718">
        <f>ROUND(([97]Source!DN1288/100)*ROUND((ROUND(([97]Source!AF1288*[97]Source!AV1288*[97]Source!I1288),2)),2), 2)</f>
        <v>0</v>
      </c>
      <c r="R120" s="718">
        <f>[97]Source!X1288</f>
        <v>0</v>
      </c>
      <c r="S120" s="718">
        <f>ROUND(([97]Source!DO1288/100)*ROUND((ROUND(([97]Source!AF1288*[97]Source!AV1288*[97]Source!I1288),2)),2), 2)</f>
        <v>0</v>
      </c>
      <c r="T120" s="718">
        <f>[97]Source!Y1288</f>
        <v>0</v>
      </c>
      <c r="U120" s="718">
        <f>ROUND((175/100)*ROUND((ROUND(([97]Source!AE1288*[97]Source!AV1288*[97]Source!I1288),2)),2), 2)</f>
        <v>0</v>
      </c>
      <c r="V120" s="718">
        <f>ROUND((157/100)*ROUND(ROUND((ROUND(([97]Source!AE1288*[97]Source!AV1288*[97]Source!I1288),2)*[97]Source!BS1288),2), 2), 2)</f>
        <v>0</v>
      </c>
      <c r="X120" s="718">
        <f>IF([97]Source!BI1288&lt;=1,J120, 0)</f>
        <v>381.25</v>
      </c>
      <c r="Y120" s="718">
        <f>IF([97]Source!BI1288=2,J120, 0)</f>
        <v>0</v>
      </c>
      <c r="Z120" s="718">
        <f>IF([97]Source!BI1288=3,J120, 0)</f>
        <v>0</v>
      </c>
      <c r="AA120" s="718">
        <f>IF([97]Source!BI1288=4,J120, 0)</f>
        <v>0</v>
      </c>
    </row>
    <row r="121" spans="1:27" ht="15" x14ac:dyDescent="0.25">
      <c r="A121" s="691"/>
      <c r="B121" s="691"/>
      <c r="C121" s="692"/>
      <c r="D121" s="692" t="s">
        <v>88</v>
      </c>
      <c r="E121" s="693" t="s">
        <v>89</v>
      </c>
      <c r="F121" s="694">
        <f>[97]Source!DN1286</f>
        <v>125</v>
      </c>
      <c r="G121" s="695"/>
      <c r="H121" s="696"/>
      <c r="I121" s="694"/>
      <c r="J121" s="697">
        <f>SUM(Q115:Q120)</f>
        <v>56.01</v>
      </c>
      <c r="K121" s="694">
        <f>[97]Source!BZ1286</f>
        <v>100</v>
      </c>
      <c r="L121" s="697">
        <f>SUM(R115:R120)</f>
        <v>1085.75</v>
      </c>
    </row>
    <row r="122" spans="1:27" ht="15" x14ac:dyDescent="0.25">
      <c r="A122" s="691"/>
      <c r="B122" s="691"/>
      <c r="C122" s="692"/>
      <c r="D122" s="692" t="s">
        <v>90</v>
      </c>
      <c r="E122" s="693" t="s">
        <v>89</v>
      </c>
      <c r="F122" s="694">
        <f>[97]Source!DO1286</f>
        <v>94</v>
      </c>
      <c r="G122" s="695"/>
      <c r="H122" s="696"/>
      <c r="I122" s="694"/>
      <c r="J122" s="697">
        <f>SUM(S115:S121)</f>
        <v>42.12</v>
      </c>
      <c r="K122" s="694">
        <f>[97]Source!CA1286</f>
        <v>45</v>
      </c>
      <c r="L122" s="697">
        <f>SUM(T115:T121)</f>
        <v>488.59</v>
      </c>
    </row>
    <row r="123" spans="1:27" ht="15" x14ac:dyDescent="0.25">
      <c r="A123" s="691"/>
      <c r="B123" s="691"/>
      <c r="C123" s="692"/>
      <c r="D123" s="692" t="s">
        <v>91</v>
      </c>
      <c r="E123" s="693" t="s">
        <v>89</v>
      </c>
      <c r="F123" s="694">
        <f>175</f>
        <v>175</v>
      </c>
      <c r="G123" s="695"/>
      <c r="H123" s="696"/>
      <c r="I123" s="694"/>
      <c r="J123" s="697">
        <f>SUM(U115:U122)-J129</f>
        <v>0.49</v>
      </c>
      <c r="K123" s="694">
        <f>157</f>
        <v>157</v>
      </c>
      <c r="L123" s="697">
        <f>SUM(V115:V122)-L129</f>
        <v>10.48</v>
      </c>
    </row>
    <row r="124" spans="1:27" ht="15" x14ac:dyDescent="0.25">
      <c r="A124" s="691"/>
      <c r="B124" s="691"/>
      <c r="C124" s="692"/>
      <c r="D124" s="692" t="s">
        <v>92</v>
      </c>
      <c r="E124" s="693" t="s">
        <v>93</v>
      </c>
      <c r="F124" s="694">
        <f>[97]Source!AQ1286</f>
        <v>91.8</v>
      </c>
      <c r="G124" s="695"/>
      <c r="H124" s="696" t="str">
        <f>[97]Source!DI1286</f>
        <v/>
      </c>
      <c r="I124" s="694">
        <f>[97]Source!AV1286</f>
        <v>1.0669999999999999</v>
      </c>
      <c r="J124" s="697">
        <f>[97]Source!U1286</f>
        <v>2.37</v>
      </c>
      <c r="K124" s="694"/>
      <c r="L124" s="697"/>
    </row>
    <row r="125" spans="1:27" ht="14.25" x14ac:dyDescent="0.2">
      <c r="I125" s="1067">
        <f>J116+J117+J119+J121+J122+J123+SUM(J120:J120)</f>
        <v>536.85</v>
      </c>
      <c r="J125" s="1067"/>
      <c r="K125" s="1067">
        <f>L116+L117+L119+L121+L122+L123+SUM(L120:L120)</f>
        <v>3893.15</v>
      </c>
      <c r="L125" s="1067"/>
      <c r="O125" s="736">
        <f>J116+J117+J119+J121+J122+J123+SUM(J120:J120)</f>
        <v>536.85</v>
      </c>
      <c r="P125" s="736">
        <f>L116+L117+L119+L121+L122+L123+SUM(L120:L120)</f>
        <v>3893.15</v>
      </c>
      <c r="X125" s="718">
        <f>IF([97]Source!BI1286&lt;=1,J116+J117+J119+J121+J122+J123-0, 0)</f>
        <v>155.6</v>
      </c>
      <c r="Y125" s="718">
        <f>IF([97]Source!BI1286=2,J116+J117+J119+J121+J122+J123-0, 0)</f>
        <v>0</v>
      </c>
      <c r="Z125" s="718">
        <f>IF([97]Source!BI1286=3,J116+J117+J119+J121+J122+J123-0, 0)</f>
        <v>0</v>
      </c>
      <c r="AA125" s="718">
        <f>IF([97]Source!BI1286=4,J116+J117+J119+J121+J122+J123,0)</f>
        <v>0</v>
      </c>
    </row>
    <row r="126" spans="1:27" ht="30" x14ac:dyDescent="0.25">
      <c r="A126" s="701"/>
      <c r="B126" s="701"/>
      <c r="C126" s="702"/>
      <c r="D126" s="702" t="s">
        <v>94</v>
      </c>
      <c r="E126" s="693"/>
      <c r="F126" s="703"/>
      <c r="G126" s="704"/>
      <c r="H126" s="693"/>
      <c r="I126" s="703"/>
      <c r="J126" s="700"/>
      <c r="K126" s="703"/>
      <c r="L126" s="700"/>
    </row>
    <row r="127" spans="1:27" ht="15" x14ac:dyDescent="0.25">
      <c r="A127" s="701"/>
      <c r="B127" s="701"/>
      <c r="C127" s="702"/>
      <c r="D127" s="702" t="s">
        <v>85</v>
      </c>
      <c r="E127" s="693"/>
      <c r="F127" s="703"/>
      <c r="G127" s="704">
        <f t="shared" ref="G127:L127" si="5">G128</f>
        <v>10.69</v>
      </c>
      <c r="H127" s="705" t="str">
        <f t="shared" si="5"/>
        <v>)*(1.67-1)</v>
      </c>
      <c r="I127" s="703">
        <f t="shared" si="5"/>
        <v>1.0669999999999999</v>
      </c>
      <c r="J127" s="700">
        <f t="shared" si="5"/>
        <v>0.18</v>
      </c>
      <c r="K127" s="703">
        <f t="shared" si="5"/>
        <v>24.23</v>
      </c>
      <c r="L127" s="700">
        <f t="shared" si="5"/>
        <v>4.4800000000000004</v>
      </c>
    </row>
    <row r="128" spans="1:27" ht="15" x14ac:dyDescent="0.25">
      <c r="A128" s="701"/>
      <c r="B128" s="701"/>
      <c r="C128" s="702"/>
      <c r="D128" s="702" t="s">
        <v>86</v>
      </c>
      <c r="E128" s="693"/>
      <c r="F128" s="703"/>
      <c r="G128" s="704">
        <f>[97]Source!AN1286</f>
        <v>10.69</v>
      </c>
      <c r="H128" s="705" t="s">
        <v>95</v>
      </c>
      <c r="I128" s="703">
        <f>[97]Source!AV1286</f>
        <v>1.0669999999999999</v>
      </c>
      <c r="J128" s="700">
        <f>ROUND(F115*G128*I128*(1.67-1), 2)</f>
        <v>0.18</v>
      </c>
      <c r="K128" s="703">
        <f>IF([97]Source!BS1286&lt;&gt; 0, [97]Source!BS1286, 1)</f>
        <v>24.23</v>
      </c>
      <c r="L128" s="700">
        <f>ROUND(F115*G128*I128*(1.67-1)*K128, 2)</f>
        <v>4.4800000000000004</v>
      </c>
      <c r="W128" s="718">
        <f>J128</f>
        <v>0.18</v>
      </c>
    </row>
    <row r="129" spans="1:38" ht="15" x14ac:dyDescent="0.25">
      <c r="A129" s="701"/>
      <c r="B129" s="701"/>
      <c r="C129" s="702"/>
      <c r="D129" s="702" t="s">
        <v>91</v>
      </c>
      <c r="E129" s="693" t="s">
        <v>89</v>
      </c>
      <c r="F129" s="703">
        <f>175</f>
        <v>175</v>
      </c>
      <c r="G129" s="704"/>
      <c r="H129" s="693"/>
      <c r="I129" s="703"/>
      <c r="J129" s="700">
        <f>ROUND(J128*(F129/100), 2)</f>
        <v>0.32</v>
      </c>
      <c r="K129" s="703">
        <f>157</f>
        <v>157</v>
      </c>
      <c r="L129" s="700">
        <f>ROUND(L128*(K129/100), 2)</f>
        <v>7.03</v>
      </c>
    </row>
    <row r="130" spans="1:38" ht="14.25" x14ac:dyDescent="0.2">
      <c r="I130" s="1067">
        <f>J129+J128</f>
        <v>0.5</v>
      </c>
      <c r="J130" s="1067"/>
      <c r="K130" s="1067">
        <f>L129+L128</f>
        <v>11.51</v>
      </c>
      <c r="L130" s="1067"/>
      <c r="O130" s="736">
        <f>I130</f>
        <v>0.5</v>
      </c>
      <c r="P130" s="736">
        <f>K130</f>
        <v>11.51</v>
      </c>
      <c r="X130" s="718">
        <f>IF([97]Source!BI1286&lt;=1,I130, 0)</f>
        <v>0.5</v>
      </c>
      <c r="Y130" s="718">
        <f>IF([97]Source!BI1286=2,I130, 0)</f>
        <v>0</v>
      </c>
      <c r="Z130" s="718">
        <f>IF([97]Source!BI1286=3,I130, 0)</f>
        <v>0</v>
      </c>
      <c r="AA130" s="718">
        <f>IF([97]Source!BI1286=4,I130, 0)</f>
        <v>0</v>
      </c>
    </row>
    <row r="132" spans="1:38" ht="15" x14ac:dyDescent="0.25">
      <c r="A132" s="706"/>
      <c r="B132" s="706"/>
      <c r="C132" s="707"/>
      <c r="D132" s="707" t="s">
        <v>96</v>
      </c>
      <c r="E132" s="708"/>
      <c r="F132" s="709"/>
      <c r="G132" s="710"/>
      <c r="H132" s="711"/>
      <c r="I132" s="1067">
        <f>I125+I130</f>
        <v>537.35</v>
      </c>
      <c r="J132" s="1067"/>
      <c r="K132" s="1067">
        <f>K125+K130</f>
        <v>3904.66</v>
      </c>
      <c r="L132" s="1067"/>
    </row>
    <row r="134" spans="1:38" ht="14.25" x14ac:dyDescent="0.2">
      <c r="A134" s="1068" t="str">
        <f>CONCATENATE("Итого по подразделу: ",IF([97]Source!G1357&lt;&gt;"Новый подраздел", [97]Source!G1357, ""))</f>
        <v>Итого по подразделу: В2-35</v>
      </c>
      <c r="B134" s="1068"/>
      <c r="C134" s="1068"/>
      <c r="D134" s="1068"/>
      <c r="E134" s="1068"/>
      <c r="F134" s="1068"/>
      <c r="G134" s="1068"/>
      <c r="H134" s="1068"/>
      <c r="I134" s="1069">
        <f>SUM(O15:O133)</f>
        <v>24802.13</v>
      </c>
      <c r="J134" s="1070"/>
      <c r="K134" s="1069">
        <f>SUM(P15:P133)</f>
        <v>179037.04</v>
      </c>
      <c r="L134" s="1070"/>
      <c r="M134" s="756">
        <f>K132+K114+K96+K78+K76+K59+K57+K55+K53+K51+K34+K32</f>
        <v>179037.04</v>
      </c>
    </row>
    <row r="136" spans="1:38" ht="14.25" x14ac:dyDescent="0.2">
      <c r="A136" s="1068" t="s">
        <v>474</v>
      </c>
      <c r="B136" s="1068"/>
      <c r="C136" s="1068"/>
      <c r="D136" s="1068"/>
      <c r="E136" s="1068"/>
      <c r="F136" s="1068"/>
      <c r="G136" s="1068"/>
      <c r="H136" s="1068"/>
      <c r="I136" s="1069">
        <f>SUM(O1:O135)</f>
        <v>24802.13</v>
      </c>
      <c r="J136" s="1070"/>
      <c r="K136" s="1069">
        <f>SUM(P1:P135)</f>
        <v>179037.04</v>
      </c>
      <c r="L136" s="1070"/>
      <c r="AL136" s="718" t="str">
        <f>CONCATENATE("Итого по акту: ",IF([97]Source!G2396&lt;&gt;"Новый объект", [97]Source!G2396, ""))</f>
        <v>Итого по акту: 48961-ТПК_5-0786-Р-ССР2 изм. 1.1 12-4017-Л-Р-11.5.3-ОВ-СМ1К Станционный комплекс Аминьевское шоссе. Инженерные системы ТПП. Отопление, вентиляция, кондиционирование, дымоудаление</v>
      </c>
    </row>
    <row r="138" spans="1:38" ht="15" x14ac:dyDescent="0.25">
      <c r="D138" s="713" t="str">
        <f>[97]Source!H2425</f>
        <v>Стоимость материалов (всего)</v>
      </c>
      <c r="E138" s="713"/>
      <c r="F138" s="713"/>
      <c r="G138" s="713"/>
      <c r="H138" s="713"/>
      <c r="I138" s="1079">
        <v>20291.73</v>
      </c>
      <c r="J138" s="1080"/>
      <c r="K138" s="1073">
        <f>L120+L119+L102+L101+L84+L83+L77+L58+L64+L56+L54+L52+L39+L20+L33</f>
        <v>95551.61</v>
      </c>
      <c r="L138" s="1073"/>
    </row>
    <row r="139" spans="1:38" ht="15" x14ac:dyDescent="0.25">
      <c r="D139" s="713" t="str">
        <f>[97]Source!H2426</f>
        <v>ЗП машинистов</v>
      </c>
      <c r="E139" s="713"/>
      <c r="F139" s="713"/>
      <c r="G139" s="713"/>
      <c r="H139" s="713"/>
      <c r="I139" s="1079">
        <v>15.69</v>
      </c>
      <c r="J139" s="1080"/>
      <c r="K139" s="1073">
        <f>IF([97]Source!P2426=0, "", [97]Source!P2426)</f>
        <v>380.17</v>
      </c>
      <c r="L139" s="1073"/>
    </row>
    <row r="140" spans="1:38" ht="15" x14ac:dyDescent="0.25">
      <c r="D140" s="713" t="str">
        <f>[97]Source!H2427</f>
        <v>Основная ЗП рабочих</v>
      </c>
      <c r="E140" s="713"/>
      <c r="F140" s="713"/>
      <c r="G140" s="713"/>
      <c r="H140" s="713"/>
      <c r="I140" s="1079">
        <v>1384.67</v>
      </c>
      <c r="J140" s="1080"/>
      <c r="K140" s="1073">
        <f>IF([97]Source!P2427=0, "", [97]Source!P2427)</f>
        <v>33550.550000000003</v>
      </c>
      <c r="L140" s="1073"/>
    </row>
    <row r="141" spans="1:38" ht="15" x14ac:dyDescent="0.25">
      <c r="D141" s="1074" t="str">
        <f>[97]Source!H2428</f>
        <v/>
      </c>
      <c r="E141" s="1074"/>
      <c r="F141" s="1074"/>
      <c r="G141" s="1074"/>
      <c r="H141" s="1074"/>
      <c r="I141" s="1074"/>
      <c r="J141" s="1074"/>
      <c r="K141" s="1073" t="str">
        <f>IF([97]Source!P2428=0, "", [97]Source!P2428)</f>
        <v/>
      </c>
      <c r="L141" s="1073"/>
    </row>
    <row r="142" spans="1:38" ht="15" x14ac:dyDescent="0.25">
      <c r="D142" s="717" t="s">
        <v>268</v>
      </c>
      <c r="J142" s="719">
        <f>I136</f>
        <v>24802.13</v>
      </c>
      <c r="K142" s="719"/>
      <c r="L142" s="719">
        <f>K136</f>
        <v>179037.04</v>
      </c>
    </row>
    <row r="143" spans="1:38" ht="15" x14ac:dyDescent="0.25">
      <c r="D143" s="717" t="s">
        <v>3</v>
      </c>
      <c r="J143" s="719">
        <f>J142</f>
        <v>24802.13</v>
      </c>
      <c r="K143" s="719"/>
      <c r="L143" s="719">
        <f>L142</f>
        <v>179037.04</v>
      </c>
    </row>
    <row r="144" spans="1:38" ht="15" x14ac:dyDescent="0.25">
      <c r="D144" s="717" t="s">
        <v>269</v>
      </c>
      <c r="J144" s="719">
        <f>I140+I139</f>
        <v>1400.36</v>
      </c>
      <c r="K144" s="719"/>
      <c r="L144" s="719">
        <f>K140+K139</f>
        <v>33930.720000000001</v>
      </c>
    </row>
    <row r="145" spans="1:256" ht="15" x14ac:dyDescent="0.25">
      <c r="D145" s="717" t="s">
        <v>270</v>
      </c>
      <c r="J145" s="719">
        <f>I138</f>
        <v>20291.73</v>
      </c>
      <c r="K145" s="719"/>
      <c r="L145" s="719">
        <f>K138</f>
        <v>95551.61</v>
      </c>
      <c r="M145" s="756">
        <f>L120+L119+L102+L101+L84+L83+L77+L58+L64+L56+L54+L52+L39+L20+L33</f>
        <v>95551.61</v>
      </c>
    </row>
    <row r="146" spans="1:256" ht="15" hidden="1" x14ac:dyDescent="0.25">
      <c r="D146" s="717" t="s">
        <v>271</v>
      </c>
      <c r="J146" s="743">
        <v>0</v>
      </c>
      <c r="K146" s="743"/>
      <c r="L146" s="743">
        <v>0</v>
      </c>
    </row>
    <row r="147" spans="1:256" ht="15" hidden="1" x14ac:dyDescent="0.25">
      <c r="A147" s="745"/>
      <c r="B147" s="745"/>
      <c r="C147" s="745"/>
      <c r="D147" s="1074" t="s">
        <v>583</v>
      </c>
      <c r="E147" s="1074"/>
      <c r="F147" s="1074"/>
      <c r="G147" s="1074"/>
      <c r="H147" s="1074"/>
      <c r="I147" s="720"/>
      <c r="J147" s="720">
        <v>0</v>
      </c>
      <c r="K147" s="720"/>
      <c r="L147" s="720">
        <v>0</v>
      </c>
    </row>
    <row r="148" spans="1:256" ht="15" x14ac:dyDescent="0.25">
      <c r="A148" s="744"/>
      <c r="B148" s="744"/>
      <c r="C148" s="744"/>
      <c r="D148" s="1074" t="s">
        <v>323</v>
      </c>
      <c r="E148" s="1074"/>
      <c r="F148" s="1074"/>
      <c r="G148" s="1074"/>
      <c r="H148" s="1074"/>
      <c r="I148" s="671"/>
      <c r="J148" s="721">
        <v>0</v>
      </c>
      <c r="K148" s="721"/>
      <c r="L148" s="721">
        <v>0</v>
      </c>
    </row>
    <row r="149" spans="1:256" ht="13.9" customHeight="1" x14ac:dyDescent="0.25">
      <c r="A149" s="745"/>
      <c r="B149" s="745"/>
      <c r="C149" s="745"/>
      <c r="D149" s="1076" t="s">
        <v>584</v>
      </c>
      <c r="E149" s="1076"/>
      <c r="F149" s="1076"/>
      <c r="G149" s="1076"/>
      <c r="H149" s="1076"/>
      <c r="I149" s="671"/>
      <c r="J149" s="721">
        <f>J144*0.15</f>
        <v>210.05</v>
      </c>
      <c r="K149" s="721"/>
      <c r="L149" s="721">
        <f>L144*0.15</f>
        <v>5089.6099999999997</v>
      </c>
    </row>
    <row r="150" spans="1:256" ht="14.25" x14ac:dyDescent="0.2">
      <c r="A150" s="751"/>
      <c r="B150" s="751"/>
      <c r="C150" s="751"/>
      <c r="D150" s="1068" t="s">
        <v>688</v>
      </c>
      <c r="E150" s="1068"/>
      <c r="F150" s="1068"/>
      <c r="G150" s="1068"/>
      <c r="H150" s="1068"/>
      <c r="I150" s="671"/>
      <c r="J150" s="650">
        <f>J143+J149</f>
        <v>25012.18</v>
      </c>
      <c r="K150" s="650"/>
      <c r="L150" s="650">
        <f>L143+L149</f>
        <v>184126.65</v>
      </c>
    </row>
    <row r="151" spans="1:256" s="671" customFormat="1" ht="15" x14ac:dyDescent="0.25">
      <c r="D151" s="1074"/>
      <c r="E151" s="1074"/>
      <c r="F151" s="1074"/>
      <c r="G151" s="1074"/>
      <c r="H151" s="1074"/>
      <c r="I151" s="1075"/>
      <c r="J151" s="1075"/>
      <c r="K151" s="1075"/>
      <c r="L151" s="1075"/>
    </row>
    <row r="152" spans="1:256" s="675" customFormat="1" ht="15" x14ac:dyDescent="0.25">
      <c r="A152" s="398"/>
      <c r="B152" s="398"/>
      <c r="C152" s="398"/>
      <c r="D152" s="651" t="s">
        <v>596</v>
      </c>
      <c r="E152" s="652"/>
      <c r="F152" s="652"/>
      <c r="G152" s="652"/>
      <c r="H152" s="652"/>
      <c r="I152" s="652"/>
      <c r="J152" s="653"/>
      <c r="K152" s="653"/>
      <c r="L152" s="653">
        <f>L142*0.925</f>
        <v>165609.26</v>
      </c>
      <c r="M152" s="399"/>
      <c r="N152" s="400"/>
      <c r="O152" s="400"/>
      <c r="P152" s="400"/>
      <c r="Q152" s="400"/>
      <c r="R152" s="400"/>
      <c r="S152" s="400"/>
      <c r="T152" s="400"/>
      <c r="U152" s="400"/>
      <c r="V152" s="400"/>
      <c r="W152" s="400"/>
      <c r="X152" s="400"/>
      <c r="Y152" s="400"/>
      <c r="Z152" s="400"/>
      <c r="AA152" s="400"/>
      <c r="AB152" s="400"/>
      <c r="AC152" s="400"/>
      <c r="AD152" s="400"/>
      <c r="AE152" s="400"/>
      <c r="AF152" s="400"/>
      <c r="AG152" s="400"/>
      <c r="AH152" s="400"/>
      <c r="AI152" s="400"/>
      <c r="AJ152" s="400"/>
      <c r="AK152" s="400"/>
      <c r="AL152" s="400"/>
      <c r="AM152" s="400"/>
      <c r="AN152" s="400"/>
      <c r="AO152" s="400"/>
      <c r="AP152" s="400"/>
      <c r="AQ152" s="400"/>
      <c r="AR152" s="400"/>
      <c r="AS152" s="400"/>
      <c r="AT152" s="400"/>
      <c r="AU152" s="400"/>
      <c r="AV152" s="400"/>
      <c r="AW152" s="400"/>
      <c r="AX152" s="400"/>
      <c r="AY152" s="400"/>
      <c r="AZ152" s="400"/>
      <c r="BA152" s="400"/>
      <c r="BB152" s="400"/>
      <c r="BC152" s="400"/>
      <c r="BD152" s="400"/>
      <c r="BE152" s="400"/>
      <c r="BF152" s="400"/>
      <c r="BG152" s="400"/>
      <c r="BH152" s="400"/>
      <c r="BI152" s="400"/>
      <c r="BJ152" s="400"/>
      <c r="BK152" s="400"/>
      <c r="BL152" s="400"/>
      <c r="BM152" s="400"/>
      <c r="BN152" s="400"/>
      <c r="BO152" s="400"/>
      <c r="BP152" s="400"/>
      <c r="BQ152" s="400"/>
      <c r="BR152" s="400"/>
      <c r="BS152" s="400"/>
      <c r="BT152" s="400"/>
      <c r="BU152" s="400"/>
      <c r="BV152" s="400"/>
      <c r="BW152" s="400"/>
      <c r="BX152" s="400"/>
      <c r="BY152" s="400"/>
      <c r="BZ152" s="400"/>
      <c r="CA152" s="400"/>
      <c r="CB152" s="400"/>
      <c r="CC152" s="400"/>
      <c r="CD152" s="400"/>
      <c r="CE152" s="400"/>
      <c r="CF152" s="400"/>
      <c r="CG152" s="400"/>
      <c r="CH152" s="400"/>
      <c r="CI152" s="400"/>
      <c r="CJ152" s="400"/>
      <c r="CK152" s="400"/>
      <c r="CL152" s="400"/>
      <c r="CM152" s="400"/>
      <c r="CN152" s="400"/>
      <c r="CO152" s="400"/>
      <c r="CP152" s="400"/>
      <c r="CQ152" s="400"/>
      <c r="CR152" s="400"/>
      <c r="CS152" s="400"/>
      <c r="CT152" s="400"/>
      <c r="CU152" s="400"/>
      <c r="CV152" s="400"/>
      <c r="CW152" s="400"/>
      <c r="CX152" s="400"/>
      <c r="CY152" s="400"/>
      <c r="CZ152" s="400"/>
      <c r="DA152" s="400"/>
      <c r="DB152" s="400"/>
      <c r="DC152" s="400"/>
      <c r="DD152" s="400"/>
      <c r="DE152" s="400"/>
      <c r="DF152" s="400"/>
      <c r="DG152" s="400"/>
      <c r="DH152" s="400"/>
      <c r="DI152" s="400"/>
      <c r="DJ152" s="400"/>
      <c r="DK152" s="400"/>
      <c r="DL152" s="400"/>
      <c r="DM152" s="400"/>
      <c r="DN152" s="400"/>
      <c r="DO152" s="400"/>
      <c r="DP152" s="400"/>
      <c r="DQ152" s="400"/>
      <c r="DR152" s="400"/>
      <c r="DS152" s="400"/>
      <c r="DT152" s="400"/>
      <c r="DU152" s="400"/>
      <c r="DV152" s="400"/>
      <c r="DW152" s="400"/>
      <c r="DX152" s="400"/>
      <c r="DY152" s="400"/>
      <c r="DZ152" s="400"/>
      <c r="EA152" s="400"/>
      <c r="EB152" s="400"/>
      <c r="EC152" s="400"/>
      <c r="ED152" s="400"/>
      <c r="EE152" s="400"/>
      <c r="EF152" s="400"/>
      <c r="EG152" s="400"/>
      <c r="EH152" s="400"/>
      <c r="EI152" s="400"/>
      <c r="EJ152" s="400"/>
      <c r="EK152" s="400"/>
      <c r="EL152" s="400"/>
      <c r="EM152" s="400"/>
      <c r="EN152" s="400"/>
      <c r="EO152" s="400"/>
      <c r="EP152" s="400"/>
      <c r="EQ152" s="400"/>
      <c r="ER152" s="400"/>
      <c r="ES152" s="400"/>
      <c r="ET152" s="400"/>
      <c r="EU152" s="400"/>
      <c r="EV152" s="400"/>
      <c r="EW152" s="400"/>
      <c r="EX152" s="400"/>
      <c r="EY152" s="400"/>
      <c r="EZ152" s="400"/>
      <c r="FA152" s="400"/>
      <c r="FB152" s="400"/>
      <c r="FC152" s="400"/>
      <c r="FD152" s="400"/>
      <c r="FE152" s="400"/>
      <c r="FF152" s="400"/>
      <c r="FG152" s="400"/>
      <c r="FH152" s="400"/>
      <c r="FI152" s="400"/>
      <c r="FJ152" s="400"/>
      <c r="FK152" s="400"/>
      <c r="FL152" s="400"/>
      <c r="FM152" s="400"/>
      <c r="FN152" s="400"/>
      <c r="FO152" s="400"/>
      <c r="FP152" s="400"/>
      <c r="FQ152" s="400"/>
      <c r="FR152" s="400"/>
      <c r="FS152" s="400"/>
      <c r="FT152" s="400"/>
      <c r="FU152" s="400"/>
      <c r="FV152" s="400"/>
      <c r="FW152" s="400"/>
      <c r="FX152" s="400"/>
      <c r="FY152" s="400"/>
      <c r="FZ152" s="400"/>
      <c r="GA152" s="400"/>
      <c r="GB152" s="400"/>
      <c r="GC152" s="400"/>
      <c r="GD152" s="400"/>
      <c r="GE152" s="400"/>
      <c r="GF152" s="400"/>
      <c r="GG152" s="400"/>
      <c r="GH152" s="400"/>
      <c r="GI152" s="400"/>
      <c r="GJ152" s="400"/>
      <c r="GK152" s="400"/>
      <c r="GL152" s="400"/>
      <c r="GM152" s="400"/>
      <c r="GN152" s="400"/>
      <c r="GO152" s="400"/>
      <c r="GP152" s="400"/>
      <c r="GQ152" s="400"/>
      <c r="GR152" s="400"/>
      <c r="GS152" s="400"/>
      <c r="GT152" s="400"/>
      <c r="GU152" s="400"/>
      <c r="GV152" s="400"/>
      <c r="GW152" s="400"/>
      <c r="GX152" s="400"/>
      <c r="GY152" s="400"/>
      <c r="GZ152" s="400"/>
      <c r="HA152" s="400"/>
      <c r="HB152" s="400"/>
      <c r="HC152" s="400"/>
      <c r="HD152" s="400"/>
      <c r="HE152" s="400"/>
      <c r="HF152" s="400"/>
      <c r="HG152" s="400"/>
      <c r="HH152" s="400"/>
      <c r="HI152" s="400"/>
      <c r="HJ152" s="400"/>
      <c r="HK152" s="400"/>
      <c r="HL152" s="400"/>
      <c r="HM152" s="400"/>
      <c r="HN152" s="400"/>
      <c r="HO152" s="400"/>
      <c r="HP152" s="400"/>
      <c r="HQ152" s="400"/>
      <c r="HR152" s="400"/>
      <c r="HS152" s="400"/>
      <c r="HT152" s="400"/>
      <c r="HU152" s="400"/>
      <c r="HV152" s="400"/>
      <c r="HW152" s="400"/>
      <c r="HX152" s="400"/>
      <c r="HY152" s="400"/>
      <c r="HZ152" s="400"/>
      <c r="IA152" s="400"/>
      <c r="IB152" s="400"/>
      <c r="IC152" s="400"/>
      <c r="ID152" s="400"/>
      <c r="IE152" s="400"/>
      <c r="IF152" s="400"/>
      <c r="IG152" s="400"/>
      <c r="IH152" s="400"/>
      <c r="II152" s="400"/>
      <c r="IJ152" s="400"/>
      <c r="IK152" s="400"/>
      <c r="IL152" s="400"/>
      <c r="IM152" s="400"/>
      <c r="IN152" s="400"/>
      <c r="IO152" s="400"/>
      <c r="IP152" s="400"/>
      <c r="IQ152" s="400"/>
      <c r="IR152" s="400"/>
      <c r="IS152" s="400"/>
      <c r="IT152" s="400"/>
      <c r="IU152" s="400"/>
      <c r="IV152" s="400"/>
    </row>
    <row r="153" spans="1:256" s="675" customFormat="1" ht="15" x14ac:dyDescent="0.25">
      <c r="A153" s="398"/>
      <c r="B153" s="398"/>
      <c r="C153" s="398"/>
      <c r="D153" s="652" t="s">
        <v>3</v>
      </c>
      <c r="E153" s="652"/>
      <c r="F153" s="652"/>
      <c r="G153" s="652"/>
      <c r="H153" s="652"/>
      <c r="I153" s="652"/>
      <c r="J153" s="654"/>
      <c r="K153" s="654"/>
      <c r="L153" s="654">
        <f>L152</f>
        <v>165609.26</v>
      </c>
      <c r="M153" s="399"/>
      <c r="N153" s="400"/>
      <c r="O153" s="400"/>
      <c r="P153" s="400"/>
      <c r="Q153" s="400"/>
      <c r="R153" s="400"/>
      <c r="S153" s="400"/>
      <c r="T153" s="400"/>
      <c r="U153" s="400"/>
      <c r="V153" s="400"/>
      <c r="W153" s="400"/>
      <c r="X153" s="400"/>
      <c r="Y153" s="400"/>
      <c r="Z153" s="400"/>
      <c r="AA153" s="400"/>
      <c r="AB153" s="400"/>
      <c r="AC153" s="400"/>
      <c r="AD153" s="400"/>
      <c r="AE153" s="400"/>
      <c r="AF153" s="400"/>
      <c r="AG153" s="400"/>
      <c r="AH153" s="400"/>
      <c r="AI153" s="400"/>
      <c r="AJ153" s="400"/>
      <c r="AK153" s="400"/>
      <c r="AL153" s="400"/>
      <c r="AM153" s="400"/>
      <c r="AN153" s="400"/>
      <c r="AO153" s="400"/>
      <c r="AP153" s="400"/>
      <c r="AQ153" s="400"/>
      <c r="AR153" s="400"/>
      <c r="AS153" s="400"/>
      <c r="AT153" s="400"/>
      <c r="AU153" s="400"/>
      <c r="AV153" s="400"/>
      <c r="AW153" s="400"/>
      <c r="AX153" s="400"/>
      <c r="AY153" s="400"/>
      <c r="AZ153" s="400"/>
      <c r="BA153" s="400"/>
      <c r="BB153" s="400"/>
      <c r="BC153" s="400"/>
      <c r="BD153" s="400"/>
      <c r="BE153" s="400"/>
      <c r="BF153" s="400"/>
      <c r="BG153" s="400"/>
      <c r="BH153" s="400"/>
      <c r="BI153" s="400"/>
      <c r="BJ153" s="400"/>
      <c r="BK153" s="400"/>
      <c r="BL153" s="400"/>
      <c r="BM153" s="400"/>
      <c r="BN153" s="400"/>
      <c r="BO153" s="400"/>
      <c r="BP153" s="400"/>
      <c r="BQ153" s="400"/>
      <c r="BR153" s="400"/>
      <c r="BS153" s="400"/>
      <c r="BT153" s="400"/>
      <c r="BU153" s="400"/>
      <c r="BV153" s="400"/>
      <c r="BW153" s="400"/>
      <c r="BX153" s="400"/>
      <c r="BY153" s="400"/>
      <c r="BZ153" s="400"/>
      <c r="CA153" s="400"/>
      <c r="CB153" s="400"/>
      <c r="CC153" s="400"/>
      <c r="CD153" s="400"/>
      <c r="CE153" s="400"/>
      <c r="CF153" s="400"/>
      <c r="CG153" s="400"/>
      <c r="CH153" s="400"/>
      <c r="CI153" s="400"/>
      <c r="CJ153" s="400"/>
      <c r="CK153" s="400"/>
      <c r="CL153" s="400"/>
      <c r="CM153" s="400"/>
      <c r="CN153" s="400"/>
      <c r="CO153" s="400"/>
      <c r="CP153" s="400"/>
      <c r="CQ153" s="400"/>
      <c r="CR153" s="400"/>
      <c r="CS153" s="400"/>
      <c r="CT153" s="400"/>
      <c r="CU153" s="400"/>
      <c r="CV153" s="400"/>
      <c r="CW153" s="400"/>
      <c r="CX153" s="400"/>
      <c r="CY153" s="400"/>
      <c r="CZ153" s="400"/>
      <c r="DA153" s="400"/>
      <c r="DB153" s="400"/>
      <c r="DC153" s="400"/>
      <c r="DD153" s="400"/>
      <c r="DE153" s="400"/>
      <c r="DF153" s="400"/>
      <c r="DG153" s="400"/>
      <c r="DH153" s="400"/>
      <c r="DI153" s="400"/>
      <c r="DJ153" s="400"/>
      <c r="DK153" s="400"/>
      <c r="DL153" s="400"/>
      <c r="DM153" s="400"/>
      <c r="DN153" s="400"/>
      <c r="DO153" s="400"/>
      <c r="DP153" s="400"/>
      <c r="DQ153" s="400"/>
      <c r="DR153" s="400"/>
      <c r="DS153" s="400"/>
      <c r="DT153" s="400"/>
      <c r="DU153" s="400"/>
      <c r="DV153" s="400"/>
      <c r="DW153" s="400"/>
      <c r="DX153" s="400"/>
      <c r="DY153" s="400"/>
      <c r="DZ153" s="400"/>
      <c r="EA153" s="400"/>
      <c r="EB153" s="400"/>
      <c r="EC153" s="400"/>
      <c r="ED153" s="400"/>
      <c r="EE153" s="400"/>
      <c r="EF153" s="400"/>
      <c r="EG153" s="400"/>
      <c r="EH153" s="400"/>
      <c r="EI153" s="400"/>
      <c r="EJ153" s="400"/>
      <c r="EK153" s="400"/>
      <c r="EL153" s="400"/>
      <c r="EM153" s="400"/>
      <c r="EN153" s="400"/>
      <c r="EO153" s="400"/>
      <c r="EP153" s="400"/>
      <c r="EQ153" s="400"/>
      <c r="ER153" s="400"/>
      <c r="ES153" s="400"/>
      <c r="ET153" s="400"/>
      <c r="EU153" s="400"/>
      <c r="EV153" s="400"/>
      <c r="EW153" s="400"/>
      <c r="EX153" s="400"/>
      <c r="EY153" s="400"/>
      <c r="EZ153" s="400"/>
      <c r="FA153" s="400"/>
      <c r="FB153" s="400"/>
      <c r="FC153" s="400"/>
      <c r="FD153" s="400"/>
      <c r="FE153" s="400"/>
      <c r="FF153" s="400"/>
      <c r="FG153" s="400"/>
      <c r="FH153" s="400"/>
      <c r="FI153" s="400"/>
      <c r="FJ153" s="400"/>
      <c r="FK153" s="400"/>
      <c r="FL153" s="400"/>
      <c r="FM153" s="400"/>
      <c r="FN153" s="400"/>
      <c r="FO153" s="400"/>
      <c r="FP153" s="400"/>
      <c r="FQ153" s="400"/>
      <c r="FR153" s="400"/>
      <c r="FS153" s="400"/>
      <c r="FT153" s="400"/>
      <c r="FU153" s="400"/>
      <c r="FV153" s="400"/>
      <c r="FW153" s="400"/>
      <c r="FX153" s="400"/>
      <c r="FY153" s="400"/>
      <c r="FZ153" s="400"/>
      <c r="GA153" s="400"/>
      <c r="GB153" s="400"/>
      <c r="GC153" s="400"/>
      <c r="GD153" s="400"/>
      <c r="GE153" s="400"/>
      <c r="GF153" s="400"/>
      <c r="GG153" s="400"/>
      <c r="GH153" s="400"/>
      <c r="GI153" s="400"/>
      <c r="GJ153" s="400"/>
      <c r="GK153" s="400"/>
      <c r="GL153" s="400"/>
      <c r="GM153" s="400"/>
      <c r="GN153" s="400"/>
      <c r="GO153" s="400"/>
      <c r="GP153" s="400"/>
      <c r="GQ153" s="400"/>
      <c r="GR153" s="400"/>
      <c r="GS153" s="400"/>
      <c r="GT153" s="400"/>
      <c r="GU153" s="400"/>
      <c r="GV153" s="400"/>
      <c r="GW153" s="400"/>
      <c r="GX153" s="400"/>
      <c r="GY153" s="400"/>
      <c r="GZ153" s="400"/>
      <c r="HA153" s="400"/>
      <c r="HB153" s="400"/>
      <c r="HC153" s="400"/>
      <c r="HD153" s="400"/>
      <c r="HE153" s="400"/>
      <c r="HF153" s="400"/>
      <c r="HG153" s="400"/>
      <c r="HH153" s="400"/>
      <c r="HI153" s="400"/>
      <c r="HJ153" s="400"/>
      <c r="HK153" s="400"/>
      <c r="HL153" s="400"/>
      <c r="HM153" s="400"/>
      <c r="HN153" s="400"/>
      <c r="HO153" s="400"/>
      <c r="HP153" s="400"/>
      <c r="HQ153" s="400"/>
      <c r="HR153" s="400"/>
      <c r="HS153" s="400"/>
      <c r="HT153" s="400"/>
      <c r="HU153" s="400"/>
      <c r="HV153" s="400"/>
      <c r="HW153" s="400"/>
      <c r="HX153" s="400"/>
      <c r="HY153" s="400"/>
      <c r="HZ153" s="400"/>
      <c r="IA153" s="400"/>
      <c r="IB153" s="400"/>
      <c r="IC153" s="400"/>
      <c r="ID153" s="400"/>
      <c r="IE153" s="400"/>
      <c r="IF153" s="400"/>
      <c r="IG153" s="400"/>
      <c r="IH153" s="400"/>
      <c r="II153" s="400"/>
      <c r="IJ153" s="400"/>
      <c r="IK153" s="400"/>
      <c r="IL153" s="400"/>
      <c r="IM153" s="400"/>
      <c r="IN153" s="400"/>
      <c r="IO153" s="400"/>
      <c r="IP153" s="400"/>
      <c r="IQ153" s="400"/>
      <c r="IR153" s="400"/>
      <c r="IS153" s="400"/>
      <c r="IT153" s="400"/>
      <c r="IU153" s="400"/>
      <c r="IV153" s="400"/>
    </row>
    <row r="154" spans="1:256" s="675" customFormat="1" ht="15" x14ac:dyDescent="0.25">
      <c r="A154" s="398"/>
      <c r="B154" s="398"/>
      <c r="C154" s="398"/>
      <c r="D154" s="652" t="s">
        <v>269</v>
      </c>
      <c r="E154" s="652"/>
      <c r="F154" s="652"/>
      <c r="G154" s="652"/>
      <c r="H154" s="652"/>
      <c r="I154" s="652"/>
      <c r="J154" s="654"/>
      <c r="K154" s="654"/>
      <c r="L154" s="654">
        <f>L144*0.925</f>
        <v>31385.919999999998</v>
      </c>
      <c r="M154" s="399"/>
      <c r="N154" s="400"/>
      <c r="O154" s="400"/>
      <c r="P154" s="400"/>
      <c r="Q154" s="400"/>
      <c r="R154" s="400"/>
      <c r="S154" s="400"/>
      <c r="T154" s="400"/>
      <c r="U154" s="400"/>
      <c r="V154" s="400"/>
      <c r="W154" s="400"/>
      <c r="X154" s="400"/>
      <c r="Y154" s="400"/>
      <c r="Z154" s="400"/>
      <c r="AA154" s="400"/>
      <c r="AB154" s="400"/>
      <c r="AC154" s="400"/>
      <c r="AD154" s="400"/>
      <c r="AE154" s="400"/>
      <c r="AF154" s="400"/>
      <c r="AG154" s="400"/>
      <c r="AH154" s="400"/>
      <c r="AI154" s="400"/>
      <c r="AJ154" s="400"/>
      <c r="AK154" s="400"/>
      <c r="AL154" s="400"/>
      <c r="AM154" s="400"/>
      <c r="AN154" s="400"/>
      <c r="AO154" s="400"/>
      <c r="AP154" s="400"/>
      <c r="AQ154" s="400"/>
      <c r="AR154" s="400"/>
      <c r="AS154" s="400"/>
      <c r="AT154" s="400"/>
      <c r="AU154" s="400"/>
      <c r="AV154" s="400"/>
      <c r="AW154" s="400"/>
      <c r="AX154" s="400"/>
      <c r="AY154" s="400"/>
      <c r="AZ154" s="400"/>
      <c r="BA154" s="400"/>
      <c r="BB154" s="400"/>
      <c r="BC154" s="400"/>
      <c r="BD154" s="400"/>
      <c r="BE154" s="400"/>
      <c r="BF154" s="400"/>
      <c r="BG154" s="400"/>
      <c r="BH154" s="400"/>
      <c r="BI154" s="400"/>
      <c r="BJ154" s="400"/>
      <c r="BK154" s="400"/>
      <c r="BL154" s="400"/>
      <c r="BM154" s="400"/>
      <c r="BN154" s="400"/>
      <c r="BO154" s="400"/>
      <c r="BP154" s="400"/>
      <c r="BQ154" s="400"/>
      <c r="BR154" s="400"/>
      <c r="BS154" s="400"/>
      <c r="BT154" s="400"/>
      <c r="BU154" s="400"/>
      <c r="BV154" s="400"/>
      <c r="BW154" s="400"/>
      <c r="BX154" s="400"/>
      <c r="BY154" s="400"/>
      <c r="BZ154" s="400"/>
      <c r="CA154" s="400"/>
      <c r="CB154" s="400"/>
      <c r="CC154" s="400"/>
      <c r="CD154" s="400"/>
      <c r="CE154" s="400"/>
      <c r="CF154" s="400"/>
      <c r="CG154" s="400"/>
      <c r="CH154" s="400"/>
      <c r="CI154" s="400"/>
      <c r="CJ154" s="400"/>
      <c r="CK154" s="400"/>
      <c r="CL154" s="400"/>
      <c r="CM154" s="400"/>
      <c r="CN154" s="400"/>
      <c r="CO154" s="400"/>
      <c r="CP154" s="400"/>
      <c r="CQ154" s="400"/>
      <c r="CR154" s="400"/>
      <c r="CS154" s="400"/>
      <c r="CT154" s="400"/>
      <c r="CU154" s="400"/>
      <c r="CV154" s="400"/>
      <c r="CW154" s="400"/>
      <c r="CX154" s="400"/>
      <c r="CY154" s="400"/>
      <c r="CZ154" s="400"/>
      <c r="DA154" s="400"/>
      <c r="DB154" s="400"/>
      <c r="DC154" s="400"/>
      <c r="DD154" s="400"/>
      <c r="DE154" s="400"/>
      <c r="DF154" s="400"/>
      <c r="DG154" s="400"/>
      <c r="DH154" s="400"/>
      <c r="DI154" s="400"/>
      <c r="DJ154" s="400"/>
      <c r="DK154" s="400"/>
      <c r="DL154" s="400"/>
      <c r="DM154" s="400"/>
      <c r="DN154" s="400"/>
      <c r="DO154" s="400"/>
      <c r="DP154" s="400"/>
      <c r="DQ154" s="400"/>
      <c r="DR154" s="400"/>
      <c r="DS154" s="400"/>
      <c r="DT154" s="400"/>
      <c r="DU154" s="400"/>
      <c r="DV154" s="400"/>
      <c r="DW154" s="400"/>
      <c r="DX154" s="400"/>
      <c r="DY154" s="400"/>
      <c r="DZ154" s="400"/>
      <c r="EA154" s="400"/>
      <c r="EB154" s="400"/>
      <c r="EC154" s="400"/>
      <c r="ED154" s="400"/>
      <c r="EE154" s="400"/>
      <c r="EF154" s="400"/>
      <c r="EG154" s="400"/>
      <c r="EH154" s="400"/>
      <c r="EI154" s="400"/>
      <c r="EJ154" s="400"/>
      <c r="EK154" s="400"/>
      <c r="EL154" s="400"/>
      <c r="EM154" s="400"/>
      <c r="EN154" s="400"/>
      <c r="EO154" s="400"/>
      <c r="EP154" s="400"/>
      <c r="EQ154" s="400"/>
      <c r="ER154" s="400"/>
      <c r="ES154" s="400"/>
      <c r="ET154" s="400"/>
      <c r="EU154" s="400"/>
      <c r="EV154" s="400"/>
      <c r="EW154" s="400"/>
      <c r="EX154" s="400"/>
      <c r="EY154" s="400"/>
      <c r="EZ154" s="400"/>
      <c r="FA154" s="400"/>
      <c r="FB154" s="400"/>
      <c r="FC154" s="400"/>
      <c r="FD154" s="400"/>
      <c r="FE154" s="400"/>
      <c r="FF154" s="400"/>
      <c r="FG154" s="400"/>
      <c r="FH154" s="400"/>
      <c r="FI154" s="400"/>
      <c r="FJ154" s="400"/>
      <c r="FK154" s="400"/>
      <c r="FL154" s="400"/>
      <c r="FM154" s="400"/>
      <c r="FN154" s="400"/>
      <c r="FO154" s="400"/>
      <c r="FP154" s="400"/>
      <c r="FQ154" s="400"/>
      <c r="FR154" s="400"/>
      <c r="FS154" s="400"/>
      <c r="FT154" s="400"/>
      <c r="FU154" s="400"/>
      <c r="FV154" s="400"/>
      <c r="FW154" s="400"/>
      <c r="FX154" s="400"/>
      <c r="FY154" s="400"/>
      <c r="FZ154" s="400"/>
      <c r="GA154" s="400"/>
      <c r="GB154" s="400"/>
      <c r="GC154" s="400"/>
      <c r="GD154" s="400"/>
      <c r="GE154" s="400"/>
      <c r="GF154" s="400"/>
      <c r="GG154" s="400"/>
      <c r="GH154" s="400"/>
      <c r="GI154" s="400"/>
      <c r="GJ154" s="400"/>
      <c r="GK154" s="400"/>
      <c r="GL154" s="400"/>
      <c r="GM154" s="400"/>
      <c r="GN154" s="400"/>
      <c r="GO154" s="400"/>
      <c r="GP154" s="400"/>
      <c r="GQ154" s="400"/>
      <c r="GR154" s="400"/>
      <c r="GS154" s="400"/>
      <c r="GT154" s="400"/>
      <c r="GU154" s="400"/>
      <c r="GV154" s="400"/>
      <c r="GW154" s="400"/>
      <c r="GX154" s="400"/>
      <c r="GY154" s="400"/>
      <c r="GZ154" s="400"/>
      <c r="HA154" s="400"/>
      <c r="HB154" s="400"/>
      <c r="HC154" s="400"/>
      <c r="HD154" s="400"/>
      <c r="HE154" s="400"/>
      <c r="HF154" s="400"/>
      <c r="HG154" s="400"/>
      <c r="HH154" s="400"/>
      <c r="HI154" s="400"/>
      <c r="HJ154" s="400"/>
      <c r="HK154" s="400"/>
      <c r="HL154" s="400"/>
      <c r="HM154" s="400"/>
      <c r="HN154" s="400"/>
      <c r="HO154" s="400"/>
      <c r="HP154" s="400"/>
      <c r="HQ154" s="400"/>
      <c r="HR154" s="400"/>
      <c r="HS154" s="400"/>
      <c r="HT154" s="400"/>
      <c r="HU154" s="400"/>
      <c r="HV154" s="400"/>
      <c r="HW154" s="400"/>
      <c r="HX154" s="400"/>
      <c r="HY154" s="400"/>
      <c r="HZ154" s="400"/>
      <c r="IA154" s="400"/>
      <c r="IB154" s="400"/>
      <c r="IC154" s="400"/>
      <c r="ID154" s="400"/>
      <c r="IE154" s="400"/>
      <c r="IF154" s="400"/>
      <c r="IG154" s="400"/>
      <c r="IH154" s="400"/>
      <c r="II154" s="400"/>
      <c r="IJ154" s="400"/>
      <c r="IK154" s="400"/>
      <c r="IL154" s="400"/>
      <c r="IM154" s="400"/>
      <c r="IN154" s="400"/>
      <c r="IO154" s="400"/>
      <c r="IP154" s="400"/>
      <c r="IQ154" s="400"/>
      <c r="IR154" s="400"/>
      <c r="IS154" s="400"/>
      <c r="IT154" s="400"/>
      <c r="IU154" s="400"/>
      <c r="IV154" s="400"/>
    </row>
    <row r="155" spans="1:256" s="675" customFormat="1" ht="15" x14ac:dyDescent="0.25">
      <c r="A155" s="398"/>
      <c r="B155" s="398"/>
      <c r="C155" s="398"/>
      <c r="D155" s="652" t="s">
        <v>597</v>
      </c>
      <c r="E155" s="652"/>
      <c r="F155" s="652"/>
      <c r="G155" s="652"/>
      <c r="H155" s="652"/>
      <c r="I155" s="652"/>
      <c r="J155" s="654"/>
      <c r="K155" s="654"/>
      <c r="L155" s="654">
        <f>L145*0.925</f>
        <v>88385.24</v>
      </c>
      <c r="M155" s="399"/>
    </row>
    <row r="156" spans="1:256" s="675" customFormat="1" ht="15" x14ac:dyDescent="0.25">
      <c r="A156" s="398"/>
      <c r="B156" s="398"/>
      <c r="C156" s="398"/>
      <c r="D156" s="655" t="s">
        <v>323</v>
      </c>
      <c r="E156" s="652"/>
      <c r="F156" s="652"/>
      <c r="G156" s="652"/>
      <c r="H156" s="652"/>
      <c r="I156" s="652"/>
      <c r="J156" s="656"/>
      <c r="K156" s="654"/>
      <c r="L156" s="656">
        <v>0</v>
      </c>
      <c r="M156" s="399"/>
    </row>
    <row r="157" spans="1:256" s="675" customFormat="1" ht="15" x14ac:dyDescent="0.25">
      <c r="A157" s="398"/>
      <c r="B157" s="398"/>
      <c r="C157" s="398"/>
      <c r="D157" s="652" t="s">
        <v>598</v>
      </c>
      <c r="E157" s="652"/>
      <c r="F157" s="652"/>
      <c r="G157" s="652"/>
      <c r="H157" s="652"/>
      <c r="I157" s="652"/>
      <c r="J157" s="654"/>
      <c r="K157" s="654"/>
      <c r="L157" s="654">
        <f>L154*0.15</f>
        <v>4707.8900000000003</v>
      </c>
      <c r="M157" s="399"/>
    </row>
    <row r="158" spans="1:256" s="675" customFormat="1" ht="14.25" x14ac:dyDescent="0.2">
      <c r="A158" s="398"/>
      <c r="B158" s="398"/>
      <c r="C158" s="398"/>
      <c r="D158" s="651" t="s">
        <v>599</v>
      </c>
      <c r="E158" s="657"/>
      <c r="F158" s="657"/>
      <c r="G158" s="657"/>
      <c r="H158" s="657"/>
      <c r="I158" s="657"/>
      <c r="J158" s="653"/>
      <c r="K158" s="657"/>
      <c r="L158" s="653">
        <f>L157+L152</f>
        <v>170317.15</v>
      </c>
      <c r="M158" s="399"/>
    </row>
    <row r="159" spans="1:256" s="675" customFormat="1" ht="15" x14ac:dyDescent="0.25">
      <c r="A159" s="398"/>
      <c r="B159" s="398"/>
      <c r="C159" s="398"/>
      <c r="D159" s="658"/>
      <c r="E159" s="658"/>
      <c r="F159" s="658"/>
      <c r="G159" s="658"/>
      <c r="H159" s="658"/>
      <c r="I159" s="658"/>
      <c r="J159" s="658"/>
      <c r="K159" s="658"/>
      <c r="L159" s="658"/>
      <c r="M159" s="399"/>
    </row>
    <row r="160" spans="1:256" s="675" customFormat="1" ht="15" x14ac:dyDescent="0.25">
      <c r="A160" s="398"/>
      <c r="B160" s="398"/>
      <c r="C160" s="398"/>
      <c r="D160" s="658"/>
      <c r="E160" s="658"/>
      <c r="F160" s="658"/>
      <c r="G160" s="658"/>
      <c r="H160" s="658"/>
      <c r="I160" s="658"/>
      <c r="J160" s="658"/>
      <c r="K160" s="658"/>
      <c r="L160" s="658"/>
      <c r="M160" s="399"/>
    </row>
    <row r="161" spans="1:13" s="675" customFormat="1" ht="14.25" x14ac:dyDescent="0.2">
      <c r="A161" s="398"/>
      <c r="B161" s="398"/>
      <c r="C161" s="398"/>
      <c r="D161" s="659"/>
      <c r="E161" s="660"/>
      <c r="F161" s="660"/>
      <c r="G161" s="660"/>
      <c r="H161" s="660"/>
      <c r="I161" s="661"/>
      <c r="J161" s="662"/>
      <c r="K161" s="663"/>
      <c r="L161" s="662"/>
      <c r="M161" s="399"/>
    </row>
    <row r="162" spans="1:13" s="675" customFormat="1" ht="15" x14ac:dyDescent="0.25">
      <c r="A162" s="398"/>
      <c r="B162" s="398"/>
      <c r="C162" s="398"/>
      <c r="D162" s="664"/>
      <c r="E162" s="665"/>
      <c r="F162" s="665"/>
      <c r="G162" s="665"/>
      <c r="H162" s="665"/>
      <c r="I162" s="666"/>
      <c r="J162" s="667"/>
      <c r="K162" s="668"/>
      <c r="L162" s="667"/>
      <c r="M162" s="399"/>
    </row>
    <row r="163" spans="1:13" s="675" customFormat="1" ht="15" x14ac:dyDescent="0.25">
      <c r="A163" s="398"/>
      <c r="B163" s="398"/>
      <c r="C163" s="398"/>
      <c r="D163" s="664"/>
      <c r="E163" s="665"/>
      <c r="F163" s="665"/>
      <c r="G163" s="665"/>
      <c r="H163" s="665"/>
      <c r="I163" s="666"/>
      <c r="J163" s="667"/>
      <c r="K163" s="669"/>
      <c r="L163" s="667"/>
      <c r="M163" s="399"/>
    </row>
    <row r="164" spans="1:13" s="675" customFormat="1" ht="15" x14ac:dyDescent="0.25">
      <c r="A164" s="398"/>
      <c r="B164" s="398"/>
      <c r="C164" s="398"/>
      <c r="D164" s="664"/>
      <c r="E164" s="665"/>
      <c r="F164" s="665"/>
      <c r="G164" s="665"/>
      <c r="H164" s="665"/>
      <c r="I164" s="666"/>
      <c r="J164" s="667"/>
      <c r="K164" s="667"/>
      <c r="L164" s="667"/>
      <c r="M164" s="399"/>
    </row>
    <row r="165" spans="1:13" s="675" customFormat="1" ht="15" x14ac:dyDescent="0.25">
      <c r="A165" s="398"/>
      <c r="B165" s="398"/>
      <c r="C165" s="398"/>
      <c r="D165" s="664"/>
      <c r="E165" s="665"/>
      <c r="F165" s="665"/>
      <c r="G165" s="665"/>
      <c r="H165" s="665"/>
      <c r="I165" s="666"/>
      <c r="J165" s="670"/>
      <c r="K165" s="670"/>
      <c r="L165" s="670"/>
      <c r="M165" s="399"/>
    </row>
  </sheetData>
  <mergeCells count="85">
    <mergeCell ref="I151:J151"/>
    <mergeCell ref="K151:L151"/>
    <mergeCell ref="D148:H148"/>
    <mergeCell ref="D149:H149"/>
    <mergeCell ref="D150:H150"/>
    <mergeCell ref="D151:H151"/>
    <mergeCell ref="I140:J140"/>
    <mergeCell ref="K140:L140"/>
    <mergeCell ref="D141:J141"/>
    <mergeCell ref="K141:L141"/>
    <mergeCell ref="D147:H147"/>
    <mergeCell ref="A136:H136"/>
    <mergeCell ref="I136:J136"/>
    <mergeCell ref="I138:J138"/>
    <mergeCell ref="K138:L138"/>
    <mergeCell ref="I139:J139"/>
    <mergeCell ref="K139:L139"/>
    <mergeCell ref="K136:L136"/>
    <mergeCell ref="I125:J125"/>
    <mergeCell ref="K125:L125"/>
    <mergeCell ref="I130:J130"/>
    <mergeCell ref="I132:J132"/>
    <mergeCell ref="A134:H134"/>
    <mergeCell ref="I134:J134"/>
    <mergeCell ref="K134:L134"/>
    <mergeCell ref="K130:L130"/>
    <mergeCell ref="K132:L132"/>
    <mergeCell ref="I78:J78"/>
    <mergeCell ref="K78:L78"/>
    <mergeCell ref="I89:J89"/>
    <mergeCell ref="K89:L89"/>
    <mergeCell ref="I94:J94"/>
    <mergeCell ref="K94:L94"/>
    <mergeCell ref="I57:J57"/>
    <mergeCell ref="K57:L57"/>
    <mergeCell ref="I74:J74"/>
    <mergeCell ref="K74:L74"/>
    <mergeCell ref="I76:J76"/>
    <mergeCell ref="K76:L76"/>
    <mergeCell ref="I69:J69"/>
    <mergeCell ref="K69:L69"/>
    <mergeCell ref="A15:L15"/>
    <mergeCell ref="I30:J30"/>
    <mergeCell ref="K30:L30"/>
    <mergeCell ref="I32:J32"/>
    <mergeCell ref="K32:L32"/>
    <mergeCell ref="I25:J25"/>
    <mergeCell ref="K25:L25"/>
    <mergeCell ref="C6:G6"/>
    <mergeCell ref="A1:L1"/>
    <mergeCell ref="L8:L13"/>
    <mergeCell ref="A9:A13"/>
    <mergeCell ref="B9:B13"/>
    <mergeCell ref="G8:G13"/>
    <mergeCell ref="H8:H13"/>
    <mergeCell ref="I8:I13"/>
    <mergeCell ref="J8:J13"/>
    <mergeCell ref="K8:K13"/>
    <mergeCell ref="A8:B8"/>
    <mergeCell ref="C8:C13"/>
    <mergeCell ref="D8:D13"/>
    <mergeCell ref="E8:E13"/>
    <mergeCell ref="F8:F13"/>
    <mergeCell ref="I49:J49"/>
    <mergeCell ref="K49:L49"/>
    <mergeCell ref="I107:J107"/>
    <mergeCell ref="K107:L107"/>
    <mergeCell ref="I34:J34"/>
    <mergeCell ref="K34:L34"/>
    <mergeCell ref="I44:J44"/>
    <mergeCell ref="K44:L44"/>
    <mergeCell ref="I59:J59"/>
    <mergeCell ref="K59:L59"/>
    <mergeCell ref="I51:J51"/>
    <mergeCell ref="K51:L51"/>
    <mergeCell ref="I53:J53"/>
    <mergeCell ref="K53:L53"/>
    <mergeCell ref="I55:J55"/>
    <mergeCell ref="K55:L55"/>
    <mergeCell ref="I114:J114"/>
    <mergeCell ref="K114:L114"/>
    <mergeCell ref="I112:J112"/>
    <mergeCell ref="K112:L112"/>
    <mergeCell ref="I96:J96"/>
    <mergeCell ref="K96:L96"/>
  </mergeCells>
  <pageMargins left="0.78740157480314965" right="0" top="0.39370078740157483" bottom="0.39370078740157483" header="0.31496062992125984" footer="0.31496062992125984"/>
  <pageSetup paperSize="9" scale="59" firstPageNumber="23" fitToHeight="0" orientation="portrait" blackAndWhite="1" useFirstPageNumber="1" r:id="rId1"/>
  <headerFooter>
    <oddFooter>&amp;R&amp;P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V160"/>
  <sheetViews>
    <sheetView workbookViewId="0"/>
  </sheetViews>
  <sheetFormatPr defaultColWidth="9.33203125" defaultRowHeight="12.75" x14ac:dyDescent="0.2"/>
  <cols>
    <col min="1" max="1" width="6.6640625" style="1" customWidth="1"/>
    <col min="2" max="2" width="11.1640625" style="1" customWidth="1"/>
    <col min="3" max="3" width="14.83203125" style="1" customWidth="1"/>
    <col min="4" max="4" width="47.5" style="1" customWidth="1"/>
    <col min="5" max="6" width="13.6640625" style="1" customWidth="1"/>
    <col min="7" max="7" width="15.33203125" style="1" customWidth="1"/>
    <col min="8" max="8" width="15.6640625" style="1" customWidth="1"/>
    <col min="9" max="9" width="15.5" style="1" customWidth="1"/>
    <col min="10" max="10" width="17.5" style="1" customWidth="1"/>
    <col min="11" max="11" width="14.83203125" style="1" customWidth="1"/>
    <col min="12" max="12" width="19.5" style="1" customWidth="1"/>
    <col min="13" max="14" width="9.33203125" style="1"/>
    <col min="15" max="36" width="0" style="1" hidden="1" customWidth="1"/>
    <col min="37" max="16384" width="9.33203125" style="1"/>
  </cols>
  <sheetData>
    <row r="1" spans="1:12" ht="15" x14ac:dyDescent="0.25">
      <c r="A1" s="71"/>
      <c r="B1"/>
      <c r="C1"/>
      <c r="D1" s="3"/>
      <c r="E1" s="3"/>
      <c r="F1" s="2"/>
      <c r="G1" s="2"/>
      <c r="H1" s="2"/>
      <c r="I1" s="882" t="s">
        <v>36</v>
      </c>
      <c r="J1" s="882"/>
      <c r="K1" s="882"/>
      <c r="L1" s="882"/>
    </row>
    <row r="2" spans="1:12" ht="14.25" x14ac:dyDescent="0.2">
      <c r="A2" s="2"/>
      <c r="B2" s="2"/>
      <c r="C2" s="2"/>
      <c r="D2" s="2"/>
      <c r="E2" s="2"/>
      <c r="F2" s="2"/>
      <c r="G2" s="2"/>
      <c r="H2" s="2"/>
      <c r="I2" s="882" t="s">
        <v>37</v>
      </c>
      <c r="J2" s="882"/>
      <c r="K2" s="882"/>
      <c r="L2" s="882"/>
    </row>
    <row r="3" spans="1:12" ht="14.25" x14ac:dyDescent="0.2">
      <c r="A3" s="2"/>
      <c r="B3" s="2"/>
      <c r="C3" s="2"/>
      <c r="D3" s="2"/>
      <c r="E3" s="2"/>
      <c r="F3" s="2"/>
      <c r="G3" s="2"/>
      <c r="H3" s="2"/>
      <c r="I3" s="882" t="s">
        <v>38</v>
      </c>
      <c r="J3" s="882"/>
      <c r="K3" s="882"/>
      <c r="L3" s="882"/>
    </row>
    <row r="4" spans="1:12" ht="14.25" x14ac:dyDescent="0.2">
      <c r="A4" s="2"/>
      <c r="B4" s="2"/>
      <c r="C4" s="2"/>
      <c r="D4" s="2"/>
      <c r="E4" s="2"/>
      <c r="F4" s="2"/>
      <c r="G4" s="2"/>
      <c r="H4" s="2"/>
      <c r="I4" s="2"/>
      <c r="J4" s="860" t="s">
        <v>39</v>
      </c>
      <c r="K4" s="861"/>
      <c r="L4" s="862"/>
    </row>
    <row r="5" spans="1:12" ht="14.25" x14ac:dyDescent="0.2">
      <c r="A5" s="2"/>
      <c r="B5" s="2"/>
      <c r="C5" s="2"/>
      <c r="D5" s="2"/>
      <c r="E5" s="2"/>
      <c r="F5" s="2"/>
      <c r="G5" s="2"/>
      <c r="H5" s="2"/>
      <c r="I5" s="68" t="s">
        <v>40</v>
      </c>
      <c r="J5" s="883" t="s">
        <v>41</v>
      </c>
      <c r="K5" s="884"/>
      <c r="L5" s="885"/>
    </row>
    <row r="6" spans="1:12" ht="14.25" x14ac:dyDescent="0.2">
      <c r="A6" s="2"/>
      <c r="B6" s="2"/>
      <c r="C6" s="2"/>
      <c r="D6" s="2"/>
      <c r="E6" s="2"/>
      <c r="F6" s="2"/>
      <c r="G6" s="2"/>
      <c r="H6" s="2"/>
      <c r="I6" s="2"/>
      <c r="J6" s="886" t="s">
        <v>260</v>
      </c>
      <c r="K6" s="887"/>
      <c r="L6" s="888"/>
    </row>
    <row r="7" spans="1:12" ht="31.5" customHeight="1" x14ac:dyDescent="0.2">
      <c r="A7" s="875" t="s">
        <v>261</v>
      </c>
      <c r="B7" s="875"/>
      <c r="C7" s="849" t="s">
        <v>262</v>
      </c>
      <c r="D7" s="849"/>
      <c r="E7" s="849"/>
      <c r="F7" s="849"/>
      <c r="G7" s="849"/>
      <c r="H7" s="849"/>
      <c r="I7" s="68" t="s">
        <v>43</v>
      </c>
      <c r="J7" s="889"/>
      <c r="K7" s="890"/>
      <c r="L7" s="891"/>
    </row>
    <row r="8" spans="1:12" ht="14.25" customHeight="1" x14ac:dyDescent="0.2">
      <c r="A8" s="2"/>
      <c r="B8" s="2"/>
      <c r="C8" s="892" t="s">
        <v>44</v>
      </c>
      <c r="D8" s="892"/>
      <c r="E8" s="892"/>
      <c r="F8" s="892"/>
      <c r="G8" s="892"/>
      <c r="H8" s="892"/>
      <c r="I8" s="2"/>
      <c r="J8" s="886" t="s">
        <v>263</v>
      </c>
      <c r="K8" s="887"/>
      <c r="L8" s="888"/>
    </row>
    <row r="9" spans="1:12" ht="31.5" customHeight="1" x14ac:dyDescent="0.2">
      <c r="A9" s="875" t="s">
        <v>264</v>
      </c>
      <c r="B9" s="875"/>
      <c r="C9" s="849" t="s">
        <v>265</v>
      </c>
      <c r="D9" s="849"/>
      <c r="E9" s="849"/>
      <c r="F9" s="849"/>
      <c r="G9" s="849"/>
      <c r="H9" s="849"/>
      <c r="I9" s="68" t="s">
        <v>43</v>
      </c>
      <c r="J9" s="889"/>
      <c r="K9" s="890"/>
      <c r="L9" s="891"/>
    </row>
    <row r="10" spans="1:12" ht="14.25" customHeight="1" x14ac:dyDescent="0.2">
      <c r="A10" s="2"/>
      <c r="B10" s="2"/>
      <c r="C10" s="892" t="s">
        <v>44</v>
      </c>
      <c r="D10" s="892"/>
      <c r="E10" s="892"/>
      <c r="F10" s="892"/>
      <c r="G10" s="892"/>
      <c r="H10" s="892"/>
      <c r="I10" s="2"/>
      <c r="J10" s="886" t="s">
        <v>263</v>
      </c>
      <c r="K10" s="887"/>
      <c r="L10" s="888"/>
    </row>
    <row r="11" spans="1:12" ht="16.5" customHeight="1" x14ac:dyDescent="0.2">
      <c r="A11" s="1" t="s">
        <v>45</v>
      </c>
      <c r="B11" s="2"/>
      <c r="C11" s="849" t="s">
        <v>266</v>
      </c>
      <c r="D11" s="849"/>
      <c r="E11" s="849"/>
      <c r="F11" s="849"/>
      <c r="G11" s="849"/>
      <c r="H11" s="849"/>
      <c r="I11" s="68" t="s">
        <v>43</v>
      </c>
      <c r="J11" s="889"/>
      <c r="K11" s="890"/>
      <c r="L11" s="891"/>
    </row>
    <row r="12" spans="1:12" ht="14.25" customHeight="1" x14ac:dyDescent="0.2">
      <c r="A12" s="2"/>
      <c r="B12" s="2"/>
      <c r="C12" s="892"/>
      <c r="D12" s="892"/>
      <c r="E12" s="892"/>
      <c r="F12" s="892"/>
      <c r="G12" s="892"/>
      <c r="H12" s="892"/>
      <c r="I12" s="2"/>
      <c r="J12" s="894"/>
      <c r="K12" s="895"/>
      <c r="L12" s="896"/>
    </row>
    <row r="13" spans="1:12" ht="39.75" customHeight="1" x14ac:dyDescent="0.2">
      <c r="A13" s="1" t="s">
        <v>46</v>
      </c>
      <c r="B13" s="2"/>
      <c r="C13" s="849" t="s">
        <v>267</v>
      </c>
      <c r="D13" s="849"/>
      <c r="E13" s="849"/>
      <c r="F13" s="849"/>
      <c r="G13" s="849"/>
      <c r="H13" s="849"/>
      <c r="I13" s="2"/>
      <c r="J13" s="897"/>
      <c r="K13" s="898"/>
      <c r="L13" s="899"/>
    </row>
    <row r="14" spans="1:12" ht="14.25" customHeight="1" x14ac:dyDescent="0.2">
      <c r="A14" s="2"/>
      <c r="B14" s="2"/>
      <c r="C14" s="893" t="s">
        <v>47</v>
      </c>
      <c r="D14" s="893"/>
      <c r="E14" s="893"/>
      <c r="F14" s="893"/>
      <c r="G14" s="893"/>
      <c r="H14" s="893"/>
      <c r="I14" s="2"/>
      <c r="J14" s="894"/>
      <c r="K14" s="895"/>
      <c r="L14" s="896"/>
    </row>
    <row r="15" spans="1:12" ht="36" customHeight="1" x14ac:dyDescent="0.2">
      <c r="A15" s="1" t="s">
        <v>48</v>
      </c>
      <c r="B15" s="2"/>
      <c r="C15" s="849" t="s">
        <v>267</v>
      </c>
      <c r="D15" s="849"/>
      <c r="E15" s="849"/>
      <c r="F15" s="849"/>
      <c r="G15" s="849"/>
      <c r="H15" s="849"/>
      <c r="I15" s="2"/>
      <c r="J15" s="897"/>
      <c r="K15" s="898"/>
      <c r="L15" s="899"/>
    </row>
    <row r="16" spans="1:12" ht="14.25" customHeight="1" x14ac:dyDescent="0.2">
      <c r="A16" s="2"/>
      <c r="B16" s="2"/>
      <c r="C16" s="892" t="s">
        <v>49</v>
      </c>
      <c r="D16" s="892"/>
      <c r="E16" s="892"/>
      <c r="F16" s="892"/>
      <c r="G16" s="892"/>
      <c r="H16" s="892"/>
      <c r="I16" s="2"/>
      <c r="J16" s="2"/>
      <c r="K16" s="2"/>
      <c r="L16" s="2"/>
    </row>
    <row r="17" spans="1:12" ht="36" customHeight="1" x14ac:dyDescent="0.2">
      <c r="A17" s="2"/>
      <c r="B17" s="2"/>
      <c r="C17" s="2"/>
      <c r="D17" s="2"/>
      <c r="E17" s="2"/>
      <c r="F17" s="2"/>
      <c r="G17" s="858" t="s">
        <v>50</v>
      </c>
      <c r="H17" s="858"/>
      <c r="I17" s="859"/>
      <c r="J17" s="860"/>
      <c r="K17" s="861"/>
      <c r="L17" s="862"/>
    </row>
    <row r="18" spans="1:12" ht="14.25" x14ac:dyDescent="0.2">
      <c r="A18" s="2"/>
      <c r="B18" s="2"/>
      <c r="C18" s="2"/>
      <c r="D18" s="2"/>
      <c r="E18" s="2"/>
      <c r="F18" s="2"/>
      <c r="G18" s="858" t="s">
        <v>51</v>
      </c>
      <c r="H18" s="859"/>
      <c r="I18" s="70" t="s">
        <v>52</v>
      </c>
      <c r="J18" s="860" t="s">
        <v>119</v>
      </c>
      <c r="K18" s="861"/>
      <c r="L18" s="862"/>
    </row>
    <row r="19" spans="1:12" ht="19.5" customHeight="1" x14ac:dyDescent="0.2">
      <c r="A19" s="2"/>
      <c r="B19" s="2"/>
      <c r="C19" s="2"/>
      <c r="D19" s="2"/>
      <c r="E19" s="2"/>
      <c r="F19" s="2"/>
      <c r="G19" s="2"/>
      <c r="H19" s="2"/>
      <c r="I19" s="69" t="s">
        <v>53</v>
      </c>
      <c r="J19" s="863">
        <v>43713</v>
      </c>
      <c r="K19" s="864"/>
      <c r="L19" s="865"/>
    </row>
    <row r="20" spans="1:12" ht="14.25" x14ac:dyDescent="0.2">
      <c r="A20" s="2"/>
      <c r="B20" s="2"/>
      <c r="C20" s="2"/>
      <c r="D20" s="2"/>
      <c r="E20" s="2"/>
      <c r="F20" s="2"/>
      <c r="G20" s="2"/>
      <c r="H20" s="2"/>
      <c r="I20" s="68" t="s">
        <v>54</v>
      </c>
      <c r="J20" s="860"/>
      <c r="K20" s="861"/>
      <c r="L20" s="862"/>
    </row>
    <row r="21" spans="1:12" ht="14.25" x14ac:dyDescent="0.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</row>
    <row r="22" spans="1:12" ht="14.25" x14ac:dyDescent="0.2">
      <c r="A22" s="2"/>
      <c r="B22" s="2"/>
      <c r="C22" s="2"/>
      <c r="D22" s="2"/>
      <c r="E22" s="2"/>
      <c r="F22" s="2"/>
      <c r="G22" s="856" t="s">
        <v>55</v>
      </c>
      <c r="H22" s="866" t="s">
        <v>56</v>
      </c>
      <c r="I22" s="866" t="s">
        <v>57</v>
      </c>
      <c r="J22" s="868"/>
      <c r="K22" s="2"/>
      <c r="L22" s="2"/>
    </row>
    <row r="23" spans="1:12" ht="21.75" customHeight="1" x14ac:dyDescent="0.2">
      <c r="A23" s="2"/>
      <c r="B23" s="2"/>
      <c r="C23" s="2"/>
      <c r="D23" s="2"/>
      <c r="E23" s="2"/>
      <c r="F23" s="2"/>
      <c r="G23" s="857"/>
      <c r="H23" s="867"/>
      <c r="I23" s="7" t="s">
        <v>58</v>
      </c>
      <c r="J23" s="8" t="s">
        <v>59</v>
      </c>
      <c r="K23" s="2"/>
      <c r="L23" s="2"/>
    </row>
    <row r="24" spans="1:12" ht="18" customHeight="1" x14ac:dyDescent="0.2">
      <c r="A24" s="2"/>
      <c r="B24" s="2"/>
      <c r="C24" s="2"/>
      <c r="D24" s="2"/>
      <c r="E24" s="2"/>
      <c r="F24" s="2"/>
      <c r="G24" s="6">
        <v>15</v>
      </c>
      <c r="H24" s="9">
        <v>44165</v>
      </c>
      <c r="I24" s="9">
        <v>44136</v>
      </c>
      <c r="J24" s="10">
        <f>H24</f>
        <v>44165</v>
      </c>
      <c r="K24" s="2"/>
      <c r="L24" s="2"/>
    </row>
    <row r="25" spans="1:12" ht="14.25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</row>
    <row r="26" spans="1:12" ht="18" x14ac:dyDescent="0.25">
      <c r="A26" s="855" t="s">
        <v>60</v>
      </c>
      <c r="B26" s="855"/>
      <c r="C26" s="855"/>
      <c r="D26" s="855"/>
      <c r="E26" s="855"/>
      <c r="F26" s="855"/>
      <c r="G26" s="855"/>
      <c r="H26" s="855"/>
      <c r="I26" s="855"/>
      <c r="J26" s="855"/>
      <c r="K26" s="855"/>
      <c r="L26" s="855"/>
    </row>
    <row r="27" spans="1:12" ht="18" x14ac:dyDescent="0.25">
      <c r="A27" s="855" t="s">
        <v>61</v>
      </c>
      <c r="B27" s="855"/>
      <c r="C27" s="855"/>
      <c r="D27" s="855"/>
      <c r="E27" s="855"/>
      <c r="F27" s="855"/>
      <c r="G27" s="855"/>
      <c r="H27" s="855"/>
      <c r="I27" s="855"/>
      <c r="J27" s="855"/>
      <c r="K27" s="855"/>
      <c r="L27" s="855"/>
    </row>
    <row r="28" spans="1:12" ht="18" x14ac:dyDescent="0.25">
      <c r="A28" s="11"/>
      <c r="B28" s="11"/>
      <c r="C28" s="11"/>
      <c r="D28" s="11"/>
      <c r="E28" s="855" t="s">
        <v>292</v>
      </c>
      <c r="F28" s="855"/>
      <c r="G28" s="855"/>
      <c r="H28" s="11"/>
      <c r="I28" s="11"/>
      <c r="J28" s="11"/>
      <c r="K28" s="11"/>
      <c r="L28" s="11"/>
    </row>
    <row r="29" spans="1:12" ht="18" x14ac:dyDescent="0.25">
      <c r="A29" s="11"/>
      <c r="B29" s="11"/>
      <c r="C29" s="11"/>
      <c r="D29" s="11"/>
      <c r="E29" s="848" t="s">
        <v>62</v>
      </c>
      <c r="F29" s="848"/>
      <c r="G29" s="848"/>
      <c r="H29" s="11"/>
      <c r="I29" s="11"/>
      <c r="J29" s="11"/>
      <c r="K29" s="11"/>
      <c r="L29" s="11"/>
    </row>
    <row r="30" spans="1:12" ht="18" x14ac:dyDescent="0.25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</row>
    <row r="31" spans="1:12" ht="18" x14ac:dyDescent="0.25">
      <c r="A31" s="11"/>
      <c r="B31" s="11"/>
      <c r="C31" s="11"/>
      <c r="D31" s="12" t="s">
        <v>63</v>
      </c>
      <c r="E31" s="11"/>
      <c r="F31" s="11"/>
      <c r="G31" s="11"/>
      <c r="H31" s="11"/>
      <c r="I31" s="11"/>
      <c r="J31" s="11"/>
      <c r="K31" s="11"/>
      <c r="L31" s="11"/>
    </row>
    <row r="32" spans="1:12" ht="18" x14ac:dyDescent="0.25">
      <c r="A32" s="11"/>
      <c r="B32" s="11"/>
      <c r="C32" s="11"/>
      <c r="D32" s="12" t="s">
        <v>64</v>
      </c>
      <c r="E32" s="11"/>
      <c r="F32" s="11"/>
      <c r="G32" s="11"/>
      <c r="H32" s="11"/>
      <c r="I32" s="11"/>
      <c r="J32" s="11"/>
      <c r="K32" s="11"/>
      <c r="L32" s="11"/>
    </row>
    <row r="33" spans="1:12" ht="39" x14ac:dyDescent="0.25">
      <c r="A33" s="11"/>
      <c r="B33" s="11"/>
      <c r="C33" s="11"/>
      <c r="D33" s="12" t="s">
        <v>65</v>
      </c>
      <c r="E33" s="11"/>
      <c r="F33" s="11"/>
      <c r="G33" s="11"/>
      <c r="H33" s="11"/>
      <c r="I33" s="11"/>
      <c r="J33" s="11"/>
      <c r="K33" s="11"/>
      <c r="L33" s="11"/>
    </row>
    <row r="34" spans="1:12" ht="66" customHeight="1" x14ac:dyDescent="0.25">
      <c r="A34" s="11"/>
      <c r="B34" s="11"/>
      <c r="C34" s="11"/>
      <c r="D34" s="12" t="s">
        <v>29</v>
      </c>
      <c r="E34" s="11"/>
      <c r="F34" s="11"/>
      <c r="G34" s="11"/>
      <c r="H34" s="11"/>
      <c r="I34" s="11"/>
      <c r="J34" s="11"/>
      <c r="K34" s="11"/>
      <c r="L34" s="11"/>
    </row>
    <row r="35" spans="1:12" ht="12" customHeight="1" x14ac:dyDescent="0.25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</row>
    <row r="36" spans="1:12" ht="14.25" x14ac:dyDescent="0.2">
      <c r="A36" s="849" t="s">
        <v>66</v>
      </c>
      <c r="B36" s="849"/>
      <c r="C36" s="849"/>
      <c r="D36" s="849"/>
      <c r="E36" s="849"/>
      <c r="F36" s="849"/>
      <c r="G36" s="849"/>
      <c r="H36" s="849"/>
      <c r="I36" s="849"/>
      <c r="J36" s="849"/>
      <c r="K36" s="849"/>
      <c r="L36" s="849"/>
    </row>
    <row r="37" spans="1:12" ht="14.25" x14ac:dyDescent="0.2">
      <c r="A37" s="850" t="s">
        <v>67</v>
      </c>
      <c r="B37" s="850"/>
      <c r="C37" s="850" t="s">
        <v>68</v>
      </c>
      <c r="D37" s="850" t="s">
        <v>69</v>
      </c>
      <c r="E37" s="850" t="s">
        <v>70</v>
      </c>
      <c r="F37" s="850" t="s">
        <v>71</v>
      </c>
      <c r="G37" s="850" t="s">
        <v>72</v>
      </c>
      <c r="H37" s="851" t="s">
        <v>73</v>
      </c>
      <c r="I37" s="851" t="s">
        <v>74</v>
      </c>
      <c r="J37" s="850" t="s">
        <v>75</v>
      </c>
      <c r="K37" s="850" t="s">
        <v>76</v>
      </c>
      <c r="L37" s="850" t="s">
        <v>77</v>
      </c>
    </row>
    <row r="38" spans="1:12" x14ac:dyDescent="0.2">
      <c r="A38" s="851" t="s">
        <v>78</v>
      </c>
      <c r="B38" s="851" t="s">
        <v>79</v>
      </c>
      <c r="C38" s="850"/>
      <c r="D38" s="850"/>
      <c r="E38" s="850"/>
      <c r="F38" s="850"/>
      <c r="G38" s="850"/>
      <c r="H38" s="852"/>
      <c r="I38" s="852"/>
      <c r="J38" s="850"/>
      <c r="K38" s="850"/>
      <c r="L38" s="850"/>
    </row>
    <row r="39" spans="1:12" x14ac:dyDescent="0.2">
      <c r="A39" s="852"/>
      <c r="B39" s="852"/>
      <c r="C39" s="850"/>
      <c r="D39" s="850"/>
      <c r="E39" s="850"/>
      <c r="F39" s="850"/>
      <c r="G39" s="850"/>
      <c r="H39" s="852"/>
      <c r="I39" s="852"/>
      <c r="J39" s="850"/>
      <c r="K39" s="850"/>
      <c r="L39" s="850"/>
    </row>
    <row r="40" spans="1:12" ht="20.100000000000001" customHeight="1" x14ac:dyDescent="0.2">
      <c r="A40" s="852"/>
      <c r="B40" s="852"/>
      <c r="C40" s="850"/>
      <c r="D40" s="850"/>
      <c r="E40" s="850"/>
      <c r="F40" s="850"/>
      <c r="G40" s="850"/>
      <c r="H40" s="852"/>
      <c r="I40" s="852"/>
      <c r="J40" s="850"/>
      <c r="K40" s="850"/>
      <c r="L40" s="850"/>
    </row>
    <row r="41" spans="1:12" ht="20.100000000000001" customHeight="1" x14ac:dyDescent="0.2">
      <c r="A41" s="853"/>
      <c r="B41" s="853"/>
      <c r="C41" s="850"/>
      <c r="D41" s="850"/>
      <c r="E41" s="850"/>
      <c r="F41" s="850"/>
      <c r="G41" s="850"/>
      <c r="H41" s="853"/>
      <c r="I41" s="853"/>
      <c r="J41" s="850"/>
      <c r="K41" s="850"/>
      <c r="L41" s="850"/>
    </row>
    <row r="42" spans="1:12" ht="14.25" x14ac:dyDescent="0.2">
      <c r="A42" s="13">
        <v>1</v>
      </c>
      <c r="B42" s="13">
        <v>2</v>
      </c>
      <c r="C42" s="13">
        <v>3</v>
      </c>
      <c r="D42" s="13">
        <v>4</v>
      </c>
      <c r="E42" s="13">
        <v>5</v>
      </c>
      <c r="F42" s="13">
        <v>6</v>
      </c>
      <c r="G42" s="13">
        <v>7</v>
      </c>
      <c r="H42" s="13">
        <v>8</v>
      </c>
      <c r="I42" s="13">
        <v>9</v>
      </c>
      <c r="J42" s="13">
        <v>10</v>
      </c>
      <c r="K42" s="13">
        <v>11</v>
      </c>
      <c r="L42" s="13">
        <v>12</v>
      </c>
    </row>
    <row r="44" spans="1:12" ht="32.25" customHeight="1" x14ac:dyDescent="0.25">
      <c r="A44" s="854" t="str">
        <f>CONCATENATE("Локальная смета: ",IF([81]Source!G20&lt;&gt;"Новая локальная смета", [81]Source!G20, ""))</f>
        <v>Локальная смета: Перегоны от ст. "Аминьевское шоссе" до токораздела со ст. "Мичуринский проспект". Инженерные системы. Тоннельное освещение.</v>
      </c>
      <c r="B44" s="854"/>
      <c r="C44" s="854"/>
      <c r="D44" s="854"/>
      <c r="E44" s="854"/>
      <c r="F44" s="854"/>
      <c r="G44" s="854"/>
      <c r="H44" s="854"/>
      <c r="I44" s="854"/>
      <c r="J44" s="854"/>
      <c r="K44" s="854"/>
      <c r="L44" s="854"/>
    </row>
    <row r="46" spans="1:12" ht="16.5" x14ac:dyDescent="0.25">
      <c r="A46" s="854" t="s">
        <v>80</v>
      </c>
      <c r="B46" s="854"/>
      <c r="C46" s="854"/>
      <c r="D46" s="854"/>
      <c r="E46" s="854"/>
      <c r="F46" s="854"/>
      <c r="G46" s="854"/>
      <c r="H46" s="854"/>
      <c r="I46" s="854"/>
      <c r="J46" s="854"/>
      <c r="K46" s="854"/>
      <c r="L46" s="854"/>
    </row>
    <row r="48" spans="1:12" ht="16.5" x14ac:dyDescent="0.25">
      <c r="A48" s="854" t="s">
        <v>81</v>
      </c>
      <c r="B48" s="854"/>
      <c r="C48" s="854"/>
      <c r="D48" s="854"/>
      <c r="E48" s="854"/>
      <c r="F48" s="854"/>
      <c r="G48" s="854"/>
      <c r="H48" s="854"/>
      <c r="I48" s="854"/>
      <c r="J48" s="854"/>
      <c r="K48" s="854"/>
      <c r="L48" s="854"/>
    </row>
    <row r="49" spans="1:22" ht="85.5" x14ac:dyDescent="0.2">
      <c r="A49" s="14">
        <v>1</v>
      </c>
      <c r="B49" s="14" t="str">
        <f>[81]Source!E171</f>
        <v>15</v>
      </c>
      <c r="C49" s="15" t="s">
        <v>82</v>
      </c>
      <c r="D49" s="15" t="s">
        <v>83</v>
      </c>
      <c r="E49" s="16" t="str">
        <f>[81]Source!H171</f>
        <v>100 М КАБЕЛЯ</v>
      </c>
      <c r="F49" s="4">
        <f>[81]Source!I171</f>
        <v>17.003</v>
      </c>
      <c r="G49" s="17"/>
      <c r="H49" s="18"/>
      <c r="I49" s="4"/>
      <c r="J49" s="19"/>
      <c r="K49" s="4"/>
      <c r="L49" s="19"/>
      <c r="M49" s="1">
        <f>8.82*0.7</f>
        <v>6.1740000000000004</v>
      </c>
      <c r="Q49" s="1">
        <f>[81]Source!X171</f>
        <v>6736.07</v>
      </c>
      <c r="R49" s="1">
        <f>[81]Source!X172</f>
        <v>129585.19</v>
      </c>
      <c r="S49" s="1">
        <f>[81]Source!Y171</f>
        <v>4210.05</v>
      </c>
      <c r="T49" s="1">
        <f>[81]Source!Y172</f>
        <v>61912.92</v>
      </c>
      <c r="U49" s="1">
        <f>ROUND((175/100)*ROUND([81]Source!R171, 2), 2)</f>
        <v>3980.78</v>
      </c>
      <c r="V49" s="1">
        <f>ROUND((157/100)*ROUND([81]Source!R172, 2), 2)</f>
        <v>85497.55</v>
      </c>
    </row>
    <row r="50" spans="1:22" ht="14.25" x14ac:dyDescent="0.2">
      <c r="A50" s="14"/>
      <c r="B50" s="14"/>
      <c r="C50" s="15"/>
      <c r="D50" s="15" t="s">
        <v>84</v>
      </c>
      <c r="E50" s="16"/>
      <c r="F50" s="4"/>
      <c r="G50" s="17">
        <f>[81]Source!AO171</f>
        <v>198.51</v>
      </c>
      <c r="H50" s="18" t="str">
        <f>[81]Source!DG171</f>
        <v>)*1,67</v>
      </c>
      <c r="I50" s="4">
        <f>[81]Source!AV172</f>
        <v>1.0669999999999999</v>
      </c>
      <c r="J50" s="19">
        <f>[81]Source!S171</f>
        <v>6014.35</v>
      </c>
      <c r="K50" s="4">
        <f>IF([81]Source!BA172&lt;&gt; 0, [81]Source!BA172, 1)</f>
        <v>23.94</v>
      </c>
      <c r="L50" s="19">
        <f>[81]Source!S172</f>
        <v>143983.54</v>
      </c>
    </row>
    <row r="51" spans="1:22" ht="14.25" x14ac:dyDescent="0.2">
      <c r="A51" s="14"/>
      <c r="B51" s="14"/>
      <c r="C51" s="15"/>
      <c r="D51" s="15" t="s">
        <v>85</v>
      </c>
      <c r="E51" s="16"/>
      <c r="F51" s="4"/>
      <c r="G51" s="17">
        <f>[81]Source!AM171</f>
        <v>463.73</v>
      </c>
      <c r="H51" s="18">
        <f>[81]Source!DE171</f>
        <v>0</v>
      </c>
      <c r="I51" s="4">
        <f>[81]Source!AV172</f>
        <v>1.0669999999999999</v>
      </c>
      <c r="J51" s="19">
        <f>[81]Source!Q171-J60</f>
        <v>8413.08</v>
      </c>
      <c r="K51" s="4">
        <f>IF([81]Source!BB172&lt;&gt; 0, [81]Source!BB172, 1)</f>
        <v>8.36</v>
      </c>
      <c r="L51" s="19">
        <f>[81]Source!Q172-L60</f>
        <v>70333.39</v>
      </c>
    </row>
    <row r="52" spans="1:22" ht="14.25" x14ac:dyDescent="0.2">
      <c r="A52" s="14"/>
      <c r="B52" s="14"/>
      <c r="C52" s="15"/>
      <c r="D52" s="15" t="s">
        <v>86</v>
      </c>
      <c r="E52" s="16"/>
      <c r="F52" s="4"/>
      <c r="G52" s="17">
        <f>[81]Source!AN171</f>
        <v>75.08</v>
      </c>
      <c r="H52" s="18">
        <f>[81]Source!DE171</f>
        <v>0</v>
      </c>
      <c r="I52" s="4">
        <f>[81]Source!AV172</f>
        <v>1.0669999999999999</v>
      </c>
      <c r="J52" s="20">
        <f>[81]Source!R171-J61</f>
        <v>1362.11</v>
      </c>
      <c r="K52" s="4">
        <f>IF([81]Source!BS172&lt;&gt; 0, [81]Source!BS172, 1)</f>
        <v>23.94</v>
      </c>
      <c r="L52" s="20">
        <f>[81]Source!R172-L61</f>
        <v>32608.959999999999</v>
      </c>
    </row>
    <row r="53" spans="1:22" ht="14.25" x14ac:dyDescent="0.2">
      <c r="A53" s="14"/>
      <c r="B53" s="14"/>
      <c r="C53" s="15"/>
      <c r="D53" s="15" t="s">
        <v>87</v>
      </c>
      <c r="E53" s="16"/>
      <c r="F53" s="4"/>
      <c r="G53" s="17">
        <f>[81]Source!AL171</f>
        <v>27.23</v>
      </c>
      <c r="H53" s="18">
        <f>[81]Source!DD171</f>
        <v>0</v>
      </c>
      <c r="I53" s="4">
        <f>[81]Source!AW172</f>
        <v>1.081</v>
      </c>
      <c r="J53" s="19">
        <f>[81]Source!P171</f>
        <v>500.49</v>
      </c>
      <c r="K53" s="4">
        <f>IF([81]Source!BC172&lt;&gt; 0, [81]Source!BC172, 1)</f>
        <v>5.56</v>
      </c>
      <c r="L53" s="19">
        <f>[81]Source!P172</f>
        <v>2782.72</v>
      </c>
    </row>
    <row r="54" spans="1:22" ht="14.25" x14ac:dyDescent="0.2">
      <c r="A54" s="14"/>
      <c r="B54" s="14"/>
      <c r="C54" s="15"/>
      <c r="D54" s="15" t="s">
        <v>88</v>
      </c>
      <c r="E54" s="16" t="s">
        <v>89</v>
      </c>
      <c r="F54" s="4">
        <f>[81]Source!DN172</f>
        <v>112</v>
      </c>
      <c r="G54" s="17"/>
      <c r="H54" s="18"/>
      <c r="I54" s="4"/>
      <c r="J54" s="19">
        <f>SUM(Q49:Q53)</f>
        <v>6736.07</v>
      </c>
      <c r="K54" s="4">
        <f>[81]Source!BZ172</f>
        <v>90</v>
      </c>
      <c r="L54" s="19">
        <f>SUM(R49:R53)</f>
        <v>129585.19</v>
      </c>
    </row>
    <row r="55" spans="1:22" ht="14.25" x14ac:dyDescent="0.2">
      <c r="A55" s="14"/>
      <c r="B55" s="14"/>
      <c r="C55" s="15"/>
      <c r="D55" s="15" t="s">
        <v>90</v>
      </c>
      <c r="E55" s="16" t="s">
        <v>89</v>
      </c>
      <c r="F55" s="4">
        <f>[81]Source!DO172</f>
        <v>70</v>
      </c>
      <c r="G55" s="17"/>
      <c r="H55" s="18"/>
      <c r="I55" s="4"/>
      <c r="J55" s="19">
        <f>SUM(S49:S54)</f>
        <v>4210.05</v>
      </c>
      <c r="K55" s="4">
        <f>[81]Source!CA172</f>
        <v>43</v>
      </c>
      <c r="L55" s="19">
        <f>SUM(T49:T54)</f>
        <v>61912.92</v>
      </c>
    </row>
    <row r="56" spans="1:22" ht="14.25" x14ac:dyDescent="0.2">
      <c r="A56" s="14"/>
      <c r="B56" s="14"/>
      <c r="C56" s="15"/>
      <c r="D56" s="15" t="s">
        <v>91</v>
      </c>
      <c r="E56" s="16" t="s">
        <v>89</v>
      </c>
      <c r="F56" s="4">
        <f>175</f>
        <v>175</v>
      </c>
      <c r="G56" s="17"/>
      <c r="H56" s="18"/>
      <c r="I56" s="4"/>
      <c r="J56" s="19">
        <f>SUM(U49:U55)-J62</f>
        <v>2383.69</v>
      </c>
      <c r="K56" s="4">
        <f>157</f>
        <v>157</v>
      </c>
      <c r="L56" s="19">
        <f>SUM(V49:V55)-L62</f>
        <v>51196.06</v>
      </c>
    </row>
    <row r="57" spans="1:22" ht="14.25" x14ac:dyDescent="0.2">
      <c r="A57" s="14"/>
      <c r="B57" s="14"/>
      <c r="C57" s="15"/>
      <c r="D57" s="15" t="s">
        <v>92</v>
      </c>
      <c r="E57" s="16" t="s">
        <v>93</v>
      </c>
      <c r="F57" s="4">
        <f>[81]Source!AQ171</f>
        <v>16.100000000000001</v>
      </c>
      <c r="G57" s="17"/>
      <c r="H57" s="18">
        <f>[81]Source!DI171</f>
        <v>0</v>
      </c>
      <c r="I57" s="4">
        <f>[81]Source!AV172</f>
        <v>1.0669999999999999</v>
      </c>
      <c r="J57" s="19">
        <f>[81]Source!U171</f>
        <v>292.08999999999997</v>
      </c>
      <c r="K57" s="4"/>
      <c r="L57" s="19"/>
    </row>
    <row r="58" spans="1:22" ht="15" x14ac:dyDescent="0.25">
      <c r="I58" s="847">
        <f>J50+J51+J53+J54+J55+J56</f>
        <v>28257.73</v>
      </c>
      <c r="J58" s="847"/>
      <c r="K58" s="847">
        <f>L50+L51+L53+L54+L55+L56</f>
        <v>459793.82</v>
      </c>
      <c r="L58" s="847"/>
      <c r="O58" s="21">
        <f>J50+J51+J53+J54+J55+J56</f>
        <v>28257.73</v>
      </c>
      <c r="P58" s="21">
        <f>L50+L51+L53+L54+L55+L56</f>
        <v>459793.82</v>
      </c>
    </row>
    <row r="59" spans="1:22" ht="28.5" x14ac:dyDescent="0.2">
      <c r="A59" s="22"/>
      <c r="B59" s="22"/>
      <c r="C59" s="23"/>
      <c r="D59" s="23" t="s">
        <v>94</v>
      </c>
      <c r="E59" s="16"/>
      <c r="F59" s="24"/>
      <c r="G59" s="25"/>
      <c r="H59" s="16"/>
      <c r="I59" s="24"/>
      <c r="J59" s="20"/>
      <c r="K59" s="24"/>
      <c r="L59" s="20"/>
    </row>
    <row r="60" spans="1:22" ht="14.25" x14ac:dyDescent="0.2">
      <c r="A60" s="22"/>
      <c r="B60" s="22"/>
      <c r="C60" s="23"/>
      <c r="D60" s="23" t="s">
        <v>85</v>
      </c>
      <c r="E60" s="16"/>
      <c r="F60" s="24"/>
      <c r="G60" s="25">
        <f t="shared" ref="G60:L60" si="0">G61</f>
        <v>75.08</v>
      </c>
      <c r="H60" s="26" t="str">
        <f t="shared" si="0"/>
        <v>)*(1.67-1)</v>
      </c>
      <c r="I60" s="24">
        <f t="shared" si="0"/>
        <v>1.0669999999999999</v>
      </c>
      <c r="J60" s="20">
        <f t="shared" si="0"/>
        <v>912.62</v>
      </c>
      <c r="K60" s="24">
        <f t="shared" si="0"/>
        <v>23.94</v>
      </c>
      <c r="L60" s="20">
        <f t="shared" si="0"/>
        <v>21848.080000000002</v>
      </c>
    </row>
    <row r="61" spans="1:22" ht="14.25" x14ac:dyDescent="0.2">
      <c r="A61" s="22"/>
      <c r="B61" s="22"/>
      <c r="C61" s="23"/>
      <c r="D61" s="23" t="s">
        <v>86</v>
      </c>
      <c r="E61" s="16"/>
      <c r="F61" s="24"/>
      <c r="G61" s="25">
        <f>[81]Source!AN171</f>
        <v>75.08</v>
      </c>
      <c r="H61" s="26" t="s">
        <v>95</v>
      </c>
      <c r="I61" s="24">
        <f>[81]Source!AV172</f>
        <v>1.0669999999999999</v>
      </c>
      <c r="J61" s="20">
        <f>ROUND(F49*G61*I61*(1.67-1), 2)</f>
        <v>912.62</v>
      </c>
      <c r="K61" s="24">
        <f>IF([81]Source!BS172&lt;&gt; 0, [81]Source!BS172, 1)</f>
        <v>23.94</v>
      </c>
      <c r="L61" s="20">
        <f>ROUND(F49*G61*I61*(1.67-1)*K61, 2)</f>
        <v>21848.080000000002</v>
      </c>
    </row>
    <row r="62" spans="1:22" ht="14.25" x14ac:dyDescent="0.2">
      <c r="A62" s="22"/>
      <c r="B62" s="22"/>
      <c r="C62" s="23"/>
      <c r="D62" s="23" t="s">
        <v>91</v>
      </c>
      <c r="E62" s="16" t="s">
        <v>89</v>
      </c>
      <c r="F62" s="24">
        <f>175</f>
        <v>175</v>
      </c>
      <c r="G62" s="25"/>
      <c r="H62" s="16"/>
      <c r="I62" s="24"/>
      <c r="J62" s="20">
        <f>ROUND(J61*(F62/100), 2)</f>
        <v>1597.09</v>
      </c>
      <c r="K62" s="24">
        <f>157</f>
        <v>157</v>
      </c>
      <c r="L62" s="20">
        <f>ROUND(L61*(K62/100), 2)</f>
        <v>34301.49</v>
      </c>
    </row>
    <row r="63" spans="1:22" ht="15" x14ac:dyDescent="0.25">
      <c r="I63" s="847">
        <f>J62+J61</f>
        <v>2509.71</v>
      </c>
      <c r="J63" s="847"/>
      <c r="K63" s="847">
        <f>L62+L61</f>
        <v>56149.57</v>
      </c>
      <c r="L63" s="847"/>
      <c r="O63" s="21">
        <f>I63</f>
        <v>2509.71</v>
      </c>
      <c r="P63" s="21">
        <f>K63</f>
        <v>56149.57</v>
      </c>
    </row>
    <row r="65" spans="1:22" ht="15" x14ac:dyDescent="0.25">
      <c r="A65" s="27"/>
      <c r="B65" s="27"/>
      <c r="C65" s="28"/>
      <c r="D65" s="28" t="s">
        <v>96</v>
      </c>
      <c r="E65" s="29"/>
      <c r="F65" s="30"/>
      <c r="G65" s="31"/>
      <c r="H65" s="32"/>
      <c r="I65" s="847">
        <f>I58+I63</f>
        <v>30767.439999999999</v>
      </c>
      <c r="J65" s="847"/>
      <c r="K65" s="847">
        <f>K58+K63</f>
        <v>515943.39</v>
      </c>
      <c r="L65" s="847"/>
    </row>
    <row r="66" spans="1:22" ht="85.5" x14ac:dyDescent="0.2">
      <c r="A66" s="14">
        <v>2</v>
      </c>
      <c r="B66" s="14" t="str">
        <f>[81]Source!E173</f>
        <v>16</v>
      </c>
      <c r="C66" s="15" t="s">
        <v>97</v>
      </c>
      <c r="D66" s="15" t="s">
        <v>98</v>
      </c>
      <c r="E66" s="16" t="str">
        <f>[81]Source!H173</f>
        <v>100 М КАБЕЛЯ</v>
      </c>
      <c r="F66" s="4">
        <f>[81]Source!I173</f>
        <v>24.666599999999999</v>
      </c>
      <c r="G66" s="17"/>
      <c r="H66" s="18"/>
      <c r="I66" s="4"/>
      <c r="J66" s="19"/>
      <c r="K66" s="4"/>
      <c r="L66" s="19"/>
      <c r="Q66" s="1">
        <f>[81]Source!X173</f>
        <v>13231.87</v>
      </c>
      <c r="R66" s="1">
        <f>[81]Source!X174</f>
        <v>254548.11</v>
      </c>
      <c r="S66" s="1">
        <f>[81]Source!Y173</f>
        <v>8269.92</v>
      </c>
      <c r="T66" s="1">
        <f>[81]Source!Y174</f>
        <v>121617.43</v>
      </c>
      <c r="U66" s="1">
        <f>ROUND((175/100)*ROUND([81]Source!R173, 2), 2)</f>
        <v>8309.4599999999991</v>
      </c>
      <c r="V66" s="1">
        <f>ROUND((157/100)*ROUND([81]Source!R174, 2), 2)</f>
        <v>178467.14</v>
      </c>
    </row>
    <row r="67" spans="1:22" ht="14.25" x14ac:dyDescent="0.2">
      <c r="A67" s="14"/>
      <c r="B67" s="14"/>
      <c r="C67" s="15"/>
      <c r="D67" s="15" t="s">
        <v>84</v>
      </c>
      <c r="E67" s="16"/>
      <c r="F67" s="4"/>
      <c r="G67" s="17">
        <f>[81]Source!AO173</f>
        <v>268.79000000000002</v>
      </c>
      <c r="H67" s="18" t="str">
        <f>[81]Source!DG173</f>
        <v>)*1,67</v>
      </c>
      <c r="I67" s="4">
        <f>[81]Source!AV174</f>
        <v>1.0669999999999999</v>
      </c>
      <c r="J67" s="19">
        <f>[81]Source!S173</f>
        <v>11814.17</v>
      </c>
      <c r="K67" s="4">
        <f>IF([81]Source!BA174&lt;&gt; 0, [81]Source!BA174, 1)</f>
        <v>23.94</v>
      </c>
      <c r="L67" s="19">
        <f>[81]Source!S174</f>
        <v>282831.23</v>
      </c>
    </row>
    <row r="68" spans="1:22" ht="14.25" x14ac:dyDescent="0.2">
      <c r="A68" s="14"/>
      <c r="B68" s="14"/>
      <c r="C68" s="15"/>
      <c r="D68" s="15" t="s">
        <v>85</v>
      </c>
      <c r="E68" s="16"/>
      <c r="F68" s="4"/>
      <c r="G68" s="17">
        <f>[81]Source!AM173</f>
        <v>652.54999999999995</v>
      </c>
      <c r="H68" s="18">
        <f>[81]Source!DE173</f>
        <v>0</v>
      </c>
      <c r="I68" s="4">
        <f>[81]Source!AV174</f>
        <v>1.0669999999999999</v>
      </c>
      <c r="J68" s="19">
        <f>[81]Source!Q173-J77</f>
        <v>17174.63</v>
      </c>
      <c r="K68" s="4">
        <f>IF([81]Source!BB174&lt;&gt; 0, [81]Source!BB174, 1)</f>
        <v>8.43</v>
      </c>
      <c r="L68" s="19">
        <f>[81]Source!Q174-L77</f>
        <v>144782.10999999999</v>
      </c>
    </row>
    <row r="69" spans="1:22" ht="14.25" x14ac:dyDescent="0.2">
      <c r="A69" s="14"/>
      <c r="B69" s="14"/>
      <c r="C69" s="15"/>
      <c r="D69" s="15" t="s">
        <v>86</v>
      </c>
      <c r="E69" s="16"/>
      <c r="F69" s="4"/>
      <c r="G69" s="17">
        <f>[81]Source!AN173</f>
        <v>108.03</v>
      </c>
      <c r="H69" s="18">
        <f>[81]Source!DE173</f>
        <v>0</v>
      </c>
      <c r="I69" s="4">
        <f>[81]Source!AV174</f>
        <v>1.0669999999999999</v>
      </c>
      <c r="J69" s="20">
        <f>[81]Source!R173-J78</f>
        <v>2843.27</v>
      </c>
      <c r="K69" s="4">
        <f>IF([81]Source!BS174&lt;&gt; 0, [81]Source!BS174, 1)</f>
        <v>23.94</v>
      </c>
      <c r="L69" s="20">
        <f>[81]Source!R174-L78</f>
        <v>68067.86</v>
      </c>
    </row>
    <row r="70" spans="1:22" ht="14.25" x14ac:dyDescent="0.2">
      <c r="A70" s="14"/>
      <c r="B70" s="14"/>
      <c r="C70" s="15"/>
      <c r="D70" s="15" t="s">
        <v>87</v>
      </c>
      <c r="E70" s="16"/>
      <c r="F70" s="4"/>
      <c r="G70" s="17">
        <f>[81]Source!AL173</f>
        <v>28.07</v>
      </c>
      <c r="H70" s="18">
        <f>[81]Source!DD173</f>
        <v>0</v>
      </c>
      <c r="I70" s="4">
        <f>[81]Source!AW174</f>
        <v>1.081</v>
      </c>
      <c r="J70" s="19">
        <f>[81]Source!P173</f>
        <v>748.48</v>
      </c>
      <c r="K70" s="4">
        <f>IF([81]Source!BC174&lt;&gt; 0, [81]Source!BC174, 1)</f>
        <v>5.56</v>
      </c>
      <c r="L70" s="19">
        <f>[81]Source!P174</f>
        <v>4161.55</v>
      </c>
    </row>
    <row r="71" spans="1:22" ht="14.25" x14ac:dyDescent="0.2">
      <c r="A71" s="14"/>
      <c r="B71" s="14"/>
      <c r="C71" s="15"/>
      <c r="D71" s="15" t="s">
        <v>88</v>
      </c>
      <c r="E71" s="16" t="s">
        <v>89</v>
      </c>
      <c r="F71" s="4">
        <f>[81]Source!DN174</f>
        <v>112</v>
      </c>
      <c r="G71" s="17"/>
      <c r="H71" s="18"/>
      <c r="I71" s="4"/>
      <c r="J71" s="19">
        <f>SUM(Q66:Q70)</f>
        <v>13231.87</v>
      </c>
      <c r="K71" s="4">
        <f>[81]Source!BZ174</f>
        <v>90</v>
      </c>
      <c r="L71" s="19">
        <f>SUM(R66:R70)</f>
        <v>254548.11</v>
      </c>
    </row>
    <row r="72" spans="1:22" ht="14.25" x14ac:dyDescent="0.2">
      <c r="A72" s="14"/>
      <c r="B72" s="14"/>
      <c r="C72" s="15"/>
      <c r="D72" s="15" t="s">
        <v>90</v>
      </c>
      <c r="E72" s="16" t="s">
        <v>89</v>
      </c>
      <c r="F72" s="4">
        <f>[81]Source!DO174</f>
        <v>70</v>
      </c>
      <c r="G72" s="17"/>
      <c r="H72" s="18"/>
      <c r="I72" s="4"/>
      <c r="J72" s="19">
        <f>SUM(S66:S71)</f>
        <v>8269.92</v>
      </c>
      <c r="K72" s="4">
        <f>[81]Source!CA174</f>
        <v>43</v>
      </c>
      <c r="L72" s="19">
        <f>SUM(T66:T71)</f>
        <v>121617.43</v>
      </c>
    </row>
    <row r="73" spans="1:22" ht="14.25" x14ac:dyDescent="0.2">
      <c r="A73" s="14"/>
      <c r="B73" s="14"/>
      <c r="C73" s="15"/>
      <c r="D73" s="15" t="s">
        <v>91</v>
      </c>
      <c r="E73" s="16" t="s">
        <v>89</v>
      </c>
      <c r="F73" s="4">
        <f>175</f>
        <v>175</v>
      </c>
      <c r="G73" s="17"/>
      <c r="H73" s="18"/>
      <c r="I73" s="4"/>
      <c r="J73" s="19">
        <f>SUM(U66:U72)-J79</f>
        <v>4975.7299999999996</v>
      </c>
      <c r="K73" s="4">
        <f>157</f>
        <v>157</v>
      </c>
      <c r="L73" s="19">
        <f>SUM(V66:V72)-L79</f>
        <v>106866.54</v>
      </c>
    </row>
    <row r="74" spans="1:22" ht="14.25" x14ac:dyDescent="0.2">
      <c r="A74" s="14"/>
      <c r="B74" s="14"/>
      <c r="C74" s="15"/>
      <c r="D74" s="15" t="s">
        <v>92</v>
      </c>
      <c r="E74" s="16" t="s">
        <v>93</v>
      </c>
      <c r="F74" s="4">
        <f>[81]Source!AQ173</f>
        <v>21.8</v>
      </c>
      <c r="G74" s="17"/>
      <c r="H74" s="18">
        <f>[81]Source!DI173</f>
        <v>0</v>
      </c>
      <c r="I74" s="4">
        <f>[81]Source!AV174</f>
        <v>1.0669999999999999</v>
      </c>
      <c r="J74" s="19">
        <f>[81]Source!U173</f>
        <v>573.76</v>
      </c>
      <c r="K74" s="4"/>
      <c r="L74" s="19"/>
    </row>
    <row r="75" spans="1:22" ht="15" x14ac:dyDescent="0.25">
      <c r="I75" s="847">
        <f>J67+J68+J70+J71+J72+J73</f>
        <v>56214.8</v>
      </c>
      <c r="J75" s="847"/>
      <c r="K75" s="847">
        <f>L67+L68+L70+L71+L72+L73</f>
        <v>914806.97</v>
      </c>
      <c r="L75" s="847"/>
      <c r="O75" s="21">
        <f>J67+J68+J70+J71+J72+J73</f>
        <v>56214.8</v>
      </c>
      <c r="P75" s="21">
        <f>L67+L68+L70+L71+L72+L73</f>
        <v>914806.97</v>
      </c>
    </row>
    <row r="76" spans="1:22" ht="28.5" x14ac:dyDescent="0.2">
      <c r="A76" s="22"/>
      <c r="B76" s="22"/>
      <c r="C76" s="23"/>
      <c r="D76" s="23" t="s">
        <v>94</v>
      </c>
      <c r="E76" s="16"/>
      <c r="F76" s="24"/>
      <c r="G76" s="25"/>
      <c r="H76" s="16"/>
      <c r="I76" s="24"/>
      <c r="J76" s="20"/>
      <c r="K76" s="24"/>
      <c r="L76" s="20"/>
    </row>
    <row r="77" spans="1:22" ht="14.25" x14ac:dyDescent="0.2">
      <c r="A77" s="22"/>
      <c r="B77" s="22"/>
      <c r="C77" s="23"/>
      <c r="D77" s="23" t="s">
        <v>85</v>
      </c>
      <c r="E77" s="16"/>
      <c r="F77" s="24"/>
      <c r="G77" s="25">
        <f t="shared" ref="G77:L77" si="1">G78</f>
        <v>108.03</v>
      </c>
      <c r="H77" s="26" t="str">
        <f t="shared" si="1"/>
        <v>)*(1.67-1)</v>
      </c>
      <c r="I77" s="24">
        <f t="shared" si="1"/>
        <v>1.0669999999999999</v>
      </c>
      <c r="J77" s="20">
        <f t="shared" si="1"/>
        <v>1904.99</v>
      </c>
      <c r="K77" s="24">
        <f t="shared" si="1"/>
        <v>23.94</v>
      </c>
      <c r="L77" s="20">
        <f t="shared" si="1"/>
        <v>45605.48</v>
      </c>
    </row>
    <row r="78" spans="1:22" ht="14.25" x14ac:dyDescent="0.2">
      <c r="A78" s="22"/>
      <c r="B78" s="22"/>
      <c r="C78" s="23"/>
      <c r="D78" s="23" t="s">
        <v>86</v>
      </c>
      <c r="E78" s="16"/>
      <c r="F78" s="24"/>
      <c r="G78" s="25">
        <f>[81]Source!AN173</f>
        <v>108.03</v>
      </c>
      <c r="H78" s="26" t="s">
        <v>95</v>
      </c>
      <c r="I78" s="24">
        <f>[81]Source!AV174</f>
        <v>1.0669999999999999</v>
      </c>
      <c r="J78" s="20">
        <f>ROUND(F66*G78*I78*(1.67-1), 2)</f>
        <v>1904.99</v>
      </c>
      <c r="K78" s="24">
        <f>IF([81]Source!BS174&lt;&gt; 0, [81]Source!BS174, 1)</f>
        <v>23.94</v>
      </c>
      <c r="L78" s="20">
        <f>ROUND(F66*G78*I78*(1.67-1)*K78, 2)</f>
        <v>45605.48</v>
      </c>
    </row>
    <row r="79" spans="1:22" ht="14.25" x14ac:dyDescent="0.2">
      <c r="A79" s="22"/>
      <c r="B79" s="22"/>
      <c r="C79" s="23"/>
      <c r="D79" s="23" t="s">
        <v>91</v>
      </c>
      <c r="E79" s="16" t="s">
        <v>89</v>
      </c>
      <c r="F79" s="24">
        <f>175</f>
        <v>175</v>
      </c>
      <c r="G79" s="25"/>
      <c r="H79" s="16"/>
      <c r="I79" s="24"/>
      <c r="J79" s="20">
        <f>ROUND(J78*(F79/100), 2)</f>
        <v>3333.73</v>
      </c>
      <c r="K79" s="24">
        <f>157</f>
        <v>157</v>
      </c>
      <c r="L79" s="20">
        <f>ROUND(L78*(K79/100), 2)</f>
        <v>71600.600000000006</v>
      </c>
    </row>
    <row r="80" spans="1:22" ht="15" x14ac:dyDescent="0.25">
      <c r="I80" s="847">
        <f>J79+J78</f>
        <v>5238.72</v>
      </c>
      <c r="J80" s="847"/>
      <c r="K80" s="847">
        <f>L79+L78</f>
        <v>117206.08</v>
      </c>
      <c r="L80" s="847"/>
      <c r="O80" s="21">
        <f>I80</f>
        <v>5238.72</v>
      </c>
      <c r="P80" s="21">
        <f>K80</f>
        <v>117206.08</v>
      </c>
    </row>
    <row r="82" spans="1:22" ht="15" x14ac:dyDescent="0.25">
      <c r="A82" s="27"/>
      <c r="B82" s="27"/>
      <c r="C82" s="28"/>
      <c r="D82" s="28" t="s">
        <v>96</v>
      </c>
      <c r="E82" s="29"/>
      <c r="F82" s="30"/>
      <c r="G82" s="31"/>
      <c r="H82" s="32"/>
      <c r="I82" s="847">
        <f>I75+I80</f>
        <v>61453.52</v>
      </c>
      <c r="J82" s="847"/>
      <c r="K82" s="847">
        <f>K75+K80</f>
        <v>1032013.05</v>
      </c>
      <c r="L82" s="847"/>
    </row>
    <row r="83" spans="1:22" ht="71.25" x14ac:dyDescent="0.2">
      <c r="A83" s="14">
        <v>3</v>
      </c>
      <c r="B83" s="14" t="str">
        <f>[81]Source!E175</f>
        <v>17</v>
      </c>
      <c r="C83" s="15" t="s">
        <v>99</v>
      </c>
      <c r="D83" s="15" t="s">
        <v>100</v>
      </c>
      <c r="E83" s="16" t="str">
        <f>[81]Source!H175</f>
        <v>100 М КАБЕЛЯ</v>
      </c>
      <c r="F83" s="4">
        <f>[81]Source!I175</f>
        <v>9.2119999999999997</v>
      </c>
      <c r="G83" s="17"/>
      <c r="H83" s="18"/>
      <c r="I83" s="4"/>
      <c r="J83" s="19"/>
      <c r="K83" s="4"/>
      <c r="L83" s="19"/>
      <c r="Q83" s="1">
        <f>[81]Source!X175</f>
        <v>6052.38</v>
      </c>
      <c r="R83" s="1">
        <f>[81]Source!X176</f>
        <v>116432.65</v>
      </c>
      <c r="S83" s="1">
        <f>[81]Source!Y175</f>
        <v>3782.74</v>
      </c>
      <c r="T83" s="1">
        <f>[81]Source!Y176</f>
        <v>55628.93</v>
      </c>
      <c r="U83" s="1">
        <f>ROUND((175/100)*ROUND([81]Source!R175, 2), 2)</f>
        <v>3886.61</v>
      </c>
      <c r="V83" s="1">
        <f>ROUND((157/100)*ROUND([81]Source!R176, 2), 2)</f>
        <v>83475.05</v>
      </c>
    </row>
    <row r="84" spans="1:22" ht="14.25" x14ac:dyDescent="0.2">
      <c r="A84" s="14"/>
      <c r="B84" s="14"/>
      <c r="C84" s="15"/>
      <c r="D84" s="15" t="s">
        <v>84</v>
      </c>
      <c r="E84" s="16"/>
      <c r="F84" s="4"/>
      <c r="G84" s="17">
        <f>[81]Source!AO175</f>
        <v>329.21</v>
      </c>
      <c r="H84" s="18" t="str">
        <f>[81]Source!DG175</f>
        <v>)*1,67</v>
      </c>
      <c r="I84" s="4">
        <f>[81]Source!AV176</f>
        <v>1.0669999999999999</v>
      </c>
      <c r="J84" s="19">
        <f>[81]Source!S175</f>
        <v>5403.91</v>
      </c>
      <c r="K84" s="4">
        <f>IF([81]Source!BA176&lt;&gt; 0, [81]Source!BA176, 1)</f>
        <v>23.94</v>
      </c>
      <c r="L84" s="19">
        <f>[81]Source!S176</f>
        <v>129369.61</v>
      </c>
    </row>
    <row r="85" spans="1:22" ht="14.25" x14ac:dyDescent="0.2">
      <c r="A85" s="14"/>
      <c r="B85" s="14"/>
      <c r="C85" s="15"/>
      <c r="D85" s="15" t="s">
        <v>85</v>
      </c>
      <c r="E85" s="16"/>
      <c r="F85" s="4"/>
      <c r="G85" s="17">
        <f>[81]Source!AM175</f>
        <v>810.92</v>
      </c>
      <c r="H85" s="18">
        <f>[81]Source!DE175</f>
        <v>0</v>
      </c>
      <c r="I85" s="4">
        <f>[81]Source!AV176</f>
        <v>1.0669999999999999</v>
      </c>
      <c r="J85" s="19">
        <f>[81]Source!Q175-J94</f>
        <v>7970.7</v>
      </c>
      <c r="K85" s="4">
        <f>IF([81]Source!BB176&lt;&gt; 0, [81]Source!BB176, 1)</f>
        <v>8.4499999999999993</v>
      </c>
      <c r="L85" s="19">
        <f>[81]Source!Q176-L94</f>
        <v>67352.490000000005</v>
      </c>
    </row>
    <row r="86" spans="1:22" ht="14.25" x14ac:dyDescent="0.2">
      <c r="A86" s="14"/>
      <c r="B86" s="14"/>
      <c r="C86" s="15"/>
      <c r="D86" s="15" t="s">
        <v>86</v>
      </c>
      <c r="E86" s="16"/>
      <c r="F86" s="4"/>
      <c r="G86" s="17">
        <f>[81]Source!AN175</f>
        <v>135.30000000000001</v>
      </c>
      <c r="H86" s="18">
        <f>[81]Source!DE175</f>
        <v>0</v>
      </c>
      <c r="I86" s="4">
        <f>[81]Source!AV176</f>
        <v>1.0669999999999999</v>
      </c>
      <c r="J86" s="20">
        <f>[81]Source!R175-J95</f>
        <v>1329.89</v>
      </c>
      <c r="K86" s="4">
        <f>IF([81]Source!BS176&lt;&gt; 0, [81]Source!BS176, 1)</f>
        <v>23.94</v>
      </c>
      <c r="L86" s="20">
        <f>[81]Source!R176-L95</f>
        <v>31837.63</v>
      </c>
    </row>
    <row r="87" spans="1:22" ht="14.25" x14ac:dyDescent="0.2">
      <c r="A87" s="14"/>
      <c r="B87" s="14"/>
      <c r="C87" s="15"/>
      <c r="D87" s="15" t="s">
        <v>87</v>
      </c>
      <c r="E87" s="16"/>
      <c r="F87" s="4"/>
      <c r="G87" s="17">
        <f>[81]Source!AL175</f>
        <v>30.24</v>
      </c>
      <c r="H87" s="18">
        <f>[81]Source!DD175</f>
        <v>0</v>
      </c>
      <c r="I87" s="4">
        <f>[81]Source!AW176</f>
        <v>1.081</v>
      </c>
      <c r="J87" s="19">
        <f>[81]Source!P175</f>
        <v>301.14</v>
      </c>
      <c r="K87" s="4">
        <f>IF([81]Source!BC176&lt;&gt; 0, [81]Source!BC176, 1)</f>
        <v>5.56</v>
      </c>
      <c r="L87" s="19">
        <f>[81]Source!P176</f>
        <v>1674.34</v>
      </c>
    </row>
    <row r="88" spans="1:22" ht="14.25" x14ac:dyDescent="0.2">
      <c r="A88" s="14"/>
      <c r="B88" s="14"/>
      <c r="C88" s="15"/>
      <c r="D88" s="15" t="s">
        <v>88</v>
      </c>
      <c r="E88" s="16" t="s">
        <v>89</v>
      </c>
      <c r="F88" s="4">
        <f>[81]Source!DN176</f>
        <v>112</v>
      </c>
      <c r="G88" s="17"/>
      <c r="H88" s="18"/>
      <c r="I88" s="4"/>
      <c r="J88" s="19">
        <f>SUM(Q83:Q87)</f>
        <v>6052.38</v>
      </c>
      <c r="K88" s="4">
        <f>[81]Source!BZ176</f>
        <v>90</v>
      </c>
      <c r="L88" s="19">
        <f>SUM(R83:R87)</f>
        <v>116432.65</v>
      </c>
    </row>
    <row r="89" spans="1:22" ht="14.25" x14ac:dyDescent="0.2">
      <c r="A89" s="14"/>
      <c r="B89" s="14"/>
      <c r="C89" s="15"/>
      <c r="D89" s="15" t="s">
        <v>90</v>
      </c>
      <c r="E89" s="16" t="s">
        <v>89</v>
      </c>
      <c r="F89" s="4">
        <f>[81]Source!DO176</f>
        <v>70</v>
      </c>
      <c r="G89" s="17"/>
      <c r="H89" s="18"/>
      <c r="I89" s="4"/>
      <c r="J89" s="19">
        <f>SUM(S83:S88)</f>
        <v>3782.74</v>
      </c>
      <c r="K89" s="4">
        <f>[81]Source!CA176</f>
        <v>43</v>
      </c>
      <c r="L89" s="19">
        <f>SUM(T83:T88)</f>
        <v>55628.93</v>
      </c>
    </row>
    <row r="90" spans="1:22" ht="14.25" x14ac:dyDescent="0.2">
      <c r="A90" s="14"/>
      <c r="B90" s="14"/>
      <c r="C90" s="15"/>
      <c r="D90" s="15" t="s">
        <v>91</v>
      </c>
      <c r="E90" s="16" t="s">
        <v>89</v>
      </c>
      <c r="F90" s="4">
        <f>175</f>
        <v>175</v>
      </c>
      <c r="G90" s="17"/>
      <c r="H90" s="18"/>
      <c r="I90" s="4"/>
      <c r="J90" s="19">
        <f>SUM(U83:U89)-J96</f>
        <v>2327.31</v>
      </c>
      <c r="K90" s="4">
        <f>157</f>
        <v>157</v>
      </c>
      <c r="L90" s="19">
        <f>SUM(V83:V89)-L96</f>
        <v>49985.08</v>
      </c>
    </row>
    <row r="91" spans="1:22" ht="14.25" x14ac:dyDescent="0.2">
      <c r="A91" s="14"/>
      <c r="B91" s="14"/>
      <c r="C91" s="15"/>
      <c r="D91" s="15" t="s">
        <v>92</v>
      </c>
      <c r="E91" s="16" t="s">
        <v>93</v>
      </c>
      <c r="F91" s="4">
        <f>[81]Source!AQ175</f>
        <v>26.7</v>
      </c>
      <c r="G91" s="17"/>
      <c r="H91" s="18">
        <f>[81]Source!DI175</f>
        <v>0</v>
      </c>
      <c r="I91" s="4">
        <f>[81]Source!AV176</f>
        <v>1.0669999999999999</v>
      </c>
      <c r="J91" s="19">
        <f>[81]Source!U175</f>
        <v>262.44</v>
      </c>
      <c r="K91" s="4"/>
      <c r="L91" s="19"/>
    </row>
    <row r="92" spans="1:22" ht="15" x14ac:dyDescent="0.25">
      <c r="I92" s="847">
        <f>J84+J85+J87+J88+J89+J90</f>
        <v>25838.18</v>
      </c>
      <c r="J92" s="847"/>
      <c r="K92" s="847">
        <f>L84+L85+L87+L88+L89+L90</f>
        <v>420443.1</v>
      </c>
      <c r="L92" s="847"/>
      <c r="O92" s="21">
        <f>J84+J85+J87+J88+J89+J90</f>
        <v>25838.18</v>
      </c>
      <c r="P92" s="21">
        <f>L84+L85+L87+L88+L89+L90</f>
        <v>420443.1</v>
      </c>
    </row>
    <row r="93" spans="1:22" ht="28.5" x14ac:dyDescent="0.2">
      <c r="A93" s="22"/>
      <c r="B93" s="22"/>
      <c r="C93" s="23"/>
      <c r="D93" s="23" t="s">
        <v>94</v>
      </c>
      <c r="E93" s="16"/>
      <c r="F93" s="24"/>
      <c r="G93" s="25"/>
      <c r="H93" s="16"/>
      <c r="I93" s="24"/>
      <c r="J93" s="20"/>
      <c r="K93" s="24"/>
      <c r="L93" s="20"/>
    </row>
    <row r="94" spans="1:22" ht="14.25" x14ac:dyDescent="0.2">
      <c r="A94" s="22"/>
      <c r="B94" s="22"/>
      <c r="C94" s="23"/>
      <c r="D94" s="23" t="s">
        <v>85</v>
      </c>
      <c r="E94" s="16"/>
      <c r="F94" s="24"/>
      <c r="G94" s="25">
        <f t="shared" ref="G94:L94" si="2">G95</f>
        <v>135.30000000000001</v>
      </c>
      <c r="H94" s="26" t="str">
        <f t="shared" si="2"/>
        <v>)*(1.67-1)</v>
      </c>
      <c r="I94" s="24">
        <f t="shared" si="2"/>
        <v>1.0669999999999999</v>
      </c>
      <c r="J94" s="20">
        <f t="shared" si="2"/>
        <v>891.03</v>
      </c>
      <c r="K94" s="24">
        <f t="shared" si="2"/>
        <v>23.94</v>
      </c>
      <c r="L94" s="20">
        <f t="shared" si="2"/>
        <v>21331.19</v>
      </c>
    </row>
    <row r="95" spans="1:22" ht="14.25" x14ac:dyDescent="0.2">
      <c r="A95" s="22"/>
      <c r="B95" s="22"/>
      <c r="C95" s="23"/>
      <c r="D95" s="23" t="s">
        <v>86</v>
      </c>
      <c r="E95" s="16"/>
      <c r="F95" s="24"/>
      <c r="G95" s="25">
        <f>[81]Source!AN175</f>
        <v>135.30000000000001</v>
      </c>
      <c r="H95" s="26" t="s">
        <v>95</v>
      </c>
      <c r="I95" s="24">
        <f>[81]Source!AV176</f>
        <v>1.0669999999999999</v>
      </c>
      <c r="J95" s="20">
        <f>ROUND(F83*G95*I95*(1.67-1), 2)</f>
        <v>891.03</v>
      </c>
      <c r="K95" s="24">
        <f>IF([81]Source!BS176&lt;&gt; 0, [81]Source!BS176, 1)</f>
        <v>23.94</v>
      </c>
      <c r="L95" s="20">
        <f>ROUND(F83*G95*I95*(1.67-1)*K95, 2)</f>
        <v>21331.19</v>
      </c>
    </row>
    <row r="96" spans="1:22" ht="14.25" x14ac:dyDescent="0.2">
      <c r="A96" s="22"/>
      <c r="B96" s="22"/>
      <c r="C96" s="23"/>
      <c r="D96" s="23" t="s">
        <v>91</v>
      </c>
      <c r="E96" s="16" t="s">
        <v>89</v>
      </c>
      <c r="F96" s="24">
        <f>175</f>
        <v>175</v>
      </c>
      <c r="G96" s="25"/>
      <c r="H96" s="16"/>
      <c r="I96" s="24"/>
      <c r="J96" s="20">
        <f>ROUND(J95*(F96/100), 2)</f>
        <v>1559.3</v>
      </c>
      <c r="K96" s="24">
        <f>157</f>
        <v>157</v>
      </c>
      <c r="L96" s="20">
        <f>ROUND(L95*(K96/100), 2)</f>
        <v>33489.97</v>
      </c>
    </row>
    <row r="97" spans="1:22" ht="15" x14ac:dyDescent="0.25">
      <c r="I97" s="847">
        <f>J96+J95</f>
        <v>2450.33</v>
      </c>
      <c r="J97" s="847"/>
      <c r="K97" s="847">
        <f>L96+L95</f>
        <v>54821.16</v>
      </c>
      <c r="L97" s="847"/>
      <c r="O97" s="21">
        <f>I97</f>
        <v>2450.33</v>
      </c>
      <c r="P97" s="21">
        <f>K97</f>
        <v>54821.16</v>
      </c>
    </row>
    <row r="99" spans="1:22" ht="15" x14ac:dyDescent="0.25">
      <c r="A99" s="27"/>
      <c r="B99" s="27"/>
      <c r="C99" s="28"/>
      <c r="D99" s="28" t="s">
        <v>96</v>
      </c>
      <c r="E99" s="29"/>
      <c r="F99" s="30"/>
      <c r="G99" s="31"/>
      <c r="H99" s="32"/>
      <c r="I99" s="847">
        <f>I92+I97</f>
        <v>28288.51</v>
      </c>
      <c r="J99" s="847"/>
      <c r="K99" s="847">
        <f>K92+K97</f>
        <v>475264.26</v>
      </c>
      <c r="L99" s="847"/>
    </row>
    <row r="101" spans="1:22" ht="15" x14ac:dyDescent="0.25">
      <c r="A101" s="879" t="s">
        <v>101</v>
      </c>
      <c r="B101" s="879"/>
      <c r="C101" s="879"/>
      <c r="D101" s="879"/>
      <c r="E101" s="879"/>
      <c r="F101" s="879"/>
      <c r="G101" s="879"/>
      <c r="H101" s="879"/>
      <c r="I101" s="880">
        <f>SUM(O48:O100)</f>
        <v>120509.47</v>
      </c>
      <c r="J101" s="881"/>
      <c r="K101" s="880">
        <f>SUM(P48:P100)</f>
        <v>2023220.7</v>
      </c>
      <c r="L101" s="881"/>
    </row>
    <row r="103" spans="1:22" ht="15" x14ac:dyDescent="0.25">
      <c r="A103" s="879" t="s">
        <v>102</v>
      </c>
      <c r="B103" s="879"/>
      <c r="C103" s="879"/>
      <c r="D103" s="879"/>
      <c r="E103" s="879"/>
      <c r="F103" s="879"/>
      <c r="G103" s="879"/>
      <c r="H103" s="879"/>
      <c r="I103" s="880">
        <f>SUM(O46:O102)</f>
        <v>120509.47</v>
      </c>
      <c r="J103" s="881"/>
      <c r="K103" s="880">
        <f>SUM(P46:P102)</f>
        <v>2023220.7</v>
      </c>
      <c r="L103" s="881"/>
    </row>
    <row r="105" spans="1:22" ht="16.5" x14ac:dyDescent="0.25">
      <c r="A105" s="854" t="str">
        <f>CONCATENATE("Раздел: ",IF([81]Source!G417&lt;&gt;"Новый раздел", [81]Source!G417, ""))</f>
        <v>Раздел: Раздел: Материалы, не учтеные в цене монтажа</v>
      </c>
      <c r="B105" s="854"/>
      <c r="C105" s="854"/>
      <c r="D105" s="854"/>
      <c r="E105" s="854"/>
      <c r="F105" s="854"/>
      <c r="G105" s="854"/>
      <c r="H105" s="854"/>
      <c r="I105" s="854"/>
      <c r="J105" s="854"/>
      <c r="K105" s="854"/>
      <c r="L105" s="854"/>
    </row>
    <row r="107" spans="1:22" ht="16.5" x14ac:dyDescent="0.25">
      <c r="A107" s="854" t="str">
        <f>CONCATENATE("Подраздел: ",IF([81]Source!G490&lt;&gt;"Новый подраздел", [81]Source!G490, ""))</f>
        <v>Подраздел: Подраздел: Кабели и кабельная продукция</v>
      </c>
      <c r="B107" s="854"/>
      <c r="C107" s="854"/>
      <c r="D107" s="854"/>
      <c r="E107" s="854"/>
      <c r="F107" s="854"/>
      <c r="G107" s="854"/>
      <c r="H107" s="854"/>
      <c r="I107" s="854"/>
      <c r="J107" s="854"/>
      <c r="K107" s="854"/>
      <c r="L107" s="854"/>
    </row>
    <row r="108" spans="1:22" ht="57" x14ac:dyDescent="0.2">
      <c r="A108" s="877">
        <v>4</v>
      </c>
      <c r="B108" s="877" t="str">
        <f>[81]Source!E500</f>
        <v>56</v>
      </c>
      <c r="C108" s="34" t="str">
        <f>[81]Source!F500</f>
        <v>1.23-8-1300</v>
      </c>
      <c r="D108" s="34" t="s">
        <v>103</v>
      </c>
      <c r="E108" s="16" t="s">
        <v>105</v>
      </c>
      <c r="F108" s="4">
        <v>0.55700000000000005</v>
      </c>
      <c r="G108" s="17">
        <v>383642.44</v>
      </c>
      <c r="H108" s="18"/>
      <c r="I108" s="4">
        <v>1</v>
      </c>
      <c r="J108" s="19">
        <f>F108*G108</f>
        <v>213688.84</v>
      </c>
      <c r="K108" s="4">
        <v>4.82</v>
      </c>
      <c r="L108" s="19">
        <f>J108*K108</f>
        <v>1029980.21</v>
      </c>
      <c r="Q108" s="1">
        <f>[81]Source!X500</f>
        <v>0</v>
      </c>
      <c r="R108" s="1">
        <f>[81]Source!X501</f>
        <v>0</v>
      </c>
      <c r="S108" s="1">
        <f>[81]Source!Y500</f>
        <v>0</v>
      </c>
      <c r="T108" s="1">
        <f>[81]Source!Y501</f>
        <v>0</v>
      </c>
      <c r="U108" s="1">
        <f>ROUND((175/100)*ROUND([81]Source!R500, 2), 2)</f>
        <v>0</v>
      </c>
      <c r="V108" s="1">
        <f>ROUND((157/100)*ROUND([81]Source!R501, 2), 2)</f>
        <v>0</v>
      </c>
    </row>
    <row r="109" spans="1:22" ht="42.75" hidden="1" x14ac:dyDescent="0.2">
      <c r="A109" s="878"/>
      <c r="B109" s="878"/>
      <c r="C109" s="15" t="s">
        <v>134</v>
      </c>
      <c r="D109" s="15" t="s">
        <v>104</v>
      </c>
      <c r="E109" s="16" t="s">
        <v>105</v>
      </c>
      <c r="F109" s="4">
        <v>0.55700000000000005</v>
      </c>
      <c r="G109" s="19">
        <f>J109/F109</f>
        <v>244514.31</v>
      </c>
      <c r="H109" s="18"/>
      <c r="I109" s="4">
        <v>1</v>
      </c>
      <c r="J109" s="19">
        <f>L109/K109</f>
        <v>136194.47</v>
      </c>
      <c r="K109" s="4">
        <v>5.48</v>
      </c>
      <c r="L109" s="19">
        <f>1339938.36*F109</f>
        <v>746345.67</v>
      </c>
    </row>
    <row r="110" spans="1:22" ht="15" x14ac:dyDescent="0.25">
      <c r="A110" s="35"/>
      <c r="B110" s="35"/>
      <c r="C110" s="35"/>
      <c r="D110" s="35"/>
      <c r="E110" s="35"/>
      <c r="F110" s="35"/>
      <c r="G110" s="35"/>
      <c r="H110" s="35"/>
      <c r="I110" s="847">
        <f>J108</f>
        <v>213688.84</v>
      </c>
      <c r="J110" s="847"/>
      <c r="K110" s="847">
        <f>L108</f>
        <v>1029980.21</v>
      </c>
      <c r="L110" s="847"/>
      <c r="O110" s="21">
        <f>J108</f>
        <v>213688.84</v>
      </c>
      <c r="P110" s="21">
        <f>L108</f>
        <v>1029980.21</v>
      </c>
    </row>
    <row r="111" spans="1:22" ht="57" x14ac:dyDescent="0.2">
      <c r="A111" s="877">
        <v>5</v>
      </c>
      <c r="B111" s="877" t="str">
        <f>[81]Source!E504</f>
        <v>58</v>
      </c>
      <c r="C111" s="34" t="str">
        <f>[81]Source!F504</f>
        <v>1.23-8-815</v>
      </c>
      <c r="D111" s="34" t="s">
        <v>106</v>
      </c>
      <c r="E111" s="16" t="s">
        <v>105</v>
      </c>
      <c r="F111" s="246">
        <v>0.94</v>
      </c>
      <c r="G111" s="17">
        <v>878064.94</v>
      </c>
      <c r="H111" s="18"/>
      <c r="I111" s="4"/>
      <c r="J111" s="19">
        <f>F111*G111</f>
        <v>825381.04</v>
      </c>
      <c r="K111" s="4">
        <v>2.8</v>
      </c>
      <c r="L111" s="19">
        <f>J111*K111</f>
        <v>2311066.91</v>
      </c>
      <c r="Q111" s="1">
        <f>[81]Source!X504</f>
        <v>0</v>
      </c>
      <c r="R111" s="1">
        <f>[81]Source!X505</f>
        <v>0</v>
      </c>
      <c r="S111" s="1">
        <f>[81]Source!Y504</f>
        <v>0</v>
      </c>
      <c r="T111" s="1">
        <f>[81]Source!Y505</f>
        <v>0</v>
      </c>
      <c r="U111" s="1">
        <f>ROUND((175/100)*ROUND([81]Source!R504, 2), 2)</f>
        <v>0</v>
      </c>
      <c r="V111" s="1">
        <f>ROUND((157/100)*ROUND([81]Source!R505, 2), 2)</f>
        <v>0</v>
      </c>
    </row>
    <row r="112" spans="1:22" ht="42.75" hidden="1" x14ac:dyDescent="0.2">
      <c r="A112" s="878"/>
      <c r="B112" s="878"/>
      <c r="C112" s="15" t="s">
        <v>133</v>
      </c>
      <c r="D112" s="15" t="s">
        <v>107</v>
      </c>
      <c r="E112" s="16" t="s">
        <v>105</v>
      </c>
      <c r="F112" s="4">
        <v>0.94</v>
      </c>
      <c r="G112" s="19">
        <f>J112/F112</f>
        <v>365714.45</v>
      </c>
      <c r="H112" s="18"/>
      <c r="I112" s="4">
        <v>1</v>
      </c>
      <c r="J112" s="19">
        <f>L112/K112</f>
        <v>343771.58</v>
      </c>
      <c r="K112" s="4">
        <v>5.48</v>
      </c>
      <c r="L112" s="19">
        <f>2004115.19*F112</f>
        <v>1883868.28</v>
      </c>
    </row>
    <row r="113" spans="1:22" ht="15" x14ac:dyDescent="0.25">
      <c r="A113" s="35"/>
      <c r="B113" s="35"/>
      <c r="C113" s="35"/>
      <c r="D113" s="35"/>
      <c r="E113" s="35"/>
      <c r="F113" s="35"/>
      <c r="G113" s="35"/>
      <c r="H113" s="35"/>
      <c r="I113" s="847">
        <f>J111</f>
        <v>825381.04</v>
      </c>
      <c r="J113" s="847"/>
      <c r="K113" s="847">
        <f>L111</f>
        <v>2311066.91</v>
      </c>
      <c r="L113" s="847"/>
      <c r="O113" s="21">
        <f>J111</f>
        <v>825381.04</v>
      </c>
      <c r="P113" s="21">
        <f>L111</f>
        <v>2311066.91</v>
      </c>
    </row>
    <row r="114" spans="1:22" ht="57" x14ac:dyDescent="0.2">
      <c r="A114" s="877">
        <v>6</v>
      </c>
      <c r="B114" s="877" t="str">
        <f>[81]Source!E522</f>
        <v>67</v>
      </c>
      <c r="C114" s="34" t="str">
        <f>[81]Source!F522</f>
        <v>МКЭ-33-902/7-1 от 16.05.2017</v>
      </c>
      <c r="D114" s="34" t="s">
        <v>350</v>
      </c>
      <c r="E114" s="16" t="s">
        <v>105</v>
      </c>
      <c r="F114" s="246">
        <v>1.7350000000000001</v>
      </c>
      <c r="G114" s="19">
        <f>J114/F114</f>
        <v>416954.41</v>
      </c>
      <c r="H114" s="18"/>
      <c r="I114" s="4"/>
      <c r="J114" s="19">
        <f>L114/K114</f>
        <v>723415.9</v>
      </c>
      <c r="K114" s="4">
        <v>5.48</v>
      </c>
      <c r="L114" s="19">
        <f>2240108*1.02*F114</f>
        <v>3964319.13</v>
      </c>
      <c r="Q114" s="1">
        <f>[81]Source!X522</f>
        <v>0</v>
      </c>
      <c r="R114" s="1">
        <f>[81]Source!X523</f>
        <v>0</v>
      </c>
      <c r="S114" s="1">
        <f>[81]Source!Y522</f>
        <v>0</v>
      </c>
      <c r="T114" s="1">
        <f>[81]Source!Y523</f>
        <v>0</v>
      </c>
      <c r="U114" s="1">
        <f>ROUND((175/100)*ROUND([81]Source!R522, 2), 2)</f>
        <v>0</v>
      </c>
      <c r="V114" s="1">
        <f>ROUND((157/100)*ROUND([81]Source!R523, 2), 2)</f>
        <v>0</v>
      </c>
    </row>
    <row r="115" spans="1:22" ht="42.75" hidden="1" x14ac:dyDescent="0.2">
      <c r="A115" s="878"/>
      <c r="B115" s="878"/>
      <c r="C115" s="15" t="s">
        <v>135</v>
      </c>
      <c r="D115" s="15" t="s">
        <v>108</v>
      </c>
      <c r="E115" s="16" t="s">
        <v>105</v>
      </c>
      <c r="F115" s="4">
        <v>1.7350000000000001</v>
      </c>
      <c r="G115" s="19">
        <f>J115/F115</f>
        <v>329107.84000000003</v>
      </c>
      <c r="H115" s="18"/>
      <c r="I115" s="4">
        <v>1</v>
      </c>
      <c r="J115" s="19">
        <f>L115/K115</f>
        <v>571002.1</v>
      </c>
      <c r="K115" s="4">
        <v>5.48</v>
      </c>
      <c r="L115" s="19">
        <f>1803510.95*F115</f>
        <v>3129091.5</v>
      </c>
    </row>
    <row r="116" spans="1:22" ht="15" x14ac:dyDescent="0.25">
      <c r="A116" s="35"/>
      <c r="B116" s="35"/>
      <c r="C116" s="35"/>
      <c r="D116" s="35"/>
      <c r="E116" s="35"/>
      <c r="F116" s="35"/>
      <c r="G116" s="35"/>
      <c r="H116" s="35"/>
      <c r="I116" s="847">
        <f>J114</f>
        <v>723415.9</v>
      </c>
      <c r="J116" s="847"/>
      <c r="K116" s="847">
        <f>L114</f>
        <v>3964319.13</v>
      </c>
      <c r="L116" s="847"/>
      <c r="O116" s="21">
        <f>J114</f>
        <v>723415.9</v>
      </c>
      <c r="P116" s="21">
        <f>L114</f>
        <v>3964319.13</v>
      </c>
    </row>
    <row r="117" spans="1:22" ht="62.25" customHeight="1" x14ac:dyDescent="0.2">
      <c r="A117" s="877">
        <v>7</v>
      </c>
      <c r="B117" s="877">
        <v>69</v>
      </c>
      <c r="C117" s="34" t="s">
        <v>109</v>
      </c>
      <c r="D117" s="34" t="s">
        <v>349</v>
      </c>
      <c r="E117" s="16" t="s">
        <v>105</v>
      </c>
      <c r="F117" s="243">
        <v>1.96</v>
      </c>
      <c r="G117" s="19">
        <f>J117/F117</f>
        <v>594237.94999999995</v>
      </c>
      <c r="H117" s="18"/>
      <c r="I117" s="243">
        <v>1</v>
      </c>
      <c r="J117" s="19">
        <f>L117/K117</f>
        <v>1164706.3799999999</v>
      </c>
      <c r="K117" s="243">
        <v>5.48</v>
      </c>
      <c r="L117" s="19">
        <f>3192572.5*1.02*F117</f>
        <v>6382590.9400000004</v>
      </c>
      <c r="O117" s="21"/>
      <c r="P117" s="21"/>
    </row>
    <row r="118" spans="1:22" ht="42.75" hidden="1" x14ac:dyDescent="0.2">
      <c r="A118" s="878"/>
      <c r="B118" s="878"/>
      <c r="C118" s="15" t="s">
        <v>136</v>
      </c>
      <c r="D118" s="15" t="s">
        <v>110</v>
      </c>
      <c r="E118" s="16" t="s">
        <v>105</v>
      </c>
      <c r="F118" s="4">
        <v>1.96</v>
      </c>
      <c r="G118" s="19">
        <f>J118/F118</f>
        <v>469040.17</v>
      </c>
      <c r="H118" s="18"/>
      <c r="I118" s="4">
        <v>1</v>
      </c>
      <c r="J118" s="19">
        <f>L118/K118</f>
        <v>919318.73</v>
      </c>
      <c r="K118" s="4">
        <v>5.48</v>
      </c>
      <c r="L118" s="19">
        <f>2570340.12*F118</f>
        <v>5037866.6399999997</v>
      </c>
      <c r="O118" s="21"/>
      <c r="P118" s="21"/>
    </row>
    <row r="119" spans="1:22" ht="15" x14ac:dyDescent="0.25">
      <c r="A119" s="35"/>
      <c r="B119" s="35"/>
      <c r="C119" s="35"/>
      <c r="D119" s="35"/>
      <c r="E119" s="35"/>
      <c r="F119" s="35"/>
      <c r="G119" s="35"/>
      <c r="H119" s="35"/>
      <c r="I119" s="847">
        <f>J117</f>
        <v>1164706.3799999999</v>
      </c>
      <c r="J119" s="847"/>
      <c r="K119" s="847">
        <f>L117</f>
        <v>6382590.9400000004</v>
      </c>
      <c r="L119" s="847"/>
      <c r="O119" s="21"/>
      <c r="P119" s="21"/>
    </row>
    <row r="121" spans="1:22" ht="15" x14ac:dyDescent="0.25">
      <c r="A121" s="879" t="s">
        <v>111</v>
      </c>
      <c r="B121" s="879"/>
      <c r="C121" s="879"/>
      <c r="D121" s="879"/>
      <c r="E121" s="879"/>
      <c r="F121" s="879"/>
      <c r="G121" s="879"/>
      <c r="H121" s="879"/>
      <c r="I121" s="880">
        <f>I110+I113+I116+I119</f>
        <v>2927192.16</v>
      </c>
      <c r="J121" s="881"/>
      <c r="K121" s="880">
        <f>K110+K113+K116+K119</f>
        <v>13687957.189999999</v>
      </c>
      <c r="L121" s="881"/>
    </row>
    <row r="123" spans="1:22" ht="15" x14ac:dyDescent="0.25">
      <c r="A123" s="879" t="s">
        <v>112</v>
      </c>
      <c r="B123" s="879"/>
      <c r="C123" s="879"/>
      <c r="D123" s="879"/>
      <c r="E123" s="879"/>
      <c r="F123" s="879"/>
      <c r="G123" s="879"/>
      <c r="H123" s="879"/>
      <c r="J123" s="251">
        <f>I121</f>
        <v>2927192.16</v>
      </c>
      <c r="L123" s="251">
        <f>K121</f>
        <v>13687957.189999999</v>
      </c>
    </row>
    <row r="125" spans="1:22" ht="15" x14ac:dyDescent="0.25">
      <c r="A125" s="900" t="s">
        <v>113</v>
      </c>
      <c r="B125" s="900"/>
      <c r="C125" s="900"/>
      <c r="D125" s="900"/>
      <c r="E125" s="900"/>
      <c r="F125" s="900"/>
      <c r="G125" s="900"/>
      <c r="H125" s="900"/>
      <c r="I125" s="36"/>
      <c r="J125" s="37">
        <f>I103+J123</f>
        <v>3047701.63</v>
      </c>
      <c r="K125" s="36"/>
      <c r="L125" s="37">
        <f>K103+L123</f>
        <v>15711177.890000001</v>
      </c>
    </row>
    <row r="126" spans="1:22" s="38" customFormat="1" ht="14.25" x14ac:dyDescent="0.2">
      <c r="D126" s="39" t="s">
        <v>114</v>
      </c>
      <c r="E126" s="39"/>
      <c r="F126" s="39"/>
      <c r="G126" s="39"/>
      <c r="H126" s="39"/>
      <c r="J126" s="252">
        <f ca="1">SUMIF(D35:D118,"МР",J35:J117)+J118+J115+J112+J109</f>
        <v>1971836.99</v>
      </c>
      <c r="L126" s="252">
        <f>SUMIF(D35:D117,"МР",L35:L117)+L118+L115+L112+L109</f>
        <v>10805790.699999999</v>
      </c>
    </row>
    <row r="127" spans="1:22" s="38" customFormat="1" ht="14.25" x14ac:dyDescent="0.2">
      <c r="D127" s="39" t="s">
        <v>115</v>
      </c>
      <c r="E127" s="39"/>
      <c r="F127" s="39"/>
      <c r="G127" s="39"/>
      <c r="H127" s="39"/>
      <c r="J127" s="253">
        <f>SUMIF(D35:D117,"в т.ч. ЗПМ",J35:J117)</f>
        <v>9243.91</v>
      </c>
      <c r="K127" s="871">
        <f>SUMIF(D35:D117,"в т.ч. ЗПМ",L35:L117)</f>
        <v>221299.20000000001</v>
      </c>
      <c r="L127" s="871"/>
    </row>
    <row r="128" spans="1:22" s="38" customFormat="1" ht="14.25" x14ac:dyDescent="0.2">
      <c r="D128" s="39" t="s">
        <v>116</v>
      </c>
      <c r="E128" s="39"/>
      <c r="F128" s="39"/>
      <c r="G128" s="39"/>
      <c r="H128" s="39"/>
      <c r="J128" s="253">
        <f>SUMIF(D35:D117,"ЗП",J35:J117)</f>
        <v>23232.43</v>
      </c>
      <c r="K128" s="871">
        <f>SUMIF(D35:D117,"ЗП",L35:L117)</f>
        <v>556184.38</v>
      </c>
      <c r="L128" s="871"/>
    </row>
    <row r="129" spans="1:12" s="38" customFormat="1" ht="14.25" x14ac:dyDescent="0.2">
      <c r="D129" s="39" t="s">
        <v>117</v>
      </c>
      <c r="E129" s="39"/>
      <c r="F129" s="39"/>
      <c r="G129" s="39"/>
      <c r="H129" s="39"/>
      <c r="J129" s="253">
        <f>SUMIF(D35:D117,"НР от ЗП",J35:J117)</f>
        <v>26020.32</v>
      </c>
      <c r="K129" s="871">
        <f>SUMIF(D35:D117,"НР от ЗП",L35:L117)</f>
        <v>500565.95</v>
      </c>
      <c r="L129" s="871"/>
    </row>
    <row r="130" spans="1:12" s="38" customFormat="1" ht="14.25" x14ac:dyDescent="0.2">
      <c r="D130" s="39" t="s">
        <v>118</v>
      </c>
      <c r="E130" s="39"/>
      <c r="F130" s="39"/>
      <c r="G130" s="39"/>
      <c r="H130" s="39"/>
      <c r="J130" s="253">
        <f>SUMIF(D35:D117,"СП от ЗП",J35:J117)</f>
        <v>16262.71</v>
      </c>
      <c r="K130" s="871">
        <f>SUMIF(D35:D117,"СП от ЗП",L35:L117)</f>
        <v>239159.28</v>
      </c>
      <c r="L130" s="871"/>
    </row>
    <row r="131" spans="1:12" ht="14.25" x14ac:dyDescent="0.2">
      <c r="A131" s="40"/>
      <c r="B131" s="40"/>
      <c r="C131" s="40"/>
      <c r="D131" s="40"/>
      <c r="E131" s="40"/>
      <c r="F131" s="40"/>
      <c r="G131" s="40"/>
      <c r="H131" s="40"/>
      <c r="I131" s="36"/>
      <c r="J131" s="36"/>
      <c r="K131" s="36"/>
      <c r="L131" s="36"/>
    </row>
    <row r="132" spans="1:12" ht="14.25" x14ac:dyDescent="0.2">
      <c r="A132" s="40"/>
      <c r="B132" s="40"/>
      <c r="C132" s="40"/>
      <c r="D132" s="874" t="s">
        <v>268</v>
      </c>
      <c r="E132" s="874"/>
      <c r="F132" s="874"/>
      <c r="G132" s="213"/>
      <c r="H132" s="213"/>
      <c r="I132" s="214"/>
      <c r="J132" s="215">
        <f>J125</f>
        <v>3047701.63</v>
      </c>
      <c r="K132" s="216"/>
      <c r="L132" s="217">
        <f>L123</f>
        <v>13687957.189999999</v>
      </c>
    </row>
    <row r="133" spans="1:12" ht="14.25" x14ac:dyDescent="0.2">
      <c r="A133" s="40"/>
      <c r="B133" s="40"/>
      <c r="C133" s="40"/>
      <c r="D133" s="872" t="s">
        <v>3</v>
      </c>
      <c r="E133" s="872"/>
      <c r="F133" s="872"/>
      <c r="G133" s="218"/>
      <c r="H133" s="218"/>
      <c r="I133" s="219"/>
      <c r="J133" s="215">
        <f>J132</f>
        <v>3047701.63</v>
      </c>
      <c r="K133"/>
      <c r="L133" s="220">
        <f>L132</f>
        <v>13687957.189999999</v>
      </c>
    </row>
    <row r="134" spans="1:12" ht="14.25" x14ac:dyDescent="0.2">
      <c r="A134" s="40"/>
      <c r="B134" s="40"/>
      <c r="C134" s="40"/>
      <c r="D134" s="872" t="s">
        <v>269</v>
      </c>
      <c r="E134" s="872"/>
      <c r="F134" s="872"/>
      <c r="G134" s="218"/>
      <c r="H134" s="218"/>
      <c r="I134" s="221"/>
      <c r="J134" s="222">
        <f>J128+J127</f>
        <v>32476.34</v>
      </c>
      <c r="K134" s="222"/>
      <c r="L134" s="222">
        <f>K128+K127</f>
        <v>777483.58</v>
      </c>
    </row>
    <row r="135" spans="1:12" ht="14.25" x14ac:dyDescent="0.2">
      <c r="A135" s="40"/>
      <c r="B135" s="40"/>
      <c r="C135" s="40"/>
      <c r="D135" s="872" t="s">
        <v>270</v>
      </c>
      <c r="E135" s="872"/>
      <c r="F135" s="872"/>
      <c r="G135" s="218"/>
      <c r="H135" s="218"/>
      <c r="I135" s="221"/>
      <c r="J135" s="222">
        <f ca="1">J126</f>
        <v>1971836.99</v>
      </c>
      <c r="K135" s="222"/>
      <c r="L135" s="222">
        <f>L126</f>
        <v>10805790.699999999</v>
      </c>
    </row>
    <row r="136" spans="1:12" ht="14.25" x14ac:dyDescent="0.2">
      <c r="A136" s="40"/>
      <c r="B136" s="40"/>
      <c r="C136" s="40"/>
      <c r="D136" s="872" t="s">
        <v>271</v>
      </c>
      <c r="E136" s="872"/>
      <c r="F136" s="872"/>
      <c r="G136" s="218"/>
      <c r="H136" s="218"/>
      <c r="I136" s="221"/>
      <c r="J136" s="215">
        <v>0</v>
      </c>
      <c r="K136" s="223"/>
      <c r="L136" s="220">
        <v>0</v>
      </c>
    </row>
    <row r="137" spans="1:12" ht="14.25" x14ac:dyDescent="0.2">
      <c r="A137" s="40"/>
      <c r="B137" s="40"/>
      <c r="C137" s="40"/>
      <c r="D137" s="872" t="s">
        <v>272</v>
      </c>
      <c r="E137" s="872"/>
      <c r="F137" s="872"/>
      <c r="G137" s="224"/>
      <c r="H137" s="224"/>
      <c r="I137" s="225"/>
      <c r="J137" s="226">
        <f>J133*5.61%</f>
        <v>170976.06</v>
      </c>
      <c r="K137" s="223"/>
      <c r="L137" s="226">
        <f>L133*5.61%</f>
        <v>767894.4</v>
      </c>
    </row>
    <row r="138" spans="1:12" ht="15" x14ac:dyDescent="0.25">
      <c r="A138" s="40"/>
      <c r="B138" s="40"/>
      <c r="C138" s="40"/>
      <c r="D138" s="873" t="s">
        <v>273</v>
      </c>
      <c r="E138" s="873"/>
      <c r="F138" s="873"/>
      <c r="G138" s="228"/>
      <c r="H138" s="228"/>
      <c r="I138" s="229"/>
      <c r="J138" s="230">
        <f>ROUND(J133+J137,2)</f>
        <v>3218677.69</v>
      </c>
      <c r="K138" s="223"/>
      <c r="L138" s="231">
        <f>ROUND(L133+L137,2)</f>
        <v>14455851.59</v>
      </c>
    </row>
    <row r="139" spans="1:12" ht="14.25" x14ac:dyDescent="0.2">
      <c r="A139" s="40"/>
      <c r="B139" s="40"/>
      <c r="C139" s="40"/>
      <c r="D139" s="872" t="s">
        <v>274</v>
      </c>
      <c r="E139" s="872"/>
      <c r="F139" s="872"/>
      <c r="G139" s="224"/>
      <c r="H139" s="224"/>
      <c r="I139" s="225"/>
      <c r="J139" s="226">
        <f>J134*0.15</f>
        <v>4871.45</v>
      </c>
      <c r="K139" s="232"/>
      <c r="L139" s="232">
        <f>L134*0.15</f>
        <v>116622.54</v>
      </c>
    </row>
    <row r="140" spans="1:12" ht="15" x14ac:dyDescent="0.25">
      <c r="A140" s="40"/>
      <c r="B140" s="40"/>
      <c r="C140" s="40"/>
      <c r="D140" s="873" t="s">
        <v>275</v>
      </c>
      <c r="E140" s="873"/>
      <c r="F140" s="873"/>
      <c r="G140" s="228"/>
      <c r="H140" s="228"/>
      <c r="I140" s="229"/>
      <c r="J140" s="230">
        <f>J138+J139</f>
        <v>3223549.14</v>
      </c>
      <c r="K140" s="223"/>
      <c r="L140" s="231">
        <f>L138+L139</f>
        <v>14572474.130000001</v>
      </c>
    </row>
    <row r="141" spans="1:12" ht="14.25" x14ac:dyDescent="0.2">
      <c r="A141" s="40"/>
      <c r="B141" s="40"/>
      <c r="C141" s="40"/>
      <c r="D141" s="233"/>
      <c r="E141" s="233"/>
      <c r="F141" s="233"/>
      <c r="G141" s="234"/>
      <c r="H141" s="234"/>
      <c r="I141" s="235"/>
      <c r="J141" s="236"/>
      <c r="K141"/>
      <c r="L141" s="237"/>
    </row>
    <row r="142" spans="1:12" ht="14.25" x14ac:dyDescent="0.2">
      <c r="A142" s="40"/>
      <c r="B142" s="40"/>
      <c r="C142" s="40"/>
      <c r="D142" s="874" t="s">
        <v>276</v>
      </c>
      <c r="E142" s="874"/>
      <c r="F142" s="874"/>
      <c r="G142" s="238"/>
      <c r="H142" s="238"/>
      <c r="I142" s="238"/>
      <c r="J142" s="238"/>
      <c r="K142" s="876">
        <f>L132*0.975</f>
        <v>13345758.26</v>
      </c>
      <c r="L142" s="876"/>
    </row>
    <row r="143" spans="1:12" ht="14.25" x14ac:dyDescent="0.2">
      <c r="A143" s="40"/>
      <c r="B143" s="40"/>
      <c r="C143" s="40"/>
      <c r="D143" s="872" t="s">
        <v>277</v>
      </c>
      <c r="E143" s="872"/>
      <c r="F143" s="872"/>
      <c r="G143" s="224"/>
      <c r="H143" s="224"/>
      <c r="I143" s="224"/>
      <c r="J143" s="224"/>
      <c r="K143" s="869">
        <f>L133*0.975</f>
        <v>13345758.26</v>
      </c>
      <c r="L143" s="869"/>
    </row>
    <row r="144" spans="1:12" ht="15.75" customHeight="1" x14ac:dyDescent="0.2">
      <c r="A144" s="40"/>
      <c r="B144" s="40"/>
      <c r="C144" s="40"/>
      <c r="D144" s="872" t="s">
        <v>278</v>
      </c>
      <c r="E144" s="872"/>
      <c r="F144" s="872"/>
      <c r="G144" s="224"/>
      <c r="H144" s="224"/>
      <c r="I144" s="224"/>
      <c r="J144" s="224"/>
      <c r="K144" s="869">
        <f>L134*0.975</f>
        <v>758046.49</v>
      </c>
      <c r="L144" s="869"/>
    </row>
    <row r="145" spans="1:12" ht="15" customHeight="1" x14ac:dyDescent="0.2">
      <c r="A145" s="40"/>
      <c r="B145" s="40"/>
      <c r="C145" s="40"/>
      <c r="D145" s="872" t="s">
        <v>279</v>
      </c>
      <c r="E145" s="872"/>
      <c r="F145" s="872"/>
      <c r="G145" s="224"/>
      <c r="H145" s="224"/>
      <c r="I145" s="224"/>
      <c r="J145" s="224"/>
      <c r="K145" s="869">
        <f>L135*0.975</f>
        <v>10535645.93</v>
      </c>
      <c r="L145" s="869"/>
    </row>
    <row r="146" spans="1:12" ht="14.25" x14ac:dyDescent="0.2">
      <c r="A146" s="40"/>
      <c r="B146" s="40"/>
      <c r="C146" s="40"/>
      <c r="D146" s="872" t="s">
        <v>280</v>
      </c>
      <c r="E146" s="872"/>
      <c r="F146" s="872"/>
      <c r="G146" s="224"/>
      <c r="H146" s="224"/>
      <c r="I146" s="224"/>
      <c r="J146" s="224"/>
      <c r="K146" s="869">
        <v>0</v>
      </c>
      <c r="L146" s="869"/>
    </row>
    <row r="147" spans="1:12" ht="14.25" x14ac:dyDescent="0.2">
      <c r="A147" s="40"/>
      <c r="B147" s="40"/>
      <c r="C147" s="40"/>
      <c r="D147" s="872" t="s">
        <v>281</v>
      </c>
      <c r="E147" s="872"/>
      <c r="F147" s="872"/>
      <c r="G147" s="224"/>
      <c r="H147" s="224"/>
      <c r="I147" s="224"/>
      <c r="J147" s="224"/>
      <c r="K147" s="869">
        <f>K143*0.0561</f>
        <v>748697.04</v>
      </c>
      <c r="L147" s="869"/>
    </row>
    <row r="148" spans="1:12" ht="15" x14ac:dyDescent="0.25">
      <c r="A148" s="40"/>
      <c r="B148" s="40"/>
      <c r="C148" s="40"/>
      <c r="D148" s="873" t="s">
        <v>282</v>
      </c>
      <c r="E148" s="873"/>
      <c r="F148" s="873"/>
      <c r="G148" s="228"/>
      <c r="H148" s="228"/>
      <c r="I148" s="228"/>
      <c r="J148" s="228"/>
      <c r="K148" s="870">
        <f>ROUND(K143+K147,2)</f>
        <v>14094455.300000001</v>
      </c>
      <c r="L148" s="870"/>
    </row>
    <row r="149" spans="1:12" ht="15" x14ac:dyDescent="0.25">
      <c r="A149" s="40"/>
      <c r="B149" s="40"/>
      <c r="C149" s="40"/>
      <c r="D149" s="872" t="s">
        <v>283</v>
      </c>
      <c r="E149" s="872"/>
      <c r="F149" s="872"/>
      <c r="G149" s="224"/>
      <c r="H149" s="224"/>
      <c r="I149" s="224"/>
      <c r="J149" s="224"/>
      <c r="K149" s="870">
        <f>L139*0.975</f>
        <v>113706.98</v>
      </c>
      <c r="L149" s="870"/>
    </row>
    <row r="150" spans="1:12" ht="15" customHeight="1" x14ac:dyDescent="0.25">
      <c r="A150" s="40"/>
      <c r="B150" s="40"/>
      <c r="C150" s="40"/>
      <c r="D150" s="873" t="s">
        <v>275</v>
      </c>
      <c r="E150" s="873"/>
      <c r="F150" s="873"/>
      <c r="G150" s="228"/>
      <c r="H150" s="228"/>
      <c r="I150" s="228"/>
      <c r="J150" s="228"/>
      <c r="K150" s="231"/>
      <c r="L150" s="231">
        <f>K148+K149</f>
        <v>14208162.279999999</v>
      </c>
    </row>
    <row r="151" spans="1:12" ht="15" x14ac:dyDescent="0.25">
      <c r="A151" s="40"/>
      <c r="B151" s="40"/>
      <c r="C151" s="40"/>
      <c r="D151" s="240"/>
      <c r="E151" s="241"/>
      <c r="F151" s="241"/>
      <c r="G151" s="241"/>
      <c r="H151" s="241"/>
      <c r="I151" s="242"/>
      <c r="J151" s="242"/>
      <c r="K151" s="242"/>
      <c r="L151" s="242"/>
    </row>
    <row r="152" spans="1:12" ht="14.25" customHeight="1" x14ac:dyDescent="0.2">
      <c r="A152" s="40"/>
      <c r="B152" s="40"/>
      <c r="C152" s="40"/>
      <c r="D152" s="874" t="s">
        <v>284</v>
      </c>
      <c r="E152" s="874"/>
      <c r="F152" s="874"/>
      <c r="G152" s="238"/>
      <c r="H152" s="238"/>
      <c r="I152" s="238"/>
      <c r="J152" s="238"/>
      <c r="K152" s="216"/>
      <c r="L152" s="239">
        <f>K142*0.998999999999673</f>
        <v>13332412.5</v>
      </c>
    </row>
    <row r="153" spans="1:12" ht="14.25" x14ac:dyDescent="0.2">
      <c r="A153" s="42"/>
      <c r="B153" s="42"/>
      <c r="C153" s="42"/>
      <c r="D153" s="872" t="s">
        <v>285</v>
      </c>
      <c r="E153" s="872"/>
      <c r="F153" s="872"/>
      <c r="G153" s="224"/>
      <c r="H153" s="224"/>
      <c r="I153" s="224"/>
      <c r="J153" s="224"/>
      <c r="K153" s="223"/>
      <c r="L153" s="227">
        <f>K143*0.998999999999673</f>
        <v>13332412.5</v>
      </c>
    </row>
    <row r="154" spans="1:12" ht="14.25" customHeight="1" x14ac:dyDescent="0.2">
      <c r="D154" s="872" t="s">
        <v>286</v>
      </c>
      <c r="E154" s="872"/>
      <c r="F154" s="872"/>
      <c r="G154" s="224"/>
      <c r="H154" s="224"/>
      <c r="I154" s="224"/>
      <c r="J154" s="224"/>
      <c r="K154" s="223"/>
      <c r="L154" s="227">
        <f>K144*0.998999999999673</f>
        <v>757288.44</v>
      </c>
    </row>
    <row r="155" spans="1:12" ht="15.75" customHeight="1" x14ac:dyDescent="0.2">
      <c r="D155" s="872" t="s">
        <v>287</v>
      </c>
      <c r="E155" s="872"/>
      <c r="F155" s="872"/>
      <c r="G155" s="224"/>
      <c r="H155" s="224"/>
      <c r="I155" s="224"/>
      <c r="J155" s="224"/>
      <c r="K155" s="223"/>
      <c r="L155" s="227">
        <f>K145*0.998999999999673</f>
        <v>10525110.279999999</v>
      </c>
    </row>
    <row r="156" spans="1:12" ht="14.25" x14ac:dyDescent="0.2">
      <c r="D156" s="872" t="s">
        <v>288</v>
      </c>
      <c r="E156" s="872"/>
      <c r="F156" s="872"/>
      <c r="G156" s="224"/>
      <c r="H156" s="224"/>
      <c r="I156" s="224"/>
      <c r="J156" s="224"/>
      <c r="K156" s="223"/>
      <c r="L156" s="227">
        <v>0</v>
      </c>
    </row>
    <row r="157" spans="1:12" ht="15" customHeight="1" x14ac:dyDescent="0.2">
      <c r="D157" s="872" t="s">
        <v>289</v>
      </c>
      <c r="E157" s="872"/>
      <c r="F157" s="872"/>
      <c r="G157" s="224"/>
      <c r="H157" s="224"/>
      <c r="I157" s="224"/>
      <c r="J157" s="224"/>
      <c r="K157" s="216"/>
      <c r="L157" s="227">
        <f>L153*0.0561</f>
        <v>747948.34</v>
      </c>
    </row>
    <row r="158" spans="1:12" ht="15" customHeight="1" x14ac:dyDescent="0.25">
      <c r="D158" s="873" t="s">
        <v>290</v>
      </c>
      <c r="E158" s="873"/>
      <c r="F158" s="873"/>
      <c r="G158" s="228"/>
      <c r="H158" s="228"/>
      <c r="I158" s="228"/>
      <c r="J158" s="228"/>
      <c r="K158" s="223"/>
      <c r="L158" s="231">
        <f>ROUND(L153+L157,2)</f>
        <v>14080360.84</v>
      </c>
    </row>
    <row r="159" spans="1:12" ht="15" customHeight="1" x14ac:dyDescent="0.25">
      <c r="D159" s="872" t="s">
        <v>291</v>
      </c>
      <c r="E159" s="872"/>
      <c r="F159" s="872"/>
      <c r="G159" s="224"/>
      <c r="H159" s="224"/>
      <c r="I159" s="224"/>
      <c r="J159" s="224"/>
      <c r="K159" s="223"/>
      <c r="L159" s="231">
        <f>K149*0.998999999999673</f>
        <v>113593.27</v>
      </c>
    </row>
    <row r="160" spans="1:12" ht="15" customHeight="1" x14ac:dyDescent="0.25">
      <c r="D160" s="873" t="s">
        <v>275</v>
      </c>
      <c r="E160" s="873"/>
      <c r="F160" s="873"/>
      <c r="G160" s="228"/>
      <c r="H160" s="228"/>
      <c r="I160" s="228"/>
      <c r="J160" s="228"/>
      <c r="K160" s="223"/>
      <c r="L160" s="231">
        <f>L158+L159</f>
        <v>14193954.109999999</v>
      </c>
    </row>
  </sheetData>
  <mergeCells count="138">
    <mergeCell ref="D153:F153"/>
    <mergeCell ref="D154:F154"/>
    <mergeCell ref="D155:F155"/>
    <mergeCell ref="D157:F157"/>
    <mergeCell ref="D158:F158"/>
    <mergeCell ref="D159:F159"/>
    <mergeCell ref="D160:F160"/>
    <mergeCell ref="D152:F152"/>
    <mergeCell ref="A125:H125"/>
    <mergeCell ref="D149:F149"/>
    <mergeCell ref="D133:F133"/>
    <mergeCell ref="D134:F134"/>
    <mergeCell ref="D139:F139"/>
    <mergeCell ref="D145:F145"/>
    <mergeCell ref="D150:F150"/>
    <mergeCell ref="D156:F156"/>
    <mergeCell ref="D140:F140"/>
    <mergeCell ref="D142:F142"/>
    <mergeCell ref="D143:F143"/>
    <mergeCell ref="D144:F144"/>
    <mergeCell ref="D146:F146"/>
    <mergeCell ref="D147:F147"/>
    <mergeCell ref="D148:F148"/>
    <mergeCell ref="D135:F135"/>
    <mergeCell ref="C7:H7"/>
    <mergeCell ref="C8:H8"/>
    <mergeCell ref="A9:B9"/>
    <mergeCell ref="G17:I17"/>
    <mergeCell ref="J17:L17"/>
    <mergeCell ref="I2:L2"/>
    <mergeCell ref="I3:L3"/>
    <mergeCell ref="J8:L9"/>
    <mergeCell ref="C14:H14"/>
    <mergeCell ref="J14:L15"/>
    <mergeCell ref="C15:H15"/>
    <mergeCell ref="C16:H16"/>
    <mergeCell ref="C9:H9"/>
    <mergeCell ref="C10:H10"/>
    <mergeCell ref="J10:L11"/>
    <mergeCell ref="C11:H11"/>
    <mergeCell ref="C12:H12"/>
    <mergeCell ref="J12:L13"/>
    <mergeCell ref="C13:H13"/>
    <mergeCell ref="I1:L1"/>
    <mergeCell ref="J4:L4"/>
    <mergeCell ref="J5:L5"/>
    <mergeCell ref="J6:L7"/>
    <mergeCell ref="A121:H121"/>
    <mergeCell ref="I121:J121"/>
    <mergeCell ref="K121:L121"/>
    <mergeCell ref="A123:H123"/>
    <mergeCell ref="K127:L127"/>
    <mergeCell ref="A107:L107"/>
    <mergeCell ref="A108:A109"/>
    <mergeCell ref="B108:B109"/>
    <mergeCell ref="I110:J110"/>
    <mergeCell ref="K110:L110"/>
    <mergeCell ref="I82:J82"/>
    <mergeCell ref="K82:L82"/>
    <mergeCell ref="I92:J92"/>
    <mergeCell ref="K92:L92"/>
    <mergeCell ref="I97:J97"/>
    <mergeCell ref="K97:L97"/>
    <mergeCell ref="K80:L80"/>
    <mergeCell ref="A46:L46"/>
    <mergeCell ref="A48:L48"/>
    <mergeCell ref="I58:J58"/>
    <mergeCell ref="D136:F136"/>
    <mergeCell ref="D137:F137"/>
    <mergeCell ref="D138:F138"/>
    <mergeCell ref="K129:L129"/>
    <mergeCell ref="K130:L130"/>
    <mergeCell ref="D132:F132"/>
    <mergeCell ref="A7:B7"/>
    <mergeCell ref="K142:L142"/>
    <mergeCell ref="K143:L143"/>
    <mergeCell ref="A117:A118"/>
    <mergeCell ref="B117:B118"/>
    <mergeCell ref="A101:H101"/>
    <mergeCell ref="I101:J101"/>
    <mergeCell ref="K101:L101"/>
    <mergeCell ref="A103:H103"/>
    <mergeCell ref="I103:J103"/>
    <mergeCell ref="K103:L103"/>
    <mergeCell ref="A111:A112"/>
    <mergeCell ref="B111:B112"/>
    <mergeCell ref="I113:J113"/>
    <mergeCell ref="K113:L113"/>
    <mergeCell ref="A114:A115"/>
    <mergeCell ref="B114:B115"/>
    <mergeCell ref="A105:L105"/>
    <mergeCell ref="K144:L144"/>
    <mergeCell ref="K145:L145"/>
    <mergeCell ref="K146:L146"/>
    <mergeCell ref="K147:L147"/>
    <mergeCell ref="K148:L148"/>
    <mergeCell ref="K149:L149"/>
    <mergeCell ref="K119:L119"/>
    <mergeCell ref="K128:L128"/>
    <mergeCell ref="I116:J116"/>
    <mergeCell ref="K116:L116"/>
    <mergeCell ref="I119:J119"/>
    <mergeCell ref="E28:G28"/>
    <mergeCell ref="G22:G23"/>
    <mergeCell ref="K58:L58"/>
    <mergeCell ref="I63:J63"/>
    <mergeCell ref="K63:L63"/>
    <mergeCell ref="I99:J99"/>
    <mergeCell ref="K99:L99"/>
    <mergeCell ref="G18:H18"/>
    <mergeCell ref="J18:L18"/>
    <mergeCell ref="J19:L19"/>
    <mergeCell ref="J20:L20"/>
    <mergeCell ref="G37:G41"/>
    <mergeCell ref="H37:H41"/>
    <mergeCell ref="I37:I41"/>
    <mergeCell ref="I65:J65"/>
    <mergeCell ref="K65:L65"/>
    <mergeCell ref="H22:H23"/>
    <mergeCell ref="I22:J22"/>
    <mergeCell ref="A26:L26"/>
    <mergeCell ref="A27:L27"/>
    <mergeCell ref="J37:J41"/>
    <mergeCell ref="K37:K41"/>
    <mergeCell ref="L37:L41"/>
    <mergeCell ref="A38:A41"/>
    <mergeCell ref="I75:J75"/>
    <mergeCell ref="K75:L75"/>
    <mergeCell ref="I80:J80"/>
    <mergeCell ref="E29:G29"/>
    <mergeCell ref="A36:L36"/>
    <mergeCell ref="A37:B37"/>
    <mergeCell ref="C37:C41"/>
    <mergeCell ref="D37:D41"/>
    <mergeCell ref="E37:E41"/>
    <mergeCell ref="F37:F41"/>
    <mergeCell ref="B38:B41"/>
    <mergeCell ref="A44:L44"/>
  </mergeCells>
  <pageMargins left="0.4" right="0.2" top="0.2" bottom="0.4" header="0.2" footer="0.2"/>
  <pageSetup paperSize="9" scale="60" fitToHeight="0" orientation="portrait" r:id="rId1"/>
  <headerFooter>
    <oddHeader>&amp;L&amp;8</oddHeader>
    <oddFooter>&amp;R&amp;P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IV74"/>
  <sheetViews>
    <sheetView view="pageBreakPreview" zoomScale="60" zoomScaleNormal="70" workbookViewId="0">
      <selection activeCell="A19" sqref="A19:L19"/>
    </sheetView>
  </sheetViews>
  <sheetFormatPr defaultRowHeight="11.25" x14ac:dyDescent="0.2"/>
  <cols>
    <col min="1" max="2" width="6.6640625" style="718" customWidth="1"/>
    <col min="3" max="3" width="16.6640625" style="718" customWidth="1"/>
    <col min="4" max="4" width="47.5" style="718" customWidth="1"/>
    <col min="5" max="5" width="13.6640625" style="718" customWidth="1"/>
    <col min="6" max="6" width="9.5" style="718" bestFit="1" customWidth="1"/>
    <col min="7" max="7" width="16" style="718" customWidth="1"/>
    <col min="8" max="8" width="19.6640625" style="718" bestFit="1" customWidth="1"/>
    <col min="9" max="9" width="12.6640625" style="718" bestFit="1" customWidth="1"/>
    <col min="10" max="10" width="14.6640625" style="718" customWidth="1"/>
    <col min="11" max="11" width="12.6640625" style="718" bestFit="1" customWidth="1"/>
    <col min="12" max="12" width="18.6640625" style="718" customWidth="1"/>
    <col min="13" max="13" width="16.5" style="718" customWidth="1"/>
    <col min="14" max="36" width="0" style="718" hidden="1" customWidth="1"/>
    <col min="37" max="37" width="157.1640625" style="718" hidden="1" customWidth="1"/>
    <col min="38" max="38" width="117.83203125" style="718" hidden="1" customWidth="1"/>
    <col min="39" max="42" width="0" style="718" hidden="1" customWidth="1"/>
    <col min="43" max="16384" width="9.33203125" style="718"/>
  </cols>
  <sheetData>
    <row r="1" spans="1:12" ht="18.75" x14ac:dyDescent="0.3">
      <c r="A1" s="1052" t="s">
        <v>699</v>
      </c>
      <c r="B1" s="1052"/>
      <c r="C1" s="1052"/>
      <c r="D1" s="1052"/>
      <c r="E1" s="1052"/>
      <c r="F1" s="1052"/>
      <c r="G1" s="1052"/>
      <c r="H1" s="1052"/>
      <c r="I1" s="1052"/>
      <c r="J1" s="1052"/>
      <c r="K1" s="1052"/>
      <c r="L1" s="1052"/>
    </row>
    <row r="2" spans="1:12" ht="15.75" x14ac:dyDescent="0.25">
      <c r="A2" s="1077" t="s">
        <v>452</v>
      </c>
      <c r="B2" s="1077"/>
      <c r="C2" s="1077"/>
      <c r="D2" s="1077"/>
      <c r="E2" s="1077"/>
      <c r="F2" s="1077"/>
      <c r="G2" s="1077"/>
      <c r="H2" s="1077"/>
      <c r="I2" s="1077"/>
      <c r="J2" s="1077"/>
      <c r="K2" s="1077"/>
      <c r="L2" s="1077"/>
    </row>
    <row r="3" spans="1:12" ht="15" x14ac:dyDescent="0.25">
      <c r="A3" s="727"/>
      <c r="B3" s="727"/>
      <c r="C3" s="727"/>
      <c r="D3" s="727"/>
      <c r="E3" s="727"/>
      <c r="F3" s="727"/>
      <c r="G3" s="727"/>
      <c r="H3" s="727"/>
      <c r="I3" s="727"/>
      <c r="J3" s="727"/>
      <c r="K3" s="727"/>
      <c r="L3" s="727"/>
    </row>
    <row r="4" spans="1:12" ht="15" x14ac:dyDescent="0.25">
      <c r="A4" s="727"/>
      <c r="B4" s="727"/>
      <c r="C4" s="731" t="s">
        <v>453</v>
      </c>
      <c r="D4" s="727"/>
      <c r="E4" s="727"/>
      <c r="F4" s="727"/>
      <c r="G4" s="727"/>
      <c r="H4" s="727"/>
      <c r="I4" s="727"/>
      <c r="J4" s="727"/>
      <c r="K4" s="727"/>
      <c r="L4" s="727"/>
    </row>
    <row r="5" spans="1:12" ht="15" x14ac:dyDescent="0.25">
      <c r="A5" s="727"/>
      <c r="B5" s="727"/>
      <c r="C5" s="731" t="s">
        <v>454</v>
      </c>
      <c r="D5" s="727"/>
      <c r="E5" s="727"/>
      <c r="F5" s="727"/>
      <c r="G5" s="727"/>
      <c r="H5" s="727"/>
      <c r="I5" s="727"/>
      <c r="J5" s="727"/>
      <c r="K5" s="727"/>
      <c r="L5" s="727"/>
    </row>
    <row r="6" spans="1:12" ht="51.75" customHeight="1" x14ac:dyDescent="0.25">
      <c r="A6" s="727"/>
      <c r="B6" s="727"/>
      <c r="C6" s="1078" t="s">
        <v>455</v>
      </c>
      <c r="D6" s="1078"/>
      <c r="E6" s="1078"/>
      <c r="F6" s="1078"/>
      <c r="G6" s="1078"/>
      <c r="H6" s="727"/>
      <c r="I6" s="727"/>
      <c r="J6" s="727"/>
      <c r="K6" s="727"/>
      <c r="L6" s="727"/>
    </row>
    <row r="7" spans="1:12" ht="15" x14ac:dyDescent="0.25">
      <c r="A7" s="727"/>
      <c r="B7" s="727"/>
      <c r="C7" s="727"/>
      <c r="D7" s="727"/>
      <c r="E7" s="727"/>
      <c r="F7" s="727"/>
      <c r="G7" s="727"/>
      <c r="H7" s="727"/>
      <c r="I7" s="727"/>
      <c r="J7" s="727"/>
      <c r="K7" s="727"/>
      <c r="L7" s="727"/>
    </row>
    <row r="8" spans="1:12" ht="15" x14ac:dyDescent="0.25">
      <c r="A8" s="1061" t="s">
        <v>456</v>
      </c>
      <c r="B8" s="1061"/>
      <c r="C8" s="1061"/>
      <c r="D8" s="1061"/>
      <c r="E8" s="1061"/>
      <c r="F8" s="1061"/>
      <c r="G8" s="1061"/>
      <c r="H8" s="1061"/>
      <c r="I8" s="1061"/>
      <c r="J8" s="1061"/>
      <c r="K8" s="1061"/>
      <c r="L8" s="1061"/>
    </row>
    <row r="9" spans="1:12" ht="15" x14ac:dyDescent="0.2">
      <c r="A9" s="1065" t="s">
        <v>67</v>
      </c>
      <c r="B9" s="1065"/>
      <c r="C9" s="1065" t="s">
        <v>68</v>
      </c>
      <c r="D9" s="1065" t="s">
        <v>69</v>
      </c>
      <c r="E9" s="1065" t="s">
        <v>70</v>
      </c>
      <c r="F9" s="1065" t="s">
        <v>457</v>
      </c>
      <c r="G9" s="1065" t="s">
        <v>458</v>
      </c>
      <c r="H9" s="1062" t="s">
        <v>459</v>
      </c>
      <c r="I9" s="1062" t="s">
        <v>460</v>
      </c>
      <c r="J9" s="1065" t="s">
        <v>461</v>
      </c>
      <c r="K9" s="1065" t="s">
        <v>462</v>
      </c>
      <c r="L9" s="1065" t="s">
        <v>463</v>
      </c>
    </row>
    <row r="10" spans="1:12" x14ac:dyDescent="0.2">
      <c r="A10" s="1062" t="s">
        <v>78</v>
      </c>
      <c r="B10" s="1062" t="s">
        <v>79</v>
      </c>
      <c r="C10" s="1065"/>
      <c r="D10" s="1065"/>
      <c r="E10" s="1065"/>
      <c r="F10" s="1065"/>
      <c r="G10" s="1065"/>
      <c r="H10" s="1063"/>
      <c r="I10" s="1063"/>
      <c r="J10" s="1065"/>
      <c r="K10" s="1065"/>
      <c r="L10" s="1065"/>
    </row>
    <row r="11" spans="1:12" x14ac:dyDescent="0.2">
      <c r="A11" s="1063"/>
      <c r="B11" s="1063"/>
      <c r="C11" s="1065"/>
      <c r="D11" s="1065"/>
      <c r="E11" s="1065"/>
      <c r="F11" s="1065"/>
      <c r="G11" s="1065"/>
      <c r="H11" s="1063"/>
      <c r="I11" s="1063"/>
      <c r="J11" s="1065"/>
      <c r="K11" s="1065"/>
      <c r="L11" s="1065"/>
    </row>
    <row r="12" spans="1:12" x14ac:dyDescent="0.2">
      <c r="A12" s="1063"/>
      <c r="B12" s="1063"/>
      <c r="C12" s="1065"/>
      <c r="D12" s="1065"/>
      <c r="E12" s="1065"/>
      <c r="F12" s="1065"/>
      <c r="G12" s="1065"/>
      <c r="H12" s="1063"/>
      <c r="I12" s="1063"/>
      <c r="J12" s="1065"/>
      <c r="K12" s="1065"/>
      <c r="L12" s="1065"/>
    </row>
    <row r="13" spans="1:12" x14ac:dyDescent="0.2">
      <c r="A13" s="1063"/>
      <c r="B13" s="1063"/>
      <c r="C13" s="1065"/>
      <c r="D13" s="1065"/>
      <c r="E13" s="1065"/>
      <c r="F13" s="1065"/>
      <c r="G13" s="1065"/>
      <c r="H13" s="1063"/>
      <c r="I13" s="1063"/>
      <c r="J13" s="1065"/>
      <c r="K13" s="1065"/>
      <c r="L13" s="1065"/>
    </row>
    <row r="14" spans="1:12" x14ac:dyDescent="0.2">
      <c r="A14" s="1064"/>
      <c r="B14" s="1064"/>
      <c r="C14" s="1065"/>
      <c r="D14" s="1065"/>
      <c r="E14" s="1065"/>
      <c r="F14" s="1065"/>
      <c r="G14" s="1065"/>
      <c r="H14" s="1064"/>
      <c r="I14" s="1064"/>
      <c r="J14" s="1065"/>
      <c r="K14" s="1065"/>
      <c r="L14" s="1065"/>
    </row>
    <row r="15" spans="1:12" ht="15" x14ac:dyDescent="0.2">
      <c r="A15" s="689">
        <v>1</v>
      </c>
      <c r="B15" s="689">
        <v>2</v>
      </c>
      <c r="C15" s="689">
        <v>3</v>
      </c>
      <c r="D15" s="689">
        <v>4</v>
      </c>
      <c r="E15" s="689">
        <v>5</v>
      </c>
      <c r="F15" s="689">
        <v>6</v>
      </c>
      <c r="G15" s="689">
        <v>7</v>
      </c>
      <c r="H15" s="689">
        <v>8</v>
      </c>
      <c r="I15" s="689">
        <v>9</v>
      </c>
      <c r="J15" s="689">
        <v>10</v>
      </c>
      <c r="K15" s="689">
        <v>11</v>
      </c>
      <c r="L15" s="689">
        <v>12</v>
      </c>
    </row>
    <row r="17" spans="1:27" hidden="1" x14ac:dyDescent="0.2">
      <c r="A17" s="718" t="s">
        <v>139</v>
      </c>
      <c r="I17" s="718" t="e">
        <f>SUM(#REF!)</f>
        <v>#REF!</v>
      </c>
      <c r="K17" s="718" t="e">
        <f>SUM(#REF!)</f>
        <v>#REF!</v>
      </c>
    </row>
    <row r="18" spans="1:27" hidden="1" x14ac:dyDescent="0.2">
      <c r="A18" s="718" t="s">
        <v>140</v>
      </c>
      <c r="I18" s="718">
        <f>SUM(AE17:AE17)</f>
        <v>0</v>
      </c>
      <c r="K18" s="718">
        <f>SUM(AF17:AF17)</f>
        <v>0</v>
      </c>
    </row>
    <row r="19" spans="1:27" ht="16.5" x14ac:dyDescent="0.25">
      <c r="A19" s="1066" t="str">
        <f>CONCATENATE("Подраздел: ",IF([98]Source!G2454&lt;&gt;"Новый подраздел", [98]Source!G2454, ""))</f>
        <v>Подраздел: Дополнительные материалы и оборудование</v>
      </c>
      <c r="B19" s="1066"/>
      <c r="C19" s="1066"/>
      <c r="D19" s="1066"/>
      <c r="E19" s="1066"/>
      <c r="F19" s="1066"/>
      <c r="G19" s="1066"/>
      <c r="H19" s="1066"/>
      <c r="I19" s="1066"/>
      <c r="J19" s="1066"/>
      <c r="K19" s="1066"/>
      <c r="L19" s="1066"/>
    </row>
    <row r="20" spans="1:27" ht="45" x14ac:dyDescent="0.25">
      <c r="A20" s="691">
        <v>1</v>
      </c>
      <c r="B20" s="691" t="str">
        <f>[98]Source!E2509</f>
        <v>339</v>
      </c>
      <c r="C20" s="692" t="str">
        <f>[98]Source!F2509</f>
        <v>3.20-11-15</v>
      </c>
      <c r="D20" s="692" t="s">
        <v>490</v>
      </c>
      <c r="E20" s="693" t="str">
        <f>[98]Source!H2509</f>
        <v>1 клапан</v>
      </c>
      <c r="F20" s="694">
        <f>[98]Source!I2509</f>
        <v>3</v>
      </c>
      <c r="G20" s="695"/>
      <c r="H20" s="696"/>
      <c r="I20" s="694"/>
      <c r="J20" s="697"/>
      <c r="K20" s="694"/>
      <c r="L20" s="697"/>
      <c r="Q20" s="718">
        <f>ROUND(([98]Source!DN2509/100)*ROUND((ROUND(([98]Source!AF2509*[98]Source!AV2509*[98]Source!I2509),2)),2), 2)</f>
        <v>331.73</v>
      </c>
      <c r="R20" s="718">
        <f>[98]Source!X2509</f>
        <v>6430.16</v>
      </c>
      <c r="S20" s="718">
        <f>ROUND(([98]Source!DO2509/100)*ROUND((ROUND(([98]Source!AF2509*[98]Source!AV2509*[98]Source!I2509),2)),2), 2)</f>
        <v>249.46</v>
      </c>
      <c r="T20" s="718">
        <f>[98]Source!Y2509</f>
        <v>2893.57</v>
      </c>
      <c r="U20" s="718">
        <f>ROUND((175/100)*ROUND((ROUND(([98]Source!AE2509*[98]Source!AV2509*[98]Source!I2509),2)),2), 2)</f>
        <v>3.43</v>
      </c>
      <c r="V20" s="718">
        <f>ROUND((157/100)*ROUND(ROUND((ROUND(([98]Source!AE2509*[98]Source!AV2509*[98]Source!I2509),2)*[98]Source!BS2509),2), 2), 2)</f>
        <v>74.56</v>
      </c>
    </row>
    <row r="21" spans="1:27" ht="15" x14ac:dyDescent="0.25">
      <c r="A21" s="691"/>
      <c r="B21" s="691"/>
      <c r="C21" s="692"/>
      <c r="D21" s="692" t="s">
        <v>84</v>
      </c>
      <c r="E21" s="693"/>
      <c r="F21" s="694"/>
      <c r="G21" s="695">
        <f>[98]Source!AO2509</f>
        <v>47.28</v>
      </c>
      <c r="H21" s="696" t="str">
        <f>[98]Source!DG2509</f>
        <v>)*1,05)*1,67</v>
      </c>
      <c r="I21" s="694">
        <f>[98]Source!AV2509</f>
        <v>1.0669999999999999</v>
      </c>
      <c r="J21" s="697">
        <f>ROUND((ROUND(([98]Source!AF2509*[98]Source!AV2509*[98]Source!I2509),2)),2)</f>
        <v>265.38</v>
      </c>
      <c r="K21" s="694">
        <f>IF([98]Source!BA2509&lt;&gt; 0, [98]Source!BA2509, 1)</f>
        <v>24.23</v>
      </c>
      <c r="L21" s="697">
        <f>[98]Source!S2509</f>
        <v>6430.16</v>
      </c>
      <c r="W21" s="718">
        <f>J21</f>
        <v>265.38</v>
      </c>
    </row>
    <row r="22" spans="1:27" ht="15" x14ac:dyDescent="0.25">
      <c r="A22" s="691"/>
      <c r="B22" s="691"/>
      <c r="C22" s="692"/>
      <c r="D22" s="692" t="s">
        <v>85</v>
      </c>
      <c r="E22" s="693"/>
      <c r="F22" s="694"/>
      <c r="G22" s="695">
        <f>[98]Source!AM2509</f>
        <v>1.49</v>
      </c>
      <c r="H22" s="696" t="str">
        <f>[98]Source!DE2509</f>
        <v>)*1,05</v>
      </c>
      <c r="I22" s="694">
        <f>[98]Source!AV2509</f>
        <v>1.0669999999999999</v>
      </c>
      <c r="J22" s="697">
        <f>(ROUND((ROUND(((([98]Source!ET2509*1.05))*[98]Source!AV2509*[98]Source!I2509),2)),2)+ROUND((ROUND((([98]Source!AE2509-(([98]Source!EU2509*1.05)))*[98]Source!AV2509*[98]Source!I2509),2)),2))-J31</f>
        <v>5.01</v>
      </c>
      <c r="K22" s="694">
        <f>IF([98]Source!BB2509&lt;&gt; 0, [98]Source!BB2509, 1)</f>
        <v>9.9499999999999993</v>
      </c>
      <c r="L22" s="697">
        <f>[98]Source!Q2509-L31</f>
        <v>49.89</v>
      </c>
    </row>
    <row r="23" spans="1:27" ht="15" x14ac:dyDescent="0.25">
      <c r="A23" s="691"/>
      <c r="B23" s="691"/>
      <c r="C23" s="692"/>
      <c r="D23" s="692" t="s">
        <v>86</v>
      </c>
      <c r="E23" s="693"/>
      <c r="F23" s="694"/>
      <c r="G23" s="695">
        <f>[98]Source!AN2509</f>
        <v>0.35</v>
      </c>
      <c r="H23" s="696" t="str">
        <f>[98]Source!DE2509</f>
        <v>)*1,05</v>
      </c>
      <c r="I23" s="694">
        <f>[98]Source!AV2509</f>
        <v>1.0669999999999999</v>
      </c>
      <c r="J23" s="700">
        <f>ROUND((ROUND(([98]Source!AE2509*[98]Source!AV2509*[98]Source!I2509),2)),2)-J32</f>
        <v>1.17</v>
      </c>
      <c r="K23" s="694">
        <f>IF([98]Source!BS2509&lt;&gt; 0, [98]Source!BS2509, 1)</f>
        <v>24.23</v>
      </c>
      <c r="L23" s="700">
        <f>[98]Source!R2509-L32</f>
        <v>28.39</v>
      </c>
      <c r="W23" s="718">
        <f>J23</f>
        <v>1.17</v>
      </c>
    </row>
    <row r="24" spans="1:27" ht="15" x14ac:dyDescent="0.25">
      <c r="A24" s="691"/>
      <c r="B24" s="691"/>
      <c r="C24" s="692"/>
      <c r="D24" s="692" t="s">
        <v>87</v>
      </c>
      <c r="E24" s="693"/>
      <c r="F24" s="694"/>
      <c r="G24" s="695">
        <f>[98]Source!AL2509</f>
        <v>15.67</v>
      </c>
      <c r="H24" s="696" t="str">
        <f>[98]Source!DD2509</f>
        <v/>
      </c>
      <c r="I24" s="694">
        <f>[98]Source!AW2509</f>
        <v>1</v>
      </c>
      <c r="J24" s="697">
        <f>ROUND((ROUND(([98]Source!AC2509*[98]Source!AW2509*[98]Source!I2509),2)),2)</f>
        <v>47.01</v>
      </c>
      <c r="K24" s="694">
        <f>IF([98]Source!BC2509&lt;&gt; 0, [98]Source!BC2509, 1)</f>
        <v>8.25</v>
      </c>
      <c r="L24" s="697">
        <f>[98]Source!P2509</f>
        <v>387.83</v>
      </c>
    </row>
    <row r="25" spans="1:27" ht="15" x14ac:dyDescent="0.25">
      <c r="A25" s="691"/>
      <c r="B25" s="691"/>
      <c r="C25" s="692"/>
      <c r="D25" s="692" t="s">
        <v>88</v>
      </c>
      <c r="E25" s="693" t="s">
        <v>89</v>
      </c>
      <c r="F25" s="694">
        <f>[98]Source!DN2509</f>
        <v>125</v>
      </c>
      <c r="G25" s="695"/>
      <c r="H25" s="696"/>
      <c r="I25" s="694"/>
      <c r="J25" s="697">
        <f>SUM(Q20:Q24)</f>
        <v>331.73</v>
      </c>
      <c r="K25" s="694">
        <f>[98]Source!BZ2509</f>
        <v>100</v>
      </c>
      <c r="L25" s="697">
        <f>SUM(R20:R24)</f>
        <v>6430.16</v>
      </c>
    </row>
    <row r="26" spans="1:27" ht="15" x14ac:dyDescent="0.25">
      <c r="A26" s="691"/>
      <c r="B26" s="691"/>
      <c r="C26" s="692"/>
      <c r="D26" s="692" t="s">
        <v>90</v>
      </c>
      <c r="E26" s="693" t="s">
        <v>89</v>
      </c>
      <c r="F26" s="694">
        <f>[98]Source!DO2509</f>
        <v>94</v>
      </c>
      <c r="G26" s="695"/>
      <c r="H26" s="696"/>
      <c r="I26" s="694"/>
      <c r="J26" s="697">
        <f>SUM(S20:S25)</f>
        <v>249.46</v>
      </c>
      <c r="K26" s="694">
        <f>[98]Source!CA2509</f>
        <v>45</v>
      </c>
      <c r="L26" s="697">
        <f>SUM(T20:T25)</f>
        <v>2893.57</v>
      </c>
    </row>
    <row r="27" spans="1:27" ht="15" x14ac:dyDescent="0.25">
      <c r="A27" s="691"/>
      <c r="B27" s="691"/>
      <c r="C27" s="692"/>
      <c r="D27" s="692" t="s">
        <v>91</v>
      </c>
      <c r="E27" s="693" t="s">
        <v>89</v>
      </c>
      <c r="F27" s="694">
        <f>175</f>
        <v>175</v>
      </c>
      <c r="G27" s="695"/>
      <c r="H27" s="696"/>
      <c r="I27" s="694"/>
      <c r="J27" s="697">
        <f>SUM(U20:U26)-J33</f>
        <v>2.0499999999999998</v>
      </c>
      <c r="K27" s="694">
        <f>157</f>
        <v>157</v>
      </c>
      <c r="L27" s="697">
        <f>SUM(V20:V26)-L33</f>
        <v>44.57</v>
      </c>
    </row>
    <row r="28" spans="1:27" ht="15" x14ac:dyDescent="0.25">
      <c r="A28" s="691"/>
      <c r="B28" s="691"/>
      <c r="C28" s="692"/>
      <c r="D28" s="692" t="s">
        <v>92</v>
      </c>
      <c r="E28" s="693" t="s">
        <v>93</v>
      </c>
      <c r="F28" s="694">
        <f>[98]Source!AQ2509</f>
        <v>4.0199999999999996</v>
      </c>
      <c r="G28" s="695"/>
      <c r="H28" s="696" t="str">
        <f>[98]Source!DI2509</f>
        <v>)*1,05</v>
      </c>
      <c r="I28" s="694">
        <f>[98]Source!AV2509</f>
        <v>1.0669999999999999</v>
      </c>
      <c r="J28" s="697">
        <f>[98]Source!U2509</f>
        <v>13.51</v>
      </c>
      <c r="K28" s="694"/>
      <c r="L28" s="697"/>
    </row>
    <row r="29" spans="1:27" ht="14.25" x14ac:dyDescent="0.2">
      <c r="I29" s="1067">
        <f>J21+J22+J24+J25+J26+J27</f>
        <v>900.64</v>
      </c>
      <c r="J29" s="1067"/>
      <c r="K29" s="1067">
        <f>L21+L22+L24+L25+L26+L27</f>
        <v>16236.18</v>
      </c>
      <c r="L29" s="1067"/>
      <c r="O29" s="736">
        <f>J21+J22+J24+J25+J26+J27</f>
        <v>900.64</v>
      </c>
      <c r="P29" s="736">
        <f>L21+L22+L24+L25+L26+L27</f>
        <v>16236.18</v>
      </c>
      <c r="X29" s="718">
        <f>IF([98]Source!BI2509&lt;=1,J21+J22+J24+J25+J26+J27-0, 0)</f>
        <v>900.64</v>
      </c>
      <c r="Y29" s="718">
        <f>IF([98]Source!BI2509=2,J21+J22+J24+J25+J26+J27-0, 0)</f>
        <v>0</v>
      </c>
      <c r="Z29" s="718">
        <f>IF([98]Source!BI2509=3,J21+J22+J24+J25+J26+J27-0, 0)</f>
        <v>0</v>
      </c>
      <c r="AA29" s="718">
        <f>IF([98]Source!BI2509=4,J21+J22+J24+J25+J26+J27,0)</f>
        <v>0</v>
      </c>
    </row>
    <row r="30" spans="1:27" ht="30" x14ac:dyDescent="0.25">
      <c r="A30" s="701"/>
      <c r="B30" s="701"/>
      <c r="C30" s="702"/>
      <c r="D30" s="702" t="s">
        <v>94</v>
      </c>
      <c r="E30" s="693"/>
      <c r="F30" s="703"/>
      <c r="G30" s="704"/>
      <c r="H30" s="693"/>
      <c r="I30" s="703"/>
      <c r="J30" s="700"/>
      <c r="K30" s="703"/>
      <c r="L30" s="700"/>
    </row>
    <row r="31" spans="1:27" ht="15" x14ac:dyDescent="0.25">
      <c r="A31" s="701"/>
      <c r="B31" s="701"/>
      <c r="C31" s="702"/>
      <c r="D31" s="702" t="s">
        <v>85</v>
      </c>
      <c r="E31" s="693"/>
      <c r="F31" s="703"/>
      <c r="G31" s="704">
        <f t="shared" ref="G31:L31" si="0">G32</f>
        <v>0.35</v>
      </c>
      <c r="H31" s="705" t="str">
        <f t="shared" si="0"/>
        <v>)*(1.67-1)*1.05</v>
      </c>
      <c r="I31" s="703">
        <f t="shared" si="0"/>
        <v>1.0669999999999999</v>
      </c>
      <c r="J31" s="700">
        <f t="shared" si="0"/>
        <v>0.79</v>
      </c>
      <c r="K31" s="703">
        <f t="shared" si="0"/>
        <v>24.23</v>
      </c>
      <c r="L31" s="700">
        <f t="shared" si="0"/>
        <v>19.100000000000001</v>
      </c>
    </row>
    <row r="32" spans="1:27" ht="15" x14ac:dyDescent="0.25">
      <c r="A32" s="701"/>
      <c r="B32" s="701"/>
      <c r="C32" s="702"/>
      <c r="D32" s="702" t="s">
        <v>86</v>
      </c>
      <c r="E32" s="693"/>
      <c r="F32" s="703"/>
      <c r="G32" s="704">
        <f>[98]Source!AN2509</f>
        <v>0.35</v>
      </c>
      <c r="H32" s="705" t="s">
        <v>491</v>
      </c>
      <c r="I32" s="703">
        <f>[98]Source!AV2509</f>
        <v>1.0669999999999999</v>
      </c>
      <c r="J32" s="700">
        <f>ROUND(F20*G32*I32*(1.67-1)*1.05, 2)</f>
        <v>0.79</v>
      </c>
      <c r="K32" s="703">
        <f>IF([98]Source!BS2509&lt;&gt; 0, [98]Source!BS2509, 1)</f>
        <v>24.23</v>
      </c>
      <c r="L32" s="700">
        <f>ROUND(F20*G32*I32*(1.67-1)*1.05*K32, 2)</f>
        <v>19.100000000000001</v>
      </c>
      <c r="W32" s="718">
        <f>J32</f>
        <v>0.79</v>
      </c>
    </row>
    <row r="33" spans="1:27" ht="15" x14ac:dyDescent="0.25">
      <c r="A33" s="701"/>
      <c r="B33" s="701"/>
      <c r="C33" s="702"/>
      <c r="D33" s="702" t="s">
        <v>91</v>
      </c>
      <c r="E33" s="693" t="s">
        <v>89</v>
      </c>
      <c r="F33" s="703">
        <f>175</f>
        <v>175</v>
      </c>
      <c r="G33" s="704"/>
      <c r="H33" s="693"/>
      <c r="I33" s="703"/>
      <c r="J33" s="700">
        <f>ROUND(J32*(F33/100), 2)</f>
        <v>1.38</v>
      </c>
      <c r="K33" s="703">
        <f>157</f>
        <v>157</v>
      </c>
      <c r="L33" s="700">
        <f>ROUND(L32*(K33/100), 2)</f>
        <v>29.99</v>
      </c>
    </row>
    <row r="34" spans="1:27" ht="14.25" x14ac:dyDescent="0.2">
      <c r="I34" s="1067">
        <f>J33+J32</f>
        <v>2.17</v>
      </c>
      <c r="J34" s="1067"/>
      <c r="K34" s="1067">
        <f>L33+L32</f>
        <v>49.09</v>
      </c>
      <c r="L34" s="1067"/>
      <c r="O34" s="736">
        <f>I34</f>
        <v>2.17</v>
      </c>
      <c r="P34" s="736">
        <f>K34</f>
        <v>49.09</v>
      </c>
      <c r="X34" s="718">
        <f>IF([98]Source!BI2509&lt;=1,I34, 0)</f>
        <v>2.17</v>
      </c>
      <c r="Y34" s="718">
        <f>IF([98]Source!BI2509=2,I34, 0)</f>
        <v>0</v>
      </c>
      <c r="Z34" s="718">
        <f>IF([98]Source!BI2509=3,I34, 0)</f>
        <v>0</v>
      </c>
      <c r="AA34" s="718">
        <f>IF([98]Source!BI2509=4,I34, 0)</f>
        <v>0</v>
      </c>
    </row>
    <row r="36" spans="1:27" ht="15" x14ac:dyDescent="0.25">
      <c r="A36" s="706"/>
      <c r="B36" s="706"/>
      <c r="C36" s="707"/>
      <c r="D36" s="707" t="s">
        <v>96</v>
      </c>
      <c r="E36" s="708"/>
      <c r="F36" s="709"/>
      <c r="G36" s="710"/>
      <c r="H36" s="711"/>
      <c r="I36" s="1067">
        <f>I29+I34</f>
        <v>902.81</v>
      </c>
      <c r="J36" s="1067"/>
      <c r="K36" s="1067">
        <f>K29+K34</f>
        <v>16285.27</v>
      </c>
      <c r="L36" s="1067"/>
    </row>
    <row r="37" spans="1:27" ht="240" x14ac:dyDescent="0.25">
      <c r="A37" s="691">
        <v>2</v>
      </c>
      <c r="B37" s="691" t="str">
        <f>[98]Source!E2547</f>
        <v>358</v>
      </c>
      <c r="C37" s="692" t="str">
        <f>[98]Source!F2547</f>
        <v>МКЭ-33-1714/7-1 от 14.09.2017г.</v>
      </c>
      <c r="D37" s="692" t="s">
        <v>538</v>
      </c>
      <c r="E37" s="693" t="str">
        <f>[98]Source!H2547</f>
        <v>шт.</v>
      </c>
      <c r="F37" s="694">
        <f>[98]Source!I2547</f>
        <v>3</v>
      </c>
      <c r="G37" s="697">
        <f>J37/F37</f>
        <v>2713.2</v>
      </c>
      <c r="H37" s="696" t="str">
        <f>[98]Source!DD2547</f>
        <v/>
      </c>
      <c r="I37" s="694">
        <f>[98]Source!AW2547</f>
        <v>1</v>
      </c>
      <c r="J37" s="697">
        <f>L37/K37</f>
        <v>8139.61</v>
      </c>
      <c r="K37" s="694">
        <v>5.58</v>
      </c>
      <c r="L37" s="697">
        <f>14842.81*1.02*F37</f>
        <v>45419</v>
      </c>
      <c r="Q37" s="718">
        <f>ROUND(([98]Source!DN2547/100)*ROUND((ROUND(([98]Source!AF2547*[98]Source!AV2547*[98]Source!I2547),2)),2), 2)</f>
        <v>0</v>
      </c>
      <c r="R37" s="718">
        <f>[98]Source!X2547</f>
        <v>0</v>
      </c>
      <c r="S37" s="718">
        <f>ROUND(([98]Source!DO2547/100)*ROUND((ROUND(([98]Source!AF2547*[98]Source!AV2547*[98]Source!I2547),2)),2), 2)</f>
        <v>0</v>
      </c>
      <c r="T37" s="718">
        <f>[98]Source!Y2547</f>
        <v>0</v>
      </c>
      <c r="U37" s="718">
        <f>ROUND((175/100)*ROUND((ROUND(([98]Source!AE2547*[98]Source!AV2547*[98]Source!I2547),2)),2), 2)</f>
        <v>0</v>
      </c>
      <c r="V37" s="718">
        <f>ROUND((157/100)*ROUND(ROUND((ROUND(([98]Source!AE2547*[98]Source!AV2547*[98]Source!I2547),2)*[98]Source!BS2547),2), 2), 2)</f>
        <v>0</v>
      </c>
    </row>
    <row r="38" spans="1:27" ht="14.25" x14ac:dyDescent="0.2">
      <c r="A38" s="737"/>
      <c r="B38" s="737"/>
      <c r="C38" s="737"/>
      <c r="D38" s="737"/>
      <c r="E38" s="737"/>
      <c r="F38" s="737"/>
      <c r="G38" s="737"/>
      <c r="H38" s="737"/>
      <c r="I38" s="1067">
        <f>J37</f>
        <v>8139.61</v>
      </c>
      <c r="J38" s="1067"/>
      <c r="K38" s="1067">
        <f>L37</f>
        <v>45419</v>
      </c>
      <c r="L38" s="1067"/>
      <c r="O38" s="736">
        <f>J37</f>
        <v>8139.61</v>
      </c>
      <c r="P38" s="736">
        <f>L37</f>
        <v>45419</v>
      </c>
      <c r="X38" s="718">
        <f>IF([98]Source!BI2547&lt;=1,J37-0, 0)</f>
        <v>8139.61</v>
      </c>
      <c r="Y38" s="718">
        <f>IF([98]Source!BI2547=2,J37-0, 0)</f>
        <v>0</v>
      </c>
      <c r="Z38" s="718">
        <f>IF([98]Source!BI2547=3,J37-0, 0)</f>
        <v>0</v>
      </c>
      <c r="AA38" s="718">
        <f>IF([98]Source!BI2547=4,J37,0)</f>
        <v>0</v>
      </c>
    </row>
    <row r="39" spans="1:27" ht="14.25" x14ac:dyDescent="0.2">
      <c r="A39" s="757"/>
      <c r="B39" s="757"/>
      <c r="C39" s="757"/>
      <c r="D39" s="757"/>
      <c r="E39" s="757"/>
      <c r="F39" s="757"/>
      <c r="G39" s="757"/>
      <c r="H39" s="757"/>
      <c r="I39" s="735"/>
      <c r="J39" s="735"/>
      <c r="K39" s="735"/>
      <c r="L39" s="735"/>
      <c r="O39" s="736"/>
      <c r="P39" s="736"/>
    </row>
    <row r="40" spans="1:27" ht="14.25" x14ac:dyDescent="0.2">
      <c r="A40" s="1068" t="str">
        <f>CONCATENATE("Итого по разделу: ",IF([98]Source!G2921&lt;&gt;"Новый раздел", [98]Source!G2921, ""))</f>
        <v>Итого по разделу: Вентиляция</v>
      </c>
      <c r="B40" s="1068"/>
      <c r="C40" s="1068"/>
      <c r="D40" s="1068"/>
      <c r="E40" s="1068"/>
      <c r="F40" s="1068"/>
      <c r="G40" s="1068"/>
      <c r="H40" s="1068"/>
      <c r="I40" s="1069">
        <f>SUM(O17:O38)</f>
        <v>9042.42</v>
      </c>
      <c r="J40" s="1070"/>
      <c r="K40" s="1069">
        <f>SUM(P17:P38)</f>
        <v>61704.27</v>
      </c>
      <c r="L40" s="1070"/>
    </row>
    <row r="41" spans="1:27" hidden="1" x14ac:dyDescent="0.2">
      <c r="A41" s="718" t="s">
        <v>139</v>
      </c>
      <c r="I41" s="718">
        <f>SUM(AC17:AC40)</f>
        <v>0</v>
      </c>
      <c r="K41" s="718">
        <f>SUM(AD17:AD40)</f>
        <v>0</v>
      </c>
    </row>
    <row r="42" spans="1:27" hidden="1" x14ac:dyDescent="0.2">
      <c r="A42" s="718" t="s">
        <v>140</v>
      </c>
      <c r="I42" s="718">
        <f>SUM(AE17:AE41)</f>
        <v>0</v>
      </c>
      <c r="K42" s="718">
        <f>SUM(AF17:AF41)</f>
        <v>0</v>
      </c>
    </row>
    <row r="44" spans="1:27" ht="14.25" x14ac:dyDescent="0.2">
      <c r="A44" s="1068" t="s">
        <v>698</v>
      </c>
      <c r="B44" s="1068"/>
      <c r="C44" s="1068"/>
      <c r="D44" s="1068"/>
      <c r="E44" s="1068"/>
      <c r="F44" s="1068"/>
      <c r="G44" s="1068"/>
      <c r="H44" s="1068"/>
      <c r="I44" s="1069">
        <f>SUM(O1:O43)</f>
        <v>9042.42</v>
      </c>
      <c r="J44" s="1070"/>
      <c r="K44" s="1069">
        <f>SUM(P1:P43)</f>
        <v>61704.27</v>
      </c>
      <c r="L44" s="1070"/>
    </row>
    <row r="45" spans="1:27" hidden="1" x14ac:dyDescent="0.2">
      <c r="A45" s="718" t="s">
        <v>139</v>
      </c>
      <c r="I45" s="718">
        <f>SUM(AC1:AC44)</f>
        <v>0</v>
      </c>
      <c r="K45" s="718">
        <f>SUM(AD1:AD44)</f>
        <v>0</v>
      </c>
    </row>
    <row r="46" spans="1:27" hidden="1" x14ac:dyDescent="0.2">
      <c r="A46" s="718" t="s">
        <v>140</v>
      </c>
      <c r="I46" s="718">
        <f>SUM(AE1:AE45)</f>
        <v>0</v>
      </c>
      <c r="K46" s="718">
        <f>SUM(AF1:AF45)</f>
        <v>0</v>
      </c>
    </row>
    <row r="47" spans="1:27" ht="15" x14ac:dyDescent="0.25">
      <c r="D47" s="714" t="s">
        <v>114</v>
      </c>
      <c r="I47" s="1079">
        <f>J37+J24</f>
        <v>8186.62</v>
      </c>
      <c r="J47" s="1080"/>
      <c r="K47" s="1079">
        <f>L37+L24</f>
        <v>45806.83</v>
      </c>
      <c r="L47" s="1080"/>
    </row>
    <row r="48" spans="1:27" ht="15" x14ac:dyDescent="0.25">
      <c r="D48" s="714" t="s">
        <v>115</v>
      </c>
      <c r="I48" s="1079">
        <f>J32+J23</f>
        <v>1.96</v>
      </c>
      <c r="J48" s="1080"/>
      <c r="K48" s="1079">
        <f>L32+L23</f>
        <v>47.49</v>
      </c>
      <c r="L48" s="1080"/>
    </row>
    <row r="49" spans="1:256" ht="15" x14ac:dyDescent="0.25">
      <c r="D49" s="714" t="s">
        <v>116</v>
      </c>
      <c r="I49" s="1079">
        <f>J21</f>
        <v>265.38</v>
      </c>
      <c r="J49" s="1080"/>
      <c r="K49" s="1079">
        <f>L21</f>
        <v>6430.16</v>
      </c>
      <c r="L49" s="1080"/>
    </row>
    <row r="50" spans="1:256" ht="14.25" x14ac:dyDescent="0.2">
      <c r="D50" s="712"/>
      <c r="E50" s="712"/>
      <c r="F50" s="712"/>
      <c r="G50" s="712"/>
      <c r="H50" s="712"/>
      <c r="I50" s="715"/>
      <c r="J50" s="715"/>
      <c r="K50" s="716"/>
      <c r="L50" s="716"/>
    </row>
    <row r="51" spans="1:256" ht="15" x14ac:dyDescent="0.25">
      <c r="D51" s="717" t="s">
        <v>268</v>
      </c>
      <c r="J51" s="719">
        <f>I44</f>
        <v>9042.42</v>
      </c>
      <c r="K51" s="719"/>
      <c r="L51" s="719">
        <f>K44</f>
        <v>61704.27</v>
      </c>
    </row>
    <row r="52" spans="1:256" ht="15" x14ac:dyDescent="0.25">
      <c r="D52" s="717" t="s">
        <v>3</v>
      </c>
      <c r="J52" s="719">
        <f>J51</f>
        <v>9042.42</v>
      </c>
      <c r="K52" s="719"/>
      <c r="L52" s="719">
        <f>L51</f>
        <v>61704.27</v>
      </c>
    </row>
    <row r="53" spans="1:256" ht="15" x14ac:dyDescent="0.25">
      <c r="D53" s="717" t="s">
        <v>269</v>
      </c>
      <c r="J53" s="719">
        <f>I49+I48</f>
        <v>267.33999999999997</v>
      </c>
      <c r="K53" s="719"/>
      <c r="L53" s="719">
        <f>K49+K48</f>
        <v>6477.65</v>
      </c>
    </row>
    <row r="54" spans="1:256" ht="15" x14ac:dyDescent="0.25">
      <c r="D54" s="717" t="s">
        <v>270</v>
      </c>
      <c r="J54" s="719">
        <f>I47</f>
        <v>8186.62</v>
      </c>
      <c r="K54" s="719"/>
      <c r="L54" s="719">
        <f>K47</f>
        <v>45806.83</v>
      </c>
    </row>
    <row r="55" spans="1:256" ht="15" hidden="1" x14ac:dyDescent="0.25">
      <c r="D55" s="717" t="s">
        <v>271</v>
      </c>
      <c r="J55" s="743">
        <v>0</v>
      </c>
      <c r="K55" s="743"/>
      <c r="L55" s="743">
        <v>0</v>
      </c>
    </row>
    <row r="56" spans="1:256" ht="15" hidden="1" x14ac:dyDescent="0.25">
      <c r="D56" s="1074" t="s">
        <v>583</v>
      </c>
      <c r="E56" s="1074"/>
      <c r="F56" s="1074"/>
      <c r="G56" s="1074"/>
      <c r="H56" s="1074"/>
      <c r="I56" s="720"/>
      <c r="J56" s="720">
        <v>0</v>
      </c>
      <c r="K56" s="720"/>
      <c r="L56" s="720">
        <v>0</v>
      </c>
    </row>
    <row r="57" spans="1:256" ht="15" x14ac:dyDescent="0.25">
      <c r="D57" s="1074" t="s">
        <v>323</v>
      </c>
      <c r="E57" s="1074"/>
      <c r="F57" s="1074"/>
      <c r="G57" s="1074"/>
      <c r="H57" s="1074"/>
      <c r="I57" s="671"/>
      <c r="J57" s="721">
        <v>0</v>
      </c>
      <c r="K57" s="721"/>
      <c r="L57" s="721">
        <v>0</v>
      </c>
    </row>
    <row r="58" spans="1:256" ht="15" x14ac:dyDescent="0.25">
      <c r="D58" s="1076" t="s">
        <v>584</v>
      </c>
      <c r="E58" s="1076"/>
      <c r="F58" s="1076"/>
      <c r="G58" s="1076"/>
      <c r="H58" s="1076"/>
      <c r="I58" s="671"/>
      <c r="J58" s="721">
        <f>J53*0.15</f>
        <v>40.1</v>
      </c>
      <c r="K58" s="721"/>
      <c r="L58" s="721">
        <f>L53*0.15</f>
        <v>971.65</v>
      </c>
    </row>
    <row r="59" spans="1:256" ht="14.25" x14ac:dyDescent="0.2">
      <c r="D59" s="1068" t="s">
        <v>688</v>
      </c>
      <c r="E59" s="1068"/>
      <c r="F59" s="1068"/>
      <c r="G59" s="1068"/>
      <c r="H59" s="1068"/>
      <c r="I59" s="671"/>
      <c r="J59" s="650">
        <f>J52+J58</f>
        <v>9082.52</v>
      </c>
      <c r="K59" s="650"/>
      <c r="L59" s="650">
        <f>L52+L58</f>
        <v>62675.92</v>
      </c>
    </row>
    <row r="60" spans="1:256" s="671" customFormat="1" ht="15" x14ac:dyDescent="0.25">
      <c r="D60" s="1074"/>
      <c r="E60" s="1074"/>
      <c r="F60" s="1074"/>
      <c r="G60" s="1074"/>
      <c r="H60" s="1074"/>
      <c r="I60" s="1075"/>
      <c r="J60" s="1075"/>
      <c r="K60" s="1075"/>
      <c r="L60" s="1075"/>
    </row>
    <row r="61" spans="1:256" s="675" customFormat="1" ht="15" x14ac:dyDescent="0.25">
      <c r="A61" s="398"/>
      <c r="B61" s="398"/>
      <c r="C61" s="398"/>
      <c r="D61" s="651" t="s">
        <v>596</v>
      </c>
      <c r="E61" s="652"/>
      <c r="F61" s="652"/>
      <c r="G61" s="652"/>
      <c r="H61" s="652"/>
      <c r="I61" s="652"/>
      <c r="J61" s="653"/>
      <c r="K61" s="653"/>
      <c r="L61" s="653">
        <f>L51*0.925</f>
        <v>57076.45</v>
      </c>
      <c r="M61" s="399"/>
      <c r="N61" s="400"/>
      <c r="O61" s="400"/>
      <c r="P61" s="400"/>
      <c r="Q61" s="400"/>
      <c r="R61" s="400"/>
      <c r="S61" s="400"/>
      <c r="T61" s="400"/>
      <c r="U61" s="400"/>
      <c r="V61" s="400"/>
      <c r="W61" s="400"/>
      <c r="X61" s="400"/>
      <c r="Y61" s="400"/>
      <c r="Z61" s="400"/>
      <c r="AA61" s="400"/>
      <c r="AB61" s="400"/>
      <c r="AC61" s="400"/>
      <c r="AD61" s="400"/>
      <c r="AE61" s="400"/>
      <c r="AF61" s="400"/>
      <c r="AG61" s="400"/>
      <c r="AH61" s="400"/>
      <c r="AI61" s="400"/>
      <c r="AJ61" s="400"/>
      <c r="AK61" s="400"/>
      <c r="AL61" s="400"/>
      <c r="AM61" s="400"/>
      <c r="AN61" s="400"/>
      <c r="AO61" s="400"/>
      <c r="AP61" s="400"/>
      <c r="AQ61" s="400"/>
      <c r="AR61" s="400"/>
      <c r="AS61" s="400"/>
      <c r="AT61" s="400"/>
      <c r="AU61" s="400"/>
      <c r="AV61" s="400"/>
      <c r="AW61" s="400"/>
      <c r="AX61" s="400"/>
      <c r="AY61" s="400"/>
      <c r="AZ61" s="400"/>
      <c r="BA61" s="400"/>
      <c r="BB61" s="400"/>
      <c r="BC61" s="400"/>
      <c r="BD61" s="400"/>
      <c r="BE61" s="400"/>
      <c r="BF61" s="400"/>
      <c r="BG61" s="400"/>
      <c r="BH61" s="400"/>
      <c r="BI61" s="400"/>
      <c r="BJ61" s="400"/>
      <c r="BK61" s="400"/>
      <c r="BL61" s="400"/>
      <c r="BM61" s="400"/>
      <c r="BN61" s="400"/>
      <c r="BO61" s="400"/>
      <c r="BP61" s="400"/>
      <c r="BQ61" s="400"/>
      <c r="BR61" s="400"/>
      <c r="BS61" s="400"/>
      <c r="BT61" s="400"/>
      <c r="BU61" s="400"/>
      <c r="BV61" s="400"/>
      <c r="BW61" s="400"/>
      <c r="BX61" s="400"/>
      <c r="BY61" s="400"/>
      <c r="BZ61" s="400"/>
      <c r="CA61" s="400"/>
      <c r="CB61" s="400"/>
      <c r="CC61" s="400"/>
      <c r="CD61" s="400"/>
      <c r="CE61" s="400"/>
      <c r="CF61" s="400"/>
      <c r="CG61" s="400"/>
      <c r="CH61" s="400"/>
      <c r="CI61" s="400"/>
      <c r="CJ61" s="400"/>
      <c r="CK61" s="400"/>
      <c r="CL61" s="400"/>
      <c r="CM61" s="400"/>
      <c r="CN61" s="400"/>
      <c r="CO61" s="400"/>
      <c r="CP61" s="400"/>
      <c r="CQ61" s="400"/>
      <c r="CR61" s="400"/>
      <c r="CS61" s="400"/>
      <c r="CT61" s="400"/>
      <c r="CU61" s="400"/>
      <c r="CV61" s="400"/>
      <c r="CW61" s="400"/>
      <c r="CX61" s="400"/>
      <c r="CY61" s="400"/>
      <c r="CZ61" s="400"/>
      <c r="DA61" s="400"/>
      <c r="DB61" s="400"/>
      <c r="DC61" s="400"/>
      <c r="DD61" s="400"/>
      <c r="DE61" s="400"/>
      <c r="DF61" s="400"/>
      <c r="DG61" s="400"/>
      <c r="DH61" s="400"/>
      <c r="DI61" s="400"/>
      <c r="DJ61" s="400"/>
      <c r="DK61" s="400"/>
      <c r="DL61" s="400"/>
      <c r="DM61" s="400"/>
      <c r="DN61" s="400"/>
      <c r="DO61" s="400"/>
      <c r="DP61" s="400"/>
      <c r="DQ61" s="400"/>
      <c r="DR61" s="400"/>
      <c r="DS61" s="400"/>
      <c r="DT61" s="400"/>
      <c r="DU61" s="400"/>
      <c r="DV61" s="400"/>
      <c r="DW61" s="400"/>
      <c r="DX61" s="400"/>
      <c r="DY61" s="400"/>
      <c r="DZ61" s="400"/>
      <c r="EA61" s="400"/>
      <c r="EB61" s="400"/>
      <c r="EC61" s="400"/>
      <c r="ED61" s="400"/>
      <c r="EE61" s="400"/>
      <c r="EF61" s="400"/>
      <c r="EG61" s="400"/>
      <c r="EH61" s="400"/>
      <c r="EI61" s="400"/>
      <c r="EJ61" s="400"/>
      <c r="EK61" s="400"/>
      <c r="EL61" s="400"/>
      <c r="EM61" s="400"/>
      <c r="EN61" s="400"/>
      <c r="EO61" s="400"/>
      <c r="EP61" s="400"/>
      <c r="EQ61" s="400"/>
      <c r="ER61" s="400"/>
      <c r="ES61" s="400"/>
      <c r="ET61" s="400"/>
      <c r="EU61" s="400"/>
      <c r="EV61" s="400"/>
      <c r="EW61" s="400"/>
      <c r="EX61" s="400"/>
      <c r="EY61" s="400"/>
      <c r="EZ61" s="400"/>
      <c r="FA61" s="400"/>
      <c r="FB61" s="400"/>
      <c r="FC61" s="400"/>
      <c r="FD61" s="400"/>
      <c r="FE61" s="400"/>
      <c r="FF61" s="400"/>
      <c r="FG61" s="400"/>
      <c r="FH61" s="400"/>
      <c r="FI61" s="400"/>
      <c r="FJ61" s="400"/>
      <c r="FK61" s="400"/>
      <c r="FL61" s="400"/>
      <c r="FM61" s="400"/>
      <c r="FN61" s="400"/>
      <c r="FO61" s="400"/>
      <c r="FP61" s="400"/>
      <c r="FQ61" s="400"/>
      <c r="FR61" s="400"/>
      <c r="FS61" s="400"/>
      <c r="FT61" s="400"/>
      <c r="FU61" s="400"/>
      <c r="FV61" s="400"/>
      <c r="FW61" s="400"/>
      <c r="FX61" s="400"/>
      <c r="FY61" s="400"/>
      <c r="FZ61" s="400"/>
      <c r="GA61" s="400"/>
      <c r="GB61" s="400"/>
      <c r="GC61" s="400"/>
      <c r="GD61" s="400"/>
      <c r="GE61" s="400"/>
      <c r="GF61" s="400"/>
      <c r="GG61" s="400"/>
      <c r="GH61" s="400"/>
      <c r="GI61" s="400"/>
      <c r="GJ61" s="400"/>
      <c r="GK61" s="400"/>
      <c r="GL61" s="400"/>
      <c r="GM61" s="400"/>
      <c r="GN61" s="400"/>
      <c r="GO61" s="400"/>
      <c r="GP61" s="400"/>
      <c r="GQ61" s="400"/>
      <c r="GR61" s="400"/>
      <c r="GS61" s="400"/>
      <c r="GT61" s="400"/>
      <c r="GU61" s="400"/>
      <c r="GV61" s="400"/>
      <c r="GW61" s="400"/>
      <c r="GX61" s="400"/>
      <c r="GY61" s="400"/>
      <c r="GZ61" s="400"/>
      <c r="HA61" s="400"/>
      <c r="HB61" s="400"/>
      <c r="HC61" s="400"/>
      <c r="HD61" s="400"/>
      <c r="HE61" s="400"/>
      <c r="HF61" s="400"/>
      <c r="HG61" s="400"/>
      <c r="HH61" s="400"/>
      <c r="HI61" s="400"/>
      <c r="HJ61" s="400"/>
      <c r="HK61" s="400"/>
      <c r="HL61" s="400"/>
      <c r="HM61" s="400"/>
      <c r="HN61" s="400"/>
      <c r="HO61" s="400"/>
      <c r="HP61" s="400"/>
      <c r="HQ61" s="400"/>
      <c r="HR61" s="400"/>
      <c r="HS61" s="400"/>
      <c r="HT61" s="400"/>
      <c r="HU61" s="400"/>
      <c r="HV61" s="400"/>
      <c r="HW61" s="400"/>
      <c r="HX61" s="400"/>
      <c r="HY61" s="400"/>
      <c r="HZ61" s="400"/>
      <c r="IA61" s="400"/>
      <c r="IB61" s="400"/>
      <c r="IC61" s="400"/>
      <c r="ID61" s="400"/>
      <c r="IE61" s="400"/>
      <c r="IF61" s="400"/>
      <c r="IG61" s="400"/>
      <c r="IH61" s="400"/>
      <c r="II61" s="400"/>
      <c r="IJ61" s="400"/>
      <c r="IK61" s="400"/>
      <c r="IL61" s="400"/>
      <c r="IM61" s="400"/>
      <c r="IN61" s="400"/>
      <c r="IO61" s="400"/>
      <c r="IP61" s="400"/>
      <c r="IQ61" s="400"/>
      <c r="IR61" s="400"/>
      <c r="IS61" s="400"/>
      <c r="IT61" s="400"/>
      <c r="IU61" s="400"/>
      <c r="IV61" s="400"/>
    </row>
    <row r="62" spans="1:256" s="675" customFormat="1" ht="15" x14ac:dyDescent="0.25">
      <c r="A62" s="398"/>
      <c r="B62" s="398"/>
      <c r="C62" s="398"/>
      <c r="D62" s="652" t="s">
        <v>3</v>
      </c>
      <c r="E62" s="652"/>
      <c r="F62" s="652"/>
      <c r="G62" s="652"/>
      <c r="H62" s="652"/>
      <c r="I62" s="652"/>
      <c r="J62" s="654"/>
      <c r="K62" s="654"/>
      <c r="L62" s="654">
        <f>L61</f>
        <v>57076.45</v>
      </c>
      <c r="M62" s="399"/>
      <c r="N62" s="400"/>
      <c r="O62" s="400"/>
      <c r="P62" s="400"/>
      <c r="Q62" s="400"/>
      <c r="R62" s="400"/>
      <c r="S62" s="400"/>
      <c r="T62" s="400"/>
      <c r="U62" s="400"/>
      <c r="V62" s="400"/>
      <c r="W62" s="400"/>
      <c r="X62" s="400"/>
      <c r="Y62" s="400"/>
      <c r="Z62" s="400"/>
      <c r="AA62" s="400"/>
      <c r="AB62" s="400"/>
      <c r="AC62" s="400"/>
      <c r="AD62" s="400"/>
      <c r="AE62" s="400"/>
      <c r="AF62" s="400"/>
      <c r="AG62" s="400"/>
      <c r="AH62" s="400"/>
      <c r="AI62" s="400"/>
      <c r="AJ62" s="400"/>
      <c r="AK62" s="400"/>
      <c r="AL62" s="400"/>
      <c r="AM62" s="400"/>
      <c r="AN62" s="400"/>
      <c r="AO62" s="400"/>
      <c r="AP62" s="400"/>
      <c r="AQ62" s="400"/>
      <c r="AR62" s="400"/>
      <c r="AS62" s="400"/>
      <c r="AT62" s="400"/>
      <c r="AU62" s="400"/>
      <c r="AV62" s="400"/>
      <c r="AW62" s="400"/>
      <c r="AX62" s="400"/>
      <c r="AY62" s="400"/>
      <c r="AZ62" s="400"/>
      <c r="BA62" s="400"/>
      <c r="BB62" s="400"/>
      <c r="BC62" s="400"/>
      <c r="BD62" s="400"/>
      <c r="BE62" s="400"/>
      <c r="BF62" s="400"/>
      <c r="BG62" s="400"/>
      <c r="BH62" s="400"/>
      <c r="BI62" s="400"/>
      <c r="BJ62" s="400"/>
      <c r="BK62" s="400"/>
      <c r="BL62" s="400"/>
      <c r="BM62" s="400"/>
      <c r="BN62" s="400"/>
      <c r="BO62" s="400"/>
      <c r="BP62" s="400"/>
      <c r="BQ62" s="400"/>
      <c r="BR62" s="400"/>
      <c r="BS62" s="400"/>
      <c r="BT62" s="400"/>
      <c r="BU62" s="400"/>
      <c r="BV62" s="400"/>
      <c r="BW62" s="400"/>
      <c r="BX62" s="400"/>
      <c r="BY62" s="400"/>
      <c r="BZ62" s="400"/>
      <c r="CA62" s="400"/>
      <c r="CB62" s="400"/>
      <c r="CC62" s="400"/>
      <c r="CD62" s="400"/>
      <c r="CE62" s="400"/>
      <c r="CF62" s="400"/>
      <c r="CG62" s="400"/>
      <c r="CH62" s="400"/>
      <c r="CI62" s="400"/>
      <c r="CJ62" s="400"/>
      <c r="CK62" s="400"/>
      <c r="CL62" s="400"/>
      <c r="CM62" s="400"/>
      <c r="CN62" s="400"/>
      <c r="CO62" s="400"/>
      <c r="CP62" s="400"/>
      <c r="CQ62" s="400"/>
      <c r="CR62" s="400"/>
      <c r="CS62" s="400"/>
      <c r="CT62" s="400"/>
      <c r="CU62" s="400"/>
      <c r="CV62" s="400"/>
      <c r="CW62" s="400"/>
      <c r="CX62" s="400"/>
      <c r="CY62" s="400"/>
      <c r="CZ62" s="400"/>
      <c r="DA62" s="400"/>
      <c r="DB62" s="400"/>
      <c r="DC62" s="400"/>
      <c r="DD62" s="400"/>
      <c r="DE62" s="400"/>
      <c r="DF62" s="400"/>
      <c r="DG62" s="400"/>
      <c r="DH62" s="400"/>
      <c r="DI62" s="400"/>
      <c r="DJ62" s="400"/>
      <c r="DK62" s="400"/>
      <c r="DL62" s="400"/>
      <c r="DM62" s="400"/>
      <c r="DN62" s="400"/>
      <c r="DO62" s="400"/>
      <c r="DP62" s="400"/>
      <c r="DQ62" s="400"/>
      <c r="DR62" s="400"/>
      <c r="DS62" s="400"/>
      <c r="DT62" s="400"/>
      <c r="DU62" s="400"/>
      <c r="DV62" s="400"/>
      <c r="DW62" s="400"/>
      <c r="DX62" s="400"/>
      <c r="DY62" s="400"/>
      <c r="DZ62" s="400"/>
      <c r="EA62" s="400"/>
      <c r="EB62" s="400"/>
      <c r="EC62" s="400"/>
      <c r="ED62" s="400"/>
      <c r="EE62" s="400"/>
      <c r="EF62" s="400"/>
      <c r="EG62" s="400"/>
      <c r="EH62" s="400"/>
      <c r="EI62" s="400"/>
      <c r="EJ62" s="400"/>
      <c r="EK62" s="400"/>
      <c r="EL62" s="400"/>
      <c r="EM62" s="400"/>
      <c r="EN62" s="400"/>
      <c r="EO62" s="400"/>
      <c r="EP62" s="400"/>
      <c r="EQ62" s="400"/>
      <c r="ER62" s="400"/>
      <c r="ES62" s="400"/>
      <c r="ET62" s="400"/>
      <c r="EU62" s="400"/>
      <c r="EV62" s="400"/>
      <c r="EW62" s="400"/>
      <c r="EX62" s="400"/>
      <c r="EY62" s="400"/>
      <c r="EZ62" s="400"/>
      <c r="FA62" s="400"/>
      <c r="FB62" s="400"/>
      <c r="FC62" s="400"/>
      <c r="FD62" s="400"/>
      <c r="FE62" s="400"/>
      <c r="FF62" s="400"/>
      <c r="FG62" s="400"/>
      <c r="FH62" s="400"/>
      <c r="FI62" s="400"/>
      <c r="FJ62" s="400"/>
      <c r="FK62" s="400"/>
      <c r="FL62" s="400"/>
      <c r="FM62" s="400"/>
      <c r="FN62" s="400"/>
      <c r="FO62" s="400"/>
      <c r="FP62" s="400"/>
      <c r="FQ62" s="400"/>
      <c r="FR62" s="400"/>
      <c r="FS62" s="400"/>
      <c r="FT62" s="400"/>
      <c r="FU62" s="400"/>
      <c r="FV62" s="400"/>
      <c r="FW62" s="400"/>
      <c r="FX62" s="400"/>
      <c r="FY62" s="400"/>
      <c r="FZ62" s="400"/>
      <c r="GA62" s="400"/>
      <c r="GB62" s="400"/>
      <c r="GC62" s="400"/>
      <c r="GD62" s="400"/>
      <c r="GE62" s="400"/>
      <c r="GF62" s="400"/>
      <c r="GG62" s="400"/>
      <c r="GH62" s="400"/>
      <c r="GI62" s="400"/>
      <c r="GJ62" s="400"/>
      <c r="GK62" s="400"/>
      <c r="GL62" s="400"/>
      <c r="GM62" s="400"/>
      <c r="GN62" s="400"/>
      <c r="GO62" s="400"/>
      <c r="GP62" s="400"/>
      <c r="GQ62" s="400"/>
      <c r="GR62" s="400"/>
      <c r="GS62" s="400"/>
      <c r="GT62" s="400"/>
      <c r="GU62" s="400"/>
      <c r="GV62" s="400"/>
      <c r="GW62" s="400"/>
      <c r="GX62" s="400"/>
      <c r="GY62" s="400"/>
      <c r="GZ62" s="400"/>
      <c r="HA62" s="400"/>
      <c r="HB62" s="400"/>
      <c r="HC62" s="400"/>
      <c r="HD62" s="400"/>
      <c r="HE62" s="400"/>
      <c r="HF62" s="400"/>
      <c r="HG62" s="400"/>
      <c r="HH62" s="400"/>
      <c r="HI62" s="400"/>
      <c r="HJ62" s="400"/>
      <c r="HK62" s="400"/>
      <c r="HL62" s="400"/>
      <c r="HM62" s="400"/>
      <c r="HN62" s="400"/>
      <c r="HO62" s="400"/>
      <c r="HP62" s="400"/>
      <c r="HQ62" s="400"/>
      <c r="HR62" s="400"/>
      <c r="HS62" s="400"/>
      <c r="HT62" s="400"/>
      <c r="HU62" s="400"/>
      <c r="HV62" s="400"/>
      <c r="HW62" s="400"/>
      <c r="HX62" s="400"/>
      <c r="HY62" s="400"/>
      <c r="HZ62" s="400"/>
      <c r="IA62" s="400"/>
      <c r="IB62" s="400"/>
      <c r="IC62" s="400"/>
      <c r="ID62" s="400"/>
      <c r="IE62" s="400"/>
      <c r="IF62" s="400"/>
      <c r="IG62" s="400"/>
      <c r="IH62" s="400"/>
      <c r="II62" s="400"/>
      <c r="IJ62" s="400"/>
      <c r="IK62" s="400"/>
      <c r="IL62" s="400"/>
      <c r="IM62" s="400"/>
      <c r="IN62" s="400"/>
      <c r="IO62" s="400"/>
      <c r="IP62" s="400"/>
      <c r="IQ62" s="400"/>
      <c r="IR62" s="400"/>
      <c r="IS62" s="400"/>
      <c r="IT62" s="400"/>
      <c r="IU62" s="400"/>
      <c r="IV62" s="400"/>
    </row>
    <row r="63" spans="1:256" s="675" customFormat="1" ht="15" x14ac:dyDescent="0.25">
      <c r="A63" s="398"/>
      <c r="B63" s="398"/>
      <c r="C63" s="398"/>
      <c r="D63" s="652" t="s">
        <v>269</v>
      </c>
      <c r="E63" s="652"/>
      <c r="F63" s="652"/>
      <c r="G63" s="652"/>
      <c r="H63" s="652"/>
      <c r="I63" s="652"/>
      <c r="J63" s="654"/>
      <c r="K63" s="654"/>
      <c r="L63" s="654">
        <f>L53*0.925</f>
        <v>5991.83</v>
      </c>
      <c r="M63" s="399"/>
      <c r="N63" s="400"/>
      <c r="O63" s="400"/>
      <c r="P63" s="400"/>
      <c r="Q63" s="400"/>
      <c r="R63" s="400"/>
      <c r="S63" s="400"/>
      <c r="T63" s="400"/>
      <c r="U63" s="400"/>
      <c r="V63" s="400"/>
      <c r="W63" s="400"/>
      <c r="X63" s="400"/>
      <c r="Y63" s="400"/>
      <c r="Z63" s="400"/>
      <c r="AA63" s="400"/>
      <c r="AB63" s="400"/>
      <c r="AC63" s="400"/>
      <c r="AD63" s="400"/>
      <c r="AE63" s="400"/>
      <c r="AF63" s="400"/>
      <c r="AG63" s="400"/>
      <c r="AH63" s="400"/>
      <c r="AI63" s="400"/>
      <c r="AJ63" s="400"/>
      <c r="AK63" s="400"/>
      <c r="AL63" s="400"/>
      <c r="AM63" s="400"/>
      <c r="AN63" s="400"/>
      <c r="AO63" s="400"/>
      <c r="AP63" s="400"/>
      <c r="AQ63" s="400"/>
      <c r="AR63" s="400"/>
      <c r="AS63" s="400"/>
      <c r="AT63" s="400"/>
      <c r="AU63" s="400"/>
      <c r="AV63" s="400"/>
      <c r="AW63" s="400"/>
      <c r="AX63" s="400"/>
      <c r="AY63" s="400"/>
      <c r="AZ63" s="400"/>
      <c r="BA63" s="400"/>
      <c r="BB63" s="400"/>
      <c r="BC63" s="400"/>
      <c r="BD63" s="400"/>
      <c r="BE63" s="400"/>
      <c r="BF63" s="400"/>
      <c r="BG63" s="400"/>
      <c r="BH63" s="400"/>
      <c r="BI63" s="400"/>
      <c r="BJ63" s="400"/>
      <c r="BK63" s="400"/>
      <c r="BL63" s="400"/>
      <c r="BM63" s="400"/>
      <c r="BN63" s="400"/>
      <c r="BO63" s="400"/>
      <c r="BP63" s="400"/>
      <c r="BQ63" s="400"/>
      <c r="BR63" s="400"/>
      <c r="BS63" s="400"/>
      <c r="BT63" s="400"/>
      <c r="BU63" s="400"/>
      <c r="BV63" s="400"/>
      <c r="BW63" s="400"/>
      <c r="BX63" s="400"/>
      <c r="BY63" s="400"/>
      <c r="BZ63" s="400"/>
      <c r="CA63" s="400"/>
      <c r="CB63" s="400"/>
      <c r="CC63" s="400"/>
      <c r="CD63" s="400"/>
      <c r="CE63" s="400"/>
      <c r="CF63" s="400"/>
      <c r="CG63" s="400"/>
      <c r="CH63" s="400"/>
      <c r="CI63" s="400"/>
      <c r="CJ63" s="400"/>
      <c r="CK63" s="400"/>
      <c r="CL63" s="400"/>
      <c r="CM63" s="400"/>
      <c r="CN63" s="400"/>
      <c r="CO63" s="400"/>
      <c r="CP63" s="400"/>
      <c r="CQ63" s="400"/>
      <c r="CR63" s="400"/>
      <c r="CS63" s="400"/>
      <c r="CT63" s="400"/>
      <c r="CU63" s="400"/>
      <c r="CV63" s="400"/>
      <c r="CW63" s="400"/>
      <c r="CX63" s="400"/>
      <c r="CY63" s="400"/>
      <c r="CZ63" s="400"/>
      <c r="DA63" s="400"/>
      <c r="DB63" s="400"/>
      <c r="DC63" s="400"/>
      <c r="DD63" s="400"/>
      <c r="DE63" s="400"/>
      <c r="DF63" s="400"/>
      <c r="DG63" s="400"/>
      <c r="DH63" s="400"/>
      <c r="DI63" s="400"/>
      <c r="DJ63" s="400"/>
      <c r="DK63" s="400"/>
      <c r="DL63" s="400"/>
      <c r="DM63" s="400"/>
      <c r="DN63" s="400"/>
      <c r="DO63" s="400"/>
      <c r="DP63" s="400"/>
      <c r="DQ63" s="400"/>
      <c r="DR63" s="400"/>
      <c r="DS63" s="400"/>
      <c r="DT63" s="400"/>
      <c r="DU63" s="400"/>
      <c r="DV63" s="400"/>
      <c r="DW63" s="400"/>
      <c r="DX63" s="400"/>
      <c r="DY63" s="400"/>
      <c r="DZ63" s="400"/>
      <c r="EA63" s="400"/>
      <c r="EB63" s="400"/>
      <c r="EC63" s="400"/>
      <c r="ED63" s="400"/>
      <c r="EE63" s="400"/>
      <c r="EF63" s="400"/>
      <c r="EG63" s="400"/>
      <c r="EH63" s="400"/>
      <c r="EI63" s="400"/>
      <c r="EJ63" s="400"/>
      <c r="EK63" s="400"/>
      <c r="EL63" s="400"/>
      <c r="EM63" s="400"/>
      <c r="EN63" s="400"/>
      <c r="EO63" s="400"/>
      <c r="EP63" s="400"/>
      <c r="EQ63" s="400"/>
      <c r="ER63" s="400"/>
      <c r="ES63" s="400"/>
      <c r="ET63" s="400"/>
      <c r="EU63" s="400"/>
      <c r="EV63" s="400"/>
      <c r="EW63" s="400"/>
      <c r="EX63" s="400"/>
      <c r="EY63" s="400"/>
      <c r="EZ63" s="400"/>
      <c r="FA63" s="400"/>
      <c r="FB63" s="400"/>
      <c r="FC63" s="400"/>
      <c r="FD63" s="400"/>
      <c r="FE63" s="400"/>
      <c r="FF63" s="400"/>
      <c r="FG63" s="400"/>
      <c r="FH63" s="400"/>
      <c r="FI63" s="400"/>
      <c r="FJ63" s="400"/>
      <c r="FK63" s="400"/>
      <c r="FL63" s="400"/>
      <c r="FM63" s="400"/>
      <c r="FN63" s="400"/>
      <c r="FO63" s="400"/>
      <c r="FP63" s="400"/>
      <c r="FQ63" s="400"/>
      <c r="FR63" s="400"/>
      <c r="FS63" s="400"/>
      <c r="FT63" s="400"/>
      <c r="FU63" s="400"/>
      <c r="FV63" s="400"/>
      <c r="FW63" s="400"/>
      <c r="FX63" s="400"/>
      <c r="FY63" s="400"/>
      <c r="FZ63" s="400"/>
      <c r="GA63" s="400"/>
      <c r="GB63" s="400"/>
      <c r="GC63" s="400"/>
      <c r="GD63" s="400"/>
      <c r="GE63" s="400"/>
      <c r="GF63" s="400"/>
      <c r="GG63" s="400"/>
      <c r="GH63" s="400"/>
      <c r="GI63" s="400"/>
      <c r="GJ63" s="400"/>
      <c r="GK63" s="400"/>
      <c r="GL63" s="400"/>
      <c r="GM63" s="400"/>
      <c r="GN63" s="400"/>
      <c r="GO63" s="400"/>
      <c r="GP63" s="400"/>
      <c r="GQ63" s="400"/>
      <c r="GR63" s="400"/>
      <c r="GS63" s="400"/>
      <c r="GT63" s="400"/>
      <c r="GU63" s="400"/>
      <c r="GV63" s="400"/>
      <c r="GW63" s="400"/>
      <c r="GX63" s="400"/>
      <c r="GY63" s="400"/>
      <c r="GZ63" s="400"/>
      <c r="HA63" s="400"/>
      <c r="HB63" s="400"/>
      <c r="HC63" s="400"/>
      <c r="HD63" s="400"/>
      <c r="HE63" s="400"/>
      <c r="HF63" s="400"/>
      <c r="HG63" s="400"/>
      <c r="HH63" s="400"/>
      <c r="HI63" s="400"/>
      <c r="HJ63" s="400"/>
      <c r="HK63" s="400"/>
      <c r="HL63" s="400"/>
      <c r="HM63" s="400"/>
      <c r="HN63" s="400"/>
      <c r="HO63" s="400"/>
      <c r="HP63" s="400"/>
      <c r="HQ63" s="400"/>
      <c r="HR63" s="400"/>
      <c r="HS63" s="400"/>
      <c r="HT63" s="400"/>
      <c r="HU63" s="400"/>
      <c r="HV63" s="400"/>
      <c r="HW63" s="400"/>
      <c r="HX63" s="400"/>
      <c r="HY63" s="400"/>
      <c r="HZ63" s="400"/>
      <c r="IA63" s="400"/>
      <c r="IB63" s="400"/>
      <c r="IC63" s="400"/>
      <c r="ID63" s="400"/>
      <c r="IE63" s="400"/>
      <c r="IF63" s="400"/>
      <c r="IG63" s="400"/>
      <c r="IH63" s="400"/>
      <c r="II63" s="400"/>
      <c r="IJ63" s="400"/>
      <c r="IK63" s="400"/>
      <c r="IL63" s="400"/>
      <c r="IM63" s="400"/>
      <c r="IN63" s="400"/>
      <c r="IO63" s="400"/>
      <c r="IP63" s="400"/>
      <c r="IQ63" s="400"/>
      <c r="IR63" s="400"/>
      <c r="IS63" s="400"/>
      <c r="IT63" s="400"/>
      <c r="IU63" s="400"/>
      <c r="IV63" s="400"/>
    </row>
    <row r="64" spans="1:256" s="675" customFormat="1" ht="15" x14ac:dyDescent="0.25">
      <c r="A64" s="398"/>
      <c r="B64" s="398"/>
      <c r="C64" s="398"/>
      <c r="D64" s="652" t="s">
        <v>597</v>
      </c>
      <c r="E64" s="652"/>
      <c r="F64" s="652"/>
      <c r="G64" s="652"/>
      <c r="H64" s="652"/>
      <c r="I64" s="652"/>
      <c r="J64" s="654"/>
      <c r="K64" s="654"/>
      <c r="L64" s="654">
        <f>L54*0.925</f>
        <v>42371.32</v>
      </c>
      <c r="M64" s="399"/>
    </row>
    <row r="65" spans="1:13" s="675" customFormat="1" ht="15" x14ac:dyDescent="0.25">
      <c r="A65" s="398"/>
      <c r="B65" s="398"/>
      <c r="C65" s="398"/>
      <c r="D65" s="655" t="s">
        <v>323</v>
      </c>
      <c r="E65" s="652"/>
      <c r="F65" s="652"/>
      <c r="G65" s="652"/>
      <c r="H65" s="652"/>
      <c r="I65" s="652"/>
      <c r="J65" s="656"/>
      <c r="K65" s="654"/>
      <c r="L65" s="656">
        <v>0</v>
      </c>
      <c r="M65" s="399"/>
    </row>
    <row r="66" spans="1:13" s="675" customFormat="1" ht="15" x14ac:dyDescent="0.25">
      <c r="A66" s="398"/>
      <c r="B66" s="398"/>
      <c r="C66" s="398"/>
      <c r="D66" s="652" t="s">
        <v>598</v>
      </c>
      <c r="E66" s="652"/>
      <c r="F66" s="652"/>
      <c r="G66" s="652"/>
      <c r="H66" s="652"/>
      <c r="I66" s="652"/>
      <c r="J66" s="654"/>
      <c r="K66" s="654"/>
      <c r="L66" s="654">
        <f>L63*0.15</f>
        <v>898.77</v>
      </c>
      <c r="M66" s="399"/>
    </row>
    <row r="67" spans="1:13" s="675" customFormat="1" ht="14.25" x14ac:dyDescent="0.2">
      <c r="A67" s="398"/>
      <c r="B67" s="398"/>
      <c r="C67" s="398"/>
      <c r="D67" s="651" t="s">
        <v>599</v>
      </c>
      <c r="E67" s="657"/>
      <c r="F67" s="657"/>
      <c r="G67" s="657"/>
      <c r="H67" s="657"/>
      <c r="I67" s="657"/>
      <c r="J67" s="653"/>
      <c r="K67" s="657"/>
      <c r="L67" s="653">
        <f>L66+L61</f>
        <v>57975.22</v>
      </c>
      <c r="M67" s="399"/>
    </row>
    <row r="68" spans="1:13" s="675" customFormat="1" ht="15" x14ac:dyDescent="0.25">
      <c r="A68" s="398"/>
      <c r="B68" s="398"/>
      <c r="C68" s="398"/>
      <c r="D68" s="658"/>
      <c r="E68" s="658"/>
      <c r="F68" s="658"/>
      <c r="G68" s="658"/>
      <c r="H68" s="658"/>
      <c r="I68" s="658"/>
      <c r="J68" s="658"/>
      <c r="K68" s="658"/>
      <c r="L68" s="658"/>
      <c r="M68" s="399"/>
    </row>
    <row r="69" spans="1:13" s="675" customFormat="1" ht="15" x14ac:dyDescent="0.25">
      <c r="A69" s="398"/>
      <c r="B69" s="398"/>
      <c r="C69" s="398"/>
      <c r="D69" s="658"/>
      <c r="E69" s="658"/>
      <c r="F69" s="658"/>
      <c r="G69" s="658"/>
      <c r="H69" s="658"/>
      <c r="I69" s="658"/>
      <c r="J69" s="658"/>
      <c r="K69" s="658"/>
      <c r="L69" s="658"/>
      <c r="M69" s="399"/>
    </row>
    <row r="70" spans="1:13" s="675" customFormat="1" ht="14.25" x14ac:dyDescent="0.2">
      <c r="A70" s="398"/>
      <c r="B70" s="398"/>
      <c r="C70" s="398"/>
      <c r="D70" s="659"/>
      <c r="E70" s="660"/>
      <c r="F70" s="660"/>
      <c r="G70" s="660"/>
      <c r="H70" s="660"/>
      <c r="I70" s="661"/>
      <c r="J70" s="662"/>
      <c r="K70" s="663"/>
      <c r="L70" s="662"/>
      <c r="M70" s="399"/>
    </row>
    <row r="71" spans="1:13" s="675" customFormat="1" ht="15" x14ac:dyDescent="0.25">
      <c r="A71" s="398"/>
      <c r="B71" s="398"/>
      <c r="C71" s="398"/>
      <c r="D71" s="664"/>
      <c r="E71" s="665"/>
      <c r="F71" s="665"/>
      <c r="G71" s="665"/>
      <c r="H71" s="665"/>
      <c r="I71" s="666"/>
      <c r="J71" s="667"/>
      <c r="K71" s="668"/>
      <c r="L71" s="667"/>
      <c r="M71" s="399"/>
    </row>
    <row r="72" spans="1:13" s="675" customFormat="1" ht="15" x14ac:dyDescent="0.25">
      <c r="A72" s="398"/>
      <c r="B72" s="398"/>
      <c r="C72" s="398"/>
      <c r="D72" s="664"/>
      <c r="E72" s="665"/>
      <c r="F72" s="665"/>
      <c r="G72" s="665"/>
      <c r="H72" s="665"/>
      <c r="I72" s="666"/>
      <c r="J72" s="667"/>
      <c r="K72" s="669"/>
      <c r="L72" s="667"/>
      <c r="M72" s="399"/>
    </row>
    <row r="73" spans="1:13" s="675" customFormat="1" ht="15" x14ac:dyDescent="0.25">
      <c r="A73" s="398"/>
      <c r="B73" s="398"/>
      <c r="C73" s="398"/>
      <c r="D73" s="664"/>
      <c r="E73" s="665"/>
      <c r="F73" s="665"/>
      <c r="G73" s="665"/>
      <c r="H73" s="665"/>
      <c r="I73" s="666"/>
      <c r="J73" s="667"/>
      <c r="K73" s="667"/>
      <c r="L73" s="667"/>
      <c r="M73" s="399"/>
    </row>
    <row r="74" spans="1:13" s="675" customFormat="1" ht="15" x14ac:dyDescent="0.25">
      <c r="A74" s="398"/>
      <c r="B74" s="398"/>
      <c r="C74" s="398"/>
      <c r="D74" s="664"/>
      <c r="E74" s="665"/>
      <c r="F74" s="665"/>
      <c r="G74" s="665"/>
      <c r="H74" s="665"/>
      <c r="I74" s="666"/>
      <c r="J74" s="670"/>
      <c r="K74" s="670"/>
      <c r="L74" s="670"/>
      <c r="M74" s="399"/>
    </row>
  </sheetData>
  <mergeCells count="45">
    <mergeCell ref="A10:A14"/>
    <mergeCell ref="B10:B14"/>
    <mergeCell ref="A9:B9"/>
    <mergeCell ref="C9:C14"/>
    <mergeCell ref="D9:D14"/>
    <mergeCell ref="I9:I14"/>
    <mergeCell ref="J9:J14"/>
    <mergeCell ref="K9:K14"/>
    <mergeCell ref="L9:L14"/>
    <mergeCell ref="E9:E14"/>
    <mergeCell ref="F9:F14"/>
    <mergeCell ref="G9:G14"/>
    <mergeCell ref="H9:H14"/>
    <mergeCell ref="I44:J44"/>
    <mergeCell ref="K44:L44"/>
    <mergeCell ref="A1:L1"/>
    <mergeCell ref="A2:L2"/>
    <mergeCell ref="I38:J38"/>
    <mergeCell ref="K38:L38"/>
    <mergeCell ref="A40:H40"/>
    <mergeCell ref="I40:J40"/>
    <mergeCell ref="K40:L40"/>
    <mergeCell ref="A19:L19"/>
    <mergeCell ref="I29:J29"/>
    <mergeCell ref="K29:L29"/>
    <mergeCell ref="I34:J34"/>
    <mergeCell ref="K34:L34"/>
    <mergeCell ref="I36:J36"/>
    <mergeCell ref="K36:L36"/>
    <mergeCell ref="D58:H58"/>
    <mergeCell ref="D59:H59"/>
    <mergeCell ref="D60:H60"/>
    <mergeCell ref="I60:J60"/>
    <mergeCell ref="C6:G6"/>
    <mergeCell ref="D56:H56"/>
    <mergeCell ref="D57:H57"/>
    <mergeCell ref="A44:H44"/>
    <mergeCell ref="A8:L8"/>
    <mergeCell ref="K60:L60"/>
    <mergeCell ref="I47:J47"/>
    <mergeCell ref="K47:L47"/>
    <mergeCell ref="I48:J48"/>
    <mergeCell ref="K48:L48"/>
    <mergeCell ref="I49:J49"/>
    <mergeCell ref="K49:L49"/>
  </mergeCells>
  <pageMargins left="0.78740157480314965" right="0" top="0.39370078740157483" bottom="0.39370078740157483" header="0.31496062992125984" footer="0.31496062992125984"/>
  <pageSetup paperSize="9" scale="60" firstPageNumber="26" fitToHeight="0" orientation="portrait" blackAndWhite="1" useFirstPageNumber="1" r:id="rId1"/>
  <headerFooter>
    <oddFooter>&amp;R&amp;P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IV303"/>
  <sheetViews>
    <sheetView view="pageBreakPreview" topLeftCell="A249" zoomScale="60" zoomScaleNormal="55" workbookViewId="0">
      <selection activeCell="D287" sqref="D287:H287"/>
    </sheetView>
  </sheetViews>
  <sheetFormatPr defaultRowHeight="11.25" x14ac:dyDescent="0.2"/>
  <cols>
    <col min="1" max="2" width="6.6640625" style="718" customWidth="1"/>
    <col min="3" max="3" width="16.1640625" style="718" customWidth="1"/>
    <col min="4" max="4" width="47.5" style="718" customWidth="1"/>
    <col min="5" max="5" width="13.6640625" style="718" customWidth="1"/>
    <col min="6" max="6" width="18.6640625" style="718" customWidth="1"/>
    <col min="7" max="7" width="14.6640625" style="718" bestFit="1" customWidth="1"/>
    <col min="8" max="8" width="13.1640625" style="718" bestFit="1" customWidth="1"/>
    <col min="9" max="9" width="12.6640625" style="718" bestFit="1" customWidth="1"/>
    <col min="10" max="10" width="14.6640625" style="718" customWidth="1"/>
    <col min="11" max="11" width="10.6640625" style="718" bestFit="1" customWidth="1"/>
    <col min="12" max="12" width="17.83203125" style="718" customWidth="1"/>
    <col min="13" max="13" width="16.6640625" style="718" customWidth="1"/>
    <col min="14" max="35" width="0" style="718" hidden="1" customWidth="1"/>
    <col min="36" max="36" width="106.1640625" style="718" hidden="1" customWidth="1"/>
    <col min="37" max="37" width="157.1640625" style="718" hidden="1" customWidth="1"/>
    <col min="38" max="38" width="117.83203125" style="718" hidden="1" customWidth="1"/>
    <col min="39" max="39" width="0" style="718" hidden="1" customWidth="1"/>
    <col min="40" max="40" width="114.1640625" style="718" hidden="1" customWidth="1"/>
    <col min="41" max="42" width="0" style="718" hidden="1" customWidth="1"/>
    <col min="43" max="16384" width="9.33203125" style="718"/>
  </cols>
  <sheetData>
    <row r="1" spans="1:37" ht="18.75" x14ac:dyDescent="0.3">
      <c r="A1" s="1052" t="s">
        <v>700</v>
      </c>
      <c r="B1" s="1052"/>
      <c r="C1" s="1052"/>
      <c r="D1" s="1052"/>
      <c r="E1" s="1052"/>
      <c r="F1" s="1052"/>
      <c r="G1" s="1052"/>
      <c r="H1" s="1052"/>
      <c r="I1" s="1052"/>
      <c r="J1" s="1052"/>
      <c r="K1" s="1052"/>
      <c r="L1" s="1052"/>
    </row>
    <row r="2" spans="1:37" ht="15.75" x14ac:dyDescent="0.25">
      <c r="A2" s="1077" t="s">
        <v>562</v>
      </c>
      <c r="B2" s="1077"/>
      <c r="C2" s="1077"/>
      <c r="D2" s="1077"/>
      <c r="E2" s="1077"/>
      <c r="F2" s="1077"/>
      <c r="G2" s="1077"/>
      <c r="H2" s="1077"/>
      <c r="I2" s="1077"/>
      <c r="J2" s="1077"/>
      <c r="K2" s="1077"/>
      <c r="L2" s="1077"/>
    </row>
    <row r="3" spans="1:37" ht="15.75" x14ac:dyDescent="0.25">
      <c r="A3" s="758"/>
      <c r="B3" s="758"/>
      <c r="C3" s="758"/>
      <c r="D3" s="758"/>
      <c r="E3" s="758"/>
      <c r="F3" s="758"/>
      <c r="G3" s="758"/>
      <c r="H3" s="758"/>
      <c r="I3" s="758"/>
      <c r="J3" s="758"/>
      <c r="K3" s="758"/>
      <c r="L3" s="758"/>
    </row>
    <row r="4" spans="1:37" ht="15.75" x14ac:dyDescent="0.25">
      <c r="A4" s="758"/>
      <c r="B4" s="759" t="s">
        <v>518</v>
      </c>
      <c r="C4" s="758"/>
      <c r="D4" s="758"/>
      <c r="E4" s="758"/>
      <c r="F4" s="758"/>
      <c r="G4" s="758"/>
      <c r="H4" s="758"/>
      <c r="I4" s="758"/>
      <c r="J4" s="758"/>
      <c r="K4" s="758"/>
      <c r="L4" s="758"/>
    </row>
    <row r="5" spans="1:37" ht="15.75" x14ac:dyDescent="0.25">
      <c r="A5" s="758"/>
      <c r="B5" s="760" t="s">
        <v>563</v>
      </c>
      <c r="C5" s="758"/>
      <c r="D5" s="758"/>
      <c r="E5" s="758"/>
      <c r="F5" s="758"/>
      <c r="G5" s="758"/>
      <c r="H5" s="758"/>
      <c r="I5" s="758"/>
      <c r="J5" s="758"/>
      <c r="K5" s="758"/>
      <c r="L5" s="758"/>
    </row>
    <row r="6" spans="1:37" ht="15.75" x14ac:dyDescent="0.25">
      <c r="A6" s="758"/>
      <c r="B6" s="758"/>
      <c r="C6" s="758"/>
      <c r="D6" s="758"/>
      <c r="E6" s="758"/>
      <c r="F6" s="758"/>
      <c r="G6" s="758"/>
      <c r="H6" s="758"/>
      <c r="I6" s="758"/>
      <c r="J6" s="758"/>
      <c r="K6" s="758"/>
      <c r="L6" s="758"/>
    </row>
    <row r="7" spans="1:37" ht="57" customHeight="1" x14ac:dyDescent="0.25">
      <c r="A7" s="758"/>
      <c r="B7" s="1084" t="s">
        <v>564</v>
      </c>
      <c r="C7" s="1084"/>
      <c r="D7" s="1084"/>
      <c r="E7" s="1084"/>
      <c r="F7" s="1084"/>
      <c r="G7" s="1084"/>
      <c r="H7" s="1084"/>
      <c r="I7" s="758"/>
      <c r="J7" s="758"/>
      <c r="K7" s="758"/>
      <c r="L7" s="758"/>
    </row>
    <row r="8" spans="1:37" ht="15" customHeight="1" x14ac:dyDescent="0.25">
      <c r="A8" s="1061" t="s">
        <v>526</v>
      </c>
      <c r="B8" s="1061"/>
      <c r="C8" s="1061"/>
      <c r="D8" s="1061"/>
      <c r="E8" s="1061"/>
      <c r="F8" s="1061"/>
      <c r="G8" s="1061"/>
      <c r="H8" s="1061"/>
      <c r="I8" s="1061"/>
      <c r="J8" s="1061"/>
      <c r="K8" s="1061"/>
      <c r="L8" s="1061"/>
      <c r="AK8" s="688" t="s">
        <v>526</v>
      </c>
    </row>
    <row r="9" spans="1:37" ht="15" x14ac:dyDescent="0.2">
      <c r="A9" s="1065" t="s">
        <v>67</v>
      </c>
      <c r="B9" s="1065"/>
      <c r="C9" s="1065" t="s">
        <v>68</v>
      </c>
      <c r="D9" s="1065" t="s">
        <v>69</v>
      </c>
      <c r="E9" s="1065" t="s">
        <v>70</v>
      </c>
      <c r="F9" s="1065" t="s">
        <v>457</v>
      </c>
      <c r="G9" s="1065" t="s">
        <v>458</v>
      </c>
      <c r="H9" s="1062" t="s">
        <v>459</v>
      </c>
      <c r="I9" s="1062" t="s">
        <v>460</v>
      </c>
      <c r="J9" s="1065" t="s">
        <v>461</v>
      </c>
      <c r="K9" s="1065" t="s">
        <v>462</v>
      </c>
      <c r="L9" s="1065" t="s">
        <v>463</v>
      </c>
    </row>
    <row r="10" spans="1:37" x14ac:dyDescent="0.2">
      <c r="A10" s="1062" t="s">
        <v>78</v>
      </c>
      <c r="B10" s="1062" t="s">
        <v>79</v>
      </c>
      <c r="C10" s="1065"/>
      <c r="D10" s="1065"/>
      <c r="E10" s="1065"/>
      <c r="F10" s="1065"/>
      <c r="G10" s="1065"/>
      <c r="H10" s="1063"/>
      <c r="I10" s="1063"/>
      <c r="J10" s="1065"/>
      <c r="K10" s="1065"/>
      <c r="L10" s="1065"/>
    </row>
    <row r="11" spans="1:37" x14ac:dyDescent="0.2">
      <c r="A11" s="1063"/>
      <c r="B11" s="1063"/>
      <c r="C11" s="1065"/>
      <c r="D11" s="1065"/>
      <c r="E11" s="1065"/>
      <c r="F11" s="1065"/>
      <c r="G11" s="1065"/>
      <c r="H11" s="1063"/>
      <c r="I11" s="1063"/>
      <c r="J11" s="1065"/>
      <c r="K11" s="1065"/>
      <c r="L11" s="1065"/>
    </row>
    <row r="12" spans="1:37" x14ac:dyDescent="0.2">
      <c r="A12" s="1063"/>
      <c r="B12" s="1063"/>
      <c r="C12" s="1065"/>
      <c r="D12" s="1065"/>
      <c r="E12" s="1065"/>
      <c r="F12" s="1065"/>
      <c r="G12" s="1065"/>
      <c r="H12" s="1063"/>
      <c r="I12" s="1063"/>
      <c r="J12" s="1065"/>
      <c r="K12" s="1065"/>
      <c r="L12" s="1065"/>
    </row>
    <row r="13" spans="1:37" x14ac:dyDescent="0.2">
      <c r="A13" s="1063"/>
      <c r="B13" s="1063"/>
      <c r="C13" s="1065"/>
      <c r="D13" s="1065"/>
      <c r="E13" s="1065"/>
      <c r="F13" s="1065"/>
      <c r="G13" s="1065"/>
      <c r="H13" s="1063"/>
      <c r="I13" s="1063"/>
      <c r="J13" s="1065"/>
      <c r="K13" s="1065"/>
      <c r="L13" s="1065"/>
    </row>
    <row r="14" spans="1:37" x14ac:dyDescent="0.2">
      <c r="A14" s="1064"/>
      <c r="B14" s="1064"/>
      <c r="C14" s="1065"/>
      <c r="D14" s="1065"/>
      <c r="E14" s="1065"/>
      <c r="F14" s="1065"/>
      <c r="G14" s="1065"/>
      <c r="H14" s="1064"/>
      <c r="I14" s="1064"/>
      <c r="J14" s="1065"/>
      <c r="K14" s="1065"/>
      <c r="L14" s="1065"/>
    </row>
    <row r="15" spans="1:37" ht="15" x14ac:dyDescent="0.2">
      <c r="A15" s="689">
        <v>1</v>
      </c>
      <c r="B15" s="689">
        <v>2</v>
      </c>
      <c r="C15" s="689">
        <v>3</v>
      </c>
      <c r="D15" s="689">
        <v>4</v>
      </c>
      <c r="E15" s="689">
        <v>5</v>
      </c>
      <c r="F15" s="689">
        <v>6</v>
      </c>
      <c r="G15" s="689">
        <v>7</v>
      </c>
      <c r="H15" s="689">
        <v>8</v>
      </c>
      <c r="I15" s="689">
        <v>9</v>
      </c>
      <c r="J15" s="689">
        <v>10</v>
      </c>
      <c r="K15" s="689">
        <v>11</v>
      </c>
      <c r="L15" s="689">
        <v>12</v>
      </c>
    </row>
    <row r="17" spans="1:27" ht="16.5" x14ac:dyDescent="0.25">
      <c r="A17" s="1066" t="str">
        <f>CONCATENATE("Раздел: ",IF([99]Source!G91&lt;&gt;"Новый раздел", [99]Source!G91, ""))</f>
        <v>Раздел: Кондиционирование</v>
      </c>
      <c r="B17" s="1066"/>
      <c r="C17" s="1066"/>
      <c r="D17" s="1066"/>
      <c r="E17" s="1066"/>
      <c r="F17" s="1066"/>
      <c r="G17" s="1066"/>
      <c r="H17" s="1066"/>
      <c r="I17" s="1066"/>
      <c r="J17" s="1066"/>
      <c r="K17" s="1066"/>
      <c r="L17" s="1066"/>
    </row>
    <row r="19" spans="1:27" ht="16.5" x14ac:dyDescent="0.25">
      <c r="A19" s="1066" t="str">
        <f>CONCATENATE("Подраздел: ",IF([99]Source!G95&lt;&gt;"Новый подраздел", [99]Source!G95, ""))</f>
        <v>Подраздел: К2-1, К2-1р</v>
      </c>
      <c r="B19" s="1066"/>
      <c r="C19" s="1066"/>
      <c r="D19" s="1066"/>
      <c r="E19" s="1066"/>
      <c r="F19" s="1066"/>
      <c r="G19" s="1066"/>
      <c r="H19" s="1066"/>
      <c r="I19" s="1066"/>
      <c r="J19" s="1066"/>
      <c r="K19" s="1066"/>
      <c r="L19" s="1066"/>
    </row>
    <row r="20" spans="1:27" ht="55.5" x14ac:dyDescent="0.25">
      <c r="A20" s="691">
        <v>1</v>
      </c>
      <c r="B20" s="691" t="str">
        <f>[99]Source!E124</f>
        <v>20</v>
      </c>
      <c r="C20" s="692" t="str">
        <f>[99]Source!F124</f>
        <v>МКЭ-28-1837/5-1 от 12.01.2016</v>
      </c>
      <c r="D20" s="692" t="s">
        <v>751</v>
      </c>
      <c r="E20" s="693" t="str">
        <f>[99]Source!H124</f>
        <v>шт.</v>
      </c>
      <c r="F20" s="694">
        <f>[99]Source!I124</f>
        <v>4</v>
      </c>
      <c r="G20" s="697">
        <f>J20/F20</f>
        <v>1346.97</v>
      </c>
      <c r="H20" s="696"/>
      <c r="I20" s="694">
        <f>[99]Source!AW124</f>
        <v>1</v>
      </c>
      <c r="J20" s="697">
        <f>L20/K20</f>
        <v>5387.86</v>
      </c>
      <c r="K20" s="694">
        <v>5.58</v>
      </c>
      <c r="L20" s="697">
        <f>7368.69*1.02*F20</f>
        <v>30064.26</v>
      </c>
      <c r="Q20" s="718">
        <f>ROUND(([99]Source!DN124/100)*ROUND((ROUND(([99]Source!AF124*[99]Source!AV124*[99]Source!I124),2)),2), 2)</f>
        <v>0</v>
      </c>
      <c r="R20" s="718">
        <f>[99]Source!X124</f>
        <v>0</v>
      </c>
      <c r="S20" s="718">
        <f>ROUND(([99]Source!DO124/100)*ROUND((ROUND(([99]Source!AF124*[99]Source!AV124*[99]Source!I124),2)),2), 2)</f>
        <v>0</v>
      </c>
      <c r="T20" s="718">
        <f>[99]Source!Y124</f>
        <v>0</v>
      </c>
      <c r="U20" s="718">
        <f>ROUND((175/100)*ROUND((ROUND(([99]Source!AE124*[99]Source!AV124*[99]Source!I124),2)),2), 2)</f>
        <v>0</v>
      </c>
      <c r="V20" s="718">
        <f>ROUND((157/100)*ROUND(ROUND((ROUND(([99]Source!AE124*[99]Source!AV124*[99]Source!I124),2)*[99]Source!BS124),2), 2), 2)</f>
        <v>0</v>
      </c>
    </row>
    <row r="21" spans="1:27" ht="14.25" x14ac:dyDescent="0.2">
      <c r="A21" s="737"/>
      <c r="B21" s="737"/>
      <c r="C21" s="737"/>
      <c r="D21" s="737"/>
      <c r="E21" s="737"/>
      <c r="F21" s="737"/>
      <c r="G21" s="737"/>
      <c r="H21" s="737"/>
      <c r="I21" s="1067">
        <f>J20</f>
        <v>5387.86</v>
      </c>
      <c r="J21" s="1067"/>
      <c r="K21" s="1067">
        <f>L20</f>
        <v>30064.26</v>
      </c>
      <c r="L21" s="1067"/>
      <c r="O21" s="736">
        <f>J20</f>
        <v>5387.86</v>
      </c>
      <c r="P21" s="736">
        <f>L20</f>
        <v>30064.26</v>
      </c>
      <c r="X21" s="718">
        <f>IF([99]Source!BI124&lt;=1,J20-0, 0)</f>
        <v>5387.86</v>
      </c>
      <c r="Y21" s="718">
        <f>IF([99]Source!BI124=2,J20-0, 0)</f>
        <v>0</v>
      </c>
      <c r="Z21" s="718">
        <f>IF([99]Source!BI124=3,J20-0, 0)</f>
        <v>0</v>
      </c>
      <c r="AA21" s="718">
        <f>IF([99]Source!BI124=4,J20,0)</f>
        <v>0</v>
      </c>
    </row>
    <row r="22" spans="1:27" ht="55.5" x14ac:dyDescent="0.25">
      <c r="A22" s="691">
        <v>2</v>
      </c>
      <c r="B22" s="691" t="str">
        <f>[99]Source!E126</f>
        <v>21</v>
      </c>
      <c r="C22" s="692" t="str">
        <f>[99]Source!F126</f>
        <v>МКЭ-28-1837/5-1 от 12.01.2016</v>
      </c>
      <c r="D22" s="692" t="s">
        <v>752</v>
      </c>
      <c r="E22" s="693" t="str">
        <f>[99]Source!H126</f>
        <v>шт.</v>
      </c>
      <c r="F22" s="694">
        <f>[99]Source!I126</f>
        <v>2</v>
      </c>
      <c r="G22" s="697">
        <f>J22/F22</f>
        <v>1534.21</v>
      </c>
      <c r="H22" s="696"/>
      <c r="I22" s="694">
        <f>[99]Source!AW126</f>
        <v>1</v>
      </c>
      <c r="J22" s="697">
        <f>L22/K22</f>
        <v>3068.42</v>
      </c>
      <c r="K22" s="694">
        <v>5.58</v>
      </c>
      <c r="L22" s="697">
        <f>8393.04*1.02*F22</f>
        <v>17121.8</v>
      </c>
      <c r="Q22" s="718">
        <f>ROUND(([99]Source!DN126/100)*ROUND((ROUND(([99]Source!AF126*[99]Source!AV126*[99]Source!I126),2)),2), 2)</f>
        <v>0</v>
      </c>
      <c r="R22" s="718">
        <f>[99]Source!X126</f>
        <v>0</v>
      </c>
      <c r="S22" s="718">
        <f>ROUND(([99]Source!DO126/100)*ROUND((ROUND(([99]Source!AF126*[99]Source!AV126*[99]Source!I126),2)),2), 2)</f>
        <v>0</v>
      </c>
      <c r="T22" s="718">
        <f>[99]Source!Y126</f>
        <v>0</v>
      </c>
      <c r="U22" s="718">
        <f>ROUND((175/100)*ROUND((ROUND(([99]Source!AE126*[99]Source!AV126*[99]Source!I126),2)),2), 2)</f>
        <v>0</v>
      </c>
      <c r="V22" s="718">
        <f>ROUND((157/100)*ROUND(ROUND((ROUND(([99]Source!AE126*[99]Source!AV126*[99]Source!I126),2)*[99]Source!BS126),2), 2), 2)</f>
        <v>0</v>
      </c>
    </row>
    <row r="23" spans="1:27" ht="14.25" x14ac:dyDescent="0.2">
      <c r="A23" s="737"/>
      <c r="B23" s="737"/>
      <c r="C23" s="737"/>
      <c r="D23" s="737"/>
      <c r="E23" s="737"/>
      <c r="F23" s="737"/>
      <c r="G23" s="737"/>
      <c r="H23" s="737"/>
      <c r="I23" s="1067">
        <f>J22</f>
        <v>3068.42</v>
      </c>
      <c r="J23" s="1067"/>
      <c r="K23" s="1067">
        <f>L22</f>
        <v>17121.8</v>
      </c>
      <c r="L23" s="1067"/>
      <c r="O23" s="736">
        <f>J22</f>
        <v>3068.42</v>
      </c>
      <c r="P23" s="736">
        <f>L22</f>
        <v>17121.8</v>
      </c>
      <c r="X23" s="718">
        <f>IF([99]Source!BI126&lt;=1,J22-0, 0)</f>
        <v>3068.42</v>
      </c>
      <c r="Y23" s="718">
        <f>IF([99]Source!BI126=2,J22-0, 0)</f>
        <v>0</v>
      </c>
      <c r="Z23" s="718">
        <f>IF([99]Source!BI126=3,J22-0, 0)</f>
        <v>0</v>
      </c>
      <c r="AA23" s="718">
        <f>IF([99]Source!BI126=4,J22,0)</f>
        <v>0</v>
      </c>
    </row>
    <row r="24" spans="1:27" ht="55.5" x14ac:dyDescent="0.25">
      <c r="A24" s="691">
        <v>3</v>
      </c>
      <c r="B24" s="691" t="str">
        <f>[99]Source!E128</f>
        <v>22</v>
      </c>
      <c r="C24" s="692" t="str">
        <f>[99]Source!F128</f>
        <v>МКЭ-28-1837/5-1 от 12.01.2016</v>
      </c>
      <c r="D24" s="692" t="s">
        <v>753</v>
      </c>
      <c r="E24" s="693" t="str">
        <f>[99]Source!H128</f>
        <v>шт.</v>
      </c>
      <c r="F24" s="694">
        <f>[99]Source!I128</f>
        <v>1</v>
      </c>
      <c r="G24" s="697">
        <f>J24/F24</f>
        <v>1183.8800000000001</v>
      </c>
      <c r="H24" s="696"/>
      <c r="I24" s="694">
        <f>[99]Source!AW128</f>
        <v>1</v>
      </c>
      <c r="J24" s="697">
        <f>L24/K24</f>
        <v>1183.8800000000001</v>
      </c>
      <c r="K24" s="694">
        <v>5.58</v>
      </c>
      <c r="L24" s="697">
        <f>6476.53*1.02*F24</f>
        <v>6606.06</v>
      </c>
      <c r="Q24" s="718">
        <f>ROUND(([99]Source!DN128/100)*ROUND((ROUND(([99]Source!AF128*[99]Source!AV128*[99]Source!I128),2)),2), 2)</f>
        <v>0</v>
      </c>
      <c r="R24" s="718">
        <f>[99]Source!X128</f>
        <v>0</v>
      </c>
      <c r="S24" s="718">
        <f>ROUND(([99]Source!DO128/100)*ROUND((ROUND(([99]Source!AF128*[99]Source!AV128*[99]Source!I128),2)),2), 2)</f>
        <v>0</v>
      </c>
      <c r="T24" s="718">
        <f>[99]Source!Y128</f>
        <v>0</v>
      </c>
      <c r="U24" s="718">
        <f>ROUND((175/100)*ROUND((ROUND(([99]Source!AE128*[99]Source!AV128*[99]Source!I128),2)),2), 2)</f>
        <v>0</v>
      </c>
      <c r="V24" s="718">
        <f>ROUND((157/100)*ROUND(ROUND((ROUND(([99]Source!AE128*[99]Source!AV128*[99]Source!I128),2)*[99]Source!BS128),2), 2), 2)</f>
        <v>0</v>
      </c>
    </row>
    <row r="25" spans="1:27" ht="14.25" x14ac:dyDescent="0.2">
      <c r="A25" s="737"/>
      <c r="B25" s="737"/>
      <c r="C25" s="737"/>
      <c r="D25" s="737"/>
      <c r="E25" s="737"/>
      <c r="F25" s="737"/>
      <c r="G25" s="737"/>
      <c r="H25" s="737"/>
      <c r="I25" s="1067">
        <f>J24</f>
        <v>1183.8800000000001</v>
      </c>
      <c r="J25" s="1067"/>
      <c r="K25" s="1067">
        <f>L24</f>
        <v>6606.06</v>
      </c>
      <c r="L25" s="1067"/>
      <c r="O25" s="736">
        <f>J24</f>
        <v>1183.8800000000001</v>
      </c>
      <c r="P25" s="736">
        <f>L24</f>
        <v>6606.06</v>
      </c>
      <c r="X25" s="718">
        <f>IF([99]Source!BI128&lt;=1,J24-0, 0)</f>
        <v>1183.8800000000001</v>
      </c>
      <c r="Y25" s="718">
        <f>IF([99]Source!BI128=2,J24-0, 0)</f>
        <v>0</v>
      </c>
      <c r="Z25" s="718">
        <f>IF([99]Source!BI128=3,J24-0, 0)</f>
        <v>0</v>
      </c>
      <c r="AA25" s="718">
        <f>IF([99]Source!BI128=4,J24,0)</f>
        <v>0</v>
      </c>
    </row>
    <row r="26" spans="1:27" ht="30" x14ac:dyDescent="0.25">
      <c r="A26" s="691">
        <v>4</v>
      </c>
      <c r="B26" s="691" t="str">
        <f>[99]Source!E134</f>
        <v>25</v>
      </c>
      <c r="C26" s="692" t="str">
        <f>[99]Source!F134</f>
        <v>3.29-1939-1</v>
      </c>
      <c r="D26" s="692" t="s">
        <v>539</v>
      </c>
      <c r="E26" s="693" t="str">
        <f>[99]Source!H134</f>
        <v>1 М</v>
      </c>
      <c r="F26" s="694">
        <f>[99]Source!I134</f>
        <v>29.68</v>
      </c>
      <c r="G26" s="695"/>
      <c r="H26" s="696"/>
      <c r="I26" s="694"/>
      <c r="J26" s="697"/>
      <c r="K26" s="694"/>
      <c r="L26" s="697"/>
      <c r="Q26" s="718">
        <f>ROUND(([99]Source!DN134/100)*ROUND((ROUND(([99]Source!AF134*[99]Source!AV134*[99]Source!I134),2)),2), 2)</f>
        <v>381.87</v>
      </c>
      <c r="R26" s="718">
        <f>[99]Source!X134</f>
        <v>7964.36</v>
      </c>
      <c r="S26" s="718">
        <f>ROUND(([99]Source!DO134/100)*ROUND((ROUND(([99]Source!AF134*[99]Source!AV134*[99]Source!I134),2)),2), 2)</f>
        <v>338.37</v>
      </c>
      <c r="T26" s="718">
        <f>[99]Source!Y134</f>
        <v>5036.29</v>
      </c>
      <c r="U26" s="718">
        <f>ROUND((175/100)*ROUND((ROUND(([99]Source!AE134*[99]Source!AV134*[99]Source!I134),2)),2), 2)</f>
        <v>0</v>
      </c>
      <c r="V26" s="718">
        <f>ROUND((157/100)*ROUND(ROUND((ROUND(([99]Source!AE134*[99]Source!AV134*[99]Source!I134),2)*[99]Source!BS134),2), 2), 2)</f>
        <v>0</v>
      </c>
    </row>
    <row r="27" spans="1:27" ht="15" x14ac:dyDescent="0.25">
      <c r="A27" s="691"/>
      <c r="B27" s="691"/>
      <c r="C27" s="692"/>
      <c r="D27" s="692" t="s">
        <v>84</v>
      </c>
      <c r="E27" s="693"/>
      <c r="F27" s="694"/>
      <c r="G27" s="695">
        <f>[99]Source!AO134</f>
        <v>9.14</v>
      </c>
      <c r="H27" s="696" t="str">
        <f>[99]Source!DG134</f>
        <v>)*1,67</v>
      </c>
      <c r="I27" s="694">
        <f>[99]Source!AV134</f>
        <v>1.0669999999999999</v>
      </c>
      <c r="J27" s="697">
        <f>ROUND((ROUND(([99]Source!AF134*[99]Source!AV134*[99]Source!I134),2)),2)</f>
        <v>483.38</v>
      </c>
      <c r="K27" s="694">
        <f>IF([99]Source!BA134&lt;&gt; 0, [99]Source!BA134, 1)</f>
        <v>24.23</v>
      </c>
      <c r="L27" s="697">
        <f>[99]Source!S134</f>
        <v>11712.3</v>
      </c>
      <c r="W27" s="718">
        <f>J27</f>
        <v>483.38</v>
      </c>
    </row>
    <row r="28" spans="1:27" ht="15" x14ac:dyDescent="0.25">
      <c r="A28" s="691"/>
      <c r="B28" s="691"/>
      <c r="C28" s="692"/>
      <c r="D28" s="692" t="s">
        <v>85</v>
      </c>
      <c r="E28" s="693"/>
      <c r="F28" s="694"/>
      <c r="G28" s="695">
        <f>[99]Source!AM134</f>
        <v>0.09</v>
      </c>
      <c r="H28" s="696" t="str">
        <f>[99]Source!DE134</f>
        <v/>
      </c>
      <c r="I28" s="694">
        <f>[99]Source!AV134</f>
        <v>1.0669999999999999</v>
      </c>
      <c r="J28" s="697">
        <f>(ROUND((ROUND((([99]Source!ET134)*[99]Source!AV134*[99]Source!I134),2)),2)+ROUND((ROUND((([99]Source!AE134-([99]Source!EU134))*[99]Source!AV134*[99]Source!I134),2)),2))</f>
        <v>2.85</v>
      </c>
      <c r="K28" s="694">
        <f>IF([99]Source!BB134&lt;&gt; 0, [99]Source!BB134, 1)</f>
        <v>3.78</v>
      </c>
      <c r="L28" s="697">
        <f>[99]Source!Q134</f>
        <v>10.77</v>
      </c>
    </row>
    <row r="29" spans="1:27" ht="15" x14ac:dyDescent="0.25">
      <c r="A29" s="691"/>
      <c r="B29" s="691"/>
      <c r="C29" s="692"/>
      <c r="D29" s="692" t="s">
        <v>87</v>
      </c>
      <c r="E29" s="693"/>
      <c r="F29" s="694"/>
      <c r="G29" s="695">
        <f>[99]Source!AL134</f>
        <v>15.18</v>
      </c>
      <c r="H29" s="696" t="str">
        <f>[99]Source!DD134</f>
        <v/>
      </c>
      <c r="I29" s="694">
        <f>[99]Source!AW134</f>
        <v>1.028</v>
      </c>
      <c r="J29" s="697">
        <f>ROUND((ROUND(([99]Source!AC134*[99]Source!AW134*[99]Source!I134),2)),2)</f>
        <v>463.16</v>
      </c>
      <c r="K29" s="694">
        <f>IF([99]Source!BC134&lt;&gt; 0, [99]Source!BC134, 1)</f>
        <v>2.5299999999999998</v>
      </c>
      <c r="L29" s="697">
        <f>[99]Source!P134</f>
        <v>1171.79</v>
      </c>
    </row>
    <row r="30" spans="1:27" ht="45" x14ac:dyDescent="0.25">
      <c r="A30" s="691">
        <v>5</v>
      </c>
      <c r="B30" s="691" t="str">
        <f>[99]Source!E136</f>
        <v>25,1</v>
      </c>
      <c r="C30" s="692" t="str">
        <f>[99]Source!F136</f>
        <v>1.12-7-186</v>
      </c>
      <c r="D30" s="692" t="s">
        <v>540</v>
      </c>
      <c r="E30" s="693" t="str">
        <f>[99]Source!H136</f>
        <v>м</v>
      </c>
      <c r="F30" s="694">
        <f>[99]Source!I136</f>
        <v>29.68</v>
      </c>
      <c r="G30" s="695">
        <f>[99]Source!AK136</f>
        <v>4.37</v>
      </c>
      <c r="H30" s="734" t="s">
        <v>42</v>
      </c>
      <c r="I30" s="694">
        <f>[99]Source!AW136</f>
        <v>1.028</v>
      </c>
      <c r="J30" s="697">
        <f>ROUND((ROUND(([99]Source!AC136*[99]Source!AW136*[99]Source!I136),2)),2)+(ROUND((ROUND((([99]Source!ET136)*[99]Source!AV136*[99]Source!I136),2)),2)+ROUND((ROUND((([99]Source!AE136-([99]Source!EU136))*[99]Source!AV136*[99]Source!I136),2)),2))+ROUND((ROUND(([99]Source!AF136*[99]Source!AV136*[99]Source!I136),2)),2)</f>
        <v>133.33000000000001</v>
      </c>
      <c r="K30" s="694">
        <f>IF([99]Source!BC136&lt;&gt; 0, [99]Source!BC136, 1)</f>
        <v>16.739999999999998</v>
      </c>
      <c r="L30" s="697">
        <f>[99]Source!O136</f>
        <v>2231.94</v>
      </c>
      <c r="Q30" s="718">
        <f>ROUND(([99]Source!DN136/100)*ROUND((ROUND(([99]Source!AF136*[99]Source!AV136*[99]Source!I136),2)),2), 2)</f>
        <v>0</v>
      </c>
      <c r="R30" s="718">
        <f>[99]Source!X136</f>
        <v>0</v>
      </c>
      <c r="S30" s="718">
        <f>ROUND(([99]Source!DO136/100)*ROUND((ROUND(([99]Source!AF136*[99]Source!AV136*[99]Source!I136),2)),2), 2)</f>
        <v>0</v>
      </c>
      <c r="T30" s="718">
        <f>[99]Source!Y136</f>
        <v>0</v>
      </c>
      <c r="U30" s="718">
        <f>ROUND((175/100)*ROUND((ROUND(([99]Source!AE136*[99]Source!AV136*[99]Source!I136),2)),2), 2)</f>
        <v>0</v>
      </c>
      <c r="V30" s="718">
        <f>ROUND((157/100)*ROUND(ROUND((ROUND(([99]Source!AE136*[99]Source!AV136*[99]Source!I136),2)*[99]Source!BS136),2), 2), 2)</f>
        <v>0</v>
      </c>
      <c r="X30" s="718">
        <f>IF([99]Source!BI136&lt;=1,J30, 0)</f>
        <v>133.33000000000001</v>
      </c>
      <c r="Y30" s="718">
        <f>IF([99]Source!BI136=2,J30, 0)</f>
        <v>0</v>
      </c>
      <c r="Z30" s="718">
        <f>IF([99]Source!BI136=3,J30, 0)</f>
        <v>0</v>
      </c>
      <c r="AA30" s="718">
        <f>IF([99]Source!BI136=4,J30, 0)</f>
        <v>0</v>
      </c>
    </row>
    <row r="31" spans="1:27" ht="15" x14ac:dyDescent="0.25">
      <c r="A31" s="691"/>
      <c r="B31" s="691"/>
      <c r="C31" s="692"/>
      <c r="D31" s="692" t="s">
        <v>88</v>
      </c>
      <c r="E31" s="693" t="s">
        <v>89</v>
      </c>
      <c r="F31" s="694">
        <f>[99]Source!DN134</f>
        <v>79</v>
      </c>
      <c r="G31" s="695"/>
      <c r="H31" s="696"/>
      <c r="I31" s="694"/>
      <c r="J31" s="697">
        <f>SUM(Q26:Q30)</f>
        <v>381.87</v>
      </c>
      <c r="K31" s="694">
        <f>[99]Source!BZ134</f>
        <v>68</v>
      </c>
      <c r="L31" s="697">
        <f>SUM(R26:R30)</f>
        <v>7964.36</v>
      </c>
    </row>
    <row r="32" spans="1:27" ht="15" x14ac:dyDescent="0.25">
      <c r="A32" s="691"/>
      <c r="B32" s="691"/>
      <c r="C32" s="692"/>
      <c r="D32" s="692" t="s">
        <v>90</v>
      </c>
      <c r="E32" s="693" t="s">
        <v>89</v>
      </c>
      <c r="F32" s="694">
        <f>[99]Source!DO134</f>
        <v>70</v>
      </c>
      <c r="G32" s="695"/>
      <c r="H32" s="696"/>
      <c r="I32" s="694"/>
      <c r="J32" s="697">
        <f>SUM(S26:S31)</f>
        <v>338.37</v>
      </c>
      <c r="K32" s="694">
        <f>[99]Source!CA134</f>
        <v>43</v>
      </c>
      <c r="L32" s="697">
        <f>SUM(T26:T31)</f>
        <v>5036.29</v>
      </c>
    </row>
    <row r="33" spans="1:27" ht="15" x14ac:dyDescent="0.25">
      <c r="A33" s="691"/>
      <c r="B33" s="691"/>
      <c r="C33" s="692"/>
      <c r="D33" s="692" t="s">
        <v>92</v>
      </c>
      <c r="E33" s="693" t="s">
        <v>93</v>
      </c>
      <c r="F33" s="694">
        <f>[99]Source!AQ134</f>
        <v>0.75</v>
      </c>
      <c r="G33" s="695"/>
      <c r="H33" s="696" t="str">
        <f>[99]Source!DI134</f>
        <v/>
      </c>
      <c r="I33" s="694">
        <f>[99]Source!AV134</f>
        <v>1.0669999999999999</v>
      </c>
      <c r="J33" s="697">
        <f>[99]Source!U134</f>
        <v>23.75</v>
      </c>
      <c r="K33" s="694"/>
      <c r="L33" s="697"/>
    </row>
    <row r="34" spans="1:27" ht="14.25" x14ac:dyDescent="0.2">
      <c r="A34" s="737"/>
      <c r="B34" s="737"/>
      <c r="C34" s="737"/>
      <c r="D34" s="737"/>
      <c r="E34" s="737"/>
      <c r="F34" s="737"/>
      <c r="G34" s="737"/>
      <c r="H34" s="737"/>
      <c r="I34" s="1067">
        <f>J27+J28+J29+J31+J32+SUM(J30:J30)</f>
        <v>1802.96</v>
      </c>
      <c r="J34" s="1067"/>
      <c r="K34" s="1067">
        <f>L27+L28+L29+L31+L32+SUM(L30:L30)</f>
        <v>28127.45</v>
      </c>
      <c r="L34" s="1067"/>
      <c r="O34" s="736">
        <f>J27+J28+J29+J31+J32+SUM(J30:J30)</f>
        <v>1802.96</v>
      </c>
      <c r="P34" s="736">
        <f>L27+L28+L29+L31+L32+SUM(L30:L30)</f>
        <v>28127.45</v>
      </c>
      <c r="X34" s="718">
        <f>IF([99]Source!BI134&lt;=1,J27+J28+J29+J31+J32-0, 0)</f>
        <v>1669.63</v>
      </c>
      <c r="Y34" s="718">
        <f>IF([99]Source!BI134=2,J27+J28+J29+J31+J32-0, 0)</f>
        <v>0</v>
      </c>
      <c r="Z34" s="718">
        <f>IF([99]Source!BI134=3,J27+J28+J29+J31+J32-0, 0)</f>
        <v>0</v>
      </c>
      <c r="AA34" s="718">
        <f>IF([99]Source!BI134=4,J27+J28+J29+J31+J32,0)</f>
        <v>0</v>
      </c>
    </row>
    <row r="35" spans="1:27" ht="30" x14ac:dyDescent="0.25">
      <c r="A35" s="691">
        <v>6</v>
      </c>
      <c r="B35" s="691" t="str">
        <f>[99]Source!E138</f>
        <v>26</v>
      </c>
      <c r="C35" s="692" t="str">
        <f>[99]Source!F138</f>
        <v>3.29-1939-2</v>
      </c>
      <c r="D35" s="692" t="s">
        <v>541</v>
      </c>
      <c r="E35" s="693" t="str">
        <f>[99]Source!H138</f>
        <v>1 М</v>
      </c>
      <c r="F35" s="694">
        <f>[99]Source!I138</f>
        <v>39.19</v>
      </c>
      <c r="G35" s="695"/>
      <c r="H35" s="696"/>
      <c r="I35" s="694"/>
      <c r="J35" s="697"/>
      <c r="K35" s="694"/>
      <c r="L35" s="697"/>
      <c r="Q35" s="718">
        <f>ROUND(([99]Source!DN138/100)*ROUND((ROUND(([99]Source!AF138*[99]Source!AV138*[99]Source!I138),2)),2), 2)</f>
        <v>471.13</v>
      </c>
      <c r="R35" s="718">
        <f>[99]Source!X138</f>
        <v>9826.0300000000007</v>
      </c>
      <c r="S35" s="718">
        <f>ROUND(([99]Source!DO138/100)*ROUND((ROUND(([99]Source!AF138*[99]Source!AV138*[99]Source!I138),2)),2), 2)</f>
        <v>417.46</v>
      </c>
      <c r="T35" s="718">
        <f>[99]Source!Y138</f>
        <v>6213.52</v>
      </c>
      <c r="U35" s="718">
        <f>ROUND((175/100)*ROUND((ROUND(([99]Source!AE138*[99]Source!AV138*[99]Source!I138),2)),2), 2)</f>
        <v>0</v>
      </c>
      <c r="V35" s="718">
        <f>ROUND((157/100)*ROUND(ROUND((ROUND(([99]Source!AE138*[99]Source!AV138*[99]Source!I138),2)*[99]Source!BS138),2), 2), 2)</f>
        <v>0</v>
      </c>
    </row>
    <row r="36" spans="1:27" ht="15" x14ac:dyDescent="0.25">
      <c r="A36" s="691"/>
      <c r="B36" s="691"/>
      <c r="C36" s="692"/>
      <c r="D36" s="692" t="s">
        <v>84</v>
      </c>
      <c r="E36" s="693"/>
      <c r="F36" s="694"/>
      <c r="G36" s="695">
        <f>[99]Source!AO138</f>
        <v>8.5399999999999991</v>
      </c>
      <c r="H36" s="696" t="str">
        <f>[99]Source!DG138</f>
        <v>)*1,67</v>
      </c>
      <c r="I36" s="694">
        <f>[99]Source!AV138</f>
        <v>1.0669999999999999</v>
      </c>
      <c r="J36" s="697">
        <f>ROUND((ROUND(([99]Source!AF138*[99]Source!AV138*[99]Source!I138),2)),2)</f>
        <v>596.37</v>
      </c>
      <c r="K36" s="694">
        <f>IF([99]Source!BA138&lt;&gt; 0, [99]Source!BA138, 1)</f>
        <v>24.23</v>
      </c>
      <c r="L36" s="697">
        <f>[99]Source!S138</f>
        <v>14450.05</v>
      </c>
      <c r="W36" s="718">
        <f>J36</f>
        <v>596.37</v>
      </c>
    </row>
    <row r="37" spans="1:27" ht="15" x14ac:dyDescent="0.25">
      <c r="A37" s="691"/>
      <c r="B37" s="691"/>
      <c r="C37" s="692"/>
      <c r="D37" s="692" t="s">
        <v>85</v>
      </c>
      <c r="E37" s="693"/>
      <c r="F37" s="694"/>
      <c r="G37" s="695">
        <f>[99]Source!AM138</f>
        <v>7.0000000000000007E-2</v>
      </c>
      <c r="H37" s="696" t="str">
        <f>[99]Source!DE138</f>
        <v/>
      </c>
      <c r="I37" s="694">
        <f>[99]Source!AV138</f>
        <v>1.0669999999999999</v>
      </c>
      <c r="J37" s="697">
        <f>(ROUND((ROUND((([99]Source!ET138)*[99]Source!AV138*[99]Source!I138),2)),2)+ROUND((ROUND((([99]Source!AE138-([99]Source!EU138))*[99]Source!AV138*[99]Source!I138),2)),2))</f>
        <v>2.93</v>
      </c>
      <c r="K37" s="694">
        <f>IF([99]Source!BB138&lt;&gt; 0, [99]Source!BB138, 1)</f>
        <v>3.71</v>
      </c>
      <c r="L37" s="697">
        <f>[99]Source!Q138</f>
        <v>10.87</v>
      </c>
    </row>
    <row r="38" spans="1:27" ht="15" x14ac:dyDescent="0.25">
      <c r="A38" s="691"/>
      <c r="B38" s="691"/>
      <c r="C38" s="692"/>
      <c r="D38" s="692" t="s">
        <v>87</v>
      </c>
      <c r="E38" s="693"/>
      <c r="F38" s="694"/>
      <c r="G38" s="695">
        <f>[99]Source!AL138</f>
        <v>15.11</v>
      </c>
      <c r="H38" s="696" t="str">
        <f>[99]Source!DD138</f>
        <v/>
      </c>
      <c r="I38" s="694">
        <f>[99]Source!AW138</f>
        <v>1.028</v>
      </c>
      <c r="J38" s="697">
        <f>ROUND((ROUND(([99]Source!AC138*[99]Source!AW138*[99]Source!I138),2)),2)</f>
        <v>608.74</v>
      </c>
      <c r="K38" s="694">
        <f>IF([99]Source!BC138&lt;&gt; 0, [99]Source!BC138, 1)</f>
        <v>2.52</v>
      </c>
      <c r="L38" s="697">
        <f>[99]Source!P138</f>
        <v>1534.02</v>
      </c>
    </row>
    <row r="39" spans="1:27" ht="45" x14ac:dyDescent="0.25">
      <c r="A39" s="691">
        <v>7</v>
      </c>
      <c r="B39" s="691" t="str">
        <f>[99]Source!E140</f>
        <v>26,1</v>
      </c>
      <c r="C39" s="692" t="str">
        <f>[99]Source!F140</f>
        <v>1.12-7-187</v>
      </c>
      <c r="D39" s="692" t="s">
        <v>542</v>
      </c>
      <c r="E39" s="693" t="str">
        <f>[99]Source!H140</f>
        <v>м</v>
      </c>
      <c r="F39" s="694">
        <f>[99]Source!I140</f>
        <v>39.19</v>
      </c>
      <c r="G39" s="695">
        <f>[99]Source!AK140</f>
        <v>7.73</v>
      </c>
      <c r="H39" s="734" t="s">
        <v>42</v>
      </c>
      <c r="I39" s="694">
        <f>[99]Source!AW140</f>
        <v>1.028</v>
      </c>
      <c r="J39" s="697">
        <f>ROUND((ROUND(([99]Source!AC140*[99]Source!AW140*[99]Source!I140),2)),2)+(ROUND((ROUND((([99]Source!ET140)*[99]Source!AV140*[99]Source!I140),2)),2)+ROUND((ROUND((([99]Source!AE140-([99]Source!EU140))*[99]Source!AV140*[99]Source!I140),2)),2))+ROUND((ROUND(([99]Source!AF140*[99]Source!AV140*[99]Source!I140),2)),2)</f>
        <v>311.42</v>
      </c>
      <c r="K39" s="694">
        <f>IF([99]Source!BC140&lt;&gt; 0, [99]Source!BC140, 1)</f>
        <v>13.82</v>
      </c>
      <c r="L39" s="697">
        <f>[99]Source!O140</f>
        <v>4303.82</v>
      </c>
      <c r="Q39" s="718">
        <f>ROUND(([99]Source!DN140/100)*ROUND((ROUND(([99]Source!AF140*[99]Source!AV140*[99]Source!I140),2)),2), 2)</f>
        <v>0</v>
      </c>
      <c r="R39" s="718">
        <f>[99]Source!X140</f>
        <v>0</v>
      </c>
      <c r="S39" s="718">
        <f>ROUND(([99]Source!DO140/100)*ROUND((ROUND(([99]Source!AF140*[99]Source!AV140*[99]Source!I140),2)),2), 2)</f>
        <v>0</v>
      </c>
      <c r="T39" s="718">
        <f>[99]Source!Y140</f>
        <v>0</v>
      </c>
      <c r="U39" s="718">
        <f>ROUND((175/100)*ROUND((ROUND(([99]Source!AE140*[99]Source!AV140*[99]Source!I140),2)),2), 2)</f>
        <v>0</v>
      </c>
      <c r="V39" s="718">
        <f>ROUND((157/100)*ROUND(ROUND((ROUND(([99]Source!AE140*[99]Source!AV140*[99]Source!I140),2)*[99]Source!BS140),2), 2), 2)</f>
        <v>0</v>
      </c>
      <c r="X39" s="718">
        <f>IF([99]Source!BI140&lt;=1,J39, 0)</f>
        <v>311.42</v>
      </c>
      <c r="Y39" s="718">
        <f>IF([99]Source!BI140=2,J39, 0)</f>
        <v>0</v>
      </c>
      <c r="Z39" s="718">
        <f>IF([99]Source!BI140=3,J39, 0)</f>
        <v>0</v>
      </c>
      <c r="AA39" s="718">
        <f>IF([99]Source!BI140=4,J39, 0)</f>
        <v>0</v>
      </c>
    </row>
    <row r="40" spans="1:27" ht="15" x14ac:dyDescent="0.25">
      <c r="A40" s="691"/>
      <c r="B40" s="691"/>
      <c r="C40" s="692"/>
      <c r="D40" s="692" t="s">
        <v>88</v>
      </c>
      <c r="E40" s="693" t="s">
        <v>89</v>
      </c>
      <c r="F40" s="694">
        <f>[99]Source!DN138</f>
        <v>79</v>
      </c>
      <c r="G40" s="695"/>
      <c r="H40" s="696"/>
      <c r="I40" s="694"/>
      <c r="J40" s="697">
        <f>SUM(Q35:Q39)</f>
        <v>471.13</v>
      </c>
      <c r="K40" s="694">
        <f>[99]Source!BZ138</f>
        <v>68</v>
      </c>
      <c r="L40" s="697">
        <f>SUM(R35:R39)</f>
        <v>9826.0300000000007</v>
      </c>
    </row>
    <row r="41" spans="1:27" ht="15" x14ac:dyDescent="0.25">
      <c r="A41" s="691"/>
      <c r="B41" s="691"/>
      <c r="C41" s="692"/>
      <c r="D41" s="692" t="s">
        <v>90</v>
      </c>
      <c r="E41" s="693" t="s">
        <v>89</v>
      </c>
      <c r="F41" s="694">
        <f>[99]Source!DO138</f>
        <v>70</v>
      </c>
      <c r="G41" s="695"/>
      <c r="H41" s="696"/>
      <c r="I41" s="694"/>
      <c r="J41" s="697">
        <f>SUM(S35:S40)</f>
        <v>417.46</v>
      </c>
      <c r="K41" s="694">
        <f>[99]Source!CA138</f>
        <v>43</v>
      </c>
      <c r="L41" s="697">
        <f>SUM(T35:T40)</f>
        <v>6213.52</v>
      </c>
    </row>
    <row r="42" spans="1:27" ht="15" x14ac:dyDescent="0.25">
      <c r="A42" s="691"/>
      <c r="B42" s="691"/>
      <c r="C42" s="692"/>
      <c r="D42" s="692" t="s">
        <v>92</v>
      </c>
      <c r="E42" s="693" t="s">
        <v>93</v>
      </c>
      <c r="F42" s="694">
        <f>[99]Source!AQ138</f>
        <v>0.7</v>
      </c>
      <c r="G42" s="695"/>
      <c r="H42" s="696" t="str">
        <f>[99]Source!DI138</f>
        <v/>
      </c>
      <c r="I42" s="694">
        <f>[99]Source!AV138</f>
        <v>1.0669999999999999</v>
      </c>
      <c r="J42" s="697">
        <f>[99]Source!U138</f>
        <v>29.27</v>
      </c>
      <c r="K42" s="694"/>
      <c r="L42" s="697"/>
    </row>
    <row r="43" spans="1:27" ht="14.25" x14ac:dyDescent="0.2">
      <c r="A43" s="737"/>
      <c r="B43" s="737"/>
      <c r="C43" s="737"/>
      <c r="D43" s="737"/>
      <c r="E43" s="737"/>
      <c r="F43" s="737"/>
      <c r="G43" s="737"/>
      <c r="H43" s="737"/>
      <c r="I43" s="1067">
        <f>J36+J37+J38+J40+J41+SUM(J39:J39)</f>
        <v>2408.0500000000002</v>
      </c>
      <c r="J43" s="1067"/>
      <c r="K43" s="1067">
        <f>L36+L37+L38+L40+L41+SUM(L39:L39)</f>
        <v>36338.31</v>
      </c>
      <c r="L43" s="1067"/>
      <c r="O43" s="736">
        <f>J36+J37+J38+J40+J41+SUM(J39:J39)</f>
        <v>2408.0500000000002</v>
      </c>
      <c r="P43" s="736">
        <f>L36+L37+L38+L40+L41+SUM(L39:L39)</f>
        <v>36338.31</v>
      </c>
      <c r="X43" s="718">
        <f>IF([99]Source!BI138&lt;=1,J36+J37+J38+J40+J41-0, 0)</f>
        <v>2096.63</v>
      </c>
      <c r="Y43" s="718">
        <f>IF([99]Source!BI138=2,J36+J37+J38+J40+J41-0, 0)</f>
        <v>0</v>
      </c>
      <c r="Z43" s="718">
        <f>IF([99]Source!BI138=3,J36+J37+J38+J40+J41-0, 0)</f>
        <v>0</v>
      </c>
      <c r="AA43" s="718">
        <f>IF([99]Source!BI138=4,J36+J37+J38+J40+J41,0)</f>
        <v>0</v>
      </c>
    </row>
    <row r="44" spans="1:27" ht="30" x14ac:dyDescent="0.25">
      <c r="A44" s="691">
        <v>8</v>
      </c>
      <c r="B44" s="691" t="str">
        <f>[99]Source!E142</f>
        <v>27</v>
      </c>
      <c r="C44" s="692" t="str">
        <f>[99]Source!F142</f>
        <v>3.29-1939-3</v>
      </c>
      <c r="D44" s="692" t="s">
        <v>543</v>
      </c>
      <c r="E44" s="693" t="str">
        <f>[99]Source!H142</f>
        <v>1 М</v>
      </c>
      <c r="F44" s="694">
        <f>[99]Source!I142</f>
        <v>43.04</v>
      </c>
      <c r="G44" s="695"/>
      <c r="H44" s="696"/>
      <c r="I44" s="694"/>
      <c r="J44" s="697"/>
      <c r="K44" s="694"/>
      <c r="L44" s="697"/>
      <c r="Q44" s="718">
        <f>ROUND(([99]Source!DN142/100)*ROUND((ROUND(([99]Source!AF142*[99]Source!AV142*[99]Source!I142),2)),2), 2)</f>
        <v>553.77</v>
      </c>
      <c r="R44" s="718">
        <f>[99]Source!X142</f>
        <v>11549.46</v>
      </c>
      <c r="S44" s="718">
        <f>ROUND(([99]Source!DO142/100)*ROUND((ROUND(([99]Source!AF142*[99]Source!AV142*[99]Source!I142),2)),2), 2)</f>
        <v>490.68</v>
      </c>
      <c r="T44" s="718">
        <f>[99]Source!Y142</f>
        <v>7303.34</v>
      </c>
      <c r="U44" s="718">
        <f>ROUND((175/100)*ROUND((ROUND(([99]Source!AE142*[99]Source!AV142*[99]Source!I142),2)),2), 2)</f>
        <v>0</v>
      </c>
      <c r="V44" s="718">
        <f>ROUND((157/100)*ROUND(ROUND((ROUND(([99]Source!AE142*[99]Source!AV142*[99]Source!I142),2)*[99]Source!BS142),2), 2), 2)</f>
        <v>0</v>
      </c>
    </row>
    <row r="45" spans="1:27" ht="15" x14ac:dyDescent="0.25">
      <c r="A45" s="691"/>
      <c r="B45" s="691"/>
      <c r="C45" s="692"/>
      <c r="D45" s="692" t="s">
        <v>84</v>
      </c>
      <c r="E45" s="693"/>
      <c r="F45" s="694"/>
      <c r="G45" s="695">
        <f>[99]Source!AO142</f>
        <v>9.14</v>
      </c>
      <c r="H45" s="696" t="str">
        <f>[99]Source!DG142</f>
        <v>)*1,67</v>
      </c>
      <c r="I45" s="694">
        <f>[99]Source!AV142</f>
        <v>1.0669999999999999</v>
      </c>
      <c r="J45" s="697">
        <f>ROUND((ROUND(([99]Source!AF142*[99]Source!AV142*[99]Source!I142),2)),2)</f>
        <v>700.97</v>
      </c>
      <c r="K45" s="694">
        <f>IF([99]Source!BA142&lt;&gt; 0, [99]Source!BA142, 1)</f>
        <v>24.23</v>
      </c>
      <c r="L45" s="697">
        <f>[99]Source!S142</f>
        <v>16984.5</v>
      </c>
      <c r="W45" s="718">
        <f>J45</f>
        <v>700.97</v>
      </c>
    </row>
    <row r="46" spans="1:27" ht="15" x14ac:dyDescent="0.25">
      <c r="A46" s="691"/>
      <c r="B46" s="691"/>
      <c r="C46" s="692"/>
      <c r="D46" s="692" t="s">
        <v>85</v>
      </c>
      <c r="E46" s="693"/>
      <c r="F46" s="694"/>
      <c r="G46" s="695">
        <f>[99]Source!AM142</f>
        <v>0.09</v>
      </c>
      <c r="H46" s="696" t="str">
        <f>[99]Source!DE142</f>
        <v/>
      </c>
      <c r="I46" s="694">
        <f>[99]Source!AV142</f>
        <v>1.0669999999999999</v>
      </c>
      <c r="J46" s="697">
        <f>(ROUND((ROUND((([99]Source!ET142)*[99]Source!AV142*[99]Source!I142),2)),2)+ROUND((ROUND((([99]Source!AE142-([99]Source!EU142))*[99]Source!AV142*[99]Source!I142),2)),2))</f>
        <v>4.13</v>
      </c>
      <c r="K46" s="694">
        <f>IF([99]Source!BB142&lt;&gt; 0, [99]Source!BB142, 1)</f>
        <v>3.78</v>
      </c>
      <c r="L46" s="697">
        <f>[99]Source!Q142</f>
        <v>15.61</v>
      </c>
    </row>
    <row r="47" spans="1:27" ht="15" x14ac:dyDescent="0.25">
      <c r="A47" s="691"/>
      <c r="B47" s="691"/>
      <c r="C47" s="692"/>
      <c r="D47" s="692" t="s">
        <v>87</v>
      </c>
      <c r="E47" s="693"/>
      <c r="F47" s="694"/>
      <c r="G47" s="695">
        <f>[99]Source!AL142</f>
        <v>15.23</v>
      </c>
      <c r="H47" s="696" t="str">
        <f>[99]Source!DD142</f>
        <v/>
      </c>
      <c r="I47" s="694">
        <f>[99]Source!AW142</f>
        <v>1.028</v>
      </c>
      <c r="J47" s="697">
        <f>ROUND((ROUND(([99]Source!AC142*[99]Source!AW142*[99]Source!I142),2)),2)</f>
        <v>673.85</v>
      </c>
      <c r="K47" s="694">
        <f>IF([99]Source!BC142&lt;&gt; 0, [99]Source!BC142, 1)</f>
        <v>2.56</v>
      </c>
      <c r="L47" s="697">
        <f>[99]Source!P142</f>
        <v>1725.06</v>
      </c>
    </row>
    <row r="48" spans="1:27" ht="45" x14ac:dyDescent="0.25">
      <c r="A48" s="691">
        <v>9</v>
      </c>
      <c r="B48" s="691" t="str">
        <f>[99]Source!E144</f>
        <v>27,1</v>
      </c>
      <c r="C48" s="692" t="str">
        <f>[99]Source!F144</f>
        <v>1.12-7-188</v>
      </c>
      <c r="D48" s="692" t="s">
        <v>544</v>
      </c>
      <c r="E48" s="693" t="str">
        <f>[99]Source!H144</f>
        <v>м</v>
      </c>
      <c r="F48" s="694">
        <f>[99]Source!I144</f>
        <v>43.04</v>
      </c>
      <c r="G48" s="695">
        <f>[99]Source!AK144</f>
        <v>10.28</v>
      </c>
      <c r="H48" s="734" t="s">
        <v>42</v>
      </c>
      <c r="I48" s="694">
        <f>[99]Source!AW144</f>
        <v>1.028</v>
      </c>
      <c r="J48" s="697">
        <f>ROUND((ROUND(([99]Source!AC144*[99]Source!AW144*[99]Source!I144),2)),2)+(ROUND((ROUND((([99]Source!ET144)*[99]Source!AV144*[99]Source!I144),2)),2)+ROUND((ROUND((([99]Source!AE144-([99]Source!EU144))*[99]Source!AV144*[99]Source!I144),2)),2))+ROUND((ROUND(([99]Source!AF144*[99]Source!AV144*[99]Source!I144),2)),2)</f>
        <v>454.84</v>
      </c>
      <c r="K48" s="694">
        <f>IF([99]Source!BC144&lt;&gt; 0, [99]Source!BC144, 1)</f>
        <v>14.12</v>
      </c>
      <c r="L48" s="697">
        <f>[99]Source!O144</f>
        <v>6422.34</v>
      </c>
      <c r="Q48" s="718">
        <f>ROUND(([99]Source!DN144/100)*ROUND((ROUND(([99]Source!AF144*[99]Source!AV144*[99]Source!I144),2)),2), 2)</f>
        <v>0</v>
      </c>
      <c r="R48" s="718">
        <f>[99]Source!X144</f>
        <v>0</v>
      </c>
      <c r="S48" s="718">
        <f>ROUND(([99]Source!DO144/100)*ROUND((ROUND(([99]Source!AF144*[99]Source!AV144*[99]Source!I144),2)),2), 2)</f>
        <v>0</v>
      </c>
      <c r="T48" s="718">
        <f>[99]Source!Y144</f>
        <v>0</v>
      </c>
      <c r="U48" s="718">
        <f>ROUND((175/100)*ROUND((ROUND(([99]Source!AE144*[99]Source!AV144*[99]Source!I144),2)),2), 2)</f>
        <v>0</v>
      </c>
      <c r="V48" s="718">
        <f>ROUND((157/100)*ROUND(ROUND((ROUND(([99]Source!AE144*[99]Source!AV144*[99]Source!I144),2)*[99]Source!BS144),2), 2), 2)</f>
        <v>0</v>
      </c>
      <c r="X48" s="718">
        <f>IF([99]Source!BI144&lt;=1,J48, 0)</f>
        <v>454.84</v>
      </c>
      <c r="Y48" s="718">
        <f>IF([99]Source!BI144=2,J48, 0)</f>
        <v>0</v>
      </c>
      <c r="Z48" s="718">
        <f>IF([99]Source!BI144=3,J48, 0)</f>
        <v>0</v>
      </c>
      <c r="AA48" s="718">
        <f>IF([99]Source!BI144=4,J48, 0)</f>
        <v>0</v>
      </c>
    </row>
    <row r="49" spans="1:27" ht="15" x14ac:dyDescent="0.25">
      <c r="A49" s="691"/>
      <c r="B49" s="691"/>
      <c r="C49" s="692"/>
      <c r="D49" s="692" t="s">
        <v>88</v>
      </c>
      <c r="E49" s="693" t="s">
        <v>89</v>
      </c>
      <c r="F49" s="694">
        <f>[99]Source!DN142</f>
        <v>79</v>
      </c>
      <c r="G49" s="695"/>
      <c r="H49" s="696"/>
      <c r="I49" s="694"/>
      <c r="J49" s="697">
        <f>SUM(Q44:Q48)</f>
        <v>553.77</v>
      </c>
      <c r="K49" s="694">
        <f>[99]Source!BZ142</f>
        <v>68</v>
      </c>
      <c r="L49" s="697">
        <f>SUM(R44:R48)</f>
        <v>11549.46</v>
      </c>
    </row>
    <row r="50" spans="1:27" ht="15" x14ac:dyDescent="0.25">
      <c r="A50" s="691"/>
      <c r="B50" s="691"/>
      <c r="C50" s="692"/>
      <c r="D50" s="692" t="s">
        <v>90</v>
      </c>
      <c r="E50" s="693" t="s">
        <v>89</v>
      </c>
      <c r="F50" s="694">
        <f>[99]Source!DO142</f>
        <v>70</v>
      </c>
      <c r="G50" s="695"/>
      <c r="H50" s="696"/>
      <c r="I50" s="694"/>
      <c r="J50" s="697">
        <f>SUM(S44:S49)</f>
        <v>490.68</v>
      </c>
      <c r="K50" s="694">
        <f>[99]Source!CA142</f>
        <v>43</v>
      </c>
      <c r="L50" s="697">
        <f>SUM(T44:T49)</f>
        <v>7303.34</v>
      </c>
    </row>
    <row r="51" spans="1:27" ht="15" x14ac:dyDescent="0.25">
      <c r="A51" s="691"/>
      <c r="B51" s="691"/>
      <c r="C51" s="692"/>
      <c r="D51" s="692" t="s">
        <v>92</v>
      </c>
      <c r="E51" s="693" t="s">
        <v>93</v>
      </c>
      <c r="F51" s="694">
        <f>[99]Source!AQ142</f>
        <v>0.75</v>
      </c>
      <c r="G51" s="695"/>
      <c r="H51" s="696" t="str">
        <f>[99]Source!DI142</f>
        <v/>
      </c>
      <c r="I51" s="694">
        <f>[99]Source!AV142</f>
        <v>1.0669999999999999</v>
      </c>
      <c r="J51" s="697">
        <f>[99]Source!U142</f>
        <v>34.44</v>
      </c>
      <c r="K51" s="694"/>
      <c r="L51" s="697"/>
    </row>
    <row r="52" spans="1:27" ht="14.25" x14ac:dyDescent="0.2">
      <c r="A52" s="737"/>
      <c r="B52" s="737"/>
      <c r="C52" s="737"/>
      <c r="D52" s="737"/>
      <c r="E52" s="737"/>
      <c r="F52" s="737"/>
      <c r="G52" s="737"/>
      <c r="H52" s="737"/>
      <c r="I52" s="1067">
        <f>J45+J46+J47+J49+J50+SUM(J48:J48)</f>
        <v>2878.24</v>
      </c>
      <c r="J52" s="1067"/>
      <c r="K52" s="1067">
        <f>L45+L46+L47+L49+L50+SUM(L48:L48)</f>
        <v>44000.31</v>
      </c>
      <c r="L52" s="1067"/>
      <c r="O52" s="736">
        <f>J45+J46+J47+J49+J50+SUM(J48:J48)</f>
        <v>2878.24</v>
      </c>
      <c r="P52" s="736">
        <f>L45+L46+L47+L49+L50+SUM(L48:L48)</f>
        <v>44000.31</v>
      </c>
      <c r="X52" s="718">
        <f>IF([99]Source!BI142&lt;=1,J45+J46+J47+J49+J50-0, 0)</f>
        <v>2423.4</v>
      </c>
      <c r="Y52" s="718">
        <f>IF([99]Source!BI142=2,J45+J46+J47+J49+J50-0, 0)</f>
        <v>0</v>
      </c>
      <c r="Z52" s="718">
        <f>IF([99]Source!BI142=3,J45+J46+J47+J49+J50-0, 0)</f>
        <v>0</v>
      </c>
      <c r="AA52" s="718">
        <f>IF([99]Source!BI142=4,J45+J46+J47+J49+J50,0)</f>
        <v>0</v>
      </c>
    </row>
    <row r="53" spans="1:27" ht="30" x14ac:dyDescent="0.25">
      <c r="A53" s="691">
        <v>10</v>
      </c>
      <c r="B53" s="691" t="str">
        <f>[99]Source!E146</f>
        <v>28</v>
      </c>
      <c r="C53" s="692" t="str">
        <f>[99]Source!F146</f>
        <v>3.29-1939-4</v>
      </c>
      <c r="D53" s="692" t="s">
        <v>545</v>
      </c>
      <c r="E53" s="693" t="str">
        <f>[99]Source!H146</f>
        <v>1 М</v>
      </c>
      <c r="F53" s="694">
        <f>[99]Source!I146</f>
        <v>8.2799999999999994</v>
      </c>
      <c r="G53" s="695"/>
      <c r="H53" s="696"/>
      <c r="I53" s="694"/>
      <c r="J53" s="697"/>
      <c r="K53" s="694"/>
      <c r="L53" s="697"/>
      <c r="Q53" s="718">
        <f>ROUND(([99]Source!DN146/100)*ROUND((ROUND(([99]Source!AF146*[99]Source!AV146*[99]Source!I146),2)),2), 2)</f>
        <v>103.85</v>
      </c>
      <c r="R53" s="718">
        <f>[99]Source!X146</f>
        <v>2165.9899999999998</v>
      </c>
      <c r="S53" s="718">
        <f>ROUND(([99]Source!DO146/100)*ROUND((ROUND(([99]Source!AF146*[99]Source!AV146*[99]Source!I146),2)),2), 2)</f>
        <v>92.02</v>
      </c>
      <c r="T53" s="718">
        <f>[99]Source!Y146</f>
        <v>1369.67</v>
      </c>
      <c r="U53" s="718">
        <f>ROUND((175/100)*ROUND((ROUND(([99]Source!AE146*[99]Source!AV146*[99]Source!I146),2)),2), 2)</f>
        <v>0</v>
      </c>
      <c r="V53" s="718">
        <f>ROUND((157/100)*ROUND(ROUND((ROUND(([99]Source!AE146*[99]Source!AV146*[99]Source!I146),2)*[99]Source!BS146),2), 2), 2)</f>
        <v>0</v>
      </c>
    </row>
    <row r="54" spans="1:27" ht="15" x14ac:dyDescent="0.25">
      <c r="A54" s="691"/>
      <c r="B54" s="691"/>
      <c r="C54" s="692"/>
      <c r="D54" s="692" t="s">
        <v>84</v>
      </c>
      <c r="E54" s="693"/>
      <c r="F54" s="694"/>
      <c r="G54" s="695">
        <f>[99]Source!AO146</f>
        <v>8.91</v>
      </c>
      <c r="H54" s="696" t="str">
        <f>[99]Source!DG146</f>
        <v>)*1,67</v>
      </c>
      <c r="I54" s="694">
        <f>[99]Source!AV146</f>
        <v>1.0669999999999999</v>
      </c>
      <c r="J54" s="697">
        <f>ROUND((ROUND(([99]Source!AF146*[99]Source!AV146*[99]Source!I146),2)),2)</f>
        <v>131.46</v>
      </c>
      <c r="K54" s="694">
        <f>IF([99]Source!BA146&lt;&gt; 0, [99]Source!BA146, 1)</f>
        <v>24.23</v>
      </c>
      <c r="L54" s="697">
        <f>[99]Source!S146</f>
        <v>3185.28</v>
      </c>
      <c r="W54" s="718">
        <f>J54</f>
        <v>131.46</v>
      </c>
    </row>
    <row r="55" spans="1:27" ht="15" x14ac:dyDescent="0.25">
      <c r="A55" s="691"/>
      <c r="B55" s="691"/>
      <c r="C55" s="692"/>
      <c r="D55" s="692" t="s">
        <v>85</v>
      </c>
      <c r="E55" s="693"/>
      <c r="F55" s="694"/>
      <c r="G55" s="695">
        <f>[99]Source!AM146</f>
        <v>7.0000000000000007E-2</v>
      </c>
      <c r="H55" s="696" t="str">
        <f>[99]Source!DE146</f>
        <v/>
      </c>
      <c r="I55" s="694">
        <f>[99]Source!AV146</f>
        <v>1.0669999999999999</v>
      </c>
      <c r="J55" s="697">
        <f>(ROUND((ROUND((([99]Source!ET146)*[99]Source!AV146*[99]Source!I146),2)),2)+ROUND((ROUND((([99]Source!AE146-([99]Source!EU146))*[99]Source!AV146*[99]Source!I146),2)),2))</f>
        <v>0.62</v>
      </c>
      <c r="K55" s="694">
        <f>IF([99]Source!BB146&lt;&gt; 0, [99]Source!BB146, 1)</f>
        <v>3.71</v>
      </c>
      <c r="L55" s="697">
        <f>[99]Source!Q146</f>
        <v>2.2999999999999998</v>
      </c>
    </row>
    <row r="56" spans="1:27" ht="15" x14ac:dyDescent="0.25">
      <c r="A56" s="691"/>
      <c r="B56" s="691"/>
      <c r="C56" s="692"/>
      <c r="D56" s="692" t="s">
        <v>87</v>
      </c>
      <c r="E56" s="693"/>
      <c r="F56" s="694"/>
      <c r="G56" s="695">
        <f>[99]Source!AL146</f>
        <v>15.33</v>
      </c>
      <c r="H56" s="696" t="str">
        <f>[99]Source!DD146</f>
        <v/>
      </c>
      <c r="I56" s="694">
        <f>[99]Source!AW146</f>
        <v>1.028</v>
      </c>
      <c r="J56" s="697">
        <f>ROUND((ROUND(([99]Source!AC146*[99]Source!AW146*[99]Source!I146),2)),2)</f>
        <v>130.49</v>
      </c>
      <c r="K56" s="694">
        <f>IF([99]Source!BC146&lt;&gt; 0, [99]Source!BC146, 1)</f>
        <v>2.5299999999999998</v>
      </c>
      <c r="L56" s="697">
        <f>[99]Source!P146</f>
        <v>330.14</v>
      </c>
    </row>
    <row r="57" spans="1:27" ht="45" x14ac:dyDescent="0.25">
      <c r="A57" s="691">
        <v>11</v>
      </c>
      <c r="B57" s="691" t="str">
        <f>[99]Source!E148</f>
        <v>28,1</v>
      </c>
      <c r="C57" s="692" t="str">
        <f>[99]Source!F148</f>
        <v>1.12-7-192</v>
      </c>
      <c r="D57" s="692" t="s">
        <v>546</v>
      </c>
      <c r="E57" s="693" t="str">
        <f>[99]Source!H148</f>
        <v>м</v>
      </c>
      <c r="F57" s="694">
        <f>[99]Source!I148</f>
        <v>8.2799999999999994</v>
      </c>
      <c r="G57" s="695">
        <f>[99]Source!AK148</f>
        <v>15.1</v>
      </c>
      <c r="H57" s="734" t="s">
        <v>42</v>
      </c>
      <c r="I57" s="694">
        <f>[99]Source!AW148</f>
        <v>1.028</v>
      </c>
      <c r="J57" s="697">
        <f>ROUND((ROUND(([99]Source!AC148*[99]Source!AW148*[99]Source!I148),2)),2)+(ROUND((ROUND((([99]Source!ET148)*[99]Source!AV148*[99]Source!I148),2)),2)+ROUND((ROUND((([99]Source!AE148-([99]Source!EU148))*[99]Source!AV148*[99]Source!I148),2)),2))+ROUND((ROUND(([99]Source!AF148*[99]Source!AV148*[99]Source!I148),2)),2)</f>
        <v>128.53</v>
      </c>
      <c r="K57" s="694">
        <f>IF([99]Source!BC148&lt;&gt; 0, [99]Source!BC148, 1)</f>
        <v>15.9</v>
      </c>
      <c r="L57" s="697">
        <f>[99]Source!O148</f>
        <v>2043.63</v>
      </c>
      <c r="Q57" s="718">
        <f>ROUND(([99]Source!DN148/100)*ROUND((ROUND(([99]Source!AF148*[99]Source!AV148*[99]Source!I148),2)),2), 2)</f>
        <v>0</v>
      </c>
      <c r="R57" s="718">
        <f>[99]Source!X148</f>
        <v>0</v>
      </c>
      <c r="S57" s="718">
        <f>ROUND(([99]Source!DO148/100)*ROUND((ROUND(([99]Source!AF148*[99]Source!AV148*[99]Source!I148),2)),2), 2)</f>
        <v>0</v>
      </c>
      <c r="T57" s="718">
        <f>[99]Source!Y148</f>
        <v>0</v>
      </c>
      <c r="U57" s="718">
        <f>ROUND((175/100)*ROUND((ROUND(([99]Source!AE148*[99]Source!AV148*[99]Source!I148),2)),2), 2)</f>
        <v>0</v>
      </c>
      <c r="V57" s="718">
        <f>ROUND((157/100)*ROUND(ROUND((ROUND(([99]Source!AE148*[99]Source!AV148*[99]Source!I148),2)*[99]Source!BS148),2), 2), 2)</f>
        <v>0</v>
      </c>
      <c r="X57" s="718">
        <f>IF([99]Source!BI148&lt;=1,J57, 0)</f>
        <v>128.53</v>
      </c>
      <c r="Y57" s="718">
        <f>IF([99]Source!BI148=2,J57, 0)</f>
        <v>0</v>
      </c>
      <c r="Z57" s="718">
        <f>IF([99]Source!BI148=3,J57, 0)</f>
        <v>0</v>
      </c>
      <c r="AA57" s="718">
        <f>IF([99]Source!BI148=4,J57, 0)</f>
        <v>0</v>
      </c>
    </row>
    <row r="58" spans="1:27" ht="15" x14ac:dyDescent="0.25">
      <c r="A58" s="691"/>
      <c r="B58" s="691"/>
      <c r="C58" s="692"/>
      <c r="D58" s="692" t="s">
        <v>88</v>
      </c>
      <c r="E58" s="693" t="s">
        <v>89</v>
      </c>
      <c r="F58" s="694">
        <f>[99]Source!DN146</f>
        <v>79</v>
      </c>
      <c r="G58" s="695"/>
      <c r="H58" s="696"/>
      <c r="I58" s="694"/>
      <c r="J58" s="697">
        <f>SUM(Q53:Q57)</f>
        <v>103.85</v>
      </c>
      <c r="K58" s="694">
        <f>[99]Source!BZ146</f>
        <v>68</v>
      </c>
      <c r="L58" s="697">
        <f>SUM(R53:R57)</f>
        <v>2165.9899999999998</v>
      </c>
    </row>
    <row r="59" spans="1:27" ht="15" x14ac:dyDescent="0.25">
      <c r="A59" s="691"/>
      <c r="B59" s="691"/>
      <c r="C59" s="692"/>
      <c r="D59" s="692" t="s">
        <v>90</v>
      </c>
      <c r="E59" s="693" t="s">
        <v>89</v>
      </c>
      <c r="F59" s="694">
        <f>[99]Source!DO146</f>
        <v>70</v>
      </c>
      <c r="G59" s="695"/>
      <c r="H59" s="696"/>
      <c r="I59" s="694"/>
      <c r="J59" s="697">
        <f>SUM(S53:S58)</f>
        <v>92.02</v>
      </c>
      <c r="K59" s="694">
        <f>[99]Source!CA146</f>
        <v>43</v>
      </c>
      <c r="L59" s="697">
        <f>SUM(T53:T58)</f>
        <v>1369.67</v>
      </c>
    </row>
    <row r="60" spans="1:27" ht="15" x14ac:dyDescent="0.25">
      <c r="A60" s="691"/>
      <c r="B60" s="691"/>
      <c r="C60" s="692"/>
      <c r="D60" s="692" t="s">
        <v>92</v>
      </c>
      <c r="E60" s="693" t="s">
        <v>93</v>
      </c>
      <c r="F60" s="694">
        <f>[99]Source!AQ146</f>
        <v>0.73</v>
      </c>
      <c r="G60" s="695"/>
      <c r="H60" s="696" t="str">
        <f>[99]Source!DI146</f>
        <v/>
      </c>
      <c r="I60" s="694">
        <f>[99]Source!AV146</f>
        <v>1.0669999999999999</v>
      </c>
      <c r="J60" s="697">
        <f>[99]Source!U146</f>
        <v>6.45</v>
      </c>
      <c r="K60" s="694"/>
      <c r="L60" s="697"/>
    </row>
    <row r="61" spans="1:27" ht="14.25" x14ac:dyDescent="0.2">
      <c r="A61" s="737"/>
      <c r="B61" s="737"/>
      <c r="C61" s="737"/>
      <c r="D61" s="737"/>
      <c r="E61" s="737"/>
      <c r="F61" s="737"/>
      <c r="G61" s="737"/>
      <c r="H61" s="737"/>
      <c r="I61" s="1067">
        <f>J54+J55+J56+J58+J59+SUM(J57:J57)</f>
        <v>586.97</v>
      </c>
      <c r="J61" s="1067"/>
      <c r="K61" s="1067">
        <f>L54+L55+L56+L58+L59+SUM(L57:L57)</f>
        <v>9097.01</v>
      </c>
      <c r="L61" s="1067"/>
      <c r="O61" s="736">
        <f>J54+J55+J56+J58+J59+SUM(J57:J57)</f>
        <v>586.97</v>
      </c>
      <c r="P61" s="736">
        <f>L54+L55+L56+L58+L59+SUM(L57:L57)</f>
        <v>9097.01</v>
      </c>
      <c r="X61" s="718">
        <f>IF([99]Source!BI146&lt;=1,J54+J55+J56+J58+J59-0, 0)</f>
        <v>458.44</v>
      </c>
      <c r="Y61" s="718">
        <f>IF([99]Source!BI146=2,J54+J55+J56+J58+J59-0, 0)</f>
        <v>0</v>
      </c>
      <c r="Z61" s="718">
        <f>IF([99]Source!BI146=3,J54+J55+J56+J58+J59-0, 0)</f>
        <v>0</v>
      </c>
      <c r="AA61" s="718">
        <f>IF([99]Source!BI146=4,J54+J55+J56+J58+J59,0)</f>
        <v>0</v>
      </c>
    </row>
    <row r="62" spans="1:27" ht="30" x14ac:dyDescent="0.25">
      <c r="A62" s="691">
        <v>12</v>
      </c>
      <c r="B62" s="691" t="str">
        <f>[99]Source!E150</f>
        <v>29</v>
      </c>
      <c r="C62" s="692" t="str">
        <f>[99]Source!F150</f>
        <v>3.29-1939-5</v>
      </c>
      <c r="D62" s="692" t="s">
        <v>547</v>
      </c>
      <c r="E62" s="693" t="str">
        <f>[99]Source!H150</f>
        <v>1 М</v>
      </c>
      <c r="F62" s="694">
        <f>[99]Source!I150</f>
        <v>30.71</v>
      </c>
      <c r="G62" s="695"/>
      <c r="H62" s="696"/>
      <c r="I62" s="694"/>
      <c r="J62" s="697"/>
      <c r="K62" s="694"/>
      <c r="L62" s="697"/>
      <c r="Q62" s="718">
        <f>ROUND(([99]Source!DN150/100)*ROUND((ROUND(([99]Source!AF150*[99]Source!AV150*[99]Source!I150),2)),2), 2)</f>
        <v>430.57</v>
      </c>
      <c r="R62" s="718">
        <f>[99]Source!X150</f>
        <v>8980.1299999999992</v>
      </c>
      <c r="S62" s="718">
        <f>ROUND(([99]Source!DO150/100)*ROUND((ROUND(([99]Source!AF150*[99]Source!AV150*[99]Source!I150),2)),2), 2)</f>
        <v>381.52</v>
      </c>
      <c r="T62" s="718">
        <f>[99]Source!Y150</f>
        <v>5678.61</v>
      </c>
      <c r="U62" s="718">
        <f>ROUND((175/100)*ROUND((ROUND(([99]Source!AE150*[99]Source!AV150*[99]Source!I150),2)),2), 2)</f>
        <v>0</v>
      </c>
      <c r="V62" s="718">
        <f>ROUND((157/100)*ROUND(ROUND((ROUND(([99]Source!AE150*[99]Source!AV150*[99]Source!I150),2)*[99]Source!BS150),2), 2), 2)</f>
        <v>0</v>
      </c>
    </row>
    <row r="63" spans="1:27" ht="15" x14ac:dyDescent="0.25">
      <c r="A63" s="691"/>
      <c r="B63" s="691"/>
      <c r="C63" s="692"/>
      <c r="D63" s="692" t="s">
        <v>84</v>
      </c>
      <c r="E63" s="693"/>
      <c r="F63" s="694"/>
      <c r="G63" s="695">
        <f>[99]Source!AO150</f>
        <v>9.9600000000000009</v>
      </c>
      <c r="H63" s="696" t="str">
        <f>[99]Source!DG150</f>
        <v>)*1,67</v>
      </c>
      <c r="I63" s="694">
        <f>[99]Source!AV150</f>
        <v>1.0669999999999999</v>
      </c>
      <c r="J63" s="697">
        <f>ROUND((ROUND(([99]Source!AF150*[99]Source!AV150*[99]Source!I150),2)),2)</f>
        <v>545.03</v>
      </c>
      <c r="K63" s="694">
        <f>IF([99]Source!BA150&lt;&gt; 0, [99]Source!BA150, 1)</f>
        <v>24.23</v>
      </c>
      <c r="L63" s="697">
        <f>[99]Source!S150</f>
        <v>13206.08</v>
      </c>
      <c r="W63" s="718">
        <f>J63</f>
        <v>545.03</v>
      </c>
    </row>
    <row r="64" spans="1:27" ht="15" x14ac:dyDescent="0.25">
      <c r="A64" s="691"/>
      <c r="B64" s="691"/>
      <c r="C64" s="692"/>
      <c r="D64" s="692" t="s">
        <v>85</v>
      </c>
      <c r="E64" s="693"/>
      <c r="F64" s="694"/>
      <c r="G64" s="695">
        <f>[99]Source!AM150</f>
        <v>0.12</v>
      </c>
      <c r="H64" s="696" t="str">
        <f>[99]Source!DE150</f>
        <v/>
      </c>
      <c r="I64" s="694">
        <f>[99]Source!AV150</f>
        <v>1.0669999999999999</v>
      </c>
      <c r="J64" s="697">
        <f>(ROUND((ROUND((([99]Source!ET150)*[99]Source!AV150*[99]Source!I150),2)),2)+ROUND((ROUND((([99]Source!AE150-([99]Source!EU150))*[99]Source!AV150*[99]Source!I150),2)),2))</f>
        <v>3.93</v>
      </c>
      <c r="K64" s="694">
        <f>IF([99]Source!BB150&lt;&gt; 0, [99]Source!BB150, 1)</f>
        <v>3.58</v>
      </c>
      <c r="L64" s="697">
        <f>[99]Source!Q150</f>
        <v>14.07</v>
      </c>
    </row>
    <row r="65" spans="1:27" ht="15" x14ac:dyDescent="0.25">
      <c r="A65" s="691"/>
      <c r="B65" s="691"/>
      <c r="C65" s="692"/>
      <c r="D65" s="692" t="s">
        <v>87</v>
      </c>
      <c r="E65" s="693"/>
      <c r="F65" s="694"/>
      <c r="G65" s="695">
        <f>[99]Source!AL150</f>
        <v>14.55</v>
      </c>
      <c r="H65" s="696" t="str">
        <f>[99]Source!DD150</f>
        <v/>
      </c>
      <c r="I65" s="694">
        <f>[99]Source!AW150</f>
        <v>1.028</v>
      </c>
      <c r="J65" s="697">
        <f>ROUND((ROUND(([99]Source!AC150*[99]Source!AW150*[99]Source!I150),2)),2)</f>
        <v>459.34</v>
      </c>
      <c r="K65" s="694">
        <f>IF([99]Source!BC150&lt;&gt; 0, [99]Source!BC150, 1)</f>
        <v>2.5499999999999998</v>
      </c>
      <c r="L65" s="697">
        <f>[99]Source!P150</f>
        <v>1171.32</v>
      </c>
    </row>
    <row r="66" spans="1:27" ht="45" x14ac:dyDescent="0.25">
      <c r="A66" s="691">
        <v>13</v>
      </c>
      <c r="B66" s="691" t="str">
        <f>[99]Source!E152</f>
        <v>29,1</v>
      </c>
      <c r="C66" s="692" t="str">
        <f>[99]Source!F152</f>
        <v>1.12-7-189</v>
      </c>
      <c r="D66" s="692" t="s">
        <v>548</v>
      </c>
      <c r="E66" s="693" t="str">
        <f>[99]Source!H152</f>
        <v>м</v>
      </c>
      <c r="F66" s="694">
        <f>[99]Source!I152</f>
        <v>30.71</v>
      </c>
      <c r="G66" s="695">
        <f>[99]Source!AK152</f>
        <v>17.55</v>
      </c>
      <c r="H66" s="734" t="s">
        <v>42</v>
      </c>
      <c r="I66" s="694">
        <f>[99]Source!AW152</f>
        <v>1.028</v>
      </c>
      <c r="J66" s="697">
        <f>ROUND((ROUND(([99]Source!AC152*[99]Source!AW152*[99]Source!I152),2)),2)+(ROUND((ROUND((([99]Source!ET152)*[99]Source!AV152*[99]Source!I152),2)),2)+ROUND((ROUND((([99]Source!AE152-([99]Source!EU152))*[99]Source!AV152*[99]Source!I152),2)),2))+ROUND((ROUND(([99]Source!AF152*[99]Source!AV152*[99]Source!I152),2)),2)</f>
        <v>554.04999999999995</v>
      </c>
      <c r="K66" s="694">
        <f>IF([99]Source!BC152&lt;&gt; 0, [99]Source!BC152, 1)</f>
        <v>15.02</v>
      </c>
      <c r="L66" s="697">
        <f>[99]Source!O152</f>
        <v>8321.83</v>
      </c>
      <c r="Q66" s="718">
        <f>ROUND(([99]Source!DN152/100)*ROUND((ROUND(([99]Source!AF152*[99]Source!AV152*[99]Source!I152),2)),2), 2)</f>
        <v>0</v>
      </c>
      <c r="R66" s="718">
        <f>[99]Source!X152</f>
        <v>0</v>
      </c>
      <c r="S66" s="718">
        <f>ROUND(([99]Source!DO152/100)*ROUND((ROUND(([99]Source!AF152*[99]Source!AV152*[99]Source!I152),2)),2), 2)</f>
        <v>0</v>
      </c>
      <c r="T66" s="718">
        <f>[99]Source!Y152</f>
        <v>0</v>
      </c>
      <c r="U66" s="718">
        <f>ROUND((175/100)*ROUND((ROUND(([99]Source!AE152*[99]Source!AV152*[99]Source!I152),2)),2), 2)</f>
        <v>0</v>
      </c>
      <c r="V66" s="718">
        <f>ROUND((157/100)*ROUND(ROUND((ROUND(([99]Source!AE152*[99]Source!AV152*[99]Source!I152),2)*[99]Source!BS152),2), 2), 2)</f>
        <v>0</v>
      </c>
      <c r="X66" s="718">
        <f>IF([99]Source!BI152&lt;=1,J66, 0)</f>
        <v>554.04999999999995</v>
      </c>
      <c r="Y66" s="718">
        <f>IF([99]Source!BI152=2,J66, 0)</f>
        <v>0</v>
      </c>
      <c r="Z66" s="718">
        <f>IF([99]Source!BI152=3,J66, 0)</f>
        <v>0</v>
      </c>
      <c r="AA66" s="718">
        <f>IF([99]Source!BI152=4,J66, 0)</f>
        <v>0</v>
      </c>
    </row>
    <row r="67" spans="1:27" ht="15" x14ac:dyDescent="0.25">
      <c r="A67" s="691"/>
      <c r="B67" s="691"/>
      <c r="C67" s="692"/>
      <c r="D67" s="692" t="s">
        <v>88</v>
      </c>
      <c r="E67" s="693" t="s">
        <v>89</v>
      </c>
      <c r="F67" s="694">
        <f>[99]Source!DN150</f>
        <v>79</v>
      </c>
      <c r="G67" s="695"/>
      <c r="H67" s="696"/>
      <c r="I67" s="694"/>
      <c r="J67" s="697">
        <f>SUM(Q62:Q66)</f>
        <v>430.57</v>
      </c>
      <c r="K67" s="694">
        <f>[99]Source!BZ150</f>
        <v>68</v>
      </c>
      <c r="L67" s="697">
        <f>SUM(R62:R66)</f>
        <v>8980.1299999999992</v>
      </c>
    </row>
    <row r="68" spans="1:27" ht="15" x14ac:dyDescent="0.25">
      <c r="A68" s="691"/>
      <c r="B68" s="691"/>
      <c r="C68" s="692"/>
      <c r="D68" s="692" t="s">
        <v>90</v>
      </c>
      <c r="E68" s="693" t="s">
        <v>89</v>
      </c>
      <c r="F68" s="694">
        <f>[99]Source!DO150</f>
        <v>70</v>
      </c>
      <c r="G68" s="695"/>
      <c r="H68" s="696"/>
      <c r="I68" s="694"/>
      <c r="J68" s="697">
        <f>SUM(S62:S67)</f>
        <v>381.52</v>
      </c>
      <c r="K68" s="694">
        <f>[99]Source!CA150</f>
        <v>43</v>
      </c>
      <c r="L68" s="697">
        <f>SUM(T62:T67)</f>
        <v>5678.61</v>
      </c>
    </row>
    <row r="69" spans="1:27" ht="15" x14ac:dyDescent="0.25">
      <c r="A69" s="691"/>
      <c r="B69" s="691"/>
      <c r="C69" s="692"/>
      <c r="D69" s="692" t="s">
        <v>92</v>
      </c>
      <c r="E69" s="693" t="s">
        <v>93</v>
      </c>
      <c r="F69" s="694">
        <f>[99]Source!AQ150</f>
        <v>0.82</v>
      </c>
      <c r="G69" s="695"/>
      <c r="H69" s="696" t="str">
        <f>[99]Source!DI150</f>
        <v/>
      </c>
      <c r="I69" s="694">
        <f>[99]Source!AV150</f>
        <v>1.0669999999999999</v>
      </c>
      <c r="J69" s="697">
        <f>[99]Source!U150</f>
        <v>26.87</v>
      </c>
      <c r="K69" s="694"/>
      <c r="L69" s="697"/>
    </row>
    <row r="70" spans="1:27" ht="14.25" x14ac:dyDescent="0.2">
      <c r="A70" s="737"/>
      <c r="B70" s="737"/>
      <c r="C70" s="737"/>
      <c r="D70" s="737"/>
      <c r="E70" s="737"/>
      <c r="F70" s="737"/>
      <c r="G70" s="737"/>
      <c r="H70" s="737"/>
      <c r="I70" s="1067">
        <f>J63+J64+J65+J67+J68+SUM(J66:J66)</f>
        <v>2374.44</v>
      </c>
      <c r="J70" s="1067"/>
      <c r="K70" s="1067">
        <f>L63+L64+L65+L67+L68+SUM(L66:L66)</f>
        <v>37372.04</v>
      </c>
      <c r="L70" s="1067"/>
      <c r="O70" s="736">
        <f>J63+J64+J65+J67+J68+SUM(J66:J66)</f>
        <v>2374.44</v>
      </c>
      <c r="P70" s="736">
        <f>L63+L64+L65+L67+L68+SUM(L66:L66)</f>
        <v>37372.04</v>
      </c>
      <c r="X70" s="718">
        <f>IF([99]Source!BI150&lt;=1,J63+J64+J65+J67+J68-0, 0)</f>
        <v>1820.39</v>
      </c>
      <c r="Y70" s="718">
        <f>IF([99]Source!BI150=2,J63+J64+J65+J67+J68-0, 0)</f>
        <v>0</v>
      </c>
      <c r="Z70" s="718">
        <f>IF([99]Source!BI150=3,J63+J64+J65+J67+J68-0, 0)</f>
        <v>0</v>
      </c>
      <c r="AA70" s="718">
        <f>IF([99]Source!BI150=4,J63+J64+J65+J67+J68,0)</f>
        <v>0</v>
      </c>
    </row>
    <row r="71" spans="1:27" ht="30" x14ac:dyDescent="0.25">
      <c r="A71" s="691">
        <v>14</v>
      </c>
      <c r="B71" s="691" t="str">
        <f>[99]Source!E154</f>
        <v>30</v>
      </c>
      <c r="C71" s="692" t="str">
        <f>[99]Source!F154</f>
        <v>3.29-1939-6</v>
      </c>
      <c r="D71" s="692" t="s">
        <v>549</v>
      </c>
      <c r="E71" s="693" t="str">
        <f>[99]Source!H154</f>
        <v>1 М</v>
      </c>
      <c r="F71" s="694">
        <f>[99]Source!I154</f>
        <v>0.2</v>
      </c>
      <c r="G71" s="695"/>
      <c r="H71" s="696"/>
      <c r="I71" s="694"/>
      <c r="J71" s="697"/>
      <c r="K71" s="694"/>
      <c r="L71" s="697"/>
      <c r="Q71" s="718">
        <f>ROUND(([99]Source!DN154/100)*ROUND((ROUND(([99]Source!AF154*[99]Source!AV154*[99]Source!I154),2)),2), 2)</f>
        <v>2.57</v>
      </c>
      <c r="R71" s="718">
        <f>[99]Source!X154</f>
        <v>53.55</v>
      </c>
      <c r="S71" s="718">
        <f>ROUND(([99]Source!DO154/100)*ROUND((ROUND(([99]Source!AF154*[99]Source!AV154*[99]Source!I154),2)),2), 2)</f>
        <v>2.2799999999999998</v>
      </c>
      <c r="T71" s="718">
        <f>[99]Source!Y154</f>
        <v>33.86</v>
      </c>
      <c r="U71" s="718">
        <f>ROUND((175/100)*ROUND((ROUND(([99]Source!AE154*[99]Source!AV154*[99]Source!I154),2)),2), 2)</f>
        <v>0</v>
      </c>
      <c r="V71" s="718">
        <f>ROUND((157/100)*ROUND(ROUND((ROUND(([99]Source!AE154*[99]Source!AV154*[99]Source!I154),2)*[99]Source!BS154),2), 2), 2)</f>
        <v>0</v>
      </c>
    </row>
    <row r="72" spans="1:27" ht="15" x14ac:dyDescent="0.25">
      <c r="A72" s="691"/>
      <c r="B72" s="691"/>
      <c r="C72" s="692"/>
      <c r="D72" s="692" t="s">
        <v>84</v>
      </c>
      <c r="E72" s="693"/>
      <c r="F72" s="694"/>
      <c r="G72" s="695">
        <f>[99]Source!AO154</f>
        <v>9.1300000000000008</v>
      </c>
      <c r="H72" s="696" t="str">
        <f>[99]Source!DG154</f>
        <v>)*1,67</v>
      </c>
      <c r="I72" s="694">
        <f>[99]Source!AV154</f>
        <v>1.0669999999999999</v>
      </c>
      <c r="J72" s="697">
        <f>ROUND((ROUND(([99]Source!AF154*[99]Source!AV154*[99]Source!I154),2)),2)</f>
        <v>3.25</v>
      </c>
      <c r="K72" s="694">
        <f>IF([99]Source!BA154&lt;&gt; 0, [99]Source!BA154, 1)</f>
        <v>24.23</v>
      </c>
      <c r="L72" s="697">
        <f>[99]Source!S154</f>
        <v>78.75</v>
      </c>
      <c r="W72" s="718">
        <f>J72</f>
        <v>3.25</v>
      </c>
    </row>
    <row r="73" spans="1:27" ht="15" x14ac:dyDescent="0.25">
      <c r="A73" s="691"/>
      <c r="B73" s="691"/>
      <c r="C73" s="692"/>
      <c r="D73" s="692" t="s">
        <v>85</v>
      </c>
      <c r="E73" s="693"/>
      <c r="F73" s="694"/>
      <c r="G73" s="695">
        <f>[99]Source!AM154</f>
        <v>0.09</v>
      </c>
      <c r="H73" s="696" t="str">
        <f>[99]Source!DE154</f>
        <v/>
      </c>
      <c r="I73" s="694">
        <f>[99]Source!AV154</f>
        <v>1.0669999999999999</v>
      </c>
      <c r="J73" s="697">
        <f>(ROUND((ROUND((([99]Source!ET154)*[99]Source!AV154*[99]Source!I154),2)),2)+ROUND((ROUND((([99]Source!AE154-([99]Source!EU154))*[99]Source!AV154*[99]Source!I154),2)),2))</f>
        <v>0.02</v>
      </c>
      <c r="K73" s="694">
        <f>IF([99]Source!BB154&lt;&gt; 0, [99]Source!BB154, 1)</f>
        <v>3.78</v>
      </c>
      <c r="L73" s="697">
        <f>[99]Source!Q154</f>
        <v>0.08</v>
      </c>
    </row>
    <row r="74" spans="1:27" ht="15" x14ac:dyDescent="0.25">
      <c r="A74" s="691"/>
      <c r="B74" s="691"/>
      <c r="C74" s="692"/>
      <c r="D74" s="692" t="s">
        <v>87</v>
      </c>
      <c r="E74" s="693"/>
      <c r="F74" s="694"/>
      <c r="G74" s="695">
        <f>[99]Source!AL154</f>
        <v>15.04</v>
      </c>
      <c r="H74" s="696" t="str">
        <f>[99]Source!DD154</f>
        <v/>
      </c>
      <c r="I74" s="694">
        <f>[99]Source!AW154</f>
        <v>1.028</v>
      </c>
      <c r="J74" s="697">
        <f>ROUND((ROUND(([99]Source!AC154*[99]Source!AW154*[99]Source!I154),2)),2)</f>
        <v>3.09</v>
      </c>
      <c r="K74" s="694">
        <f>IF([99]Source!BC154&lt;&gt; 0, [99]Source!BC154, 1)</f>
        <v>2.59</v>
      </c>
      <c r="L74" s="697">
        <f>[99]Source!P154</f>
        <v>8</v>
      </c>
    </row>
    <row r="75" spans="1:27" ht="45" x14ac:dyDescent="0.25">
      <c r="A75" s="691">
        <v>15</v>
      </c>
      <c r="B75" s="691" t="str">
        <f>[99]Source!E156</f>
        <v>30,1</v>
      </c>
      <c r="C75" s="692" t="str">
        <f>[99]Source!F156</f>
        <v>1.12-7-190</v>
      </c>
      <c r="D75" s="692" t="s">
        <v>550</v>
      </c>
      <c r="E75" s="693" t="str">
        <f>[99]Source!H156</f>
        <v>м</v>
      </c>
      <c r="F75" s="694">
        <f>[99]Source!I156</f>
        <v>0.2</v>
      </c>
      <c r="G75" s="695">
        <f>[99]Source!AK156</f>
        <v>26.84</v>
      </c>
      <c r="H75" s="734" t="s">
        <v>42</v>
      </c>
      <c r="I75" s="694">
        <f>[99]Source!AW156</f>
        <v>1.028</v>
      </c>
      <c r="J75" s="697">
        <f>ROUND((ROUND(([99]Source!AC156*[99]Source!AW156*[99]Source!I156),2)),2)+(ROUND((ROUND((([99]Source!ET156)*[99]Source!AV156*[99]Source!I156),2)),2)+ROUND((ROUND((([99]Source!AE156-([99]Source!EU156))*[99]Source!AV156*[99]Source!I156),2)),2))+ROUND((ROUND(([99]Source!AF156*[99]Source!AV156*[99]Source!I156),2)),2)</f>
        <v>5.52</v>
      </c>
      <c r="K75" s="694">
        <f>IF([99]Source!BC156&lt;&gt; 0, [99]Source!BC156, 1)</f>
        <v>12.79</v>
      </c>
      <c r="L75" s="697">
        <f>[99]Source!O156</f>
        <v>70.599999999999994</v>
      </c>
      <c r="Q75" s="718">
        <f>ROUND(([99]Source!DN156/100)*ROUND((ROUND(([99]Source!AF156*[99]Source!AV156*[99]Source!I156),2)),2), 2)</f>
        <v>0</v>
      </c>
      <c r="R75" s="718">
        <f>[99]Source!X156</f>
        <v>0</v>
      </c>
      <c r="S75" s="718">
        <f>ROUND(([99]Source!DO156/100)*ROUND((ROUND(([99]Source!AF156*[99]Source!AV156*[99]Source!I156),2)),2), 2)</f>
        <v>0</v>
      </c>
      <c r="T75" s="718">
        <f>[99]Source!Y156</f>
        <v>0</v>
      </c>
      <c r="U75" s="718">
        <f>ROUND((175/100)*ROUND((ROUND(([99]Source!AE156*[99]Source!AV156*[99]Source!I156),2)),2), 2)</f>
        <v>0</v>
      </c>
      <c r="V75" s="718">
        <f>ROUND((157/100)*ROUND(ROUND((ROUND(([99]Source!AE156*[99]Source!AV156*[99]Source!I156),2)*[99]Source!BS156),2), 2), 2)</f>
        <v>0</v>
      </c>
      <c r="X75" s="718">
        <f>IF([99]Source!BI156&lt;=1,J75, 0)</f>
        <v>5.52</v>
      </c>
      <c r="Y75" s="718">
        <f>IF([99]Source!BI156=2,J75, 0)</f>
        <v>0</v>
      </c>
      <c r="Z75" s="718">
        <f>IF([99]Source!BI156=3,J75, 0)</f>
        <v>0</v>
      </c>
      <c r="AA75" s="718">
        <f>IF([99]Source!BI156=4,J75, 0)</f>
        <v>0</v>
      </c>
    </row>
    <row r="76" spans="1:27" ht="15" x14ac:dyDescent="0.25">
      <c r="A76" s="691"/>
      <c r="B76" s="691"/>
      <c r="C76" s="692"/>
      <c r="D76" s="692" t="s">
        <v>88</v>
      </c>
      <c r="E76" s="693" t="s">
        <v>89</v>
      </c>
      <c r="F76" s="694">
        <f>[99]Source!DN154</f>
        <v>79</v>
      </c>
      <c r="G76" s="695"/>
      <c r="H76" s="696"/>
      <c r="I76" s="694"/>
      <c r="J76" s="697">
        <f>SUM(Q71:Q75)</f>
        <v>2.57</v>
      </c>
      <c r="K76" s="694">
        <f>[99]Source!BZ154</f>
        <v>68</v>
      </c>
      <c r="L76" s="697">
        <f>SUM(R71:R75)</f>
        <v>53.55</v>
      </c>
    </row>
    <row r="77" spans="1:27" ht="15" x14ac:dyDescent="0.25">
      <c r="A77" s="691"/>
      <c r="B77" s="691"/>
      <c r="C77" s="692"/>
      <c r="D77" s="692" t="s">
        <v>90</v>
      </c>
      <c r="E77" s="693" t="s">
        <v>89</v>
      </c>
      <c r="F77" s="694">
        <f>[99]Source!DO154</f>
        <v>70</v>
      </c>
      <c r="G77" s="695"/>
      <c r="H77" s="696"/>
      <c r="I77" s="694"/>
      <c r="J77" s="697">
        <f>SUM(S71:S76)</f>
        <v>2.2799999999999998</v>
      </c>
      <c r="K77" s="694">
        <f>[99]Source!CA154</f>
        <v>43</v>
      </c>
      <c r="L77" s="697">
        <f>SUM(T71:T76)</f>
        <v>33.86</v>
      </c>
    </row>
    <row r="78" spans="1:27" ht="15" x14ac:dyDescent="0.25">
      <c r="A78" s="691"/>
      <c r="B78" s="691"/>
      <c r="C78" s="692"/>
      <c r="D78" s="692" t="s">
        <v>92</v>
      </c>
      <c r="E78" s="693" t="s">
        <v>93</v>
      </c>
      <c r="F78" s="694">
        <f>[99]Source!AQ154</f>
        <v>0.75</v>
      </c>
      <c r="G78" s="695"/>
      <c r="H78" s="696" t="str">
        <f>[99]Source!DI154</f>
        <v/>
      </c>
      <c r="I78" s="694">
        <f>[99]Source!AV154</f>
        <v>1.0669999999999999</v>
      </c>
      <c r="J78" s="697">
        <f>[99]Source!U154</f>
        <v>0.16</v>
      </c>
      <c r="K78" s="694"/>
      <c r="L78" s="697"/>
    </row>
    <row r="79" spans="1:27" ht="14.25" x14ac:dyDescent="0.2">
      <c r="A79" s="737"/>
      <c r="B79" s="737"/>
      <c r="C79" s="737"/>
      <c r="D79" s="737"/>
      <c r="E79" s="737"/>
      <c r="F79" s="737"/>
      <c r="G79" s="737"/>
      <c r="H79" s="737"/>
      <c r="I79" s="1067">
        <f>J72+J73+J74+J76+J77+SUM(J75:J75)</f>
        <v>16.73</v>
      </c>
      <c r="J79" s="1067"/>
      <c r="K79" s="1067">
        <f>L72+L73+L74+L76+L77+SUM(L75:L75)</f>
        <v>244.84</v>
      </c>
      <c r="L79" s="1067"/>
      <c r="O79" s="736">
        <f>J72+J73+J74+J76+J77+SUM(J75:J75)</f>
        <v>16.73</v>
      </c>
      <c r="P79" s="736">
        <f>L72+L73+L74+L76+L77+SUM(L75:L75)</f>
        <v>244.84</v>
      </c>
      <c r="X79" s="718">
        <f>IF([99]Source!BI154&lt;=1,J72+J73+J74+J76+J77-0, 0)</f>
        <v>11.21</v>
      </c>
      <c r="Y79" s="718">
        <f>IF([99]Source!BI154=2,J72+J73+J74+J76+J77-0, 0)</f>
        <v>0</v>
      </c>
      <c r="Z79" s="718">
        <f>IF([99]Source!BI154=3,J72+J73+J74+J76+J77-0, 0)</f>
        <v>0</v>
      </c>
      <c r="AA79" s="718">
        <f>IF([99]Source!BI154=4,J72+J73+J74+J76+J77,0)</f>
        <v>0</v>
      </c>
    </row>
    <row r="80" spans="1:27" ht="30" x14ac:dyDescent="0.25">
      <c r="A80" s="691">
        <v>16</v>
      </c>
      <c r="B80" s="691" t="str">
        <f>[99]Source!E158</f>
        <v>31</v>
      </c>
      <c r="C80" s="692" t="str">
        <f>[99]Source!F158</f>
        <v>3.29-1939-7</v>
      </c>
      <c r="D80" s="692" t="s">
        <v>551</v>
      </c>
      <c r="E80" s="693" t="str">
        <f>[99]Source!H158</f>
        <v>1 М</v>
      </c>
      <c r="F80" s="694">
        <f>[99]Source!I158</f>
        <v>13.36</v>
      </c>
      <c r="G80" s="695"/>
      <c r="H80" s="696"/>
      <c r="I80" s="694"/>
      <c r="J80" s="697"/>
      <c r="K80" s="694"/>
      <c r="L80" s="697"/>
      <c r="Q80" s="718">
        <f>ROUND(([99]Source!DN158/100)*ROUND((ROUND(([99]Source!AF158*[99]Source!AV158*[99]Source!I158),2)),2), 2)</f>
        <v>181.3</v>
      </c>
      <c r="R80" s="718">
        <f>[99]Source!X158</f>
        <v>3781.17</v>
      </c>
      <c r="S80" s="718">
        <f>ROUND(([99]Source!DO158/100)*ROUND((ROUND(([99]Source!AF158*[99]Source!AV158*[99]Source!I158),2)),2), 2)</f>
        <v>160.63999999999999</v>
      </c>
      <c r="T80" s="718">
        <f>[99]Source!Y158</f>
        <v>2391.0300000000002</v>
      </c>
      <c r="U80" s="718">
        <f>ROUND((175/100)*ROUND((ROUND(([99]Source!AE158*[99]Source!AV158*[99]Source!I158),2)),2), 2)</f>
        <v>0</v>
      </c>
      <c r="V80" s="718">
        <f>ROUND((157/100)*ROUND(ROUND((ROUND(([99]Source!AE158*[99]Source!AV158*[99]Source!I158),2)*[99]Source!BS158),2), 2), 2)</f>
        <v>0</v>
      </c>
    </row>
    <row r="81" spans="1:27" ht="15" x14ac:dyDescent="0.25">
      <c r="A81" s="691"/>
      <c r="B81" s="691"/>
      <c r="C81" s="692"/>
      <c r="D81" s="692" t="s">
        <v>84</v>
      </c>
      <c r="E81" s="693"/>
      <c r="F81" s="694"/>
      <c r="G81" s="695">
        <f>[99]Source!AO158</f>
        <v>9.64</v>
      </c>
      <c r="H81" s="696" t="str">
        <f>[99]Source!DG158</f>
        <v>)*1,67</v>
      </c>
      <c r="I81" s="694">
        <f>[99]Source!AV158</f>
        <v>1.0669999999999999</v>
      </c>
      <c r="J81" s="697">
        <f>ROUND((ROUND(([99]Source!AF158*[99]Source!AV158*[99]Source!I158),2)),2)</f>
        <v>229.49</v>
      </c>
      <c r="K81" s="694">
        <f>IF([99]Source!BA158&lt;&gt; 0, [99]Source!BA158, 1)</f>
        <v>24.23</v>
      </c>
      <c r="L81" s="697">
        <f>[99]Source!S158</f>
        <v>5560.54</v>
      </c>
      <c r="W81" s="718">
        <f>J81</f>
        <v>229.49</v>
      </c>
    </row>
    <row r="82" spans="1:27" ht="15" x14ac:dyDescent="0.25">
      <c r="A82" s="691"/>
      <c r="B82" s="691"/>
      <c r="C82" s="692"/>
      <c r="D82" s="692" t="s">
        <v>85</v>
      </c>
      <c r="E82" s="693"/>
      <c r="F82" s="694"/>
      <c r="G82" s="695">
        <f>[99]Source!AM158</f>
        <v>7.0000000000000007E-2</v>
      </c>
      <c r="H82" s="696" t="str">
        <f>[99]Source!DE158</f>
        <v/>
      </c>
      <c r="I82" s="694">
        <f>[99]Source!AV158</f>
        <v>1.0669999999999999</v>
      </c>
      <c r="J82" s="697">
        <f>(ROUND((ROUND((([99]Source!ET158)*[99]Source!AV158*[99]Source!I158),2)),2)+ROUND((ROUND((([99]Source!AE158-([99]Source!EU158))*[99]Source!AV158*[99]Source!I158),2)),2))</f>
        <v>1</v>
      </c>
      <c r="K82" s="694">
        <f>IF([99]Source!BB158&lt;&gt; 0, [99]Source!BB158, 1)</f>
        <v>3.71</v>
      </c>
      <c r="L82" s="697">
        <f>[99]Source!Q158</f>
        <v>3.71</v>
      </c>
    </row>
    <row r="83" spans="1:27" ht="15" x14ac:dyDescent="0.25">
      <c r="A83" s="691"/>
      <c r="B83" s="691"/>
      <c r="C83" s="692"/>
      <c r="D83" s="692" t="s">
        <v>87</v>
      </c>
      <c r="E83" s="693"/>
      <c r="F83" s="694"/>
      <c r="G83" s="695">
        <f>[99]Source!AL158</f>
        <v>15.15</v>
      </c>
      <c r="H83" s="696" t="str">
        <f>[99]Source!DD158</f>
        <v/>
      </c>
      <c r="I83" s="694">
        <f>[99]Source!AW158</f>
        <v>1.028</v>
      </c>
      <c r="J83" s="697">
        <f>ROUND((ROUND(([99]Source!AC158*[99]Source!AW158*[99]Source!I158),2)),2)</f>
        <v>208.07</v>
      </c>
      <c r="K83" s="694">
        <f>IF([99]Source!BC158&lt;&gt; 0, [99]Source!BC158, 1)</f>
        <v>2.5499999999999998</v>
      </c>
      <c r="L83" s="697">
        <f>[99]Source!P158</f>
        <v>530.58000000000004</v>
      </c>
    </row>
    <row r="84" spans="1:27" ht="45" x14ac:dyDescent="0.25">
      <c r="A84" s="691">
        <v>17</v>
      </c>
      <c r="B84" s="691" t="str">
        <f>[99]Source!E160</f>
        <v>31,1</v>
      </c>
      <c r="C84" s="692" t="str">
        <f>[99]Source!F160</f>
        <v>1.12-7-191</v>
      </c>
      <c r="D84" s="692" t="s">
        <v>552</v>
      </c>
      <c r="E84" s="693" t="str">
        <f>[99]Source!H160</f>
        <v>м</v>
      </c>
      <c r="F84" s="694">
        <f>[99]Source!I160</f>
        <v>13.36</v>
      </c>
      <c r="G84" s="695">
        <f>[99]Source!AK160</f>
        <v>44.57</v>
      </c>
      <c r="H84" s="734" t="s">
        <v>42</v>
      </c>
      <c r="I84" s="694">
        <f>[99]Source!AW160</f>
        <v>1.028</v>
      </c>
      <c r="J84" s="697">
        <f>ROUND((ROUND(([99]Source!AC160*[99]Source!AW160*[99]Source!I160),2)),2)+(ROUND((ROUND((([99]Source!ET160)*[99]Source!AV160*[99]Source!I160),2)),2)+ROUND((ROUND((([99]Source!AE160-([99]Source!EU160))*[99]Source!AV160*[99]Source!I160),2)),2))+ROUND((ROUND(([99]Source!AF160*[99]Source!AV160*[99]Source!I160),2)),2)</f>
        <v>612.13</v>
      </c>
      <c r="K84" s="694">
        <f>IF([99]Source!BC160&lt;&gt; 0, [99]Source!BC160, 1)</f>
        <v>9.76</v>
      </c>
      <c r="L84" s="697">
        <f>[99]Source!O160</f>
        <v>5974.39</v>
      </c>
      <c r="Q84" s="718">
        <f>ROUND(([99]Source!DN160/100)*ROUND((ROUND(([99]Source!AF160*[99]Source!AV160*[99]Source!I160),2)),2), 2)</f>
        <v>0</v>
      </c>
      <c r="R84" s="718">
        <f>[99]Source!X160</f>
        <v>0</v>
      </c>
      <c r="S84" s="718">
        <f>ROUND(([99]Source!DO160/100)*ROUND((ROUND(([99]Source!AF160*[99]Source!AV160*[99]Source!I160),2)),2), 2)</f>
        <v>0</v>
      </c>
      <c r="T84" s="718">
        <f>[99]Source!Y160</f>
        <v>0</v>
      </c>
      <c r="U84" s="718">
        <f>ROUND((175/100)*ROUND((ROUND(([99]Source!AE160*[99]Source!AV160*[99]Source!I160),2)),2), 2)</f>
        <v>0</v>
      </c>
      <c r="V84" s="718">
        <f>ROUND((157/100)*ROUND(ROUND((ROUND(([99]Source!AE160*[99]Source!AV160*[99]Source!I160),2)*[99]Source!BS160),2), 2), 2)</f>
        <v>0</v>
      </c>
      <c r="X84" s="718">
        <f>IF([99]Source!BI160&lt;=1,J84, 0)</f>
        <v>612.13</v>
      </c>
      <c r="Y84" s="718">
        <f>IF([99]Source!BI160=2,J84, 0)</f>
        <v>0</v>
      </c>
      <c r="Z84" s="718">
        <f>IF([99]Source!BI160=3,J84, 0)</f>
        <v>0</v>
      </c>
      <c r="AA84" s="718">
        <f>IF([99]Source!BI160=4,J84, 0)</f>
        <v>0</v>
      </c>
    </row>
    <row r="85" spans="1:27" ht="15" x14ac:dyDescent="0.25">
      <c r="A85" s="691"/>
      <c r="B85" s="691"/>
      <c r="C85" s="692"/>
      <c r="D85" s="692" t="s">
        <v>88</v>
      </c>
      <c r="E85" s="693" t="s">
        <v>89</v>
      </c>
      <c r="F85" s="694">
        <f>[99]Source!DN158</f>
        <v>79</v>
      </c>
      <c r="G85" s="695"/>
      <c r="H85" s="696"/>
      <c r="I85" s="694"/>
      <c r="J85" s="697">
        <f>SUM(Q80:Q84)</f>
        <v>181.3</v>
      </c>
      <c r="K85" s="694">
        <f>[99]Source!BZ158</f>
        <v>68</v>
      </c>
      <c r="L85" s="697">
        <f>SUM(R80:R84)</f>
        <v>3781.17</v>
      </c>
    </row>
    <row r="86" spans="1:27" ht="15" x14ac:dyDescent="0.25">
      <c r="A86" s="691"/>
      <c r="B86" s="691"/>
      <c r="C86" s="692"/>
      <c r="D86" s="692" t="s">
        <v>90</v>
      </c>
      <c r="E86" s="693" t="s">
        <v>89</v>
      </c>
      <c r="F86" s="694">
        <f>[99]Source!DO158</f>
        <v>70</v>
      </c>
      <c r="G86" s="695"/>
      <c r="H86" s="696"/>
      <c r="I86" s="694"/>
      <c r="J86" s="697">
        <f>SUM(S80:S85)</f>
        <v>160.63999999999999</v>
      </c>
      <c r="K86" s="694">
        <f>[99]Source!CA158</f>
        <v>43</v>
      </c>
      <c r="L86" s="697">
        <f>SUM(T80:T85)</f>
        <v>2391.0300000000002</v>
      </c>
    </row>
    <row r="87" spans="1:27" ht="15" x14ac:dyDescent="0.25">
      <c r="A87" s="691"/>
      <c r="B87" s="691"/>
      <c r="C87" s="692"/>
      <c r="D87" s="692" t="s">
        <v>92</v>
      </c>
      <c r="E87" s="693" t="s">
        <v>93</v>
      </c>
      <c r="F87" s="694">
        <f>[99]Source!AQ158</f>
        <v>0.8</v>
      </c>
      <c r="G87" s="695"/>
      <c r="H87" s="696" t="str">
        <f>[99]Source!DI158</f>
        <v/>
      </c>
      <c r="I87" s="694">
        <f>[99]Source!AV158</f>
        <v>1.0669999999999999</v>
      </c>
      <c r="J87" s="697">
        <f>[99]Source!U158</f>
        <v>11.4</v>
      </c>
      <c r="K87" s="694"/>
      <c r="L87" s="697"/>
    </row>
    <row r="88" spans="1:27" ht="14.25" x14ac:dyDescent="0.2">
      <c r="A88" s="737"/>
      <c r="B88" s="737"/>
      <c r="C88" s="737"/>
      <c r="D88" s="737"/>
      <c r="E88" s="737"/>
      <c r="F88" s="737"/>
      <c r="G88" s="737"/>
      <c r="H88" s="737"/>
      <c r="I88" s="1067">
        <f>J81+J82+J83+J85+J86+SUM(J84:J84)</f>
        <v>1392.63</v>
      </c>
      <c r="J88" s="1067"/>
      <c r="K88" s="1067">
        <f>L81+L82+L83+L85+L86+SUM(L84:L84)</f>
        <v>18241.419999999998</v>
      </c>
      <c r="L88" s="1067"/>
      <c r="O88" s="736">
        <f>J81+J82+J83+J85+J86+SUM(J84:J84)</f>
        <v>1392.63</v>
      </c>
      <c r="P88" s="736">
        <f>L81+L82+L83+L85+L86+SUM(L84:L84)</f>
        <v>18241.419999999998</v>
      </c>
      <c r="X88" s="718">
        <f>IF([99]Source!BI158&lt;=1,J81+J82+J83+J85+J86-0, 0)</f>
        <v>780.5</v>
      </c>
      <c r="Y88" s="718">
        <f>IF([99]Source!BI158=2,J81+J82+J83+J85+J86-0, 0)</f>
        <v>0</v>
      </c>
      <c r="Z88" s="718">
        <f>IF([99]Source!BI158=3,J81+J82+J83+J85+J86-0, 0)</f>
        <v>0</v>
      </c>
      <c r="AA88" s="718">
        <f>IF([99]Source!BI158=4,J81+J82+J83+J85+J86,0)</f>
        <v>0</v>
      </c>
    </row>
    <row r="89" spans="1:27" ht="45" x14ac:dyDescent="0.25">
      <c r="A89" s="691">
        <v>18</v>
      </c>
      <c r="B89" s="691" t="str">
        <f>[99]Source!E162</f>
        <v>32</v>
      </c>
      <c r="C89" s="692" t="str">
        <f>[99]Source!F162</f>
        <v>3.26-16-1</v>
      </c>
      <c r="D89" s="692" t="s">
        <v>553</v>
      </c>
      <c r="E89" s="693" t="str">
        <f>[99]Source!H162</f>
        <v>10 м изоляции</v>
      </c>
      <c r="F89" s="694">
        <f>[99]Source!I162</f>
        <v>16.446000000000002</v>
      </c>
      <c r="G89" s="695"/>
      <c r="H89" s="696"/>
      <c r="I89" s="694"/>
      <c r="J89" s="697"/>
      <c r="K89" s="694"/>
      <c r="L89" s="697"/>
      <c r="Q89" s="718">
        <f>ROUND(([99]Source!DN162/100)*ROUND((ROUND(([99]Source!AF162*[99]Source!AV162*[99]Source!I162),2)),2), 2)</f>
        <v>805.96</v>
      </c>
      <c r="R89" s="718">
        <f>[99]Source!X162</f>
        <v>15742.32</v>
      </c>
      <c r="S89" s="718">
        <f>ROUND(([99]Source!DO162/100)*ROUND((ROUND(([99]Source!AF162*[99]Source!AV162*[99]Source!I162),2)),2), 2)</f>
        <v>600.36</v>
      </c>
      <c r="T89" s="718">
        <f>[99]Source!Y162</f>
        <v>8170.07</v>
      </c>
      <c r="U89" s="718">
        <f>ROUND((175/100)*ROUND((ROUND(([99]Source!AE162*[99]Source!AV162*[99]Source!I162),2)),2), 2)</f>
        <v>132.84</v>
      </c>
      <c r="V89" s="718">
        <f>ROUND((157/100)*ROUND(ROUND((ROUND(([99]Source!AE162*[99]Source!AV162*[99]Source!I162),2)*[99]Source!BS162),2), 2), 2)</f>
        <v>2887.7</v>
      </c>
    </row>
    <row r="90" spans="1:27" ht="15" x14ac:dyDescent="0.25">
      <c r="A90" s="691"/>
      <c r="B90" s="691"/>
      <c r="C90" s="692"/>
      <c r="D90" s="692" t="s">
        <v>84</v>
      </c>
      <c r="E90" s="693"/>
      <c r="F90" s="694"/>
      <c r="G90" s="695">
        <f>[99]Source!AO162</f>
        <v>28.6</v>
      </c>
      <c r="H90" s="696" t="str">
        <f>[99]Source!DG162</f>
        <v>)*1,67</v>
      </c>
      <c r="I90" s="694">
        <f>[99]Source!AV162</f>
        <v>1.0469999999999999</v>
      </c>
      <c r="J90" s="697">
        <f>ROUND((ROUND(([99]Source!AF162*[99]Source!AV162*[99]Source!I162),2)),2)</f>
        <v>822.41</v>
      </c>
      <c r="K90" s="694">
        <f>IF([99]Source!BA162&lt;&gt; 0, [99]Source!BA162, 1)</f>
        <v>24.23</v>
      </c>
      <c r="L90" s="697">
        <f>[99]Source!S162</f>
        <v>19926.990000000002</v>
      </c>
      <c r="W90" s="718">
        <f>J90</f>
        <v>822.41</v>
      </c>
    </row>
    <row r="91" spans="1:27" ht="15" x14ac:dyDescent="0.25">
      <c r="A91" s="691"/>
      <c r="B91" s="691"/>
      <c r="C91" s="692"/>
      <c r="D91" s="692" t="s">
        <v>85</v>
      </c>
      <c r="E91" s="693"/>
      <c r="F91" s="694"/>
      <c r="G91" s="695">
        <f>[99]Source!AM162</f>
        <v>13.2</v>
      </c>
      <c r="H91" s="696" t="str">
        <f>[99]Source!DE162</f>
        <v/>
      </c>
      <c r="I91" s="694">
        <f>[99]Source!AV162</f>
        <v>1.0469999999999999</v>
      </c>
      <c r="J91" s="697">
        <f>(ROUND((ROUND((([99]Source!ET162)*[99]Source!AV162*[99]Source!I162),2)),2)+ROUND((ROUND((([99]Source!AE162-([99]Source!EU162))*[99]Source!AV162*[99]Source!I162),2)),2))-J100</f>
        <v>227.29</v>
      </c>
      <c r="K91" s="694">
        <f>IF([99]Source!BB162&lt;&gt; 0, [99]Source!BB162, 1)</f>
        <v>9.2899999999999991</v>
      </c>
      <c r="L91" s="697">
        <f>[99]Source!Q162-L100</f>
        <v>2111.6</v>
      </c>
    </row>
    <row r="92" spans="1:27" ht="15" x14ac:dyDescent="0.25">
      <c r="A92" s="691"/>
      <c r="B92" s="691"/>
      <c r="C92" s="692"/>
      <c r="D92" s="692" t="s">
        <v>86</v>
      </c>
      <c r="E92" s="693"/>
      <c r="F92" s="694"/>
      <c r="G92" s="695">
        <f>[99]Source!AN162</f>
        <v>2.64</v>
      </c>
      <c r="H92" s="696" t="str">
        <f>[99]Source!DE162</f>
        <v/>
      </c>
      <c r="I92" s="694">
        <f>[99]Source!AV162</f>
        <v>1.0469999999999999</v>
      </c>
      <c r="J92" s="700">
        <f>ROUND((ROUND(([99]Source!AE162*[99]Source!AV162*[99]Source!I162),2)),2)-J101</f>
        <v>45.45</v>
      </c>
      <c r="K92" s="694">
        <f>IF([99]Source!BS162&lt;&gt; 0, [99]Source!BS162, 1)</f>
        <v>24.23</v>
      </c>
      <c r="L92" s="700">
        <f>[99]Source!R162-L101</f>
        <v>1101.33</v>
      </c>
      <c r="W92" s="718">
        <f>J92</f>
        <v>45.45</v>
      </c>
    </row>
    <row r="93" spans="1:27" ht="15" x14ac:dyDescent="0.25">
      <c r="A93" s="691"/>
      <c r="B93" s="691"/>
      <c r="C93" s="692"/>
      <c r="D93" s="692" t="s">
        <v>87</v>
      </c>
      <c r="E93" s="693"/>
      <c r="F93" s="694"/>
      <c r="G93" s="695">
        <f>[99]Source!AL162</f>
        <v>59.82</v>
      </c>
      <c r="H93" s="696" t="str">
        <f>[99]Source!DD162</f>
        <v/>
      </c>
      <c r="I93" s="694">
        <f>[99]Source!AW162</f>
        <v>1.0189999999999999</v>
      </c>
      <c r="J93" s="697">
        <f>ROUND((ROUND(([99]Source!AC162*[99]Source!AW162*[99]Source!I162),2)),2)</f>
        <v>1002.49</v>
      </c>
      <c r="K93" s="694">
        <f>IF([99]Source!BC162&lt;&gt; 0, [99]Source!BC162, 1)</f>
        <v>19.850000000000001</v>
      </c>
      <c r="L93" s="697">
        <f>[99]Source!P162</f>
        <v>19899.43</v>
      </c>
    </row>
    <row r="94" spans="1:27" ht="15" x14ac:dyDescent="0.25">
      <c r="A94" s="691"/>
      <c r="B94" s="691"/>
      <c r="C94" s="692"/>
      <c r="D94" s="692" t="s">
        <v>88</v>
      </c>
      <c r="E94" s="693" t="s">
        <v>89</v>
      </c>
      <c r="F94" s="694">
        <f>[99]Source!DN162</f>
        <v>98</v>
      </c>
      <c r="G94" s="695"/>
      <c r="H94" s="696"/>
      <c r="I94" s="694"/>
      <c r="J94" s="697">
        <f>SUM(Q89:Q93)</f>
        <v>805.96</v>
      </c>
      <c r="K94" s="694">
        <f>[99]Source!BZ162</f>
        <v>79</v>
      </c>
      <c r="L94" s="697">
        <f>SUM(R89:R93)</f>
        <v>15742.32</v>
      </c>
    </row>
    <row r="95" spans="1:27" ht="15" x14ac:dyDescent="0.25">
      <c r="A95" s="691"/>
      <c r="B95" s="691"/>
      <c r="C95" s="692"/>
      <c r="D95" s="692" t="s">
        <v>90</v>
      </c>
      <c r="E95" s="693" t="s">
        <v>89</v>
      </c>
      <c r="F95" s="694">
        <f>[99]Source!DO162</f>
        <v>73</v>
      </c>
      <c r="G95" s="695"/>
      <c r="H95" s="696"/>
      <c r="I95" s="694"/>
      <c r="J95" s="697">
        <f>SUM(S89:S94)</f>
        <v>600.36</v>
      </c>
      <c r="K95" s="694">
        <f>[99]Source!CA162</f>
        <v>41</v>
      </c>
      <c r="L95" s="697">
        <f>SUM(T89:T94)</f>
        <v>8170.07</v>
      </c>
    </row>
    <row r="96" spans="1:27" ht="15" x14ac:dyDescent="0.25">
      <c r="A96" s="691"/>
      <c r="B96" s="691"/>
      <c r="C96" s="692"/>
      <c r="D96" s="692" t="s">
        <v>91</v>
      </c>
      <c r="E96" s="693" t="s">
        <v>89</v>
      </c>
      <c r="F96" s="694">
        <f>175</f>
        <v>175</v>
      </c>
      <c r="G96" s="695"/>
      <c r="H96" s="696"/>
      <c r="I96" s="694"/>
      <c r="J96" s="697">
        <f>SUM(U89:U95)-J102</f>
        <v>79.53</v>
      </c>
      <c r="K96" s="694">
        <f>157</f>
        <v>157</v>
      </c>
      <c r="L96" s="697">
        <f>SUM(V89:V95)-L102</f>
        <v>1729.09</v>
      </c>
    </row>
    <row r="97" spans="1:27" ht="15" x14ac:dyDescent="0.25">
      <c r="A97" s="691"/>
      <c r="B97" s="691"/>
      <c r="C97" s="692"/>
      <c r="D97" s="692" t="s">
        <v>92</v>
      </c>
      <c r="E97" s="693" t="s">
        <v>93</v>
      </c>
      <c r="F97" s="694">
        <f>[99]Source!AQ162</f>
        <v>2.2000000000000002</v>
      </c>
      <c r="G97" s="695"/>
      <c r="H97" s="696" t="str">
        <f>[99]Source!DI162</f>
        <v/>
      </c>
      <c r="I97" s="694">
        <f>[99]Source!AV162</f>
        <v>1.0469999999999999</v>
      </c>
      <c r="J97" s="697">
        <f>[99]Source!U162</f>
        <v>37.880000000000003</v>
      </c>
      <c r="K97" s="694"/>
      <c r="L97" s="697"/>
    </row>
    <row r="98" spans="1:27" ht="14.25" x14ac:dyDescent="0.2">
      <c r="I98" s="1067">
        <f>J90+J91+J93+J94+J95+J96</f>
        <v>3538.04</v>
      </c>
      <c r="J98" s="1067"/>
      <c r="K98" s="1067">
        <f>L90+L91+L93+L94+L95+L96</f>
        <v>67579.5</v>
      </c>
      <c r="L98" s="1067"/>
      <c r="O98" s="736">
        <f>J90+J91+J93+J94+J95+J96</f>
        <v>3538.04</v>
      </c>
      <c r="P98" s="736">
        <f>L90+L91+L93+L94+L95+L96</f>
        <v>67579.5</v>
      </c>
      <c r="X98" s="718">
        <f>IF([99]Source!BI162&lt;=1,J90+J91+J93+J94+J95+J96-0, 0)</f>
        <v>3538.04</v>
      </c>
      <c r="Y98" s="718">
        <f>IF([99]Source!BI162=2,J90+J91+J93+J94+J95+J96-0, 0)</f>
        <v>0</v>
      </c>
      <c r="Z98" s="718">
        <f>IF([99]Source!BI162=3,J90+J91+J93+J94+J95+J96-0, 0)</f>
        <v>0</v>
      </c>
      <c r="AA98" s="718">
        <f>IF([99]Source!BI162=4,J90+J91+J93+J94+J95+J96,0)</f>
        <v>0</v>
      </c>
    </row>
    <row r="99" spans="1:27" ht="30" x14ac:dyDescent="0.25">
      <c r="A99" s="701"/>
      <c r="B99" s="701"/>
      <c r="C99" s="702"/>
      <c r="D99" s="702" t="s">
        <v>94</v>
      </c>
      <c r="E99" s="693"/>
      <c r="F99" s="703"/>
      <c r="G99" s="704"/>
      <c r="H99" s="693"/>
      <c r="I99" s="703"/>
      <c r="J99" s="700"/>
      <c r="K99" s="703"/>
      <c r="L99" s="700"/>
    </row>
    <row r="100" spans="1:27" ht="15" x14ac:dyDescent="0.25">
      <c r="A100" s="701"/>
      <c r="B100" s="701"/>
      <c r="C100" s="702"/>
      <c r="D100" s="702" t="s">
        <v>85</v>
      </c>
      <c r="E100" s="693"/>
      <c r="F100" s="703"/>
      <c r="G100" s="704">
        <f t="shared" ref="G100:L100" si="0">G101</f>
        <v>2.64</v>
      </c>
      <c r="H100" s="705" t="str">
        <f t="shared" si="0"/>
        <v>)*(1.67-1)</v>
      </c>
      <c r="I100" s="703">
        <f t="shared" si="0"/>
        <v>1.0469999999999999</v>
      </c>
      <c r="J100" s="700">
        <f t="shared" si="0"/>
        <v>30.46</v>
      </c>
      <c r="K100" s="703">
        <f t="shared" si="0"/>
        <v>24.23</v>
      </c>
      <c r="L100" s="700">
        <f t="shared" si="0"/>
        <v>737.97</v>
      </c>
    </row>
    <row r="101" spans="1:27" ht="15" x14ac:dyDescent="0.25">
      <c r="A101" s="701"/>
      <c r="B101" s="701"/>
      <c r="C101" s="702"/>
      <c r="D101" s="702" t="s">
        <v>86</v>
      </c>
      <c r="E101" s="693"/>
      <c r="F101" s="703"/>
      <c r="G101" s="704">
        <f>[99]Source!AN162</f>
        <v>2.64</v>
      </c>
      <c r="H101" s="705" t="s">
        <v>95</v>
      </c>
      <c r="I101" s="703">
        <f>[99]Source!AV162</f>
        <v>1.0469999999999999</v>
      </c>
      <c r="J101" s="700">
        <f>ROUND(F89*G101*I101*(1.67-1), 2)</f>
        <v>30.46</v>
      </c>
      <c r="K101" s="703">
        <f>IF([99]Source!BS162&lt;&gt; 0, [99]Source!BS162, 1)</f>
        <v>24.23</v>
      </c>
      <c r="L101" s="700">
        <f>ROUND(F89*G101*I101*(1.67-1)*K101, 2)</f>
        <v>737.97</v>
      </c>
      <c r="W101" s="718">
        <f>J101</f>
        <v>30.46</v>
      </c>
    </row>
    <row r="102" spans="1:27" ht="15" x14ac:dyDescent="0.25">
      <c r="A102" s="701"/>
      <c r="B102" s="701"/>
      <c r="C102" s="702"/>
      <c r="D102" s="702" t="s">
        <v>91</v>
      </c>
      <c r="E102" s="693" t="s">
        <v>89</v>
      </c>
      <c r="F102" s="703">
        <f>175</f>
        <v>175</v>
      </c>
      <c r="G102" s="704"/>
      <c r="H102" s="693"/>
      <c r="I102" s="703"/>
      <c r="J102" s="700">
        <f>ROUND(J101*(F102/100), 2)</f>
        <v>53.31</v>
      </c>
      <c r="K102" s="703">
        <f>157</f>
        <v>157</v>
      </c>
      <c r="L102" s="700">
        <f>ROUND(L101*(K102/100), 2)</f>
        <v>1158.6099999999999</v>
      </c>
    </row>
    <row r="103" spans="1:27" ht="14.25" x14ac:dyDescent="0.2">
      <c r="I103" s="1067">
        <f>J102+J101</f>
        <v>83.77</v>
      </c>
      <c r="J103" s="1067"/>
      <c r="K103" s="1067">
        <f>L102+L101</f>
        <v>1896.58</v>
      </c>
      <c r="L103" s="1067"/>
      <c r="O103" s="736">
        <f>I103</f>
        <v>83.77</v>
      </c>
      <c r="P103" s="736">
        <f>K103</f>
        <v>1896.58</v>
      </c>
      <c r="X103" s="718">
        <f>IF([99]Source!BI162&lt;=1,I103, 0)</f>
        <v>83.77</v>
      </c>
      <c r="Y103" s="718">
        <f>IF([99]Source!BI162=2,I103, 0)</f>
        <v>0</v>
      </c>
      <c r="Z103" s="718">
        <f>IF([99]Source!BI162=3,I103, 0)</f>
        <v>0</v>
      </c>
      <c r="AA103" s="718">
        <f>IF([99]Source!BI162=4,I103, 0)</f>
        <v>0</v>
      </c>
    </row>
    <row r="105" spans="1:27" ht="15" x14ac:dyDescent="0.25">
      <c r="A105" s="706"/>
      <c r="B105" s="706"/>
      <c r="C105" s="707"/>
      <c r="D105" s="707" t="s">
        <v>96</v>
      </c>
      <c r="E105" s="708"/>
      <c r="F105" s="709"/>
      <c r="G105" s="710"/>
      <c r="H105" s="711"/>
      <c r="I105" s="1067">
        <f>I98+I103</f>
        <v>3621.81</v>
      </c>
      <c r="J105" s="1067"/>
      <c r="K105" s="1067">
        <f>K98+K103</f>
        <v>69476.08</v>
      </c>
      <c r="L105" s="1067"/>
    </row>
    <row r="106" spans="1:27" ht="120" x14ac:dyDescent="0.25">
      <c r="A106" s="691">
        <v>19</v>
      </c>
      <c r="B106" s="691" t="str">
        <f>[99]Source!E166</f>
        <v>33</v>
      </c>
      <c r="C106" s="692" t="str">
        <f>[99]Source!F166</f>
        <v>1.1-1-1289</v>
      </c>
      <c r="D106" s="692" t="s">
        <v>554</v>
      </c>
      <c r="E106" s="693" t="str">
        <f>[99]Source!H166</f>
        <v>м</v>
      </c>
      <c r="F106" s="694">
        <v>120.19</v>
      </c>
      <c r="G106" s="695">
        <f>[99]Source!AL166</f>
        <v>5.85</v>
      </c>
      <c r="H106" s="696" t="str">
        <f>[99]Source!DD166</f>
        <v/>
      </c>
      <c r="I106" s="694">
        <f>[99]Source!AW166</f>
        <v>1.0189999999999999</v>
      </c>
      <c r="J106" s="697">
        <f>I106*G106*F106</f>
        <v>716.47</v>
      </c>
      <c r="K106" s="694">
        <v>7.96</v>
      </c>
      <c r="L106" s="697">
        <f>J106*K106</f>
        <v>5703.1</v>
      </c>
      <c r="Q106" s="718">
        <f>ROUND(([99]Source!DN166/100)*ROUND((ROUND(([99]Source!AF166*[99]Source!AV166*[99]Source!I166),2)),2), 2)</f>
        <v>0</v>
      </c>
      <c r="R106" s="718">
        <f>[99]Source!X166</f>
        <v>0</v>
      </c>
      <c r="S106" s="718">
        <f>ROUND(([99]Source!DO166/100)*ROUND((ROUND(([99]Source!AF166*[99]Source!AV166*[99]Source!I166),2)),2), 2)</f>
        <v>0</v>
      </c>
      <c r="T106" s="718">
        <f>[99]Source!Y166</f>
        <v>0</v>
      </c>
      <c r="U106" s="718">
        <f>ROUND((175/100)*ROUND((ROUND(([99]Source!AE166*[99]Source!AV166*[99]Source!I166),2)),2), 2)</f>
        <v>0</v>
      </c>
      <c r="V106" s="718">
        <f>ROUND((157/100)*ROUND(ROUND((ROUND(([99]Source!AE166*[99]Source!AV166*[99]Source!I166),2)*[99]Source!BS166),2), 2), 2)</f>
        <v>0</v>
      </c>
    </row>
    <row r="107" spans="1:27" ht="14.25" x14ac:dyDescent="0.2">
      <c r="A107" s="737"/>
      <c r="B107" s="737"/>
      <c r="C107" s="737"/>
      <c r="D107" s="737"/>
      <c r="E107" s="737"/>
      <c r="F107" s="737"/>
      <c r="G107" s="737"/>
      <c r="H107" s="737"/>
      <c r="I107" s="1067">
        <f>J106</f>
        <v>716.47</v>
      </c>
      <c r="J107" s="1067"/>
      <c r="K107" s="1067">
        <f>L106</f>
        <v>5703.1</v>
      </c>
      <c r="L107" s="1067"/>
      <c r="O107" s="736">
        <f>J106</f>
        <v>716.47</v>
      </c>
      <c r="P107" s="736">
        <f>L106</f>
        <v>5703.1</v>
      </c>
      <c r="X107" s="718">
        <f>IF([99]Source!BI166&lt;=1,J106-0, 0)</f>
        <v>716.47</v>
      </c>
      <c r="Y107" s="718">
        <f>IF([99]Source!BI166=2,J106-0, 0)</f>
        <v>0</v>
      </c>
      <c r="Z107" s="718">
        <f>IF([99]Source!BI166=3,J106-0, 0)</f>
        <v>0</v>
      </c>
      <c r="AA107" s="718">
        <f>IF([99]Source!BI166=4,J106,0)</f>
        <v>0</v>
      </c>
    </row>
    <row r="108" spans="1:27" ht="120" x14ac:dyDescent="0.25">
      <c r="A108" s="691">
        <v>20</v>
      </c>
      <c r="B108" s="691" t="str">
        <f>[99]Source!E168</f>
        <v>34</v>
      </c>
      <c r="C108" s="692" t="str">
        <f>[99]Source!F168</f>
        <v>1.1-1-1273</v>
      </c>
      <c r="D108" s="692" t="s">
        <v>555</v>
      </c>
      <c r="E108" s="693" t="str">
        <f>[99]Source!H168</f>
        <v>м</v>
      </c>
      <c r="F108" s="694">
        <f>[99]Source!I168</f>
        <v>30.71</v>
      </c>
      <c r="G108" s="695">
        <f>[99]Source!AL168</f>
        <v>10.38</v>
      </c>
      <c r="H108" s="696" t="str">
        <f>[99]Source!DD168</f>
        <v/>
      </c>
      <c r="I108" s="694">
        <f>[99]Source!AW168</f>
        <v>1.0189999999999999</v>
      </c>
      <c r="J108" s="697">
        <f>I108*G108*F108</f>
        <v>324.83</v>
      </c>
      <c r="K108" s="694">
        <v>6.93</v>
      </c>
      <c r="L108" s="697">
        <f>J108*K108</f>
        <v>2251.0700000000002</v>
      </c>
      <c r="Q108" s="718">
        <f>ROUND(([99]Source!DN168/100)*ROUND((ROUND(([99]Source!AF168*[99]Source!AV168*[99]Source!I168),2)),2), 2)</f>
        <v>0</v>
      </c>
      <c r="R108" s="718">
        <f>[99]Source!X168</f>
        <v>0</v>
      </c>
      <c r="S108" s="718">
        <f>ROUND(([99]Source!DO168/100)*ROUND((ROUND(([99]Source!AF168*[99]Source!AV168*[99]Source!I168),2)),2), 2)</f>
        <v>0</v>
      </c>
      <c r="T108" s="718">
        <f>[99]Source!Y168</f>
        <v>0</v>
      </c>
      <c r="U108" s="718">
        <f>ROUND((175/100)*ROUND((ROUND(([99]Source!AE168*[99]Source!AV168*[99]Source!I168),2)),2), 2)</f>
        <v>0</v>
      </c>
      <c r="V108" s="718">
        <f>ROUND((157/100)*ROUND(ROUND((ROUND(([99]Source!AE168*[99]Source!AV168*[99]Source!I168),2)*[99]Source!BS168),2), 2), 2)</f>
        <v>0</v>
      </c>
    </row>
    <row r="109" spans="1:27" ht="14.25" x14ac:dyDescent="0.2">
      <c r="A109" s="737"/>
      <c r="B109" s="737"/>
      <c r="C109" s="737"/>
      <c r="D109" s="737"/>
      <c r="E109" s="737"/>
      <c r="F109" s="737"/>
      <c r="G109" s="737"/>
      <c r="H109" s="737"/>
      <c r="I109" s="1067">
        <f>J108</f>
        <v>324.83</v>
      </c>
      <c r="J109" s="1067"/>
      <c r="K109" s="1067">
        <f>L108</f>
        <v>2251.0700000000002</v>
      </c>
      <c r="L109" s="1067"/>
      <c r="O109" s="736">
        <f>J108</f>
        <v>324.83</v>
      </c>
      <c r="P109" s="736">
        <f>L108</f>
        <v>2251.0700000000002</v>
      </c>
      <c r="X109" s="718">
        <f>IF([99]Source!BI168&lt;=1,J108-0, 0)</f>
        <v>324.83</v>
      </c>
      <c r="Y109" s="718">
        <f>IF([99]Source!BI168=2,J108-0, 0)</f>
        <v>0</v>
      </c>
      <c r="Z109" s="718">
        <f>IF([99]Source!BI168=3,J108-0, 0)</f>
        <v>0</v>
      </c>
      <c r="AA109" s="718">
        <f>IF([99]Source!BI168=4,J108,0)</f>
        <v>0</v>
      </c>
    </row>
    <row r="110" spans="1:27" ht="120" x14ac:dyDescent="0.25">
      <c r="A110" s="691">
        <v>21</v>
      </c>
      <c r="B110" s="691" t="str">
        <f>[99]Source!E170</f>
        <v>35</v>
      </c>
      <c r="C110" s="692" t="str">
        <f>[99]Source!F170</f>
        <v>1.1-1-1273</v>
      </c>
      <c r="D110" s="692" t="s">
        <v>555</v>
      </c>
      <c r="E110" s="693" t="str">
        <f>[99]Source!H170</f>
        <v>м</v>
      </c>
      <c r="F110" s="694">
        <f>[99]Source!I170</f>
        <v>0.2</v>
      </c>
      <c r="G110" s="695">
        <f>[99]Source!AL170</f>
        <v>10.38</v>
      </c>
      <c r="H110" s="696" t="str">
        <f>[99]Source!DD170</f>
        <v/>
      </c>
      <c r="I110" s="694">
        <f>[99]Source!AW170</f>
        <v>1.0189999999999999</v>
      </c>
      <c r="J110" s="697">
        <f>I110*G110*F110</f>
        <v>2.12</v>
      </c>
      <c r="K110" s="694">
        <v>6.93</v>
      </c>
      <c r="L110" s="697">
        <f>J110*K110</f>
        <v>14.69</v>
      </c>
      <c r="Q110" s="718">
        <f>ROUND(([99]Source!DN170/100)*ROUND((ROUND(([99]Source!AF170*[99]Source!AV170*[99]Source!I170),2)),2), 2)</f>
        <v>0</v>
      </c>
      <c r="R110" s="718">
        <f>[99]Source!X170</f>
        <v>0</v>
      </c>
      <c r="S110" s="718">
        <f>ROUND(([99]Source!DO170/100)*ROUND((ROUND(([99]Source!AF170*[99]Source!AV170*[99]Source!I170),2)),2), 2)</f>
        <v>0</v>
      </c>
      <c r="T110" s="718">
        <f>[99]Source!Y170</f>
        <v>0</v>
      </c>
      <c r="U110" s="718">
        <f>ROUND((175/100)*ROUND((ROUND(([99]Source!AE170*[99]Source!AV170*[99]Source!I170),2)),2), 2)</f>
        <v>0</v>
      </c>
      <c r="V110" s="718">
        <f>ROUND((157/100)*ROUND(ROUND((ROUND(([99]Source!AE170*[99]Source!AV170*[99]Source!I170),2)*[99]Source!BS170),2), 2), 2)</f>
        <v>0</v>
      </c>
    </row>
    <row r="111" spans="1:27" ht="14.25" x14ac:dyDescent="0.2">
      <c r="A111" s="737"/>
      <c r="B111" s="737"/>
      <c r="C111" s="737"/>
      <c r="D111" s="737"/>
      <c r="E111" s="737"/>
      <c r="F111" s="737"/>
      <c r="G111" s="737"/>
      <c r="H111" s="737"/>
      <c r="I111" s="1067">
        <f>J110</f>
        <v>2.12</v>
      </c>
      <c r="J111" s="1067"/>
      <c r="K111" s="1067">
        <f>L110</f>
        <v>14.69</v>
      </c>
      <c r="L111" s="1067"/>
      <c r="O111" s="736">
        <f>J110</f>
        <v>2.12</v>
      </c>
      <c r="P111" s="736">
        <f>L110</f>
        <v>14.69</v>
      </c>
      <c r="X111" s="718">
        <f>IF([99]Source!BI170&lt;=1,J110-0, 0)</f>
        <v>2.12</v>
      </c>
      <c r="Y111" s="718">
        <f>IF([99]Source!BI170=2,J110-0, 0)</f>
        <v>0</v>
      </c>
      <c r="Z111" s="718">
        <f>IF([99]Source!BI170=3,J110-0, 0)</f>
        <v>0</v>
      </c>
      <c r="AA111" s="718">
        <f>IF([99]Source!BI170=4,J110,0)</f>
        <v>0</v>
      </c>
    </row>
    <row r="112" spans="1:27" ht="120" x14ac:dyDescent="0.25">
      <c r="A112" s="691">
        <v>22</v>
      </c>
      <c r="B112" s="691" t="str">
        <f>[99]Source!E172</f>
        <v>36</v>
      </c>
      <c r="C112" s="692" t="str">
        <f>[99]Source!F172</f>
        <v>1.1-1-1274</v>
      </c>
      <c r="D112" s="692" t="s">
        <v>556</v>
      </c>
      <c r="E112" s="693" t="str">
        <f>[99]Source!H172</f>
        <v>м</v>
      </c>
      <c r="F112" s="694">
        <f>[99]Source!I172</f>
        <v>13.36</v>
      </c>
      <c r="G112" s="695">
        <f>[99]Source!AL172</f>
        <v>12.04</v>
      </c>
      <c r="H112" s="696" t="str">
        <f>[99]Source!DD172</f>
        <v/>
      </c>
      <c r="I112" s="694">
        <f>[99]Source!AW172</f>
        <v>1.0189999999999999</v>
      </c>
      <c r="J112" s="697">
        <f>I112*G112*F112</f>
        <v>163.91</v>
      </c>
      <c r="K112" s="694">
        <v>7.26</v>
      </c>
      <c r="L112" s="697">
        <f>J112*K112</f>
        <v>1189.99</v>
      </c>
      <c r="Q112" s="718">
        <f>ROUND(([99]Source!DN172/100)*ROUND((ROUND(([99]Source!AF172*[99]Source!AV172*[99]Source!I172),2)),2), 2)</f>
        <v>0</v>
      </c>
      <c r="R112" s="718">
        <f>[99]Source!X172</f>
        <v>0</v>
      </c>
      <c r="S112" s="718">
        <f>ROUND(([99]Source!DO172/100)*ROUND((ROUND(([99]Source!AF172*[99]Source!AV172*[99]Source!I172),2)),2), 2)</f>
        <v>0</v>
      </c>
      <c r="T112" s="718">
        <f>[99]Source!Y172</f>
        <v>0</v>
      </c>
      <c r="U112" s="718">
        <f>ROUND((175/100)*ROUND((ROUND(([99]Source!AE172*[99]Source!AV172*[99]Source!I172),2)),2), 2)</f>
        <v>0</v>
      </c>
      <c r="V112" s="718">
        <f>ROUND((157/100)*ROUND(ROUND((ROUND(([99]Source!AE172*[99]Source!AV172*[99]Source!I172),2)*[99]Source!BS172),2), 2), 2)</f>
        <v>0</v>
      </c>
    </row>
    <row r="113" spans="1:27" ht="14.25" x14ac:dyDescent="0.2">
      <c r="A113" s="737"/>
      <c r="B113" s="737"/>
      <c r="C113" s="737"/>
      <c r="D113" s="737"/>
      <c r="E113" s="737"/>
      <c r="F113" s="737"/>
      <c r="G113" s="737"/>
      <c r="H113" s="737"/>
      <c r="I113" s="1067">
        <f>J112</f>
        <v>163.91</v>
      </c>
      <c r="J113" s="1067"/>
      <c r="K113" s="1067">
        <f>L112</f>
        <v>1189.99</v>
      </c>
      <c r="L113" s="1067"/>
      <c r="O113" s="736">
        <f>J112</f>
        <v>163.91</v>
      </c>
      <c r="P113" s="736">
        <f>L112</f>
        <v>1189.99</v>
      </c>
      <c r="X113" s="718">
        <f>IF([99]Source!BI172&lt;=1,J112-0, 0)</f>
        <v>163.91</v>
      </c>
      <c r="Y113" s="718">
        <f>IF([99]Source!BI172=2,J112-0, 0)</f>
        <v>0</v>
      </c>
      <c r="Z113" s="718">
        <f>IF([99]Source!BI172=3,J112-0, 0)</f>
        <v>0</v>
      </c>
      <c r="AA113" s="718">
        <f>IF([99]Source!BI172=4,J112,0)</f>
        <v>0</v>
      </c>
    </row>
    <row r="115" spans="1:27" ht="14.25" x14ac:dyDescent="0.2">
      <c r="A115" s="1068" t="str">
        <f>CONCATENATE("Итого по подразделу: ",IF([99]Source!G188&lt;&gt;"Новый подраздел", [99]Source!G188, ""))</f>
        <v>Итого по подразделу: К2-1, К2-1р</v>
      </c>
      <c r="B115" s="1068"/>
      <c r="C115" s="1068"/>
      <c r="D115" s="1068"/>
      <c r="E115" s="1068"/>
      <c r="F115" s="1068"/>
      <c r="G115" s="1068"/>
      <c r="H115" s="1068"/>
      <c r="I115" s="1069">
        <f>SUM(O19:O114)</f>
        <v>25929.32</v>
      </c>
      <c r="J115" s="1070"/>
      <c r="K115" s="1069">
        <f>SUM(P19:P114)</f>
        <v>305848.43</v>
      </c>
      <c r="L115" s="1070"/>
    </row>
    <row r="116" spans="1:27" hidden="1" x14ac:dyDescent="0.2">
      <c r="A116" s="718" t="s">
        <v>139</v>
      </c>
      <c r="I116" s="718">
        <f>SUM(AC19:AC115)</f>
        <v>0</v>
      </c>
      <c r="K116" s="718">
        <f>SUM(AD19:AD115)</f>
        <v>0</v>
      </c>
    </row>
    <row r="117" spans="1:27" hidden="1" x14ac:dyDescent="0.2">
      <c r="A117" s="718" t="s">
        <v>140</v>
      </c>
      <c r="I117" s="718">
        <f>SUM(AE19:AE116)</f>
        <v>0</v>
      </c>
      <c r="K117" s="718">
        <f>SUM(AF19:AF116)</f>
        <v>0</v>
      </c>
    </row>
    <row r="119" spans="1:27" ht="16.5" x14ac:dyDescent="0.25">
      <c r="A119" s="1066" t="str">
        <f>CONCATENATE("Подраздел: ",IF([99]Source!G218&lt;&gt;"Новый подраздел", [99]Source!G218, ""))</f>
        <v>Подраздел: К2-3, К2-4р</v>
      </c>
      <c r="B119" s="1066"/>
      <c r="C119" s="1066"/>
      <c r="D119" s="1066"/>
      <c r="E119" s="1066"/>
      <c r="F119" s="1066"/>
      <c r="G119" s="1066"/>
      <c r="H119" s="1066"/>
      <c r="I119" s="1066"/>
      <c r="J119" s="1066"/>
      <c r="K119" s="1066"/>
      <c r="L119" s="1066"/>
    </row>
    <row r="120" spans="1:27" ht="55.5" x14ac:dyDescent="0.25">
      <c r="A120" s="691">
        <v>23</v>
      </c>
      <c r="B120" s="691" t="str">
        <f>[99]Source!E239</f>
        <v>47</v>
      </c>
      <c r="C120" s="692" t="str">
        <f>[99]Source!F239</f>
        <v>МКЭ-28-1837/5-1 от 12.01.2016</v>
      </c>
      <c r="D120" s="692" t="s">
        <v>754</v>
      </c>
      <c r="E120" s="693" t="str">
        <f>[99]Source!H239</f>
        <v>шт.</v>
      </c>
      <c r="F120" s="694">
        <f>[99]Source!I239</f>
        <v>12</v>
      </c>
      <c r="G120" s="697">
        <f>J120/F120</f>
        <v>1346.97</v>
      </c>
      <c r="H120" s="696"/>
      <c r="I120" s="694">
        <f>[99]Source!AW224</f>
        <v>1</v>
      </c>
      <c r="J120" s="697">
        <f>L120/K120</f>
        <v>16163.58</v>
      </c>
      <c r="K120" s="694">
        <v>5.58</v>
      </c>
      <c r="L120" s="697">
        <f>7368.69*1.02*F120</f>
        <v>90192.77</v>
      </c>
      <c r="Q120" s="718">
        <f>ROUND(([99]Source!DN239/100)*ROUND((ROUND(([99]Source!AF239*[99]Source!AV239*[99]Source!I239),2)),2), 2)</f>
        <v>0</v>
      </c>
      <c r="R120" s="718">
        <f>[99]Source!X239</f>
        <v>0</v>
      </c>
      <c r="S120" s="718">
        <f>ROUND(([99]Source!DO239/100)*ROUND((ROUND(([99]Source!AF239*[99]Source!AV239*[99]Source!I239),2)),2), 2)</f>
        <v>0</v>
      </c>
      <c r="T120" s="718">
        <f>[99]Source!Y239</f>
        <v>0</v>
      </c>
      <c r="U120" s="718">
        <f>ROUND((175/100)*ROUND((ROUND(([99]Source!AE239*[99]Source!AV239*[99]Source!I239),2)),2), 2)</f>
        <v>0</v>
      </c>
      <c r="V120" s="718">
        <f>ROUND((157/100)*ROUND(ROUND((ROUND(([99]Source!AE239*[99]Source!AV239*[99]Source!I239),2)*[99]Source!BS239),2), 2), 2)</f>
        <v>0</v>
      </c>
    </row>
    <row r="121" spans="1:27" ht="14.25" x14ac:dyDescent="0.2">
      <c r="A121" s="737"/>
      <c r="B121" s="737"/>
      <c r="C121" s="737"/>
      <c r="D121" s="737"/>
      <c r="E121" s="737"/>
      <c r="F121" s="737"/>
      <c r="G121" s="737"/>
      <c r="H121" s="737"/>
      <c r="I121" s="1067">
        <f>J120</f>
        <v>16163.58</v>
      </c>
      <c r="J121" s="1067"/>
      <c r="K121" s="1067">
        <f>L120</f>
        <v>90192.77</v>
      </c>
      <c r="L121" s="1067"/>
      <c r="O121" s="736">
        <f>J120</f>
        <v>16163.58</v>
      </c>
      <c r="P121" s="736">
        <f>L120</f>
        <v>90192.77</v>
      </c>
      <c r="X121" s="718">
        <f>IF([99]Source!BI239&lt;=1,J120-0, 0)</f>
        <v>16163.58</v>
      </c>
      <c r="Y121" s="718">
        <f>IF([99]Source!BI239=2,J120-0, 0)</f>
        <v>0</v>
      </c>
      <c r="Z121" s="718">
        <f>IF([99]Source!BI239=3,J120-0, 0)</f>
        <v>0</v>
      </c>
      <c r="AA121" s="718">
        <f>IF([99]Source!BI239=4,J120,0)</f>
        <v>0</v>
      </c>
    </row>
    <row r="122" spans="1:27" ht="55.5" x14ac:dyDescent="0.25">
      <c r="A122" s="691">
        <v>24</v>
      </c>
      <c r="B122" s="691" t="str">
        <f>[99]Source!E243</f>
        <v>48</v>
      </c>
      <c r="C122" s="692" t="str">
        <f>[99]Source!F243</f>
        <v>МКЭ-28-1837/5-1 от 12.01.2016</v>
      </c>
      <c r="D122" s="692" t="s">
        <v>753</v>
      </c>
      <c r="E122" s="693" t="str">
        <f>[99]Source!H243</f>
        <v>шт.</v>
      </c>
      <c r="F122" s="694">
        <f>[99]Source!I243</f>
        <v>4</v>
      </c>
      <c r="G122" s="697">
        <f>J122/F122</f>
        <v>1183.8800000000001</v>
      </c>
      <c r="H122" s="696"/>
      <c r="I122" s="694">
        <f>[99]Source!AW226</f>
        <v>1</v>
      </c>
      <c r="J122" s="697">
        <f>L122/K122</f>
        <v>4735.53</v>
      </c>
      <c r="K122" s="694">
        <v>5.58</v>
      </c>
      <c r="L122" s="697">
        <f>6476.53*1.02*F122</f>
        <v>26424.240000000002</v>
      </c>
      <c r="Q122" s="718">
        <f>ROUND(([99]Source!DN243/100)*ROUND((ROUND(([99]Source!AF243*[99]Source!AV243*[99]Source!I243),2)),2), 2)</f>
        <v>0</v>
      </c>
      <c r="R122" s="718">
        <f>[99]Source!X243</f>
        <v>0</v>
      </c>
      <c r="S122" s="718">
        <f>ROUND(([99]Source!DO243/100)*ROUND((ROUND(([99]Source!AF243*[99]Source!AV243*[99]Source!I243),2)),2), 2)</f>
        <v>0</v>
      </c>
      <c r="T122" s="718">
        <f>[99]Source!Y243</f>
        <v>0</v>
      </c>
      <c r="U122" s="718">
        <f>ROUND((175/100)*ROUND((ROUND(([99]Source!AE243*[99]Source!AV243*[99]Source!I243),2)),2), 2)</f>
        <v>0</v>
      </c>
      <c r="V122" s="718">
        <f>ROUND((157/100)*ROUND(ROUND((ROUND(([99]Source!AE243*[99]Source!AV243*[99]Source!I243),2)*[99]Source!BS243),2), 2), 2)</f>
        <v>0</v>
      </c>
    </row>
    <row r="123" spans="1:27" ht="14.25" x14ac:dyDescent="0.2">
      <c r="A123" s="737"/>
      <c r="B123" s="737"/>
      <c r="C123" s="737"/>
      <c r="D123" s="737"/>
      <c r="E123" s="737"/>
      <c r="F123" s="737"/>
      <c r="G123" s="737"/>
      <c r="H123" s="737"/>
      <c r="I123" s="1067">
        <f>J122</f>
        <v>4735.53</v>
      </c>
      <c r="J123" s="1067"/>
      <c r="K123" s="1067">
        <f>L122</f>
        <v>26424.240000000002</v>
      </c>
      <c r="L123" s="1067"/>
      <c r="O123" s="736">
        <f>J122</f>
        <v>4735.53</v>
      </c>
      <c r="P123" s="736">
        <f>L122</f>
        <v>26424.240000000002</v>
      </c>
      <c r="X123" s="718">
        <f>IF([99]Source!BI243&lt;=1,J122-0, 0)</f>
        <v>4735.53</v>
      </c>
      <c r="Y123" s="718">
        <f>IF([99]Source!BI243=2,J122-0, 0)</f>
        <v>0</v>
      </c>
      <c r="Z123" s="718">
        <f>IF([99]Source!BI243=3,J122-0, 0)</f>
        <v>0</v>
      </c>
      <c r="AA123" s="718">
        <f>IF([99]Source!BI243=4,J122,0)</f>
        <v>0</v>
      </c>
    </row>
    <row r="124" spans="1:27" ht="30" x14ac:dyDescent="0.25">
      <c r="A124" s="691">
        <v>25</v>
      </c>
      <c r="B124" s="691" t="str">
        <f>[99]Source!E249</f>
        <v>51</v>
      </c>
      <c r="C124" s="692" t="str">
        <f>[99]Source!F249</f>
        <v>3.29-1939-1</v>
      </c>
      <c r="D124" s="692" t="s">
        <v>539</v>
      </c>
      <c r="E124" s="693" t="str">
        <f>[99]Source!H249</f>
        <v>1 М</v>
      </c>
      <c r="F124" s="694">
        <f>[99]Source!I249</f>
        <v>3.94</v>
      </c>
      <c r="G124" s="695"/>
      <c r="H124" s="696"/>
      <c r="I124" s="694"/>
      <c r="J124" s="697"/>
      <c r="K124" s="694"/>
      <c r="L124" s="697"/>
      <c r="Q124" s="718">
        <f>ROUND(([99]Source!DN249/100)*ROUND((ROUND(([99]Source!AF249*[99]Source!AV249*[99]Source!I249),2)),2), 2)</f>
        <v>50.69</v>
      </c>
      <c r="R124" s="718">
        <f>[99]Source!X249</f>
        <v>1057.29</v>
      </c>
      <c r="S124" s="718">
        <f>ROUND(([99]Source!DO249/100)*ROUND((ROUND(([99]Source!AF249*[99]Source!AV249*[99]Source!I249),2)),2), 2)</f>
        <v>44.92</v>
      </c>
      <c r="T124" s="718">
        <f>[99]Source!Y249</f>
        <v>668.58</v>
      </c>
      <c r="U124" s="718">
        <f>ROUND((175/100)*ROUND((ROUND(([99]Source!AE249*[99]Source!AV249*[99]Source!I249),2)),2), 2)</f>
        <v>0</v>
      </c>
      <c r="V124" s="718">
        <f>ROUND((157/100)*ROUND(ROUND((ROUND(([99]Source!AE249*[99]Source!AV249*[99]Source!I249),2)*[99]Source!BS249),2), 2), 2)</f>
        <v>0</v>
      </c>
    </row>
    <row r="125" spans="1:27" ht="15" x14ac:dyDescent="0.25">
      <c r="A125" s="691"/>
      <c r="B125" s="691"/>
      <c r="C125" s="692"/>
      <c r="D125" s="692" t="s">
        <v>84</v>
      </c>
      <c r="E125" s="693"/>
      <c r="F125" s="694"/>
      <c r="G125" s="695">
        <f>[99]Source!AO249</f>
        <v>9.14</v>
      </c>
      <c r="H125" s="696" t="str">
        <f>[99]Source!DG249</f>
        <v>)*1,67</v>
      </c>
      <c r="I125" s="694">
        <f>[99]Source!AV249</f>
        <v>1.0669999999999999</v>
      </c>
      <c r="J125" s="697">
        <f>ROUND((ROUND(([99]Source!AF249*[99]Source!AV249*[99]Source!I249),2)),2)</f>
        <v>64.17</v>
      </c>
      <c r="K125" s="694">
        <f>IF([99]Source!BA249&lt;&gt; 0, [99]Source!BA249, 1)</f>
        <v>24.23</v>
      </c>
      <c r="L125" s="697">
        <f>[99]Source!S249</f>
        <v>1554.84</v>
      </c>
      <c r="W125" s="718">
        <f>J125</f>
        <v>64.17</v>
      </c>
    </row>
    <row r="126" spans="1:27" ht="15" x14ac:dyDescent="0.25">
      <c r="A126" s="691"/>
      <c r="B126" s="691"/>
      <c r="C126" s="692"/>
      <c r="D126" s="692" t="s">
        <v>85</v>
      </c>
      <c r="E126" s="693"/>
      <c r="F126" s="694"/>
      <c r="G126" s="695">
        <f>[99]Source!AM249</f>
        <v>0.09</v>
      </c>
      <c r="H126" s="696" t="str">
        <f>[99]Source!DE249</f>
        <v/>
      </c>
      <c r="I126" s="694">
        <f>[99]Source!AV249</f>
        <v>1.0669999999999999</v>
      </c>
      <c r="J126" s="697">
        <f>(ROUND((ROUND((([99]Source!ET249)*[99]Source!AV249*[99]Source!I249),2)),2)+ROUND((ROUND((([99]Source!AE249-([99]Source!EU249))*[99]Source!AV249*[99]Source!I249),2)),2))</f>
        <v>0.38</v>
      </c>
      <c r="K126" s="694">
        <f>IF([99]Source!BB249&lt;&gt; 0, [99]Source!BB249, 1)</f>
        <v>3.78</v>
      </c>
      <c r="L126" s="697">
        <f>[99]Source!Q249</f>
        <v>1.44</v>
      </c>
    </row>
    <row r="127" spans="1:27" ht="15" x14ac:dyDescent="0.25">
      <c r="A127" s="691"/>
      <c r="B127" s="691"/>
      <c r="C127" s="692"/>
      <c r="D127" s="692" t="s">
        <v>87</v>
      </c>
      <c r="E127" s="693"/>
      <c r="F127" s="694"/>
      <c r="G127" s="695">
        <f>[99]Source!AL249</f>
        <v>15.18</v>
      </c>
      <c r="H127" s="696" t="str">
        <f>[99]Source!DD249</f>
        <v/>
      </c>
      <c r="I127" s="694">
        <f>[99]Source!AW249</f>
        <v>1.028</v>
      </c>
      <c r="J127" s="697">
        <f>ROUND((ROUND(([99]Source!AC249*[99]Source!AW249*[99]Source!I249),2)),2)</f>
        <v>61.48</v>
      </c>
      <c r="K127" s="694">
        <f>IF([99]Source!BC249&lt;&gt; 0, [99]Source!BC249, 1)</f>
        <v>2.5299999999999998</v>
      </c>
      <c r="L127" s="697">
        <f>[99]Source!P249</f>
        <v>155.54</v>
      </c>
    </row>
    <row r="128" spans="1:27" ht="45" x14ac:dyDescent="0.25">
      <c r="A128" s="691">
        <v>26</v>
      </c>
      <c r="B128" s="691" t="str">
        <f>[99]Source!E251</f>
        <v>51,1</v>
      </c>
      <c r="C128" s="692" t="str">
        <f>[99]Source!F251</f>
        <v>1.12-7-186</v>
      </c>
      <c r="D128" s="692" t="s">
        <v>540</v>
      </c>
      <c r="E128" s="693" t="str">
        <f>[99]Source!H251</f>
        <v>м</v>
      </c>
      <c r="F128" s="694">
        <f>[99]Source!I251</f>
        <v>3.94</v>
      </c>
      <c r="G128" s="695">
        <f>[99]Source!AK251</f>
        <v>4.37</v>
      </c>
      <c r="H128" s="734" t="s">
        <v>42</v>
      </c>
      <c r="I128" s="694">
        <f>[99]Source!AW251</f>
        <v>1.028</v>
      </c>
      <c r="J128" s="697">
        <f>ROUND((ROUND(([99]Source!AC251*[99]Source!AW251*[99]Source!I251),2)),2)+(ROUND((ROUND((([99]Source!ET251)*[99]Source!AV251*[99]Source!I251),2)),2)+ROUND((ROUND((([99]Source!AE251-([99]Source!EU251))*[99]Source!AV251*[99]Source!I251),2)),2))+ROUND((ROUND(([99]Source!AF251*[99]Source!AV251*[99]Source!I251),2)),2)</f>
        <v>17.7</v>
      </c>
      <c r="K128" s="694">
        <f>IF([99]Source!BC251&lt;&gt; 0, [99]Source!BC251, 1)</f>
        <v>16.739999999999998</v>
      </c>
      <c r="L128" s="697">
        <f>[99]Source!O251</f>
        <v>296.3</v>
      </c>
      <c r="Q128" s="718">
        <f>ROUND(([99]Source!DN251/100)*ROUND((ROUND(([99]Source!AF251*[99]Source!AV251*[99]Source!I251),2)),2), 2)</f>
        <v>0</v>
      </c>
      <c r="R128" s="718">
        <f>[99]Source!X251</f>
        <v>0</v>
      </c>
      <c r="S128" s="718">
        <f>ROUND(([99]Source!DO251/100)*ROUND((ROUND(([99]Source!AF251*[99]Source!AV251*[99]Source!I251),2)),2), 2)</f>
        <v>0</v>
      </c>
      <c r="T128" s="718">
        <f>[99]Source!Y251</f>
        <v>0</v>
      </c>
      <c r="U128" s="718">
        <f>ROUND((175/100)*ROUND((ROUND(([99]Source!AE251*[99]Source!AV251*[99]Source!I251),2)),2), 2)</f>
        <v>0</v>
      </c>
      <c r="V128" s="718">
        <f>ROUND((157/100)*ROUND(ROUND((ROUND(([99]Source!AE251*[99]Source!AV251*[99]Source!I251),2)*[99]Source!BS251),2), 2), 2)</f>
        <v>0</v>
      </c>
      <c r="X128" s="718">
        <f>IF([99]Source!BI251&lt;=1,J128, 0)</f>
        <v>17.7</v>
      </c>
      <c r="Y128" s="718">
        <f>IF([99]Source!BI251=2,J128, 0)</f>
        <v>0</v>
      </c>
      <c r="Z128" s="718">
        <f>IF([99]Source!BI251=3,J128, 0)</f>
        <v>0</v>
      </c>
      <c r="AA128" s="718">
        <f>IF([99]Source!BI251=4,J128, 0)</f>
        <v>0</v>
      </c>
    </row>
    <row r="129" spans="1:27" ht="15" x14ac:dyDescent="0.25">
      <c r="A129" s="691"/>
      <c r="B129" s="691"/>
      <c r="C129" s="692"/>
      <c r="D129" s="692" t="s">
        <v>88</v>
      </c>
      <c r="E129" s="693" t="s">
        <v>89</v>
      </c>
      <c r="F129" s="694">
        <f>[99]Source!DN249</f>
        <v>79</v>
      </c>
      <c r="G129" s="695"/>
      <c r="H129" s="696"/>
      <c r="I129" s="694"/>
      <c r="J129" s="697">
        <f>SUM(Q124:Q128)</f>
        <v>50.69</v>
      </c>
      <c r="K129" s="694">
        <f>[99]Source!BZ249</f>
        <v>68</v>
      </c>
      <c r="L129" s="697">
        <f>SUM(R124:R128)</f>
        <v>1057.29</v>
      </c>
    </row>
    <row r="130" spans="1:27" ht="15" x14ac:dyDescent="0.25">
      <c r="A130" s="691"/>
      <c r="B130" s="691"/>
      <c r="C130" s="692"/>
      <c r="D130" s="692" t="s">
        <v>90</v>
      </c>
      <c r="E130" s="693" t="s">
        <v>89</v>
      </c>
      <c r="F130" s="694">
        <f>[99]Source!DO249</f>
        <v>70</v>
      </c>
      <c r="G130" s="695"/>
      <c r="H130" s="696"/>
      <c r="I130" s="694"/>
      <c r="J130" s="697">
        <f>SUM(S124:S129)</f>
        <v>44.92</v>
      </c>
      <c r="K130" s="694">
        <f>[99]Source!CA249</f>
        <v>43</v>
      </c>
      <c r="L130" s="697">
        <f>SUM(T124:T129)</f>
        <v>668.58</v>
      </c>
    </row>
    <row r="131" spans="1:27" ht="15" x14ac:dyDescent="0.25">
      <c r="A131" s="691"/>
      <c r="B131" s="691"/>
      <c r="C131" s="692"/>
      <c r="D131" s="692" t="s">
        <v>92</v>
      </c>
      <c r="E131" s="693" t="s">
        <v>93</v>
      </c>
      <c r="F131" s="694">
        <f>[99]Source!AQ249</f>
        <v>0.75</v>
      </c>
      <c r="G131" s="695"/>
      <c r="H131" s="696" t="str">
        <f>[99]Source!DI249</f>
        <v/>
      </c>
      <c r="I131" s="694">
        <f>[99]Source!AV249</f>
        <v>1.0669999999999999</v>
      </c>
      <c r="J131" s="697">
        <f>[99]Source!U249</f>
        <v>3.15</v>
      </c>
      <c r="K131" s="694"/>
      <c r="L131" s="697"/>
    </row>
    <row r="132" spans="1:27" ht="14.25" x14ac:dyDescent="0.2">
      <c r="A132" s="737"/>
      <c r="B132" s="737"/>
      <c r="C132" s="737"/>
      <c r="D132" s="737"/>
      <c r="E132" s="737"/>
      <c r="F132" s="737"/>
      <c r="G132" s="737"/>
      <c r="H132" s="737"/>
      <c r="I132" s="1067">
        <f>J125+J126+J127+J129+J130+SUM(J128:J128)</f>
        <v>239.34</v>
      </c>
      <c r="J132" s="1067"/>
      <c r="K132" s="1067">
        <f>L125+L126+L127+L129+L130+SUM(L128:L128)</f>
        <v>3733.99</v>
      </c>
      <c r="L132" s="1067"/>
      <c r="O132" s="736">
        <f>J125+J126+J127+J129+J130+SUM(J128:J128)</f>
        <v>239.34</v>
      </c>
      <c r="P132" s="736">
        <f>L125+L126+L127+L129+L130+SUM(L128:L128)</f>
        <v>3733.99</v>
      </c>
      <c r="X132" s="718">
        <f>IF([99]Source!BI249&lt;=1,J125+J126+J127+J129+J130-0, 0)</f>
        <v>221.64</v>
      </c>
      <c r="Y132" s="718">
        <f>IF([99]Source!BI249=2,J125+J126+J127+J129+J130-0, 0)</f>
        <v>0</v>
      </c>
      <c r="Z132" s="718">
        <f>IF([99]Source!BI249=3,J125+J126+J127+J129+J130-0, 0)</f>
        <v>0</v>
      </c>
      <c r="AA132" s="718">
        <f>IF([99]Source!BI249=4,J125+J126+J127+J129+J130,0)</f>
        <v>0</v>
      </c>
    </row>
    <row r="133" spans="1:27" ht="30" x14ac:dyDescent="0.25">
      <c r="A133" s="691">
        <v>27</v>
      </c>
      <c r="B133" s="691" t="str">
        <f>[99]Source!E253</f>
        <v>52</v>
      </c>
      <c r="C133" s="692" t="str">
        <f>[99]Source!F253</f>
        <v>3.29-1939-2</v>
      </c>
      <c r="D133" s="692" t="s">
        <v>541</v>
      </c>
      <c r="E133" s="693" t="str">
        <f>[99]Source!H253</f>
        <v>1 М</v>
      </c>
      <c r="F133" s="694">
        <f>[99]Source!I253</f>
        <v>25.72</v>
      </c>
      <c r="G133" s="695"/>
      <c r="H133" s="696"/>
      <c r="I133" s="694"/>
      <c r="J133" s="697"/>
      <c r="K133" s="694"/>
      <c r="L133" s="697"/>
      <c r="Q133" s="718">
        <f>ROUND(([99]Source!DN253/100)*ROUND((ROUND(([99]Source!AF253*[99]Source!AV253*[99]Source!I253),2)),2), 2)</f>
        <v>309.2</v>
      </c>
      <c r="R133" s="718">
        <f>[99]Source!X253</f>
        <v>6448.7</v>
      </c>
      <c r="S133" s="718">
        <f>ROUND(([99]Source!DO253/100)*ROUND((ROUND(([99]Source!AF253*[99]Source!AV253*[99]Source!I253),2)),2), 2)</f>
        <v>273.97000000000003</v>
      </c>
      <c r="T133" s="718">
        <f>[99]Source!Y253</f>
        <v>4077.85</v>
      </c>
      <c r="U133" s="718">
        <f>ROUND((175/100)*ROUND((ROUND(([99]Source!AE253*[99]Source!AV253*[99]Source!I253),2)),2), 2)</f>
        <v>0</v>
      </c>
      <c r="V133" s="718">
        <f>ROUND((157/100)*ROUND(ROUND((ROUND(([99]Source!AE253*[99]Source!AV253*[99]Source!I253),2)*[99]Source!BS253),2), 2), 2)</f>
        <v>0</v>
      </c>
    </row>
    <row r="134" spans="1:27" ht="15" x14ac:dyDescent="0.25">
      <c r="A134" s="691"/>
      <c r="B134" s="691"/>
      <c r="C134" s="692"/>
      <c r="D134" s="692" t="s">
        <v>84</v>
      </c>
      <c r="E134" s="693"/>
      <c r="F134" s="694"/>
      <c r="G134" s="695">
        <f>[99]Source!AO253</f>
        <v>8.5399999999999991</v>
      </c>
      <c r="H134" s="696" t="str">
        <f>[99]Source!DG253</f>
        <v>)*1,67</v>
      </c>
      <c r="I134" s="694">
        <f>[99]Source!AV253</f>
        <v>1.0669999999999999</v>
      </c>
      <c r="J134" s="697">
        <f>ROUND((ROUND(([99]Source!AF253*[99]Source!AV253*[99]Source!I253),2)),2)</f>
        <v>391.39</v>
      </c>
      <c r="K134" s="694">
        <f>IF([99]Source!BA253&lt;&gt; 0, [99]Source!BA253, 1)</f>
        <v>24.23</v>
      </c>
      <c r="L134" s="697">
        <f>[99]Source!S253</f>
        <v>9483.3799999999992</v>
      </c>
      <c r="W134" s="718">
        <f>J134</f>
        <v>391.39</v>
      </c>
    </row>
    <row r="135" spans="1:27" ht="15" x14ac:dyDescent="0.25">
      <c r="A135" s="691"/>
      <c r="B135" s="691"/>
      <c r="C135" s="692"/>
      <c r="D135" s="692" t="s">
        <v>85</v>
      </c>
      <c r="E135" s="693"/>
      <c r="F135" s="694"/>
      <c r="G135" s="695">
        <f>[99]Source!AM253</f>
        <v>7.0000000000000007E-2</v>
      </c>
      <c r="H135" s="696" t="str">
        <f>[99]Source!DE253</f>
        <v/>
      </c>
      <c r="I135" s="694">
        <f>[99]Source!AV253</f>
        <v>1.0669999999999999</v>
      </c>
      <c r="J135" s="697">
        <f>(ROUND((ROUND((([99]Source!ET253)*[99]Source!AV253*[99]Source!I253),2)),2)+ROUND((ROUND((([99]Source!AE253-([99]Source!EU253))*[99]Source!AV253*[99]Source!I253),2)),2))</f>
        <v>1.92</v>
      </c>
      <c r="K135" s="694">
        <f>IF([99]Source!BB253&lt;&gt; 0, [99]Source!BB253, 1)</f>
        <v>3.71</v>
      </c>
      <c r="L135" s="697">
        <f>[99]Source!Q253</f>
        <v>7.12</v>
      </c>
    </row>
    <row r="136" spans="1:27" ht="15" x14ac:dyDescent="0.25">
      <c r="A136" s="691"/>
      <c r="B136" s="691"/>
      <c r="C136" s="692"/>
      <c r="D136" s="692" t="s">
        <v>87</v>
      </c>
      <c r="E136" s="693"/>
      <c r="F136" s="694"/>
      <c r="G136" s="695">
        <f>[99]Source!AL253</f>
        <v>15.11</v>
      </c>
      <c r="H136" s="696" t="str">
        <f>[99]Source!DD253</f>
        <v/>
      </c>
      <c r="I136" s="694">
        <f>[99]Source!AW253</f>
        <v>1.028</v>
      </c>
      <c r="J136" s="697">
        <f>ROUND((ROUND(([99]Source!AC253*[99]Source!AW253*[99]Source!I253),2)),2)</f>
        <v>399.51</v>
      </c>
      <c r="K136" s="694">
        <f>IF([99]Source!BC253&lt;&gt; 0, [99]Source!BC253, 1)</f>
        <v>2.52</v>
      </c>
      <c r="L136" s="697">
        <f>[99]Source!P253</f>
        <v>1006.77</v>
      </c>
    </row>
    <row r="137" spans="1:27" ht="45" x14ac:dyDescent="0.25">
      <c r="A137" s="691">
        <v>28</v>
      </c>
      <c r="B137" s="691" t="str">
        <f>[99]Source!E255</f>
        <v>52,1</v>
      </c>
      <c r="C137" s="692" t="str">
        <f>[99]Source!F255</f>
        <v>1.12-7-187</v>
      </c>
      <c r="D137" s="692" t="s">
        <v>542</v>
      </c>
      <c r="E137" s="693" t="str">
        <f>[99]Source!H255</f>
        <v>м</v>
      </c>
      <c r="F137" s="694">
        <f>[99]Source!I255</f>
        <v>25.72</v>
      </c>
      <c r="G137" s="695">
        <f>[99]Source!AK255</f>
        <v>7.73</v>
      </c>
      <c r="H137" s="734" t="s">
        <v>42</v>
      </c>
      <c r="I137" s="694">
        <f>[99]Source!AW255</f>
        <v>1.028</v>
      </c>
      <c r="J137" s="697">
        <f>ROUND((ROUND(([99]Source!AC255*[99]Source!AW255*[99]Source!I255),2)),2)+(ROUND((ROUND((([99]Source!ET255)*[99]Source!AV255*[99]Source!I255),2)),2)+ROUND((ROUND((([99]Source!AE255-([99]Source!EU255))*[99]Source!AV255*[99]Source!I255),2)),2))+ROUND((ROUND(([99]Source!AF255*[99]Source!AV255*[99]Source!I255),2)),2)</f>
        <v>204.38</v>
      </c>
      <c r="K137" s="694">
        <f>IF([99]Source!BC255&lt;&gt; 0, [99]Source!BC255, 1)</f>
        <v>13.82</v>
      </c>
      <c r="L137" s="697">
        <f>[99]Source!O255</f>
        <v>2824.53</v>
      </c>
      <c r="Q137" s="718">
        <f>ROUND(([99]Source!DN255/100)*ROUND((ROUND(([99]Source!AF255*[99]Source!AV255*[99]Source!I255),2)),2), 2)</f>
        <v>0</v>
      </c>
      <c r="R137" s="718">
        <f>[99]Source!X255</f>
        <v>0</v>
      </c>
      <c r="S137" s="718">
        <f>ROUND(([99]Source!DO255/100)*ROUND((ROUND(([99]Source!AF255*[99]Source!AV255*[99]Source!I255),2)),2), 2)</f>
        <v>0</v>
      </c>
      <c r="T137" s="718">
        <f>[99]Source!Y255</f>
        <v>0</v>
      </c>
      <c r="U137" s="718">
        <f>ROUND((175/100)*ROUND((ROUND(([99]Source!AE255*[99]Source!AV255*[99]Source!I255),2)),2), 2)</f>
        <v>0</v>
      </c>
      <c r="V137" s="718">
        <f>ROUND((157/100)*ROUND(ROUND((ROUND(([99]Source!AE255*[99]Source!AV255*[99]Source!I255),2)*[99]Source!BS255),2), 2), 2)</f>
        <v>0</v>
      </c>
      <c r="X137" s="718">
        <f>IF([99]Source!BI255&lt;=1,J137, 0)</f>
        <v>204.38</v>
      </c>
      <c r="Y137" s="718">
        <f>IF([99]Source!BI255=2,J137, 0)</f>
        <v>0</v>
      </c>
      <c r="Z137" s="718">
        <f>IF([99]Source!BI255=3,J137, 0)</f>
        <v>0</v>
      </c>
      <c r="AA137" s="718">
        <f>IF([99]Source!BI255=4,J137, 0)</f>
        <v>0</v>
      </c>
    </row>
    <row r="138" spans="1:27" ht="15" x14ac:dyDescent="0.25">
      <c r="A138" s="691"/>
      <c r="B138" s="691"/>
      <c r="C138" s="692"/>
      <c r="D138" s="692" t="s">
        <v>88</v>
      </c>
      <c r="E138" s="693" t="s">
        <v>89</v>
      </c>
      <c r="F138" s="694">
        <f>[99]Source!DN253</f>
        <v>79</v>
      </c>
      <c r="G138" s="695"/>
      <c r="H138" s="696"/>
      <c r="I138" s="694"/>
      <c r="J138" s="697">
        <f>SUM(Q133:Q137)</f>
        <v>309.2</v>
      </c>
      <c r="K138" s="694">
        <f>[99]Source!BZ253</f>
        <v>68</v>
      </c>
      <c r="L138" s="697">
        <f>SUM(R133:R137)</f>
        <v>6448.7</v>
      </c>
    </row>
    <row r="139" spans="1:27" ht="15" x14ac:dyDescent="0.25">
      <c r="A139" s="691"/>
      <c r="B139" s="691"/>
      <c r="C139" s="692"/>
      <c r="D139" s="692" t="s">
        <v>90</v>
      </c>
      <c r="E139" s="693" t="s">
        <v>89</v>
      </c>
      <c r="F139" s="694">
        <f>[99]Source!DO253</f>
        <v>70</v>
      </c>
      <c r="G139" s="695"/>
      <c r="H139" s="696"/>
      <c r="I139" s="694"/>
      <c r="J139" s="697">
        <f>SUM(S133:S138)</f>
        <v>273.97000000000003</v>
      </c>
      <c r="K139" s="694">
        <f>[99]Source!CA253</f>
        <v>43</v>
      </c>
      <c r="L139" s="697">
        <f>SUM(T133:T138)</f>
        <v>4077.85</v>
      </c>
    </row>
    <row r="140" spans="1:27" ht="15" x14ac:dyDescent="0.25">
      <c r="A140" s="691"/>
      <c r="B140" s="691"/>
      <c r="C140" s="692"/>
      <c r="D140" s="692" t="s">
        <v>92</v>
      </c>
      <c r="E140" s="693" t="s">
        <v>93</v>
      </c>
      <c r="F140" s="694">
        <f>[99]Source!AQ253</f>
        <v>0.7</v>
      </c>
      <c r="G140" s="695"/>
      <c r="H140" s="696" t="str">
        <f>[99]Source!DI253</f>
        <v/>
      </c>
      <c r="I140" s="694">
        <f>[99]Source!AV253</f>
        <v>1.0669999999999999</v>
      </c>
      <c r="J140" s="697">
        <f>[99]Source!U253</f>
        <v>19.21</v>
      </c>
      <c r="K140" s="694"/>
      <c r="L140" s="697"/>
    </row>
    <row r="141" spans="1:27" ht="14.25" x14ac:dyDescent="0.2">
      <c r="A141" s="737"/>
      <c r="B141" s="737"/>
      <c r="C141" s="737"/>
      <c r="D141" s="737"/>
      <c r="E141" s="737"/>
      <c r="F141" s="737"/>
      <c r="G141" s="737"/>
      <c r="H141" s="737"/>
      <c r="I141" s="1067">
        <f>J134+J135+J136+J138+J139+SUM(J137:J137)</f>
        <v>1580.37</v>
      </c>
      <c r="J141" s="1067"/>
      <c r="K141" s="1067">
        <f>L134+L135+L136+L138+L139+SUM(L137:L137)</f>
        <v>23848.35</v>
      </c>
      <c r="L141" s="1067"/>
      <c r="O141" s="736">
        <f>J134+J135+J136+J138+J139+SUM(J137:J137)</f>
        <v>1580.37</v>
      </c>
      <c r="P141" s="736">
        <f>L134+L135+L136+L138+L139+SUM(L137:L137)</f>
        <v>23848.35</v>
      </c>
      <c r="X141" s="718">
        <f>IF([99]Source!BI253&lt;=1,J134+J135+J136+J138+J139-0, 0)</f>
        <v>1375.99</v>
      </c>
      <c r="Y141" s="718">
        <f>IF([99]Source!BI253=2,J134+J135+J136+J138+J139-0, 0)</f>
        <v>0</v>
      </c>
      <c r="Z141" s="718">
        <f>IF([99]Source!BI253=3,J134+J135+J136+J138+J139-0, 0)</f>
        <v>0</v>
      </c>
      <c r="AA141" s="718">
        <f>IF([99]Source!BI253=4,J134+J135+J136+J138+J139,0)</f>
        <v>0</v>
      </c>
    </row>
    <row r="142" spans="1:27" ht="30" x14ac:dyDescent="0.25">
      <c r="A142" s="691">
        <v>29</v>
      </c>
      <c r="B142" s="691" t="str">
        <f>[99]Source!E257</f>
        <v>53</v>
      </c>
      <c r="C142" s="692" t="str">
        <f>[99]Source!F257</f>
        <v>3.29-1939-3</v>
      </c>
      <c r="D142" s="692" t="s">
        <v>543</v>
      </c>
      <c r="E142" s="693" t="str">
        <f>[99]Source!H257</f>
        <v>1 М</v>
      </c>
      <c r="F142" s="694">
        <f>[99]Source!I257</f>
        <v>124.44</v>
      </c>
      <c r="G142" s="695"/>
      <c r="H142" s="696"/>
      <c r="I142" s="694"/>
      <c r="J142" s="697"/>
      <c r="K142" s="694"/>
      <c r="L142" s="697"/>
      <c r="Q142" s="718">
        <f>ROUND(([99]Source!DN257/100)*ROUND((ROUND(([99]Source!AF257*[99]Source!AV257*[99]Source!I257),2)),2), 2)</f>
        <v>1601.09</v>
      </c>
      <c r="R142" s="718">
        <f>[99]Source!X257</f>
        <v>33392.559999999998</v>
      </c>
      <c r="S142" s="718">
        <f>ROUND(([99]Source!DO257/100)*ROUND((ROUND(([99]Source!AF257*[99]Source!AV257*[99]Source!I257),2)),2), 2)</f>
        <v>1418.68</v>
      </c>
      <c r="T142" s="718">
        <f>[99]Source!Y257</f>
        <v>21115.88</v>
      </c>
      <c r="U142" s="718">
        <f>ROUND((175/100)*ROUND((ROUND(([99]Source!AE257*[99]Source!AV257*[99]Source!I257),2)),2), 2)</f>
        <v>0</v>
      </c>
      <c r="V142" s="718">
        <f>ROUND((157/100)*ROUND(ROUND((ROUND(([99]Source!AE257*[99]Source!AV257*[99]Source!I257),2)*[99]Source!BS257),2), 2), 2)</f>
        <v>0</v>
      </c>
    </row>
    <row r="143" spans="1:27" ht="15" x14ac:dyDescent="0.25">
      <c r="A143" s="691"/>
      <c r="B143" s="691"/>
      <c r="C143" s="692"/>
      <c r="D143" s="692" t="s">
        <v>84</v>
      </c>
      <c r="E143" s="693"/>
      <c r="F143" s="694"/>
      <c r="G143" s="695">
        <f>[99]Source!AO257</f>
        <v>9.14</v>
      </c>
      <c r="H143" s="696" t="str">
        <f>[99]Source!DG257</f>
        <v>)*1,67</v>
      </c>
      <c r="I143" s="694">
        <f>[99]Source!AV257</f>
        <v>1.0669999999999999</v>
      </c>
      <c r="J143" s="697">
        <f>ROUND((ROUND(([99]Source!AF257*[99]Source!AV257*[99]Source!I257),2)),2)</f>
        <v>2026.69</v>
      </c>
      <c r="K143" s="694">
        <f>IF([99]Source!BA257&lt;&gt; 0, [99]Source!BA257, 1)</f>
        <v>24.23</v>
      </c>
      <c r="L143" s="697">
        <f>[99]Source!S257</f>
        <v>49106.7</v>
      </c>
      <c r="W143" s="718">
        <f>J143</f>
        <v>2026.69</v>
      </c>
    </row>
    <row r="144" spans="1:27" ht="15" x14ac:dyDescent="0.25">
      <c r="A144" s="691"/>
      <c r="B144" s="691"/>
      <c r="C144" s="692"/>
      <c r="D144" s="692" t="s">
        <v>85</v>
      </c>
      <c r="E144" s="693"/>
      <c r="F144" s="694"/>
      <c r="G144" s="695">
        <f>[99]Source!AM257</f>
        <v>0.09</v>
      </c>
      <c r="H144" s="696" t="str">
        <f>[99]Source!DE257</f>
        <v/>
      </c>
      <c r="I144" s="694">
        <f>[99]Source!AV257</f>
        <v>1.0669999999999999</v>
      </c>
      <c r="J144" s="697">
        <f>(ROUND((ROUND((([99]Source!ET257)*[99]Source!AV257*[99]Source!I257),2)),2)+ROUND((ROUND((([99]Source!AE257-([99]Source!EU257))*[99]Source!AV257*[99]Source!I257),2)),2))</f>
        <v>11.95</v>
      </c>
      <c r="K144" s="694">
        <f>IF([99]Source!BB257&lt;&gt; 0, [99]Source!BB257, 1)</f>
        <v>3.78</v>
      </c>
      <c r="L144" s="697">
        <f>[99]Source!Q257</f>
        <v>45.17</v>
      </c>
    </row>
    <row r="145" spans="1:27" ht="15" x14ac:dyDescent="0.25">
      <c r="A145" s="691"/>
      <c r="B145" s="691"/>
      <c r="C145" s="692"/>
      <c r="D145" s="692" t="s">
        <v>87</v>
      </c>
      <c r="E145" s="693"/>
      <c r="F145" s="694"/>
      <c r="G145" s="695">
        <f>[99]Source!AL257</f>
        <v>15.23</v>
      </c>
      <c r="H145" s="696" t="str">
        <f>[99]Source!DD257</f>
        <v/>
      </c>
      <c r="I145" s="694">
        <f>[99]Source!AW257</f>
        <v>1.028</v>
      </c>
      <c r="J145" s="697">
        <f>ROUND((ROUND(([99]Source!AC257*[99]Source!AW257*[99]Source!I257),2)),2)</f>
        <v>1948.29</v>
      </c>
      <c r="K145" s="694">
        <f>IF([99]Source!BC257&lt;&gt; 0, [99]Source!BC257, 1)</f>
        <v>2.56</v>
      </c>
      <c r="L145" s="697">
        <f>[99]Source!P257</f>
        <v>4987.62</v>
      </c>
    </row>
    <row r="146" spans="1:27" ht="45" x14ac:dyDescent="0.25">
      <c r="A146" s="691">
        <v>30</v>
      </c>
      <c r="B146" s="691" t="str">
        <f>[99]Source!E259</f>
        <v>53,1</v>
      </c>
      <c r="C146" s="692" t="str">
        <f>[99]Source!F259</f>
        <v>1.12-7-188</v>
      </c>
      <c r="D146" s="692" t="s">
        <v>544</v>
      </c>
      <c r="E146" s="693" t="str">
        <f>[99]Source!H259</f>
        <v>м</v>
      </c>
      <c r="F146" s="694">
        <f>[99]Source!I259</f>
        <v>124.44</v>
      </c>
      <c r="G146" s="695">
        <f>[99]Source!AK259</f>
        <v>10.28</v>
      </c>
      <c r="H146" s="734" t="s">
        <v>42</v>
      </c>
      <c r="I146" s="694">
        <f>[99]Source!AW259</f>
        <v>1.028</v>
      </c>
      <c r="J146" s="697">
        <f>ROUND((ROUND(([99]Source!AC259*[99]Source!AW259*[99]Source!I259),2)),2)+(ROUND((ROUND((([99]Source!ET259)*[99]Source!AV259*[99]Source!I259),2)),2)+ROUND((ROUND((([99]Source!AE259-([99]Source!EU259))*[99]Source!AV259*[99]Source!I259),2)),2))+ROUND((ROUND(([99]Source!AF259*[99]Source!AV259*[99]Source!I259),2)),2)</f>
        <v>1315.06</v>
      </c>
      <c r="K146" s="694">
        <f>IF([99]Source!BC259&lt;&gt; 0, [99]Source!BC259, 1)</f>
        <v>14.12</v>
      </c>
      <c r="L146" s="697">
        <f>[99]Source!O259</f>
        <v>18568.650000000001</v>
      </c>
      <c r="Q146" s="718">
        <f>ROUND(([99]Source!DN259/100)*ROUND((ROUND(([99]Source!AF259*[99]Source!AV259*[99]Source!I259),2)),2), 2)</f>
        <v>0</v>
      </c>
      <c r="R146" s="718">
        <f>[99]Source!X259</f>
        <v>0</v>
      </c>
      <c r="S146" s="718">
        <f>ROUND(([99]Source!DO259/100)*ROUND((ROUND(([99]Source!AF259*[99]Source!AV259*[99]Source!I259),2)),2), 2)</f>
        <v>0</v>
      </c>
      <c r="T146" s="718">
        <f>[99]Source!Y259</f>
        <v>0</v>
      </c>
      <c r="U146" s="718">
        <f>ROUND((175/100)*ROUND((ROUND(([99]Source!AE259*[99]Source!AV259*[99]Source!I259),2)),2), 2)</f>
        <v>0</v>
      </c>
      <c r="V146" s="718">
        <f>ROUND((157/100)*ROUND(ROUND((ROUND(([99]Source!AE259*[99]Source!AV259*[99]Source!I259),2)*[99]Source!BS259),2), 2), 2)</f>
        <v>0</v>
      </c>
      <c r="X146" s="718">
        <f>IF([99]Source!BI259&lt;=1,J146, 0)</f>
        <v>1315.06</v>
      </c>
      <c r="Y146" s="718">
        <f>IF([99]Source!BI259=2,J146, 0)</f>
        <v>0</v>
      </c>
      <c r="Z146" s="718">
        <f>IF([99]Source!BI259=3,J146, 0)</f>
        <v>0</v>
      </c>
      <c r="AA146" s="718">
        <f>IF([99]Source!BI259=4,J146, 0)</f>
        <v>0</v>
      </c>
    </row>
    <row r="147" spans="1:27" ht="15" x14ac:dyDescent="0.25">
      <c r="A147" s="691"/>
      <c r="B147" s="691"/>
      <c r="C147" s="692"/>
      <c r="D147" s="692" t="s">
        <v>88</v>
      </c>
      <c r="E147" s="693" t="s">
        <v>89</v>
      </c>
      <c r="F147" s="694">
        <f>[99]Source!DN257</f>
        <v>79</v>
      </c>
      <c r="G147" s="695"/>
      <c r="H147" s="696"/>
      <c r="I147" s="694"/>
      <c r="J147" s="697">
        <f>SUM(Q142:Q146)</f>
        <v>1601.09</v>
      </c>
      <c r="K147" s="694">
        <f>[99]Source!BZ257</f>
        <v>68</v>
      </c>
      <c r="L147" s="697">
        <f>SUM(R142:R146)</f>
        <v>33392.559999999998</v>
      </c>
    </row>
    <row r="148" spans="1:27" ht="15" x14ac:dyDescent="0.25">
      <c r="A148" s="691"/>
      <c r="B148" s="691"/>
      <c r="C148" s="692"/>
      <c r="D148" s="692" t="s">
        <v>90</v>
      </c>
      <c r="E148" s="693" t="s">
        <v>89</v>
      </c>
      <c r="F148" s="694">
        <f>[99]Source!DO257</f>
        <v>70</v>
      </c>
      <c r="G148" s="695"/>
      <c r="H148" s="696"/>
      <c r="I148" s="694"/>
      <c r="J148" s="697">
        <f>SUM(S142:S147)</f>
        <v>1418.68</v>
      </c>
      <c r="K148" s="694">
        <f>[99]Source!CA257</f>
        <v>43</v>
      </c>
      <c r="L148" s="697">
        <f>SUM(T142:T147)</f>
        <v>21115.88</v>
      </c>
    </row>
    <row r="149" spans="1:27" ht="15" x14ac:dyDescent="0.25">
      <c r="A149" s="691"/>
      <c r="B149" s="691"/>
      <c r="C149" s="692"/>
      <c r="D149" s="692" t="s">
        <v>92</v>
      </c>
      <c r="E149" s="693" t="s">
        <v>93</v>
      </c>
      <c r="F149" s="694">
        <f>[99]Source!AQ257</f>
        <v>0.75</v>
      </c>
      <c r="G149" s="695"/>
      <c r="H149" s="696" t="str">
        <f>[99]Source!DI257</f>
        <v/>
      </c>
      <c r="I149" s="694">
        <f>[99]Source!AV257</f>
        <v>1.0669999999999999</v>
      </c>
      <c r="J149" s="697">
        <f>[99]Source!U257</f>
        <v>99.58</v>
      </c>
      <c r="K149" s="694"/>
      <c r="L149" s="697"/>
    </row>
    <row r="150" spans="1:27" ht="14.25" x14ac:dyDescent="0.2">
      <c r="A150" s="737"/>
      <c r="B150" s="737"/>
      <c r="C150" s="737"/>
      <c r="D150" s="737"/>
      <c r="E150" s="737"/>
      <c r="F150" s="737"/>
      <c r="G150" s="737"/>
      <c r="H150" s="737"/>
      <c r="I150" s="1067">
        <f>J143+J144+J145+J147+J148+SUM(J146:J146)</f>
        <v>8321.76</v>
      </c>
      <c r="J150" s="1067"/>
      <c r="K150" s="1067">
        <f>L143+L144+L145+L147+L148+SUM(L146:L146)</f>
        <v>127216.58</v>
      </c>
      <c r="L150" s="1067"/>
      <c r="O150" s="736">
        <f>J143+J144+J145+J147+J148+SUM(J146:J146)</f>
        <v>8321.76</v>
      </c>
      <c r="P150" s="736">
        <f>L143+L144+L145+L147+L148+SUM(L146:L146)</f>
        <v>127216.58</v>
      </c>
      <c r="X150" s="718">
        <f>IF([99]Source!BI257&lt;=1,J143+J144+J145+J147+J148-0, 0)</f>
        <v>7006.7</v>
      </c>
      <c r="Y150" s="718">
        <f>IF([99]Source!BI257=2,J143+J144+J145+J147+J148-0, 0)</f>
        <v>0</v>
      </c>
      <c r="Z150" s="718">
        <f>IF([99]Source!BI257=3,J143+J144+J145+J147+J148-0, 0)</f>
        <v>0</v>
      </c>
      <c r="AA150" s="718">
        <f>IF([99]Source!BI257=4,J143+J144+J145+J147+J148,0)</f>
        <v>0</v>
      </c>
    </row>
    <row r="151" spans="1:27" ht="30" x14ac:dyDescent="0.25">
      <c r="A151" s="691">
        <v>31</v>
      </c>
      <c r="B151" s="691" t="str">
        <f>[99]Source!E261</f>
        <v>54</v>
      </c>
      <c r="C151" s="692" t="str">
        <f>[99]Source!F261</f>
        <v>3.29-1939-4</v>
      </c>
      <c r="D151" s="692" t="s">
        <v>545</v>
      </c>
      <c r="E151" s="693" t="str">
        <f>[99]Source!H261</f>
        <v>1 М</v>
      </c>
      <c r="F151" s="694">
        <f>[99]Source!I261</f>
        <v>25.72</v>
      </c>
      <c r="G151" s="695"/>
      <c r="H151" s="696"/>
      <c r="I151" s="694"/>
      <c r="J151" s="697"/>
      <c r="K151" s="694"/>
      <c r="L151" s="697"/>
      <c r="Q151" s="718">
        <f>ROUND(([99]Source!DN261/100)*ROUND((ROUND(([99]Source!AF261*[99]Source!AV261*[99]Source!I261),2)),2), 2)</f>
        <v>322.60000000000002</v>
      </c>
      <c r="R151" s="718">
        <f>[99]Source!X261</f>
        <v>6728.14</v>
      </c>
      <c r="S151" s="718">
        <f>ROUND(([99]Source!DO261/100)*ROUND((ROUND(([99]Source!AF261*[99]Source!AV261*[99]Source!I261),2)),2), 2)</f>
        <v>285.85000000000002</v>
      </c>
      <c r="T151" s="718">
        <f>[99]Source!Y261</f>
        <v>4254.5600000000004</v>
      </c>
      <c r="U151" s="718">
        <f>ROUND((175/100)*ROUND((ROUND(([99]Source!AE261*[99]Source!AV261*[99]Source!I261),2)),2), 2)</f>
        <v>0</v>
      </c>
      <c r="V151" s="718">
        <f>ROUND((157/100)*ROUND(ROUND((ROUND(([99]Source!AE261*[99]Source!AV261*[99]Source!I261),2)*[99]Source!BS261),2), 2), 2)</f>
        <v>0</v>
      </c>
    </row>
    <row r="152" spans="1:27" ht="15" x14ac:dyDescent="0.25">
      <c r="A152" s="691"/>
      <c r="B152" s="691"/>
      <c r="C152" s="692"/>
      <c r="D152" s="692" t="s">
        <v>84</v>
      </c>
      <c r="E152" s="693"/>
      <c r="F152" s="694"/>
      <c r="G152" s="695">
        <f>[99]Source!AO261</f>
        <v>8.91</v>
      </c>
      <c r="H152" s="696" t="str">
        <f>[99]Source!DG261</f>
        <v>)*1,67</v>
      </c>
      <c r="I152" s="694">
        <f>[99]Source!AV261</f>
        <v>1.0669999999999999</v>
      </c>
      <c r="J152" s="697">
        <f>ROUND((ROUND(([99]Source!AF261*[99]Source!AV261*[99]Source!I261),2)),2)</f>
        <v>408.35</v>
      </c>
      <c r="K152" s="694">
        <f>IF([99]Source!BA261&lt;&gt; 0, [99]Source!BA261, 1)</f>
        <v>24.23</v>
      </c>
      <c r="L152" s="697">
        <f>[99]Source!S261</f>
        <v>9894.32</v>
      </c>
      <c r="W152" s="718">
        <f>J152</f>
        <v>408.35</v>
      </c>
    </row>
    <row r="153" spans="1:27" ht="15" x14ac:dyDescent="0.25">
      <c r="A153" s="691"/>
      <c r="B153" s="691"/>
      <c r="C153" s="692"/>
      <c r="D153" s="692" t="s">
        <v>85</v>
      </c>
      <c r="E153" s="693"/>
      <c r="F153" s="694"/>
      <c r="G153" s="695">
        <f>[99]Source!AM261</f>
        <v>7.0000000000000007E-2</v>
      </c>
      <c r="H153" s="696" t="str">
        <f>[99]Source!DE261</f>
        <v/>
      </c>
      <c r="I153" s="694">
        <f>[99]Source!AV261</f>
        <v>1.0669999999999999</v>
      </c>
      <c r="J153" s="697">
        <f>(ROUND((ROUND((([99]Source!ET261)*[99]Source!AV261*[99]Source!I261),2)),2)+ROUND((ROUND((([99]Source!AE261-([99]Source!EU261))*[99]Source!AV261*[99]Source!I261),2)),2))</f>
        <v>1.92</v>
      </c>
      <c r="K153" s="694">
        <f>IF([99]Source!BB261&lt;&gt; 0, [99]Source!BB261, 1)</f>
        <v>3.71</v>
      </c>
      <c r="L153" s="697">
        <f>[99]Source!Q261</f>
        <v>7.12</v>
      </c>
    </row>
    <row r="154" spans="1:27" ht="15" x14ac:dyDescent="0.25">
      <c r="A154" s="691"/>
      <c r="B154" s="691"/>
      <c r="C154" s="692"/>
      <c r="D154" s="692" t="s">
        <v>87</v>
      </c>
      <c r="E154" s="693"/>
      <c r="F154" s="694"/>
      <c r="G154" s="695">
        <f>[99]Source!AL261</f>
        <v>15.33</v>
      </c>
      <c r="H154" s="696" t="str">
        <f>[99]Source!DD261</f>
        <v/>
      </c>
      <c r="I154" s="694">
        <f>[99]Source!AW261</f>
        <v>1.028</v>
      </c>
      <c r="J154" s="697">
        <f>ROUND((ROUND(([99]Source!AC261*[99]Source!AW261*[99]Source!I261),2)),2)</f>
        <v>405.33</v>
      </c>
      <c r="K154" s="694">
        <f>IF([99]Source!BC261&lt;&gt; 0, [99]Source!BC261, 1)</f>
        <v>2.5299999999999998</v>
      </c>
      <c r="L154" s="697">
        <f>[99]Source!P261</f>
        <v>1025.48</v>
      </c>
    </row>
    <row r="155" spans="1:27" ht="45" x14ac:dyDescent="0.25">
      <c r="A155" s="691">
        <v>32</v>
      </c>
      <c r="B155" s="691" t="str">
        <f>[99]Source!E263</f>
        <v>54,1</v>
      </c>
      <c r="C155" s="692" t="str">
        <f>[99]Source!F263</f>
        <v>1.12-7-192</v>
      </c>
      <c r="D155" s="692" t="s">
        <v>546</v>
      </c>
      <c r="E155" s="693" t="str">
        <f>[99]Source!H263</f>
        <v>м</v>
      </c>
      <c r="F155" s="694">
        <f>[99]Source!I263</f>
        <v>25.72</v>
      </c>
      <c r="G155" s="695">
        <f>[99]Source!AK263</f>
        <v>15.1</v>
      </c>
      <c r="H155" s="734" t="s">
        <v>42</v>
      </c>
      <c r="I155" s="694">
        <f>[99]Source!AW263</f>
        <v>1.028</v>
      </c>
      <c r="J155" s="697">
        <f>ROUND((ROUND(([99]Source!AC263*[99]Source!AW263*[99]Source!I263),2)),2)+(ROUND((ROUND((([99]Source!ET263)*[99]Source!AV263*[99]Source!I263),2)),2)+ROUND((ROUND((([99]Source!AE263-([99]Source!EU263))*[99]Source!AV263*[99]Source!I263),2)),2))+ROUND((ROUND(([99]Source!AF263*[99]Source!AV263*[99]Source!I263),2)),2)</f>
        <v>399.25</v>
      </c>
      <c r="K155" s="694">
        <f>IF([99]Source!BC263&lt;&gt; 0, [99]Source!BC263, 1)</f>
        <v>15.9</v>
      </c>
      <c r="L155" s="697">
        <f>[99]Source!O263</f>
        <v>6348.08</v>
      </c>
      <c r="Q155" s="718">
        <f>ROUND(([99]Source!DN263/100)*ROUND((ROUND(([99]Source!AF263*[99]Source!AV263*[99]Source!I263),2)),2), 2)</f>
        <v>0</v>
      </c>
      <c r="R155" s="718">
        <f>[99]Source!X263</f>
        <v>0</v>
      </c>
      <c r="S155" s="718">
        <f>ROUND(([99]Source!DO263/100)*ROUND((ROUND(([99]Source!AF263*[99]Source!AV263*[99]Source!I263),2)),2), 2)</f>
        <v>0</v>
      </c>
      <c r="T155" s="718">
        <f>[99]Source!Y263</f>
        <v>0</v>
      </c>
      <c r="U155" s="718">
        <f>ROUND((175/100)*ROUND((ROUND(([99]Source!AE263*[99]Source!AV263*[99]Source!I263),2)),2), 2)</f>
        <v>0</v>
      </c>
      <c r="V155" s="718">
        <f>ROUND((157/100)*ROUND(ROUND((ROUND(([99]Source!AE263*[99]Source!AV263*[99]Source!I263),2)*[99]Source!BS263),2), 2), 2)</f>
        <v>0</v>
      </c>
      <c r="X155" s="718">
        <f>IF([99]Source!BI263&lt;=1,J155, 0)</f>
        <v>399.25</v>
      </c>
      <c r="Y155" s="718">
        <f>IF([99]Source!BI263=2,J155, 0)</f>
        <v>0</v>
      </c>
      <c r="Z155" s="718">
        <f>IF([99]Source!BI263=3,J155, 0)</f>
        <v>0</v>
      </c>
      <c r="AA155" s="718">
        <f>IF([99]Source!BI263=4,J155, 0)</f>
        <v>0</v>
      </c>
    </row>
    <row r="156" spans="1:27" ht="15" x14ac:dyDescent="0.25">
      <c r="A156" s="691"/>
      <c r="B156" s="691"/>
      <c r="C156" s="692"/>
      <c r="D156" s="692" t="s">
        <v>88</v>
      </c>
      <c r="E156" s="693" t="s">
        <v>89</v>
      </c>
      <c r="F156" s="694">
        <f>[99]Source!DN261</f>
        <v>79</v>
      </c>
      <c r="G156" s="695"/>
      <c r="H156" s="696"/>
      <c r="I156" s="694"/>
      <c r="J156" s="697">
        <f>SUM(Q151:Q155)</f>
        <v>322.60000000000002</v>
      </c>
      <c r="K156" s="694">
        <f>[99]Source!BZ261</f>
        <v>68</v>
      </c>
      <c r="L156" s="697">
        <f>SUM(R151:R155)</f>
        <v>6728.14</v>
      </c>
    </row>
    <row r="157" spans="1:27" ht="15" x14ac:dyDescent="0.25">
      <c r="A157" s="691"/>
      <c r="B157" s="691"/>
      <c r="C157" s="692"/>
      <c r="D157" s="692" t="s">
        <v>90</v>
      </c>
      <c r="E157" s="693" t="s">
        <v>89</v>
      </c>
      <c r="F157" s="694">
        <f>[99]Source!DO261</f>
        <v>70</v>
      </c>
      <c r="G157" s="695"/>
      <c r="H157" s="696"/>
      <c r="I157" s="694"/>
      <c r="J157" s="697">
        <f>SUM(S151:S156)</f>
        <v>285.85000000000002</v>
      </c>
      <c r="K157" s="694">
        <f>[99]Source!CA261</f>
        <v>43</v>
      </c>
      <c r="L157" s="697">
        <f>SUM(T151:T156)</f>
        <v>4254.5600000000004</v>
      </c>
    </row>
    <row r="158" spans="1:27" ht="15" x14ac:dyDescent="0.25">
      <c r="A158" s="691"/>
      <c r="B158" s="691"/>
      <c r="C158" s="692"/>
      <c r="D158" s="692" t="s">
        <v>92</v>
      </c>
      <c r="E158" s="693" t="s">
        <v>93</v>
      </c>
      <c r="F158" s="694">
        <f>[99]Source!AQ261</f>
        <v>0.73</v>
      </c>
      <c r="G158" s="695"/>
      <c r="H158" s="696" t="str">
        <f>[99]Source!DI261</f>
        <v/>
      </c>
      <c r="I158" s="694">
        <f>[99]Source!AV261</f>
        <v>1.0669999999999999</v>
      </c>
      <c r="J158" s="697">
        <f>[99]Source!U261</f>
        <v>20.03</v>
      </c>
      <c r="K158" s="694"/>
      <c r="L158" s="697"/>
    </row>
    <row r="159" spans="1:27" ht="14.25" x14ac:dyDescent="0.2">
      <c r="A159" s="737"/>
      <c r="B159" s="737"/>
      <c r="C159" s="737"/>
      <c r="D159" s="737"/>
      <c r="E159" s="737"/>
      <c r="F159" s="737"/>
      <c r="G159" s="737"/>
      <c r="H159" s="737"/>
      <c r="I159" s="1067">
        <f>J152+J153+J154+J156+J157+SUM(J155:J155)</f>
        <v>1823.3</v>
      </c>
      <c r="J159" s="1067"/>
      <c r="K159" s="1067">
        <f>L152+L153+L154+L156+L157+SUM(L155:L155)</f>
        <v>28257.7</v>
      </c>
      <c r="L159" s="1067"/>
      <c r="O159" s="736">
        <f>J152+J153+J154+J156+J157+SUM(J155:J155)</f>
        <v>1823.3</v>
      </c>
      <c r="P159" s="736">
        <f>L152+L153+L154+L156+L157+SUM(L155:L155)</f>
        <v>28257.7</v>
      </c>
      <c r="X159" s="718">
        <f>IF([99]Source!BI261&lt;=1,J152+J153+J154+J156+J157-0, 0)</f>
        <v>1424.05</v>
      </c>
      <c r="Y159" s="718">
        <f>IF([99]Source!BI261=2,J152+J153+J154+J156+J157-0, 0)</f>
        <v>0</v>
      </c>
      <c r="Z159" s="718">
        <f>IF([99]Source!BI261=3,J152+J153+J154+J156+J157-0, 0)</f>
        <v>0</v>
      </c>
      <c r="AA159" s="718">
        <f>IF([99]Source!BI261=4,J152+J153+J154+J156+J157,0)</f>
        <v>0</v>
      </c>
    </row>
    <row r="160" spans="1:27" ht="30" x14ac:dyDescent="0.25">
      <c r="A160" s="691">
        <v>33</v>
      </c>
      <c r="B160" s="691" t="str">
        <f>[99]Source!E265</f>
        <v>55</v>
      </c>
      <c r="C160" s="692" t="str">
        <f>[99]Source!F265</f>
        <v>3.29-1939-5</v>
      </c>
      <c r="D160" s="692" t="s">
        <v>547</v>
      </c>
      <c r="E160" s="693" t="str">
        <f>[99]Source!H265</f>
        <v>1 М</v>
      </c>
      <c r="F160" s="694">
        <f>[99]Source!I265</f>
        <v>42</v>
      </c>
      <c r="G160" s="695"/>
      <c r="H160" s="696"/>
      <c r="I160" s="694"/>
      <c r="J160" s="697"/>
      <c r="K160" s="694"/>
      <c r="L160" s="697"/>
      <c r="Q160" s="718">
        <f>ROUND(([99]Source!DN265/100)*ROUND((ROUND(([99]Source!AF265*[99]Source!AV265*[99]Source!I265),2)),2), 2)</f>
        <v>588.87</v>
      </c>
      <c r="R160" s="718">
        <f>[99]Source!X265</f>
        <v>12281.51</v>
      </c>
      <c r="S160" s="718">
        <f>ROUND(([99]Source!DO265/100)*ROUND((ROUND(([99]Source!AF265*[99]Source!AV265*[99]Source!I265),2)),2), 2)</f>
        <v>521.78</v>
      </c>
      <c r="T160" s="718">
        <f>[99]Source!Y265</f>
        <v>7766.25</v>
      </c>
      <c r="U160" s="718">
        <f>ROUND((175/100)*ROUND((ROUND(([99]Source!AE265*[99]Source!AV265*[99]Source!I265),2)),2), 2)</f>
        <v>0</v>
      </c>
      <c r="V160" s="718">
        <f>ROUND((157/100)*ROUND(ROUND((ROUND(([99]Source!AE265*[99]Source!AV265*[99]Source!I265),2)*[99]Source!BS265),2), 2), 2)</f>
        <v>0</v>
      </c>
    </row>
    <row r="161" spans="1:27" ht="15" x14ac:dyDescent="0.25">
      <c r="A161" s="691"/>
      <c r="B161" s="691"/>
      <c r="C161" s="692"/>
      <c r="D161" s="692" t="s">
        <v>84</v>
      </c>
      <c r="E161" s="693"/>
      <c r="F161" s="694"/>
      <c r="G161" s="695">
        <f>[99]Source!AO265</f>
        <v>9.9600000000000009</v>
      </c>
      <c r="H161" s="696" t="str">
        <f>[99]Source!DG265</f>
        <v>)*1,67</v>
      </c>
      <c r="I161" s="694">
        <f>[99]Source!AV265</f>
        <v>1.0669999999999999</v>
      </c>
      <c r="J161" s="697">
        <f>ROUND((ROUND(([99]Source!AF265*[99]Source!AV265*[99]Source!I265),2)),2)</f>
        <v>745.4</v>
      </c>
      <c r="K161" s="694">
        <f>IF([99]Source!BA265&lt;&gt; 0, [99]Source!BA265, 1)</f>
        <v>24.23</v>
      </c>
      <c r="L161" s="697">
        <f>[99]Source!S265</f>
        <v>18061.04</v>
      </c>
      <c r="W161" s="718">
        <f>J161</f>
        <v>745.4</v>
      </c>
    </row>
    <row r="162" spans="1:27" ht="15" x14ac:dyDescent="0.25">
      <c r="A162" s="691"/>
      <c r="B162" s="691"/>
      <c r="C162" s="692"/>
      <c r="D162" s="692" t="s">
        <v>85</v>
      </c>
      <c r="E162" s="693"/>
      <c r="F162" s="694"/>
      <c r="G162" s="695">
        <f>[99]Source!AM265</f>
        <v>0.12</v>
      </c>
      <c r="H162" s="696" t="str">
        <f>[99]Source!DE265</f>
        <v/>
      </c>
      <c r="I162" s="694">
        <f>[99]Source!AV265</f>
        <v>1.0669999999999999</v>
      </c>
      <c r="J162" s="697">
        <f>(ROUND((ROUND((([99]Source!ET265)*[99]Source!AV265*[99]Source!I265),2)),2)+ROUND((ROUND((([99]Source!AE265-([99]Source!EU265))*[99]Source!AV265*[99]Source!I265),2)),2))</f>
        <v>5.38</v>
      </c>
      <c r="K162" s="694">
        <f>IF([99]Source!BB265&lt;&gt; 0, [99]Source!BB265, 1)</f>
        <v>3.58</v>
      </c>
      <c r="L162" s="697">
        <f>[99]Source!Q265</f>
        <v>19.260000000000002</v>
      </c>
    </row>
    <row r="163" spans="1:27" ht="15" x14ac:dyDescent="0.25">
      <c r="A163" s="691"/>
      <c r="B163" s="691"/>
      <c r="C163" s="692"/>
      <c r="D163" s="692" t="s">
        <v>87</v>
      </c>
      <c r="E163" s="693"/>
      <c r="F163" s="694"/>
      <c r="G163" s="695">
        <f>[99]Source!AL265</f>
        <v>14.55</v>
      </c>
      <c r="H163" s="696" t="str">
        <f>[99]Source!DD265</f>
        <v/>
      </c>
      <c r="I163" s="694">
        <f>[99]Source!AW265</f>
        <v>1.028</v>
      </c>
      <c r="J163" s="697">
        <f>ROUND((ROUND(([99]Source!AC265*[99]Source!AW265*[99]Source!I265),2)),2)</f>
        <v>628.21</v>
      </c>
      <c r="K163" s="694">
        <f>IF([99]Source!BC265&lt;&gt; 0, [99]Source!BC265, 1)</f>
        <v>2.5499999999999998</v>
      </c>
      <c r="L163" s="697">
        <f>[99]Source!P265</f>
        <v>1601.94</v>
      </c>
    </row>
    <row r="164" spans="1:27" ht="45" x14ac:dyDescent="0.25">
      <c r="A164" s="691">
        <v>34</v>
      </c>
      <c r="B164" s="691" t="str">
        <f>[99]Source!E267</f>
        <v>55,1</v>
      </c>
      <c r="C164" s="692" t="str">
        <f>[99]Source!F267</f>
        <v>1.12-7-189</v>
      </c>
      <c r="D164" s="692" t="s">
        <v>548</v>
      </c>
      <c r="E164" s="693" t="str">
        <f>[99]Source!H267</f>
        <v>м</v>
      </c>
      <c r="F164" s="694">
        <f>[99]Source!I267</f>
        <v>42</v>
      </c>
      <c r="G164" s="695">
        <f>[99]Source!AK267</f>
        <v>17.55</v>
      </c>
      <c r="H164" s="734" t="s">
        <v>42</v>
      </c>
      <c r="I164" s="694">
        <f>[99]Source!AW267</f>
        <v>1.028</v>
      </c>
      <c r="J164" s="697">
        <f>ROUND((ROUND(([99]Source!AC267*[99]Source!AW267*[99]Source!I267),2)),2)+(ROUND((ROUND((([99]Source!ET267)*[99]Source!AV267*[99]Source!I267),2)),2)+ROUND((ROUND((([99]Source!AE267-([99]Source!EU267))*[99]Source!AV267*[99]Source!I267),2)),2))+ROUND((ROUND(([99]Source!AF267*[99]Source!AV267*[99]Source!I267),2)),2)</f>
        <v>757.74</v>
      </c>
      <c r="K164" s="694">
        <f>IF([99]Source!BC267&lt;&gt; 0, [99]Source!BC267, 1)</f>
        <v>15.02</v>
      </c>
      <c r="L164" s="697">
        <f>[99]Source!O267</f>
        <v>11381.25</v>
      </c>
      <c r="Q164" s="718">
        <f>ROUND(([99]Source!DN267/100)*ROUND((ROUND(([99]Source!AF267*[99]Source!AV267*[99]Source!I267),2)),2), 2)</f>
        <v>0</v>
      </c>
      <c r="R164" s="718">
        <f>[99]Source!X267</f>
        <v>0</v>
      </c>
      <c r="S164" s="718">
        <f>ROUND(([99]Source!DO267/100)*ROUND((ROUND(([99]Source!AF267*[99]Source!AV267*[99]Source!I267),2)),2), 2)</f>
        <v>0</v>
      </c>
      <c r="T164" s="718">
        <f>[99]Source!Y267</f>
        <v>0</v>
      </c>
      <c r="U164" s="718">
        <f>ROUND((175/100)*ROUND((ROUND(([99]Source!AE267*[99]Source!AV267*[99]Source!I267),2)),2), 2)</f>
        <v>0</v>
      </c>
      <c r="V164" s="718">
        <f>ROUND((157/100)*ROUND(ROUND((ROUND(([99]Source!AE267*[99]Source!AV267*[99]Source!I267),2)*[99]Source!BS267),2), 2), 2)</f>
        <v>0</v>
      </c>
      <c r="X164" s="718">
        <f>IF([99]Source!BI267&lt;=1,J164, 0)</f>
        <v>757.74</v>
      </c>
      <c r="Y164" s="718">
        <f>IF([99]Source!BI267=2,J164, 0)</f>
        <v>0</v>
      </c>
      <c r="Z164" s="718">
        <f>IF([99]Source!BI267=3,J164, 0)</f>
        <v>0</v>
      </c>
      <c r="AA164" s="718">
        <f>IF([99]Source!BI267=4,J164, 0)</f>
        <v>0</v>
      </c>
    </row>
    <row r="165" spans="1:27" ht="15" x14ac:dyDescent="0.25">
      <c r="A165" s="691"/>
      <c r="B165" s="691"/>
      <c r="C165" s="692"/>
      <c r="D165" s="692" t="s">
        <v>88</v>
      </c>
      <c r="E165" s="693" t="s">
        <v>89</v>
      </c>
      <c r="F165" s="694">
        <f>[99]Source!DN265</f>
        <v>79</v>
      </c>
      <c r="G165" s="695"/>
      <c r="H165" s="696"/>
      <c r="I165" s="694"/>
      <c r="J165" s="697">
        <f>SUM(Q160:Q164)</f>
        <v>588.87</v>
      </c>
      <c r="K165" s="694">
        <f>[99]Source!BZ265</f>
        <v>68</v>
      </c>
      <c r="L165" s="697">
        <f>SUM(R160:R164)</f>
        <v>12281.51</v>
      </c>
    </row>
    <row r="166" spans="1:27" ht="15" x14ac:dyDescent="0.25">
      <c r="A166" s="691"/>
      <c r="B166" s="691"/>
      <c r="C166" s="692"/>
      <c r="D166" s="692" t="s">
        <v>90</v>
      </c>
      <c r="E166" s="693" t="s">
        <v>89</v>
      </c>
      <c r="F166" s="694">
        <f>[99]Source!DO265</f>
        <v>70</v>
      </c>
      <c r="G166" s="695"/>
      <c r="H166" s="696"/>
      <c r="I166" s="694"/>
      <c r="J166" s="697">
        <f>SUM(S160:S165)</f>
        <v>521.78</v>
      </c>
      <c r="K166" s="694">
        <f>[99]Source!CA265</f>
        <v>43</v>
      </c>
      <c r="L166" s="697">
        <f>SUM(T160:T165)</f>
        <v>7766.25</v>
      </c>
    </row>
    <row r="167" spans="1:27" ht="15" x14ac:dyDescent="0.25">
      <c r="A167" s="691"/>
      <c r="B167" s="691"/>
      <c r="C167" s="692"/>
      <c r="D167" s="692" t="s">
        <v>92</v>
      </c>
      <c r="E167" s="693" t="s">
        <v>93</v>
      </c>
      <c r="F167" s="694">
        <f>[99]Source!AQ265</f>
        <v>0.82</v>
      </c>
      <c r="G167" s="695"/>
      <c r="H167" s="696" t="str">
        <f>[99]Source!DI265</f>
        <v/>
      </c>
      <c r="I167" s="694">
        <f>[99]Source!AV265</f>
        <v>1.0669999999999999</v>
      </c>
      <c r="J167" s="697">
        <f>[99]Source!U265</f>
        <v>36.75</v>
      </c>
      <c r="K167" s="694"/>
      <c r="L167" s="697"/>
    </row>
    <row r="168" spans="1:27" ht="14.25" x14ac:dyDescent="0.2">
      <c r="A168" s="737"/>
      <c r="B168" s="737"/>
      <c r="C168" s="737"/>
      <c r="D168" s="737"/>
      <c r="E168" s="737"/>
      <c r="F168" s="737"/>
      <c r="G168" s="737"/>
      <c r="H168" s="737"/>
      <c r="I168" s="1067">
        <f>J161+J162+J163+J165+J166+SUM(J164:J164)</f>
        <v>3247.38</v>
      </c>
      <c r="J168" s="1067"/>
      <c r="K168" s="1067">
        <f>L161+L162+L163+L165+L166+SUM(L164:L164)</f>
        <v>51111.25</v>
      </c>
      <c r="L168" s="1067"/>
      <c r="O168" s="736">
        <f>J161+J162+J163+J165+J166+SUM(J164:J164)</f>
        <v>3247.38</v>
      </c>
      <c r="P168" s="736">
        <f>L161+L162+L163+L165+L166+SUM(L164:L164)</f>
        <v>51111.25</v>
      </c>
      <c r="X168" s="718">
        <f>IF([99]Source!BI265&lt;=1,J161+J162+J163+J165+J166-0, 0)</f>
        <v>2489.64</v>
      </c>
      <c r="Y168" s="718">
        <f>IF([99]Source!BI265=2,J161+J162+J163+J165+J166-0, 0)</f>
        <v>0</v>
      </c>
      <c r="Z168" s="718">
        <f>IF([99]Source!BI265=3,J161+J162+J163+J165+J166-0, 0)</f>
        <v>0</v>
      </c>
      <c r="AA168" s="718">
        <f>IF([99]Source!BI265=4,J161+J162+J163+J165+J166,0)</f>
        <v>0</v>
      </c>
    </row>
    <row r="169" spans="1:27" ht="30" x14ac:dyDescent="0.25">
      <c r="A169" s="691">
        <v>35</v>
      </c>
      <c r="B169" s="691" t="str">
        <f>[99]Source!E269</f>
        <v>56</v>
      </c>
      <c r="C169" s="692" t="str">
        <f>[99]Source!F269</f>
        <v>3.29-1939-6</v>
      </c>
      <c r="D169" s="692" t="s">
        <v>549</v>
      </c>
      <c r="E169" s="693" t="str">
        <f>[99]Source!H269</f>
        <v>1 М</v>
      </c>
      <c r="F169" s="694">
        <f>[99]Source!I269</f>
        <v>10</v>
      </c>
      <c r="G169" s="695"/>
      <c r="H169" s="696"/>
      <c r="I169" s="694"/>
      <c r="J169" s="697"/>
      <c r="K169" s="694"/>
      <c r="L169" s="697"/>
      <c r="Q169" s="718">
        <f>ROUND(([99]Source!DN269/100)*ROUND((ROUND(([99]Source!AF269*[99]Source!AV269*[99]Source!I269),2)),2), 2)</f>
        <v>128.53</v>
      </c>
      <c r="R169" s="718">
        <f>[99]Source!X269</f>
        <v>2680.55</v>
      </c>
      <c r="S169" s="718">
        <f>ROUND(([99]Source!DO269/100)*ROUND((ROUND(([99]Source!AF269*[99]Source!AV269*[99]Source!I269),2)),2), 2)</f>
        <v>113.88</v>
      </c>
      <c r="T169" s="718">
        <f>[99]Source!Y269</f>
        <v>1695.05</v>
      </c>
      <c r="U169" s="718">
        <f>ROUND((175/100)*ROUND((ROUND(([99]Source!AE269*[99]Source!AV269*[99]Source!I269),2)),2), 2)</f>
        <v>0</v>
      </c>
      <c r="V169" s="718">
        <f>ROUND((157/100)*ROUND(ROUND((ROUND(([99]Source!AE269*[99]Source!AV269*[99]Source!I269),2)*[99]Source!BS269),2), 2), 2)</f>
        <v>0</v>
      </c>
    </row>
    <row r="170" spans="1:27" ht="15" x14ac:dyDescent="0.25">
      <c r="A170" s="691"/>
      <c r="B170" s="691"/>
      <c r="C170" s="692"/>
      <c r="D170" s="692" t="s">
        <v>84</v>
      </c>
      <c r="E170" s="693"/>
      <c r="F170" s="694"/>
      <c r="G170" s="695">
        <f>[99]Source!AO269</f>
        <v>9.1300000000000008</v>
      </c>
      <c r="H170" s="696" t="str">
        <f>[99]Source!DG269</f>
        <v>)*1,67</v>
      </c>
      <c r="I170" s="694">
        <f>[99]Source!AV269</f>
        <v>1.0669999999999999</v>
      </c>
      <c r="J170" s="697">
        <f>ROUND((ROUND(([99]Source!AF269*[99]Source!AV269*[99]Source!I269),2)),2)</f>
        <v>162.69</v>
      </c>
      <c r="K170" s="694">
        <f>IF([99]Source!BA269&lt;&gt; 0, [99]Source!BA269, 1)</f>
        <v>24.23</v>
      </c>
      <c r="L170" s="697">
        <f>[99]Source!S269</f>
        <v>3941.98</v>
      </c>
      <c r="W170" s="718">
        <f>J170</f>
        <v>162.69</v>
      </c>
    </row>
    <row r="171" spans="1:27" ht="15" x14ac:dyDescent="0.25">
      <c r="A171" s="691"/>
      <c r="B171" s="691"/>
      <c r="C171" s="692"/>
      <c r="D171" s="692" t="s">
        <v>85</v>
      </c>
      <c r="E171" s="693"/>
      <c r="F171" s="694"/>
      <c r="G171" s="695">
        <f>[99]Source!AM269</f>
        <v>0.09</v>
      </c>
      <c r="H171" s="696" t="str">
        <f>[99]Source!DE269</f>
        <v/>
      </c>
      <c r="I171" s="694">
        <f>[99]Source!AV269</f>
        <v>1.0669999999999999</v>
      </c>
      <c r="J171" s="697">
        <f>(ROUND((ROUND((([99]Source!ET269)*[99]Source!AV269*[99]Source!I269),2)),2)+ROUND((ROUND((([99]Source!AE269-([99]Source!EU269))*[99]Source!AV269*[99]Source!I269),2)),2))</f>
        <v>0.96</v>
      </c>
      <c r="K171" s="694">
        <f>IF([99]Source!BB269&lt;&gt; 0, [99]Source!BB269, 1)</f>
        <v>3.78</v>
      </c>
      <c r="L171" s="697">
        <f>[99]Source!Q269</f>
        <v>3.63</v>
      </c>
    </row>
    <row r="172" spans="1:27" ht="15" x14ac:dyDescent="0.25">
      <c r="A172" s="691"/>
      <c r="B172" s="691"/>
      <c r="C172" s="692"/>
      <c r="D172" s="692" t="s">
        <v>87</v>
      </c>
      <c r="E172" s="693"/>
      <c r="F172" s="694"/>
      <c r="G172" s="695">
        <f>[99]Source!AL269</f>
        <v>15.04</v>
      </c>
      <c r="H172" s="696" t="str">
        <f>[99]Source!DD269</f>
        <v/>
      </c>
      <c r="I172" s="694">
        <f>[99]Source!AW269</f>
        <v>1.028</v>
      </c>
      <c r="J172" s="697">
        <f>ROUND((ROUND(([99]Source!AC269*[99]Source!AW269*[99]Source!I269),2)),2)</f>
        <v>154.61000000000001</v>
      </c>
      <c r="K172" s="694">
        <f>IF([99]Source!BC269&lt;&gt; 0, [99]Source!BC269, 1)</f>
        <v>2.59</v>
      </c>
      <c r="L172" s="697">
        <f>[99]Source!P269</f>
        <v>400.44</v>
      </c>
    </row>
    <row r="173" spans="1:27" ht="45" x14ac:dyDescent="0.25">
      <c r="A173" s="691">
        <v>36</v>
      </c>
      <c r="B173" s="691" t="str">
        <f>[99]Source!E271</f>
        <v>56,1</v>
      </c>
      <c r="C173" s="692" t="str">
        <f>[99]Source!F271</f>
        <v>1.12-7-190</v>
      </c>
      <c r="D173" s="692" t="s">
        <v>550</v>
      </c>
      <c r="E173" s="693" t="str">
        <f>[99]Source!H271</f>
        <v>м</v>
      </c>
      <c r="F173" s="694">
        <f>[99]Source!I271</f>
        <v>10</v>
      </c>
      <c r="G173" s="695">
        <f>[99]Source!AK271</f>
        <v>26.84</v>
      </c>
      <c r="H173" s="734" t="s">
        <v>42</v>
      </c>
      <c r="I173" s="694">
        <f>[99]Source!AW271</f>
        <v>1.028</v>
      </c>
      <c r="J173" s="697">
        <f>ROUND((ROUND(([99]Source!AC271*[99]Source!AW271*[99]Source!I271),2)),2)+(ROUND((ROUND((([99]Source!ET271)*[99]Source!AV271*[99]Source!I271),2)),2)+ROUND((ROUND((([99]Source!AE271-([99]Source!EU271))*[99]Source!AV271*[99]Source!I271),2)),2))+ROUND((ROUND(([99]Source!AF271*[99]Source!AV271*[99]Source!I271),2)),2)</f>
        <v>275.92</v>
      </c>
      <c r="K173" s="694">
        <f>IF([99]Source!BC271&lt;&gt; 0, [99]Source!BC271, 1)</f>
        <v>12.79</v>
      </c>
      <c r="L173" s="697">
        <f>[99]Source!O271</f>
        <v>3529.02</v>
      </c>
      <c r="Q173" s="718">
        <f>ROUND(([99]Source!DN271/100)*ROUND((ROUND(([99]Source!AF271*[99]Source!AV271*[99]Source!I271),2)),2), 2)</f>
        <v>0</v>
      </c>
      <c r="R173" s="718">
        <f>[99]Source!X271</f>
        <v>0</v>
      </c>
      <c r="S173" s="718">
        <f>ROUND(([99]Source!DO271/100)*ROUND((ROUND(([99]Source!AF271*[99]Source!AV271*[99]Source!I271),2)),2), 2)</f>
        <v>0</v>
      </c>
      <c r="T173" s="718">
        <f>[99]Source!Y271</f>
        <v>0</v>
      </c>
      <c r="U173" s="718">
        <f>ROUND((175/100)*ROUND((ROUND(([99]Source!AE271*[99]Source!AV271*[99]Source!I271),2)),2), 2)</f>
        <v>0</v>
      </c>
      <c r="V173" s="718">
        <f>ROUND((157/100)*ROUND(ROUND((ROUND(([99]Source!AE271*[99]Source!AV271*[99]Source!I271),2)*[99]Source!BS271),2), 2), 2)</f>
        <v>0</v>
      </c>
      <c r="X173" s="718">
        <f>IF([99]Source!BI271&lt;=1,J173, 0)</f>
        <v>275.92</v>
      </c>
      <c r="Y173" s="718">
        <f>IF([99]Source!BI271=2,J173, 0)</f>
        <v>0</v>
      </c>
      <c r="Z173" s="718">
        <f>IF([99]Source!BI271=3,J173, 0)</f>
        <v>0</v>
      </c>
      <c r="AA173" s="718">
        <f>IF([99]Source!BI271=4,J173, 0)</f>
        <v>0</v>
      </c>
    </row>
    <row r="174" spans="1:27" ht="15" x14ac:dyDescent="0.25">
      <c r="A174" s="691"/>
      <c r="B174" s="691"/>
      <c r="C174" s="692"/>
      <c r="D174" s="692" t="s">
        <v>88</v>
      </c>
      <c r="E174" s="693" t="s">
        <v>89</v>
      </c>
      <c r="F174" s="694">
        <f>[99]Source!DN269</f>
        <v>79</v>
      </c>
      <c r="G174" s="695"/>
      <c r="H174" s="696"/>
      <c r="I174" s="694"/>
      <c r="J174" s="697">
        <f>SUM(Q169:Q173)</f>
        <v>128.53</v>
      </c>
      <c r="K174" s="694">
        <f>[99]Source!BZ269</f>
        <v>68</v>
      </c>
      <c r="L174" s="697">
        <f>SUM(R169:R173)</f>
        <v>2680.55</v>
      </c>
    </row>
    <row r="175" spans="1:27" ht="15" x14ac:dyDescent="0.25">
      <c r="A175" s="691"/>
      <c r="B175" s="691"/>
      <c r="C175" s="692"/>
      <c r="D175" s="692" t="s">
        <v>90</v>
      </c>
      <c r="E175" s="693" t="s">
        <v>89</v>
      </c>
      <c r="F175" s="694">
        <f>[99]Source!DO269</f>
        <v>70</v>
      </c>
      <c r="G175" s="695"/>
      <c r="H175" s="696"/>
      <c r="I175" s="694"/>
      <c r="J175" s="697">
        <f>SUM(S169:S174)</f>
        <v>113.88</v>
      </c>
      <c r="K175" s="694">
        <f>[99]Source!CA269</f>
        <v>43</v>
      </c>
      <c r="L175" s="697">
        <f>SUM(T169:T174)</f>
        <v>1695.05</v>
      </c>
    </row>
    <row r="176" spans="1:27" ht="15" x14ac:dyDescent="0.25">
      <c r="A176" s="691"/>
      <c r="B176" s="691"/>
      <c r="C176" s="692"/>
      <c r="D176" s="692" t="s">
        <v>92</v>
      </c>
      <c r="E176" s="693" t="s">
        <v>93</v>
      </c>
      <c r="F176" s="694">
        <f>[99]Source!AQ269</f>
        <v>0.75</v>
      </c>
      <c r="G176" s="695"/>
      <c r="H176" s="696" t="str">
        <f>[99]Source!DI269</f>
        <v/>
      </c>
      <c r="I176" s="694">
        <f>[99]Source!AV269</f>
        <v>1.0669999999999999</v>
      </c>
      <c r="J176" s="697">
        <f>[99]Source!U269</f>
        <v>8</v>
      </c>
      <c r="K176" s="694"/>
      <c r="L176" s="697"/>
    </row>
    <row r="177" spans="1:27" ht="14.25" x14ac:dyDescent="0.2">
      <c r="A177" s="737"/>
      <c r="B177" s="737"/>
      <c r="C177" s="737"/>
      <c r="D177" s="737"/>
      <c r="E177" s="737"/>
      <c r="F177" s="737"/>
      <c r="G177" s="737"/>
      <c r="H177" s="737"/>
      <c r="I177" s="1067">
        <f>J170+J171+J172+J174+J175+SUM(J173:J173)</f>
        <v>836.59</v>
      </c>
      <c r="J177" s="1067"/>
      <c r="K177" s="1067">
        <f>L170+L171+L172+L174+L175+SUM(L173:L173)</f>
        <v>12250.67</v>
      </c>
      <c r="L177" s="1067"/>
      <c r="O177" s="736">
        <f>J170+J171+J172+J174+J175+SUM(J173:J173)</f>
        <v>836.59</v>
      </c>
      <c r="P177" s="736">
        <f>L170+L171+L172+L174+L175+SUM(L173:L173)</f>
        <v>12250.67</v>
      </c>
      <c r="X177" s="718">
        <f>IF([99]Source!BI269&lt;=1,J170+J171+J172+J174+J175-0, 0)</f>
        <v>560.66999999999996</v>
      </c>
      <c r="Y177" s="718">
        <f>IF([99]Source!BI269=2,J170+J171+J172+J174+J175-0, 0)</f>
        <v>0</v>
      </c>
      <c r="Z177" s="718">
        <f>IF([99]Source!BI269=3,J170+J171+J172+J174+J175-0, 0)</f>
        <v>0</v>
      </c>
      <c r="AA177" s="718">
        <f>IF([99]Source!BI269=4,J170+J171+J172+J174+J175,0)</f>
        <v>0</v>
      </c>
    </row>
    <row r="178" spans="1:27" ht="30" x14ac:dyDescent="0.25">
      <c r="A178" s="691">
        <v>37</v>
      </c>
      <c r="B178" s="691" t="str">
        <f>[99]Source!E273</f>
        <v>57</v>
      </c>
      <c r="C178" s="692" t="str">
        <f>[99]Source!F273</f>
        <v>3.29-1939-7</v>
      </c>
      <c r="D178" s="692" t="s">
        <v>551</v>
      </c>
      <c r="E178" s="693" t="str">
        <f>[99]Source!H273</f>
        <v>1 М</v>
      </c>
      <c r="F178" s="694">
        <f>[99]Source!I273</f>
        <v>41.96</v>
      </c>
      <c r="G178" s="695"/>
      <c r="H178" s="696"/>
      <c r="I178" s="694"/>
      <c r="J178" s="697"/>
      <c r="K178" s="694"/>
      <c r="L178" s="697"/>
      <c r="Q178" s="718">
        <f>ROUND(([99]Source!DN273/100)*ROUND((ROUND(([99]Source!AF273*[99]Source!AV273*[99]Source!I273),2)),2), 2)</f>
        <v>569.4</v>
      </c>
      <c r="R178" s="718">
        <f>[99]Source!X273</f>
        <v>11875.53</v>
      </c>
      <c r="S178" s="718">
        <f>ROUND(([99]Source!DO273/100)*ROUND((ROUND(([99]Source!AF273*[99]Source!AV273*[99]Source!I273),2)),2), 2)</f>
        <v>504.53</v>
      </c>
      <c r="T178" s="718">
        <f>[99]Source!Y273</f>
        <v>7509.52</v>
      </c>
      <c r="U178" s="718">
        <f>ROUND((175/100)*ROUND((ROUND(([99]Source!AE273*[99]Source!AV273*[99]Source!I273),2)),2), 2)</f>
        <v>0</v>
      </c>
      <c r="V178" s="718">
        <f>ROUND((157/100)*ROUND(ROUND((ROUND(([99]Source!AE273*[99]Source!AV273*[99]Source!I273),2)*[99]Source!BS273),2), 2), 2)</f>
        <v>0</v>
      </c>
    </row>
    <row r="179" spans="1:27" ht="15" x14ac:dyDescent="0.25">
      <c r="A179" s="691"/>
      <c r="B179" s="691"/>
      <c r="C179" s="692"/>
      <c r="D179" s="692" t="s">
        <v>84</v>
      </c>
      <c r="E179" s="693"/>
      <c r="F179" s="694"/>
      <c r="G179" s="695">
        <f>[99]Source!AO273</f>
        <v>9.64</v>
      </c>
      <c r="H179" s="696" t="str">
        <f>[99]Source!DG273</f>
        <v>)*1,67</v>
      </c>
      <c r="I179" s="694">
        <f>[99]Source!AV273</f>
        <v>1.0669999999999999</v>
      </c>
      <c r="J179" s="697">
        <f>ROUND((ROUND(([99]Source!AF273*[99]Source!AV273*[99]Source!I273),2)),2)</f>
        <v>720.76</v>
      </c>
      <c r="K179" s="694">
        <f>IF([99]Source!BA273&lt;&gt; 0, [99]Source!BA273, 1)</f>
        <v>24.23</v>
      </c>
      <c r="L179" s="697">
        <f>[99]Source!S273</f>
        <v>17464.009999999998</v>
      </c>
      <c r="W179" s="718">
        <f>J179</f>
        <v>720.76</v>
      </c>
    </row>
    <row r="180" spans="1:27" ht="15" x14ac:dyDescent="0.25">
      <c r="A180" s="691"/>
      <c r="B180" s="691"/>
      <c r="C180" s="692"/>
      <c r="D180" s="692" t="s">
        <v>85</v>
      </c>
      <c r="E180" s="693"/>
      <c r="F180" s="694"/>
      <c r="G180" s="695">
        <f>[99]Source!AM273</f>
        <v>7.0000000000000007E-2</v>
      </c>
      <c r="H180" s="696" t="str">
        <f>[99]Source!DE273</f>
        <v/>
      </c>
      <c r="I180" s="694">
        <f>[99]Source!AV273</f>
        <v>1.0669999999999999</v>
      </c>
      <c r="J180" s="697">
        <f>(ROUND((ROUND((([99]Source!ET273)*[99]Source!AV273*[99]Source!I273),2)),2)+ROUND((ROUND((([99]Source!AE273-([99]Source!EU273))*[99]Source!AV273*[99]Source!I273),2)),2))</f>
        <v>3.13</v>
      </c>
      <c r="K180" s="694">
        <f>IF([99]Source!BB273&lt;&gt; 0, [99]Source!BB273, 1)</f>
        <v>3.71</v>
      </c>
      <c r="L180" s="697">
        <f>[99]Source!Q273</f>
        <v>11.61</v>
      </c>
    </row>
    <row r="181" spans="1:27" ht="15" x14ac:dyDescent="0.25">
      <c r="A181" s="691"/>
      <c r="B181" s="691"/>
      <c r="C181" s="692"/>
      <c r="D181" s="692" t="s">
        <v>87</v>
      </c>
      <c r="E181" s="693"/>
      <c r="F181" s="694"/>
      <c r="G181" s="695">
        <f>[99]Source!AL273</f>
        <v>15.15</v>
      </c>
      <c r="H181" s="696" t="str">
        <f>[99]Source!DD273</f>
        <v/>
      </c>
      <c r="I181" s="694">
        <f>[99]Source!AW273</f>
        <v>1.028</v>
      </c>
      <c r="J181" s="697">
        <f>ROUND((ROUND(([99]Source!AC273*[99]Source!AW273*[99]Source!I273),2)),2)</f>
        <v>653.49</v>
      </c>
      <c r="K181" s="694">
        <f>IF([99]Source!BC273&lt;&gt; 0, [99]Source!BC273, 1)</f>
        <v>2.5499999999999998</v>
      </c>
      <c r="L181" s="697">
        <f>[99]Source!P273</f>
        <v>1666.4</v>
      </c>
    </row>
    <row r="182" spans="1:27" ht="45" x14ac:dyDescent="0.25">
      <c r="A182" s="691">
        <v>38</v>
      </c>
      <c r="B182" s="691" t="str">
        <f>[99]Source!E275</f>
        <v>57,1</v>
      </c>
      <c r="C182" s="692" t="str">
        <f>[99]Source!F275</f>
        <v>1.12-7-191</v>
      </c>
      <c r="D182" s="692" t="s">
        <v>552</v>
      </c>
      <c r="E182" s="693" t="str">
        <f>[99]Source!H275</f>
        <v>м</v>
      </c>
      <c r="F182" s="694">
        <f>[99]Source!I275</f>
        <v>41.96</v>
      </c>
      <c r="G182" s="695">
        <f>[99]Source!AK275</f>
        <v>44.57</v>
      </c>
      <c r="H182" s="734" t="s">
        <v>42</v>
      </c>
      <c r="I182" s="694">
        <f>[99]Source!AW275</f>
        <v>1.028</v>
      </c>
      <c r="J182" s="697">
        <f>ROUND((ROUND(([99]Source!AC275*[99]Source!AW275*[99]Source!I275),2)),2)+(ROUND((ROUND((([99]Source!ET275)*[99]Source!AV275*[99]Source!I275),2)),2)+ROUND((ROUND((([99]Source!AE275-([99]Source!EU275))*[99]Source!AV275*[99]Source!I275),2)),2))+ROUND((ROUND(([99]Source!AF275*[99]Source!AV275*[99]Source!I275),2)),2)</f>
        <v>1922.52</v>
      </c>
      <c r="K182" s="694">
        <f>IF([99]Source!BC275&lt;&gt; 0, [99]Source!BC275, 1)</f>
        <v>9.76</v>
      </c>
      <c r="L182" s="697">
        <f>[99]Source!O275</f>
        <v>18763.8</v>
      </c>
      <c r="Q182" s="718">
        <f>ROUND(([99]Source!DN275/100)*ROUND((ROUND(([99]Source!AF275*[99]Source!AV275*[99]Source!I275),2)),2), 2)</f>
        <v>0</v>
      </c>
      <c r="R182" s="718">
        <f>[99]Source!X275</f>
        <v>0</v>
      </c>
      <c r="S182" s="718">
        <f>ROUND(([99]Source!DO275/100)*ROUND((ROUND(([99]Source!AF275*[99]Source!AV275*[99]Source!I275),2)),2), 2)</f>
        <v>0</v>
      </c>
      <c r="T182" s="718">
        <f>[99]Source!Y275</f>
        <v>0</v>
      </c>
      <c r="U182" s="718">
        <f>ROUND((175/100)*ROUND((ROUND(([99]Source!AE275*[99]Source!AV275*[99]Source!I275),2)),2), 2)</f>
        <v>0</v>
      </c>
      <c r="V182" s="718">
        <f>ROUND((157/100)*ROUND(ROUND((ROUND(([99]Source!AE275*[99]Source!AV275*[99]Source!I275),2)*[99]Source!BS275),2), 2), 2)</f>
        <v>0</v>
      </c>
      <c r="X182" s="718">
        <f>IF([99]Source!BI275&lt;=1,J182, 0)</f>
        <v>1922.52</v>
      </c>
      <c r="Y182" s="718">
        <f>IF([99]Source!BI275=2,J182, 0)</f>
        <v>0</v>
      </c>
      <c r="Z182" s="718">
        <f>IF([99]Source!BI275=3,J182, 0)</f>
        <v>0</v>
      </c>
      <c r="AA182" s="718">
        <f>IF([99]Source!BI275=4,J182, 0)</f>
        <v>0</v>
      </c>
    </row>
    <row r="183" spans="1:27" ht="15" x14ac:dyDescent="0.25">
      <c r="A183" s="691"/>
      <c r="B183" s="691"/>
      <c r="C183" s="692"/>
      <c r="D183" s="692" t="s">
        <v>88</v>
      </c>
      <c r="E183" s="693" t="s">
        <v>89</v>
      </c>
      <c r="F183" s="694">
        <f>[99]Source!DN273</f>
        <v>79</v>
      </c>
      <c r="G183" s="695"/>
      <c r="H183" s="696"/>
      <c r="I183" s="694"/>
      <c r="J183" s="697">
        <f>SUM(Q178:Q182)</f>
        <v>569.4</v>
      </c>
      <c r="K183" s="694">
        <f>[99]Source!BZ273</f>
        <v>68</v>
      </c>
      <c r="L183" s="697">
        <f>SUM(R178:R182)</f>
        <v>11875.53</v>
      </c>
    </row>
    <row r="184" spans="1:27" ht="15" x14ac:dyDescent="0.25">
      <c r="A184" s="691"/>
      <c r="B184" s="691"/>
      <c r="C184" s="692"/>
      <c r="D184" s="692" t="s">
        <v>90</v>
      </c>
      <c r="E184" s="693" t="s">
        <v>89</v>
      </c>
      <c r="F184" s="694">
        <f>[99]Source!DO273</f>
        <v>70</v>
      </c>
      <c r="G184" s="695"/>
      <c r="H184" s="696"/>
      <c r="I184" s="694"/>
      <c r="J184" s="697">
        <f>SUM(S178:S183)</f>
        <v>504.53</v>
      </c>
      <c r="K184" s="694">
        <f>[99]Source!CA273</f>
        <v>43</v>
      </c>
      <c r="L184" s="697">
        <f>SUM(T178:T183)</f>
        <v>7509.52</v>
      </c>
    </row>
    <row r="185" spans="1:27" ht="15" x14ac:dyDescent="0.25">
      <c r="A185" s="691"/>
      <c r="B185" s="691"/>
      <c r="C185" s="692"/>
      <c r="D185" s="692" t="s">
        <v>92</v>
      </c>
      <c r="E185" s="693" t="s">
        <v>93</v>
      </c>
      <c r="F185" s="694">
        <f>[99]Source!AQ273</f>
        <v>0.8</v>
      </c>
      <c r="G185" s="695"/>
      <c r="H185" s="696" t="str">
        <f>[99]Source!DI273</f>
        <v/>
      </c>
      <c r="I185" s="694">
        <f>[99]Source!AV273</f>
        <v>1.0669999999999999</v>
      </c>
      <c r="J185" s="697">
        <f>[99]Source!U273</f>
        <v>35.82</v>
      </c>
      <c r="K185" s="694"/>
      <c r="L185" s="697"/>
    </row>
    <row r="186" spans="1:27" ht="14.25" x14ac:dyDescent="0.2">
      <c r="A186" s="737"/>
      <c r="B186" s="737"/>
      <c r="C186" s="737"/>
      <c r="D186" s="737"/>
      <c r="E186" s="737"/>
      <c r="F186" s="737"/>
      <c r="G186" s="737"/>
      <c r="H186" s="737"/>
      <c r="I186" s="1067">
        <f>J179+J180+J181+J183+J184+SUM(J182:J182)</f>
        <v>4373.83</v>
      </c>
      <c r="J186" s="1067"/>
      <c r="K186" s="1067">
        <f>L179+L180+L181+L183+L184+SUM(L182:L182)</f>
        <v>57290.87</v>
      </c>
      <c r="L186" s="1067"/>
      <c r="O186" s="736">
        <f>J179+J180+J181+J183+J184+SUM(J182:J182)</f>
        <v>4373.83</v>
      </c>
      <c r="P186" s="736">
        <f>L179+L180+L181+L183+L184+SUM(L182:L182)</f>
        <v>57290.87</v>
      </c>
      <c r="X186" s="718">
        <f>IF([99]Source!BI273&lt;=1,J179+J180+J181+J183+J184-0, 0)</f>
        <v>2451.31</v>
      </c>
      <c r="Y186" s="718">
        <f>IF([99]Source!BI273=2,J179+J180+J181+J183+J184-0, 0)</f>
        <v>0</v>
      </c>
      <c r="Z186" s="718">
        <f>IF([99]Source!BI273=3,J179+J180+J181+J183+J184-0, 0)</f>
        <v>0</v>
      </c>
      <c r="AA186" s="718">
        <f>IF([99]Source!BI273=4,J179+J180+J181+J183+J184,0)</f>
        <v>0</v>
      </c>
    </row>
    <row r="187" spans="1:27" ht="45" x14ac:dyDescent="0.25">
      <c r="A187" s="691">
        <v>39</v>
      </c>
      <c r="B187" s="691" t="str">
        <f>[99]Source!E277</f>
        <v>58</v>
      </c>
      <c r="C187" s="692" t="str">
        <f>[99]Source!F277</f>
        <v>3.26-16-1</v>
      </c>
      <c r="D187" s="692" t="s">
        <v>553</v>
      </c>
      <c r="E187" s="693" t="str">
        <f>[99]Source!H277</f>
        <v>10 м изоляции</v>
      </c>
      <c r="F187" s="694">
        <f>[99]Source!I277</f>
        <v>27.428000000000001</v>
      </c>
      <c r="G187" s="695"/>
      <c r="H187" s="696"/>
      <c r="I187" s="694"/>
      <c r="J187" s="697"/>
      <c r="K187" s="694"/>
      <c r="L187" s="697"/>
      <c r="Q187" s="718">
        <f>ROUND(([99]Source!DN277/100)*ROUND((ROUND(([99]Source!AF277*[99]Source!AV277*[99]Source!I277),2)),2), 2)</f>
        <v>1344.16</v>
      </c>
      <c r="R187" s="718">
        <f>[99]Source!X277</f>
        <v>26254.57</v>
      </c>
      <c r="S187" s="718">
        <f>ROUND(([99]Source!DO277/100)*ROUND((ROUND(([99]Source!AF277*[99]Source!AV277*[99]Source!I277),2)),2), 2)</f>
        <v>1001.26</v>
      </c>
      <c r="T187" s="718">
        <f>[99]Source!Y277</f>
        <v>13625.79</v>
      </c>
      <c r="U187" s="718">
        <f>ROUND((175/100)*ROUND((ROUND(([99]Source!AE277*[99]Source!AV277*[99]Source!I277),2)),2), 2)</f>
        <v>221.57</v>
      </c>
      <c r="V187" s="718">
        <f>ROUND((157/100)*ROUND(ROUND((ROUND(([99]Source!AE277*[99]Source!AV277*[99]Source!I277),2)*[99]Source!BS277),2), 2), 2)</f>
        <v>4816.38</v>
      </c>
    </row>
    <row r="188" spans="1:27" ht="15" x14ac:dyDescent="0.25">
      <c r="A188" s="691"/>
      <c r="B188" s="691"/>
      <c r="C188" s="692"/>
      <c r="D188" s="692" t="s">
        <v>84</v>
      </c>
      <c r="E188" s="693"/>
      <c r="F188" s="694"/>
      <c r="G188" s="695">
        <f>[99]Source!AO277</f>
        <v>28.6</v>
      </c>
      <c r="H188" s="696" t="str">
        <f>[99]Source!DG277</f>
        <v>)*1,67</v>
      </c>
      <c r="I188" s="694">
        <f>[99]Source!AV277</f>
        <v>1.0469999999999999</v>
      </c>
      <c r="J188" s="697">
        <f>ROUND((ROUND(([99]Source!AF277*[99]Source!AV277*[99]Source!I277),2)),2)</f>
        <v>1371.59</v>
      </c>
      <c r="K188" s="694">
        <f>IF([99]Source!BA277&lt;&gt; 0, [99]Source!BA277, 1)</f>
        <v>24.23</v>
      </c>
      <c r="L188" s="697">
        <f>[99]Source!S277</f>
        <v>33233.629999999997</v>
      </c>
      <c r="W188" s="718">
        <f>J188</f>
        <v>1371.59</v>
      </c>
    </row>
    <row r="189" spans="1:27" ht="15" x14ac:dyDescent="0.25">
      <c r="A189" s="691"/>
      <c r="B189" s="691"/>
      <c r="C189" s="692"/>
      <c r="D189" s="692" t="s">
        <v>85</v>
      </c>
      <c r="E189" s="693"/>
      <c r="F189" s="694"/>
      <c r="G189" s="695">
        <f>[99]Source!AM277</f>
        <v>13.2</v>
      </c>
      <c r="H189" s="696" t="str">
        <f>[99]Source!DE277</f>
        <v/>
      </c>
      <c r="I189" s="694">
        <f>[99]Source!AV277</f>
        <v>1.0469999999999999</v>
      </c>
      <c r="J189" s="697">
        <f>(ROUND((ROUND((([99]Source!ET277)*[99]Source!AV277*[99]Source!I277),2)),2)+ROUND((ROUND((([99]Source!AE277-([99]Source!EU277))*[99]Source!AV277*[99]Source!I277),2)),2))-J199</f>
        <v>379.07</v>
      </c>
      <c r="K189" s="694">
        <f>IF([99]Source!BB277&lt;&gt; 0, [99]Source!BB277, 1)</f>
        <v>9.2899999999999991</v>
      </c>
      <c r="L189" s="697">
        <f>[99]Source!Q277-L199</f>
        <v>3521.44</v>
      </c>
    </row>
    <row r="190" spans="1:27" ht="15" x14ac:dyDescent="0.25">
      <c r="A190" s="691"/>
      <c r="B190" s="691"/>
      <c r="C190" s="692"/>
      <c r="D190" s="692" t="s">
        <v>86</v>
      </c>
      <c r="E190" s="693"/>
      <c r="F190" s="694"/>
      <c r="G190" s="695">
        <f>[99]Source!AN277</f>
        <v>2.64</v>
      </c>
      <c r="H190" s="696" t="str">
        <f>[99]Source!DE277</f>
        <v/>
      </c>
      <c r="I190" s="694">
        <f>[99]Source!AV277</f>
        <v>1.0469999999999999</v>
      </c>
      <c r="J190" s="700">
        <f>ROUND((ROUND(([99]Source!AE277*[99]Source!AV277*[99]Source!I277),2)),2)-J200</f>
        <v>75.819999999999993</v>
      </c>
      <c r="K190" s="694">
        <f>IF([99]Source!BS277&lt;&gt; 0, [99]Source!BS277, 1)</f>
        <v>24.23</v>
      </c>
      <c r="L190" s="700">
        <f>[99]Source!R277-L200</f>
        <v>1837</v>
      </c>
      <c r="W190" s="718">
        <f>J190</f>
        <v>75.819999999999993</v>
      </c>
    </row>
    <row r="191" spans="1:27" ht="15" x14ac:dyDescent="0.25">
      <c r="A191" s="691"/>
      <c r="B191" s="691"/>
      <c r="C191" s="692"/>
      <c r="D191" s="692" t="s">
        <v>87</v>
      </c>
      <c r="E191" s="693"/>
      <c r="F191" s="694"/>
      <c r="G191" s="695">
        <f>[99]Source!AL277</f>
        <v>59.82</v>
      </c>
      <c r="H191" s="696" t="str">
        <f>[99]Source!DD277</f>
        <v/>
      </c>
      <c r="I191" s="694">
        <f>[99]Source!AW277</f>
        <v>1.0189999999999999</v>
      </c>
      <c r="J191" s="697">
        <f>ROUND((ROUND(([99]Source!AC277*[99]Source!AW277*[99]Source!I277),2)),2)</f>
        <v>1671.92</v>
      </c>
      <c r="K191" s="694">
        <f>IF([99]Source!BC277&lt;&gt; 0, [99]Source!BC277, 1)</f>
        <v>19.850000000000001</v>
      </c>
      <c r="L191" s="697">
        <f>[99]Source!P277</f>
        <v>33187.61</v>
      </c>
    </row>
    <row r="192" spans="1:27" ht="120" hidden="1" x14ac:dyDescent="0.25">
      <c r="A192" s="691">
        <v>40</v>
      </c>
      <c r="B192" s="691" t="str">
        <f>[99]Source!E279</f>
        <v>58,1</v>
      </c>
      <c r="C192" s="692" t="str">
        <f>[99]Source!F279</f>
        <v>1.1-1-1271</v>
      </c>
      <c r="D192" s="692" t="s">
        <v>557</v>
      </c>
      <c r="E192" s="693" t="str">
        <f>[99]Source!H279</f>
        <v>м</v>
      </c>
      <c r="F192" s="694">
        <f>[99]Source!I279</f>
        <v>28.443850999999999</v>
      </c>
      <c r="G192" s="695">
        <f>[99]Source!AK279</f>
        <v>9.49</v>
      </c>
      <c r="H192" s="734" t="s">
        <v>42</v>
      </c>
      <c r="I192" s="694">
        <f>[99]Source!AW279</f>
        <v>1.0189999999999999</v>
      </c>
      <c r="J192" s="697">
        <v>0</v>
      </c>
      <c r="K192" s="694">
        <v>0</v>
      </c>
      <c r="L192" s="697">
        <v>0</v>
      </c>
      <c r="Q192" s="718">
        <f>ROUND(([99]Source!DN279/100)*ROUND((ROUND(([99]Source!AF279*[99]Source!AV279*[99]Source!I279),2)),2), 2)</f>
        <v>0</v>
      </c>
      <c r="R192" s="718">
        <f>[99]Source!X279</f>
        <v>0</v>
      </c>
      <c r="S192" s="718">
        <f>ROUND(([99]Source!DO279/100)*ROUND((ROUND(([99]Source!AF279*[99]Source!AV279*[99]Source!I279),2)),2), 2)</f>
        <v>0</v>
      </c>
      <c r="T192" s="718">
        <f>[99]Source!Y279</f>
        <v>0</v>
      </c>
      <c r="U192" s="718">
        <f>ROUND((175/100)*ROUND((ROUND(([99]Source!AE279*[99]Source!AV279*[99]Source!I279),2)),2), 2)</f>
        <v>0</v>
      </c>
      <c r="V192" s="718">
        <f>ROUND((157/100)*ROUND(ROUND((ROUND(([99]Source!AE279*[99]Source!AV279*[99]Source!I279),2)*[99]Source!BS279),2), 2), 2)</f>
        <v>0</v>
      </c>
      <c r="X192" s="718">
        <f>IF([99]Source!BI279&lt;=1,J192, 0)</f>
        <v>0</v>
      </c>
      <c r="Y192" s="718">
        <f>IF([99]Source!BI279=2,J192, 0)</f>
        <v>0</v>
      </c>
      <c r="Z192" s="718">
        <f>IF([99]Source!BI279=3,J192, 0)</f>
        <v>0</v>
      </c>
      <c r="AA192" s="718">
        <f>IF([99]Source!BI279=4,J192, 0)</f>
        <v>0</v>
      </c>
    </row>
    <row r="193" spans="1:27" ht="15" x14ac:dyDescent="0.25">
      <c r="A193" s="691"/>
      <c r="B193" s="691"/>
      <c r="C193" s="692"/>
      <c r="D193" s="692" t="s">
        <v>88</v>
      </c>
      <c r="E193" s="693" t="s">
        <v>89</v>
      </c>
      <c r="F193" s="694">
        <f>[99]Source!DN277</f>
        <v>98</v>
      </c>
      <c r="G193" s="695"/>
      <c r="H193" s="696"/>
      <c r="I193" s="694"/>
      <c r="J193" s="697">
        <f>SUM(Q187:Q192)</f>
        <v>1344.16</v>
      </c>
      <c r="K193" s="694">
        <f>[99]Source!BZ277</f>
        <v>79</v>
      </c>
      <c r="L193" s="697">
        <f>SUM(R187:R192)</f>
        <v>26254.57</v>
      </c>
    </row>
    <row r="194" spans="1:27" ht="15" x14ac:dyDescent="0.25">
      <c r="A194" s="691"/>
      <c r="B194" s="691"/>
      <c r="C194" s="692"/>
      <c r="D194" s="692" t="s">
        <v>90</v>
      </c>
      <c r="E194" s="693" t="s">
        <v>89</v>
      </c>
      <c r="F194" s="694">
        <f>[99]Source!DO277</f>
        <v>73</v>
      </c>
      <c r="G194" s="695"/>
      <c r="H194" s="696"/>
      <c r="I194" s="694"/>
      <c r="J194" s="697">
        <f>SUM(S187:S193)</f>
        <v>1001.26</v>
      </c>
      <c r="K194" s="694">
        <f>[99]Source!CA277</f>
        <v>41</v>
      </c>
      <c r="L194" s="697">
        <f>SUM(T187:T193)</f>
        <v>13625.79</v>
      </c>
    </row>
    <row r="195" spans="1:27" ht="15" x14ac:dyDescent="0.25">
      <c r="A195" s="691"/>
      <c r="B195" s="691"/>
      <c r="C195" s="692"/>
      <c r="D195" s="692" t="s">
        <v>91</v>
      </c>
      <c r="E195" s="693" t="s">
        <v>89</v>
      </c>
      <c r="F195" s="694">
        <f>175</f>
        <v>175</v>
      </c>
      <c r="G195" s="695"/>
      <c r="H195" s="696"/>
      <c r="I195" s="694"/>
      <c r="J195" s="697">
        <f>SUM(U187:U194)-J201</f>
        <v>132.69</v>
      </c>
      <c r="K195" s="694">
        <f>157</f>
        <v>157</v>
      </c>
      <c r="L195" s="697">
        <f>SUM(V187:V194)-L201</f>
        <v>2884.09</v>
      </c>
    </row>
    <row r="196" spans="1:27" ht="15" x14ac:dyDescent="0.25">
      <c r="A196" s="691"/>
      <c r="B196" s="691"/>
      <c r="C196" s="692"/>
      <c r="D196" s="692" t="s">
        <v>92</v>
      </c>
      <c r="E196" s="693" t="s">
        <v>93</v>
      </c>
      <c r="F196" s="694">
        <f>[99]Source!AQ277</f>
        <v>2.2000000000000002</v>
      </c>
      <c r="G196" s="695"/>
      <c r="H196" s="696" t="str">
        <f>[99]Source!DI277</f>
        <v/>
      </c>
      <c r="I196" s="694">
        <f>[99]Source!AV277</f>
        <v>1.0469999999999999</v>
      </c>
      <c r="J196" s="697">
        <f>[99]Source!U277</f>
        <v>63.18</v>
      </c>
      <c r="K196" s="694"/>
      <c r="L196" s="697"/>
    </row>
    <row r="197" spans="1:27" ht="14.25" x14ac:dyDescent="0.2">
      <c r="I197" s="1067">
        <f>J188+J189+J191+J193+J194+J195+SUM(J192:J192)</f>
        <v>5900.69</v>
      </c>
      <c r="J197" s="1067"/>
      <c r="K197" s="1067">
        <f>L188+L189+L191+L193+L194+L195+SUM(L192:L192)</f>
        <v>112707.13</v>
      </c>
      <c r="L197" s="1067"/>
      <c r="O197" s="736">
        <f>J188+J189+J191+J193+J194+J195+SUM(J192:J192)</f>
        <v>5900.69</v>
      </c>
      <c r="P197" s="736">
        <f>L188+L189+L191+L193+L194+L195+SUM(L192:L192)</f>
        <v>112707.13</v>
      </c>
      <c r="X197" s="718">
        <f>IF([99]Source!BI277&lt;=1,J188+J189+J191+J193+J194+J195-0, 0)</f>
        <v>5900.69</v>
      </c>
      <c r="Y197" s="718">
        <f>IF([99]Source!BI277=2,J188+J189+J191+J193+J194+J195-0, 0)</f>
        <v>0</v>
      </c>
      <c r="Z197" s="718">
        <f>IF([99]Source!BI277=3,J188+J189+J191+J193+J194+J195-0, 0)</f>
        <v>0</v>
      </c>
      <c r="AA197" s="718">
        <f>IF([99]Source!BI277=4,J188+J189+J191+J193+J194+J195,0)</f>
        <v>0</v>
      </c>
    </row>
    <row r="198" spans="1:27" ht="30" x14ac:dyDescent="0.25">
      <c r="A198" s="701"/>
      <c r="B198" s="701"/>
      <c r="C198" s="702"/>
      <c r="D198" s="702" t="s">
        <v>94</v>
      </c>
      <c r="E198" s="693"/>
      <c r="F198" s="703"/>
      <c r="G198" s="704"/>
      <c r="H198" s="693"/>
      <c r="I198" s="703"/>
      <c r="J198" s="700"/>
      <c r="K198" s="703"/>
      <c r="L198" s="700"/>
    </row>
    <row r="199" spans="1:27" ht="15" x14ac:dyDescent="0.25">
      <c r="A199" s="701"/>
      <c r="B199" s="701"/>
      <c r="C199" s="702"/>
      <c r="D199" s="702" t="s">
        <v>85</v>
      </c>
      <c r="E199" s="693"/>
      <c r="F199" s="703"/>
      <c r="G199" s="704">
        <f t="shared" ref="G199:L199" si="1">G200</f>
        <v>2.64</v>
      </c>
      <c r="H199" s="705" t="str">
        <f t="shared" si="1"/>
        <v>)*(1.67-1)</v>
      </c>
      <c r="I199" s="703">
        <f t="shared" si="1"/>
        <v>1.0469999999999999</v>
      </c>
      <c r="J199" s="700">
        <f t="shared" si="1"/>
        <v>50.79</v>
      </c>
      <c r="K199" s="703">
        <f t="shared" si="1"/>
        <v>24.23</v>
      </c>
      <c r="L199" s="700">
        <f t="shared" si="1"/>
        <v>1230.76</v>
      </c>
    </row>
    <row r="200" spans="1:27" ht="15" x14ac:dyDescent="0.25">
      <c r="A200" s="701"/>
      <c r="B200" s="701"/>
      <c r="C200" s="702"/>
      <c r="D200" s="702" t="s">
        <v>86</v>
      </c>
      <c r="E200" s="693"/>
      <c r="F200" s="703"/>
      <c r="G200" s="704">
        <f>[99]Source!AN277</f>
        <v>2.64</v>
      </c>
      <c r="H200" s="705" t="s">
        <v>95</v>
      </c>
      <c r="I200" s="703">
        <f>[99]Source!AV277</f>
        <v>1.0469999999999999</v>
      </c>
      <c r="J200" s="700">
        <f>ROUND(F187*G200*I200*(1.67-1), 2)</f>
        <v>50.79</v>
      </c>
      <c r="K200" s="703">
        <f>IF([99]Source!BS277&lt;&gt; 0, [99]Source!BS277, 1)</f>
        <v>24.23</v>
      </c>
      <c r="L200" s="700">
        <f>ROUND(F187*G200*I200*(1.67-1)*K200, 2)</f>
        <v>1230.76</v>
      </c>
      <c r="W200" s="718">
        <f>J200</f>
        <v>50.79</v>
      </c>
    </row>
    <row r="201" spans="1:27" ht="15" x14ac:dyDescent="0.25">
      <c r="A201" s="701"/>
      <c r="B201" s="701"/>
      <c r="C201" s="702"/>
      <c r="D201" s="702" t="s">
        <v>91</v>
      </c>
      <c r="E201" s="693" t="s">
        <v>89</v>
      </c>
      <c r="F201" s="703">
        <f>175</f>
        <v>175</v>
      </c>
      <c r="G201" s="704"/>
      <c r="H201" s="693"/>
      <c r="I201" s="703"/>
      <c r="J201" s="700">
        <f>ROUND(J200*(F201/100), 2)</f>
        <v>88.88</v>
      </c>
      <c r="K201" s="703">
        <f>157</f>
        <v>157</v>
      </c>
      <c r="L201" s="700">
        <f>ROUND(L200*(K201/100), 2)</f>
        <v>1932.29</v>
      </c>
    </row>
    <row r="202" spans="1:27" ht="14.25" x14ac:dyDescent="0.2">
      <c r="I202" s="1067">
        <f>J201+J200</f>
        <v>139.66999999999999</v>
      </c>
      <c r="J202" s="1067"/>
      <c r="K202" s="1067">
        <f>L201+L200</f>
        <v>3163.05</v>
      </c>
      <c r="L202" s="1067"/>
      <c r="O202" s="736">
        <f>I202</f>
        <v>139.66999999999999</v>
      </c>
      <c r="P202" s="736">
        <f>K202</f>
        <v>3163.05</v>
      </c>
      <c r="X202" s="718">
        <f>IF([99]Source!BI277&lt;=1,I202, 0)</f>
        <v>139.66999999999999</v>
      </c>
      <c r="Y202" s="718">
        <f>IF([99]Source!BI277=2,I202, 0)</f>
        <v>0</v>
      </c>
      <c r="Z202" s="718">
        <f>IF([99]Source!BI277=3,I202, 0)</f>
        <v>0</v>
      </c>
      <c r="AA202" s="718">
        <f>IF([99]Source!BI277=4,I202, 0)</f>
        <v>0</v>
      </c>
    </row>
    <row r="204" spans="1:27" ht="15" x14ac:dyDescent="0.25">
      <c r="A204" s="706"/>
      <c r="B204" s="706"/>
      <c r="C204" s="707"/>
      <c r="D204" s="707" t="s">
        <v>96</v>
      </c>
      <c r="E204" s="708"/>
      <c r="F204" s="709"/>
      <c r="G204" s="710"/>
      <c r="H204" s="711"/>
      <c r="I204" s="1067">
        <f>I197+I202</f>
        <v>6040.36</v>
      </c>
      <c r="J204" s="1067"/>
      <c r="K204" s="1067">
        <f>K197+K202</f>
        <v>115870.18</v>
      </c>
      <c r="L204" s="1067"/>
    </row>
    <row r="205" spans="1:27" ht="120" x14ac:dyDescent="0.25">
      <c r="A205" s="691">
        <v>41</v>
      </c>
      <c r="B205" s="691" t="str">
        <f>[99]Source!E281</f>
        <v>59</v>
      </c>
      <c r="C205" s="692" t="str">
        <f>[99]Source!F281</f>
        <v>1.1-1-1289</v>
      </c>
      <c r="D205" s="692" t="s">
        <v>554</v>
      </c>
      <c r="E205" s="693" t="str">
        <f>[99]Source!H281</f>
        <v>м</v>
      </c>
      <c r="F205" s="694">
        <f>[99]Source!I281</f>
        <v>179.82</v>
      </c>
      <c r="G205" s="695">
        <f>[99]Source!AL281</f>
        <v>5.85</v>
      </c>
      <c r="H205" s="696" t="str">
        <f>[99]Source!DD281</f>
        <v/>
      </c>
      <c r="I205" s="694">
        <f>[99]Source!AW281</f>
        <v>1.0189999999999999</v>
      </c>
      <c r="J205" s="697">
        <f>I205*G205*F205</f>
        <v>1071.93</v>
      </c>
      <c r="K205" s="694">
        <v>7.96</v>
      </c>
      <c r="L205" s="697">
        <f>J205*K205</f>
        <v>8532.56</v>
      </c>
      <c r="Q205" s="718">
        <f>ROUND(([99]Source!DN281/100)*ROUND((ROUND(([99]Source!AF281*[99]Source!AV281*[99]Source!I281),2)),2), 2)</f>
        <v>0</v>
      </c>
      <c r="R205" s="718">
        <f>[99]Source!X281</f>
        <v>0</v>
      </c>
      <c r="S205" s="718">
        <f>ROUND(([99]Source!DO281/100)*ROUND((ROUND(([99]Source!AF281*[99]Source!AV281*[99]Source!I281),2)),2), 2)</f>
        <v>0</v>
      </c>
      <c r="T205" s="718">
        <f>[99]Source!Y281</f>
        <v>0</v>
      </c>
      <c r="U205" s="718">
        <f>ROUND((175/100)*ROUND((ROUND(([99]Source!AE281*[99]Source!AV281*[99]Source!I281),2)),2), 2)</f>
        <v>0</v>
      </c>
      <c r="V205" s="718">
        <f>ROUND((157/100)*ROUND(ROUND((ROUND(([99]Source!AE281*[99]Source!AV281*[99]Source!I281),2)*[99]Source!BS281),2), 2), 2)</f>
        <v>0</v>
      </c>
    </row>
    <row r="206" spans="1:27" ht="14.25" x14ac:dyDescent="0.2">
      <c r="A206" s="737"/>
      <c r="B206" s="737"/>
      <c r="C206" s="737"/>
      <c r="D206" s="737"/>
      <c r="E206" s="737"/>
      <c r="F206" s="737"/>
      <c r="G206" s="737"/>
      <c r="H206" s="737"/>
      <c r="I206" s="1067">
        <f>J205</f>
        <v>1071.93</v>
      </c>
      <c r="J206" s="1067"/>
      <c r="K206" s="1067">
        <f>L205</f>
        <v>8532.56</v>
      </c>
      <c r="L206" s="1067"/>
      <c r="O206" s="736">
        <f>J205</f>
        <v>1071.93</v>
      </c>
      <c r="P206" s="736">
        <f>L205</f>
        <v>8532.56</v>
      </c>
      <c r="X206" s="718">
        <f>IF([99]Source!BI281&lt;=1,J205-0, 0)</f>
        <v>1071.93</v>
      </c>
      <c r="Y206" s="718">
        <f>IF([99]Source!BI281=2,J205-0, 0)</f>
        <v>0</v>
      </c>
      <c r="Z206" s="718">
        <f>IF([99]Source!BI281=3,J205-0, 0)</f>
        <v>0</v>
      </c>
      <c r="AA206" s="718">
        <f>IF([99]Source!BI281=4,J205,0)</f>
        <v>0</v>
      </c>
    </row>
    <row r="207" spans="1:27" ht="120" x14ac:dyDescent="0.25">
      <c r="A207" s="691">
        <v>42</v>
      </c>
      <c r="B207" s="691" t="str">
        <f>[99]Source!E283</f>
        <v>60</v>
      </c>
      <c r="C207" s="692" t="str">
        <f>[99]Source!F283</f>
        <v>1.1-1-1272</v>
      </c>
      <c r="D207" s="692" t="s">
        <v>558</v>
      </c>
      <c r="E207" s="693" t="str">
        <f>[99]Source!H283</f>
        <v>м</v>
      </c>
      <c r="F207" s="694">
        <f>[99]Source!I283</f>
        <v>42</v>
      </c>
      <c r="G207" s="695">
        <f>[99]Source!AL283</f>
        <v>9.7100000000000009</v>
      </c>
      <c r="H207" s="696" t="str">
        <f>[99]Source!DD283</f>
        <v/>
      </c>
      <c r="I207" s="694">
        <f>[99]Source!AW283</f>
        <v>1.0189999999999999</v>
      </c>
      <c r="J207" s="697">
        <f>I207*G207*F207</f>
        <v>415.57</v>
      </c>
      <c r="K207" s="694">
        <v>7.17</v>
      </c>
      <c r="L207" s="697">
        <f>J207*K207</f>
        <v>2979.64</v>
      </c>
      <c r="Q207" s="718">
        <f>ROUND(([99]Source!DN283/100)*ROUND((ROUND(([99]Source!AF283*[99]Source!AV283*[99]Source!I283),2)),2), 2)</f>
        <v>0</v>
      </c>
      <c r="R207" s="718">
        <f>[99]Source!X283</f>
        <v>0</v>
      </c>
      <c r="S207" s="718">
        <f>ROUND(([99]Source!DO283/100)*ROUND((ROUND(([99]Source!AF283*[99]Source!AV283*[99]Source!I283),2)),2), 2)</f>
        <v>0</v>
      </c>
      <c r="T207" s="718">
        <f>[99]Source!Y283</f>
        <v>0</v>
      </c>
      <c r="U207" s="718">
        <f>ROUND((175/100)*ROUND((ROUND(([99]Source!AE283*[99]Source!AV283*[99]Source!I283),2)),2), 2)</f>
        <v>0</v>
      </c>
      <c r="V207" s="718">
        <f>ROUND((157/100)*ROUND(ROUND((ROUND(([99]Source!AE283*[99]Source!AV283*[99]Source!I283),2)*[99]Source!BS283),2), 2), 2)</f>
        <v>0</v>
      </c>
    </row>
    <row r="208" spans="1:27" ht="14.25" x14ac:dyDescent="0.2">
      <c r="A208" s="737"/>
      <c r="B208" s="737"/>
      <c r="C208" s="737"/>
      <c r="D208" s="737"/>
      <c r="E208" s="737"/>
      <c r="F208" s="737"/>
      <c r="G208" s="737"/>
      <c r="H208" s="737"/>
      <c r="I208" s="1067">
        <f>J207</f>
        <v>415.57</v>
      </c>
      <c r="J208" s="1067"/>
      <c r="K208" s="1067">
        <f>L207</f>
        <v>2979.64</v>
      </c>
      <c r="L208" s="1067"/>
      <c r="O208" s="736">
        <f>J207</f>
        <v>415.57</v>
      </c>
      <c r="P208" s="736">
        <f>L207</f>
        <v>2979.64</v>
      </c>
      <c r="X208" s="718">
        <f>IF([99]Source!BI283&lt;=1,J207-0, 0)</f>
        <v>415.57</v>
      </c>
      <c r="Y208" s="718">
        <f>IF([99]Source!BI283=2,J207-0, 0)</f>
        <v>0</v>
      </c>
      <c r="Z208" s="718">
        <f>IF([99]Source!BI283=3,J207-0, 0)</f>
        <v>0</v>
      </c>
      <c r="AA208" s="718">
        <f>IF([99]Source!BI283=4,J207,0)</f>
        <v>0</v>
      </c>
    </row>
    <row r="209" spans="1:27" ht="120" x14ac:dyDescent="0.25">
      <c r="A209" s="691">
        <v>43</v>
      </c>
      <c r="B209" s="691" t="str">
        <f>[99]Source!E285</f>
        <v>61</v>
      </c>
      <c r="C209" s="692" t="str">
        <f>[99]Source!F285</f>
        <v>1.1-1-1273</v>
      </c>
      <c r="D209" s="692" t="s">
        <v>555</v>
      </c>
      <c r="E209" s="693" t="str">
        <f>[99]Source!H285</f>
        <v>м</v>
      </c>
      <c r="F209" s="694">
        <f>[99]Source!I285</f>
        <v>10.5</v>
      </c>
      <c r="G209" s="695">
        <f>[99]Source!AL285</f>
        <v>10.38</v>
      </c>
      <c r="H209" s="696" t="str">
        <f>[99]Source!DD285</f>
        <v/>
      </c>
      <c r="I209" s="694">
        <f>[99]Source!AW285</f>
        <v>1.0189999999999999</v>
      </c>
      <c r="J209" s="697">
        <f>I209*G209*F209</f>
        <v>111.06</v>
      </c>
      <c r="K209" s="694">
        <v>6.93</v>
      </c>
      <c r="L209" s="697">
        <f>J209*K209</f>
        <v>769.65</v>
      </c>
      <c r="Q209" s="718">
        <f>ROUND(([99]Source!DN285/100)*ROUND((ROUND(([99]Source!AF285*[99]Source!AV285*[99]Source!I285),2)),2), 2)</f>
        <v>0</v>
      </c>
      <c r="R209" s="718">
        <f>[99]Source!X285</f>
        <v>0</v>
      </c>
      <c r="S209" s="718">
        <f>ROUND(([99]Source!DO285/100)*ROUND((ROUND(([99]Source!AF285*[99]Source!AV285*[99]Source!I285),2)),2), 2)</f>
        <v>0</v>
      </c>
      <c r="T209" s="718">
        <f>[99]Source!Y285</f>
        <v>0</v>
      </c>
      <c r="U209" s="718">
        <f>ROUND((175/100)*ROUND((ROUND(([99]Source!AE285*[99]Source!AV285*[99]Source!I285),2)),2), 2)</f>
        <v>0</v>
      </c>
      <c r="V209" s="718">
        <f>ROUND((157/100)*ROUND(ROUND((ROUND(([99]Source!AE285*[99]Source!AV285*[99]Source!I285),2)*[99]Source!BS285),2), 2), 2)</f>
        <v>0</v>
      </c>
    </row>
    <row r="210" spans="1:27" ht="14.25" x14ac:dyDescent="0.2">
      <c r="A210" s="737"/>
      <c r="B210" s="737"/>
      <c r="C210" s="737"/>
      <c r="D210" s="737"/>
      <c r="E210" s="737"/>
      <c r="F210" s="737"/>
      <c r="G210" s="737"/>
      <c r="H210" s="737"/>
      <c r="I210" s="1067">
        <f>J209</f>
        <v>111.06</v>
      </c>
      <c r="J210" s="1067"/>
      <c r="K210" s="1067">
        <f>L209</f>
        <v>769.65</v>
      </c>
      <c r="L210" s="1067"/>
      <c r="O210" s="736">
        <f>J209</f>
        <v>111.06</v>
      </c>
      <c r="P210" s="736">
        <f>L209</f>
        <v>769.65</v>
      </c>
      <c r="X210" s="718">
        <f>IF([99]Source!BI285&lt;=1,J209-0, 0)</f>
        <v>111.06</v>
      </c>
      <c r="Y210" s="718">
        <f>IF([99]Source!BI285=2,J209-0, 0)</f>
        <v>0</v>
      </c>
      <c r="Z210" s="718">
        <f>IF([99]Source!BI285=3,J209-0, 0)</f>
        <v>0</v>
      </c>
      <c r="AA210" s="718">
        <f>IF([99]Source!BI285=4,J209,0)</f>
        <v>0</v>
      </c>
    </row>
    <row r="211" spans="1:27" ht="120" x14ac:dyDescent="0.25">
      <c r="A211" s="691">
        <v>44</v>
      </c>
      <c r="B211" s="691" t="str">
        <f>[99]Source!E287</f>
        <v>62</v>
      </c>
      <c r="C211" s="692" t="str">
        <f>[99]Source!F287</f>
        <v>1.1-1-1274</v>
      </c>
      <c r="D211" s="692" t="s">
        <v>556</v>
      </c>
      <c r="E211" s="693" t="str">
        <f>[99]Source!H287</f>
        <v>м</v>
      </c>
      <c r="F211" s="694">
        <f>[99]Source!I287</f>
        <v>41.96</v>
      </c>
      <c r="G211" s="695">
        <f>[99]Source!AL287</f>
        <v>12.04</v>
      </c>
      <c r="H211" s="696" t="str">
        <f>[99]Source!DD287</f>
        <v/>
      </c>
      <c r="I211" s="694">
        <f>[99]Source!AW287</f>
        <v>1.0189999999999999</v>
      </c>
      <c r="J211" s="697">
        <f>I211*G211*F211</f>
        <v>514.79999999999995</v>
      </c>
      <c r="K211" s="694">
        <v>7.26</v>
      </c>
      <c r="L211" s="697">
        <f>J211*K211</f>
        <v>3737.45</v>
      </c>
      <c r="Q211" s="718">
        <f>ROUND(([99]Source!DN287/100)*ROUND((ROUND(([99]Source!AF287*[99]Source!AV287*[99]Source!I287),2)),2), 2)</f>
        <v>0</v>
      </c>
      <c r="R211" s="718">
        <f>[99]Source!X287</f>
        <v>0</v>
      </c>
      <c r="S211" s="718">
        <f>ROUND(([99]Source!DO287/100)*ROUND((ROUND(([99]Source!AF287*[99]Source!AV287*[99]Source!I287),2)),2), 2)</f>
        <v>0</v>
      </c>
      <c r="T211" s="718">
        <f>[99]Source!Y287</f>
        <v>0</v>
      </c>
      <c r="U211" s="718">
        <f>ROUND((175/100)*ROUND((ROUND(([99]Source!AE287*[99]Source!AV287*[99]Source!I287),2)),2), 2)</f>
        <v>0</v>
      </c>
      <c r="V211" s="718">
        <f>ROUND((157/100)*ROUND(ROUND((ROUND(([99]Source!AE287*[99]Source!AV287*[99]Source!I287),2)*[99]Source!BS287),2), 2), 2)</f>
        <v>0</v>
      </c>
    </row>
    <row r="212" spans="1:27" ht="14.25" x14ac:dyDescent="0.2">
      <c r="A212" s="737"/>
      <c r="B212" s="737"/>
      <c r="C212" s="737"/>
      <c r="D212" s="737"/>
      <c r="E212" s="737"/>
      <c r="F212" s="737"/>
      <c r="G212" s="737"/>
      <c r="H212" s="737"/>
      <c r="I212" s="1067">
        <f>J211</f>
        <v>514.79999999999995</v>
      </c>
      <c r="J212" s="1067"/>
      <c r="K212" s="1067">
        <f>L211</f>
        <v>3737.45</v>
      </c>
      <c r="L212" s="1067"/>
      <c r="O212" s="736">
        <f>J211</f>
        <v>514.79999999999995</v>
      </c>
      <c r="P212" s="736">
        <f>L211</f>
        <v>3737.45</v>
      </c>
      <c r="X212" s="718">
        <f>IF([99]Source!BI287&lt;=1,J211-0, 0)</f>
        <v>514.79999999999995</v>
      </c>
      <c r="Y212" s="718">
        <f>IF([99]Source!BI287=2,J211-0, 0)</f>
        <v>0</v>
      </c>
      <c r="Z212" s="718">
        <f>IF([99]Source!BI287=3,J211-0, 0)</f>
        <v>0</v>
      </c>
      <c r="AA212" s="718">
        <f>IF([99]Source!BI287=4,J211,0)</f>
        <v>0</v>
      </c>
    </row>
    <row r="214" spans="1:27" ht="14.25" x14ac:dyDescent="0.2">
      <c r="A214" s="1068" t="str">
        <f>CONCATENATE("Итого по подразделу: ",IF([99]Source!G303&lt;&gt;"Новый подраздел", [99]Source!G303, ""))</f>
        <v>Итого по подразделу: К2-3, К2-4р</v>
      </c>
      <c r="B214" s="1068"/>
      <c r="C214" s="1068"/>
      <c r="D214" s="1068"/>
      <c r="E214" s="1068"/>
      <c r="F214" s="1068"/>
      <c r="G214" s="1068"/>
      <c r="H214" s="1068"/>
      <c r="I214" s="1069">
        <f>SUM(O119:O213)</f>
        <v>49475.4</v>
      </c>
      <c r="J214" s="1070"/>
      <c r="K214" s="1069">
        <f>SUM(P119:P213)</f>
        <v>552215.9</v>
      </c>
      <c r="L214" s="1070"/>
    </row>
    <row r="215" spans="1:27" hidden="1" x14ac:dyDescent="0.2">
      <c r="A215" s="718" t="s">
        <v>139</v>
      </c>
      <c r="I215" s="718">
        <f>SUM(AC119:AC214)</f>
        <v>0</v>
      </c>
      <c r="K215" s="718">
        <f>SUM(AD119:AD214)</f>
        <v>0</v>
      </c>
    </row>
    <row r="216" spans="1:27" hidden="1" x14ac:dyDescent="0.2">
      <c r="A216" s="718" t="s">
        <v>140</v>
      </c>
      <c r="I216" s="718">
        <f>SUM(AE119:AE215)</f>
        <v>0</v>
      </c>
      <c r="K216" s="718">
        <f>SUM(AF119:AF215)</f>
        <v>0</v>
      </c>
    </row>
    <row r="217" spans="1:27" hidden="1" x14ac:dyDescent="0.2">
      <c r="A217" s="718" t="s">
        <v>139</v>
      </c>
      <c r="I217" s="718" t="e">
        <f>SUM(#REF!)</f>
        <v>#REF!</v>
      </c>
      <c r="K217" s="718" t="e">
        <f>SUM(#REF!)</f>
        <v>#REF!</v>
      </c>
    </row>
    <row r="218" spans="1:27" hidden="1" x14ac:dyDescent="0.2">
      <c r="A218" s="718" t="s">
        <v>140</v>
      </c>
      <c r="I218" s="718">
        <f>SUM(AE217:AE217)</f>
        <v>0</v>
      </c>
      <c r="K218" s="718">
        <f>SUM(AF217:AF217)</f>
        <v>0</v>
      </c>
    </row>
    <row r="220" spans="1:27" ht="16.5" x14ac:dyDescent="0.25">
      <c r="A220" s="1066" t="str">
        <f>CONCATENATE("Подраздел: ",IF([99]Source!G728&lt;&gt;"Новый подраздел", [99]Source!G728, ""))</f>
        <v>Подраздел: К2-21</v>
      </c>
      <c r="B220" s="1066"/>
      <c r="C220" s="1066"/>
      <c r="D220" s="1066"/>
      <c r="E220" s="1066"/>
      <c r="F220" s="1066"/>
      <c r="G220" s="1066"/>
      <c r="H220" s="1066"/>
      <c r="I220" s="1066"/>
      <c r="J220" s="1066"/>
      <c r="K220" s="1066"/>
      <c r="L220" s="1066"/>
    </row>
    <row r="221" spans="1:27" ht="45" x14ac:dyDescent="0.25">
      <c r="A221" s="691">
        <v>45</v>
      </c>
      <c r="B221" s="691" t="str">
        <f>[99]Source!E813</f>
        <v>175</v>
      </c>
      <c r="C221" s="692" t="str">
        <f>[99]Source!F813</f>
        <v>4.8-158-1</v>
      </c>
      <c r="D221" s="692" t="s">
        <v>559</v>
      </c>
      <c r="E221" s="693" t="str">
        <f>[99]Source!H813</f>
        <v>1 Т</v>
      </c>
      <c r="F221" s="694">
        <f>[99]Source!I813</f>
        <v>6.2185200000000003E-2</v>
      </c>
      <c r="G221" s="695"/>
      <c r="H221" s="696"/>
      <c r="I221" s="694"/>
      <c r="J221" s="697"/>
      <c r="K221" s="694"/>
      <c r="L221" s="697"/>
      <c r="Q221" s="718">
        <f>ROUND(([99]Source!DN813/100)*ROUND((ROUND(([99]Source!AF813*[99]Source!AV813*[99]Source!I813),2)),2), 2)</f>
        <v>88.14</v>
      </c>
      <c r="R221" s="718">
        <f>[99]Source!X813</f>
        <v>1716.21</v>
      </c>
      <c r="S221" s="718">
        <f>ROUND(([99]Source!DO813/100)*ROUND((ROUND(([99]Source!AF813*[99]Source!AV813*[99]Source!I813),2)),2), 2)</f>
        <v>55.09</v>
      </c>
      <c r="T221" s="718">
        <f>[99]Source!Y813</f>
        <v>819.97</v>
      </c>
      <c r="U221" s="718">
        <f>ROUND((175/100)*ROUND((ROUND(([99]Source!AE813*[99]Source!AV813*[99]Source!I813),2)),2), 2)</f>
        <v>11.11</v>
      </c>
      <c r="V221" s="718">
        <f>ROUND((157/100)*ROUND(ROUND((ROUND(([99]Source!AE813*[99]Source!AV813*[99]Source!I813),2)*[99]Source!BS813),2), 2), 2)</f>
        <v>241.56</v>
      </c>
    </row>
    <row r="222" spans="1:27" ht="15" x14ac:dyDescent="0.25">
      <c r="A222" s="691"/>
      <c r="B222" s="691"/>
      <c r="C222" s="692"/>
      <c r="D222" s="692" t="s">
        <v>84</v>
      </c>
      <c r="E222" s="693"/>
      <c r="F222" s="694"/>
      <c r="G222" s="695">
        <f>[99]Source!AO813</f>
        <v>723.77</v>
      </c>
      <c r="H222" s="696" t="str">
        <f>[99]Source!DG813</f>
        <v>)*1,67</v>
      </c>
      <c r="I222" s="694">
        <f>[99]Source!AV813</f>
        <v>1.0469999999999999</v>
      </c>
      <c r="J222" s="697">
        <f>ROUND((ROUND(([99]Source!AF813*[99]Source!AV813*[99]Source!I813),2)),2)</f>
        <v>78.7</v>
      </c>
      <c r="K222" s="694">
        <f>IF([99]Source!BA813&lt;&gt; 0, [99]Source!BA813, 1)</f>
        <v>24.23</v>
      </c>
      <c r="L222" s="697">
        <f>[99]Source!S813</f>
        <v>1906.9</v>
      </c>
      <c r="W222" s="718">
        <f>J222</f>
        <v>78.7</v>
      </c>
    </row>
    <row r="223" spans="1:27" ht="15" x14ac:dyDescent="0.25">
      <c r="A223" s="691"/>
      <c r="B223" s="691"/>
      <c r="C223" s="692"/>
      <c r="D223" s="692" t="s">
        <v>85</v>
      </c>
      <c r="E223" s="693"/>
      <c r="F223" s="694"/>
      <c r="G223" s="695">
        <f>[99]Source!AM813</f>
        <v>611.48</v>
      </c>
      <c r="H223" s="696" t="str">
        <f>[99]Source!DE813</f>
        <v/>
      </c>
      <c r="I223" s="694">
        <f>[99]Source!AV813</f>
        <v>1.0469999999999999</v>
      </c>
      <c r="J223" s="697">
        <f>(ROUND((ROUND((([99]Source!ET813)*[99]Source!AV813*[99]Source!I813),2)),2)+ROUND((ROUND((([99]Source!AE813-([99]Source!EU813))*[99]Source!AV813*[99]Source!I813),2)),2))-J232</f>
        <v>39.81</v>
      </c>
      <c r="K223" s="694">
        <f>IF([99]Source!BB813&lt;&gt; 0, [99]Source!BB813, 1)</f>
        <v>7.34</v>
      </c>
      <c r="L223" s="697">
        <f>[99]Source!Q813-L232</f>
        <v>292.27</v>
      </c>
    </row>
    <row r="224" spans="1:27" ht="15" x14ac:dyDescent="0.25">
      <c r="A224" s="691"/>
      <c r="B224" s="691"/>
      <c r="C224" s="692"/>
      <c r="D224" s="692" t="s">
        <v>86</v>
      </c>
      <c r="E224" s="693"/>
      <c r="F224" s="694"/>
      <c r="G224" s="695">
        <f>[99]Source!AN813</f>
        <v>58.4</v>
      </c>
      <c r="H224" s="696" t="str">
        <f>[99]Source!DE813</f>
        <v/>
      </c>
      <c r="I224" s="694">
        <f>[99]Source!AV813</f>
        <v>1.0469999999999999</v>
      </c>
      <c r="J224" s="700">
        <f>ROUND((ROUND(([99]Source!AE813*[99]Source!AV813*[99]Source!I813),2)),2)-J233</f>
        <v>3.8</v>
      </c>
      <c r="K224" s="694">
        <f>IF([99]Source!BS813&lt;&gt; 0, [99]Source!BS813, 1)</f>
        <v>24.23</v>
      </c>
      <c r="L224" s="700">
        <f>[99]Source!R813-L233</f>
        <v>92.13</v>
      </c>
      <c r="W224" s="718">
        <f>J224</f>
        <v>3.8</v>
      </c>
    </row>
    <row r="225" spans="1:27" ht="15" x14ac:dyDescent="0.25">
      <c r="A225" s="691"/>
      <c r="B225" s="691"/>
      <c r="C225" s="692"/>
      <c r="D225" s="692" t="s">
        <v>87</v>
      </c>
      <c r="E225" s="693"/>
      <c r="F225" s="694"/>
      <c r="G225" s="695">
        <f>[99]Source!AL813</f>
        <v>97.3</v>
      </c>
      <c r="H225" s="696" t="str">
        <f>[99]Source!DD813</f>
        <v/>
      </c>
      <c r="I225" s="694">
        <f>[99]Source!AW813</f>
        <v>1</v>
      </c>
      <c r="J225" s="697">
        <f>ROUND((ROUND(([99]Source!AC813*[99]Source!AW813*[99]Source!I813),2)),2)</f>
        <v>6.05</v>
      </c>
      <c r="K225" s="694">
        <f>IF([99]Source!BC813&lt;&gt; 0, [99]Source!BC813, 1)</f>
        <v>5.58</v>
      </c>
      <c r="L225" s="697">
        <f>[99]Source!P813</f>
        <v>33.76</v>
      </c>
    </row>
    <row r="226" spans="1:27" ht="15" x14ac:dyDescent="0.25">
      <c r="A226" s="691"/>
      <c r="B226" s="691"/>
      <c r="C226" s="692"/>
      <c r="D226" s="692" t="s">
        <v>88</v>
      </c>
      <c r="E226" s="693" t="s">
        <v>89</v>
      </c>
      <c r="F226" s="694">
        <f>[99]Source!DN813</f>
        <v>112</v>
      </c>
      <c r="G226" s="695"/>
      <c r="H226" s="696"/>
      <c r="I226" s="694"/>
      <c r="J226" s="697">
        <f>SUM(Q221:Q225)</f>
        <v>88.14</v>
      </c>
      <c r="K226" s="694">
        <f>[99]Source!BZ813</f>
        <v>90</v>
      </c>
      <c r="L226" s="697">
        <f>SUM(R221:R225)</f>
        <v>1716.21</v>
      </c>
    </row>
    <row r="227" spans="1:27" ht="15" x14ac:dyDescent="0.25">
      <c r="A227" s="691"/>
      <c r="B227" s="691"/>
      <c r="C227" s="692"/>
      <c r="D227" s="692" t="s">
        <v>90</v>
      </c>
      <c r="E227" s="693" t="s">
        <v>89</v>
      </c>
      <c r="F227" s="694">
        <f>[99]Source!DO813</f>
        <v>70</v>
      </c>
      <c r="G227" s="695"/>
      <c r="H227" s="696"/>
      <c r="I227" s="694"/>
      <c r="J227" s="697">
        <f>SUM(S221:S226)</f>
        <v>55.09</v>
      </c>
      <c r="K227" s="694">
        <f>[99]Source!CA813</f>
        <v>43</v>
      </c>
      <c r="L227" s="697">
        <f>SUM(T221:T226)</f>
        <v>819.97</v>
      </c>
    </row>
    <row r="228" spans="1:27" ht="15" x14ac:dyDescent="0.25">
      <c r="A228" s="691"/>
      <c r="B228" s="691"/>
      <c r="C228" s="692"/>
      <c r="D228" s="692" t="s">
        <v>91</v>
      </c>
      <c r="E228" s="693" t="s">
        <v>89</v>
      </c>
      <c r="F228" s="694">
        <f>175</f>
        <v>175</v>
      </c>
      <c r="G228" s="695"/>
      <c r="H228" s="696"/>
      <c r="I228" s="694"/>
      <c r="J228" s="697">
        <f>SUM(U221:U227)-J234</f>
        <v>6.65</v>
      </c>
      <c r="K228" s="694">
        <f>157</f>
        <v>157</v>
      </c>
      <c r="L228" s="697">
        <f>SUM(V221:V227)-L234</f>
        <v>144.63999999999999</v>
      </c>
    </row>
    <row r="229" spans="1:27" ht="15" x14ac:dyDescent="0.25">
      <c r="A229" s="691"/>
      <c r="B229" s="691"/>
      <c r="C229" s="692"/>
      <c r="D229" s="692" t="s">
        <v>92</v>
      </c>
      <c r="E229" s="693" t="s">
        <v>93</v>
      </c>
      <c r="F229" s="694">
        <f>[99]Source!AQ813</f>
        <v>58.7</v>
      </c>
      <c r="G229" s="695"/>
      <c r="H229" s="696" t="str">
        <f>[99]Source!DI813</f>
        <v/>
      </c>
      <c r="I229" s="694">
        <f>[99]Source!AV813</f>
        <v>1.0469999999999999</v>
      </c>
      <c r="J229" s="697">
        <f>[99]Source!U813</f>
        <v>3.82</v>
      </c>
      <c r="K229" s="694"/>
      <c r="L229" s="697"/>
    </row>
    <row r="230" spans="1:27" ht="14.25" x14ac:dyDescent="0.2">
      <c r="I230" s="1067">
        <f>J222+J223+J225+J226+J227+J228</f>
        <v>274.44</v>
      </c>
      <c r="J230" s="1067"/>
      <c r="K230" s="1067">
        <f>L222+L223+L225+L226+L227+L228</f>
        <v>4913.75</v>
      </c>
      <c r="L230" s="1067"/>
      <c r="O230" s="736">
        <f>J222+J223+J225+J226+J227+J228</f>
        <v>274.44</v>
      </c>
      <c r="P230" s="736">
        <f>L222+L223+L225+L226+L227+L228</f>
        <v>4913.75</v>
      </c>
      <c r="X230" s="718">
        <f>IF([99]Source!BI813&lt;=1,J222+J223+J225+J226+J227+J228-0, 0)</f>
        <v>0</v>
      </c>
      <c r="Y230" s="718">
        <f>IF([99]Source!BI813=2,J222+J223+J225+J226+J227+J228-0, 0)</f>
        <v>274.44</v>
      </c>
      <c r="Z230" s="718">
        <f>IF([99]Source!BI813=3,J222+J223+J225+J226+J227+J228-0, 0)</f>
        <v>0</v>
      </c>
      <c r="AA230" s="718">
        <f>IF([99]Source!BI813=4,J222+J223+J225+J226+J227+J228,0)</f>
        <v>0</v>
      </c>
    </row>
    <row r="231" spans="1:27" ht="30" x14ac:dyDescent="0.25">
      <c r="A231" s="701"/>
      <c r="B231" s="701"/>
      <c r="C231" s="702"/>
      <c r="D231" s="702" t="s">
        <v>94</v>
      </c>
      <c r="E231" s="693"/>
      <c r="F231" s="703"/>
      <c r="G231" s="704"/>
      <c r="H231" s="693"/>
      <c r="I231" s="703"/>
      <c r="J231" s="700"/>
      <c r="K231" s="703"/>
      <c r="L231" s="700"/>
    </row>
    <row r="232" spans="1:27" ht="15" x14ac:dyDescent="0.25">
      <c r="A232" s="701"/>
      <c r="B232" s="701"/>
      <c r="C232" s="702"/>
      <c r="D232" s="702" t="s">
        <v>85</v>
      </c>
      <c r="E232" s="693"/>
      <c r="F232" s="703"/>
      <c r="G232" s="704">
        <f t="shared" ref="G232:L232" si="2">G233</f>
        <v>58.4</v>
      </c>
      <c r="H232" s="705" t="str">
        <f t="shared" si="2"/>
        <v>)*(1.67-1)</v>
      </c>
      <c r="I232" s="703">
        <f t="shared" si="2"/>
        <v>1.0469999999999999</v>
      </c>
      <c r="J232" s="700">
        <f t="shared" si="2"/>
        <v>2.5499999999999998</v>
      </c>
      <c r="K232" s="703">
        <f t="shared" si="2"/>
        <v>24.23</v>
      </c>
      <c r="L232" s="700">
        <f t="shared" si="2"/>
        <v>61.73</v>
      </c>
    </row>
    <row r="233" spans="1:27" ht="15" x14ac:dyDescent="0.25">
      <c r="A233" s="701"/>
      <c r="B233" s="701"/>
      <c r="C233" s="702"/>
      <c r="D233" s="702" t="s">
        <v>86</v>
      </c>
      <c r="E233" s="693"/>
      <c r="F233" s="703"/>
      <c r="G233" s="704">
        <f>[99]Source!AN813</f>
        <v>58.4</v>
      </c>
      <c r="H233" s="705" t="s">
        <v>95</v>
      </c>
      <c r="I233" s="703">
        <f>[99]Source!AV813</f>
        <v>1.0469999999999999</v>
      </c>
      <c r="J233" s="700">
        <f>ROUND(F221*G233*I233*(1.67-1), 2)</f>
        <v>2.5499999999999998</v>
      </c>
      <c r="K233" s="703">
        <f>IF([99]Source!BS813&lt;&gt; 0, [99]Source!BS813, 1)</f>
        <v>24.23</v>
      </c>
      <c r="L233" s="700">
        <f>ROUND(F221*G233*I233*(1.67-1)*K233, 2)</f>
        <v>61.73</v>
      </c>
      <c r="W233" s="718">
        <f>J233</f>
        <v>2.5499999999999998</v>
      </c>
    </row>
    <row r="234" spans="1:27" ht="15" x14ac:dyDescent="0.25">
      <c r="A234" s="701"/>
      <c r="B234" s="701"/>
      <c r="C234" s="702"/>
      <c r="D234" s="702" t="s">
        <v>91</v>
      </c>
      <c r="E234" s="693" t="s">
        <v>89</v>
      </c>
      <c r="F234" s="703">
        <f>175</f>
        <v>175</v>
      </c>
      <c r="G234" s="704"/>
      <c r="H234" s="693"/>
      <c r="I234" s="703"/>
      <c r="J234" s="700">
        <f>ROUND(J233*(F234/100), 2)</f>
        <v>4.46</v>
      </c>
      <c r="K234" s="703">
        <f>157</f>
        <v>157</v>
      </c>
      <c r="L234" s="700">
        <f>ROUND(L233*(K234/100), 2)</f>
        <v>96.92</v>
      </c>
    </row>
    <row r="235" spans="1:27" ht="14.25" x14ac:dyDescent="0.2">
      <c r="I235" s="1067">
        <f>J234+J233</f>
        <v>7.01</v>
      </c>
      <c r="J235" s="1067"/>
      <c r="K235" s="1067">
        <f>L234+L233</f>
        <v>158.65</v>
      </c>
      <c r="L235" s="1067"/>
      <c r="O235" s="736">
        <f>I235</f>
        <v>7.01</v>
      </c>
      <c r="P235" s="736">
        <f>K235</f>
        <v>158.65</v>
      </c>
      <c r="X235" s="718">
        <f>IF([99]Source!BI813&lt;=1,I235, 0)</f>
        <v>0</v>
      </c>
      <c r="Y235" s="718">
        <f>IF([99]Source!BI813=2,I235, 0)</f>
        <v>7.01</v>
      </c>
      <c r="Z235" s="718">
        <f>IF([99]Source!BI813=3,I235, 0)</f>
        <v>0</v>
      </c>
      <c r="AA235" s="718">
        <f>IF([99]Source!BI813=4,I235, 0)</f>
        <v>0</v>
      </c>
    </row>
    <row r="237" spans="1:27" ht="15" x14ac:dyDescent="0.25">
      <c r="A237" s="706"/>
      <c r="B237" s="706"/>
      <c r="C237" s="707"/>
      <c r="D237" s="707" t="s">
        <v>96</v>
      </c>
      <c r="E237" s="708"/>
      <c r="F237" s="709"/>
      <c r="G237" s="710"/>
      <c r="H237" s="711"/>
      <c r="I237" s="1067">
        <f>I230+I235</f>
        <v>281.45</v>
      </c>
      <c r="J237" s="1067"/>
      <c r="K237" s="1067">
        <f>K230+K235</f>
        <v>5072.3999999999996</v>
      </c>
      <c r="L237" s="1067"/>
    </row>
    <row r="238" spans="1:27" ht="100.5" x14ac:dyDescent="0.25">
      <c r="A238" s="691">
        <v>46</v>
      </c>
      <c r="B238" s="691" t="str">
        <f>[99]Source!E815</f>
        <v>176</v>
      </c>
      <c r="C238" s="692" t="str">
        <f>[99]Source!F815</f>
        <v>МКЭ-33-1475/7-1 от 09.08.2017г.</v>
      </c>
      <c r="D238" s="692" t="s">
        <v>755</v>
      </c>
      <c r="E238" s="693" t="str">
        <f>[99]Source!H815</f>
        <v>м</v>
      </c>
      <c r="F238" s="694">
        <f>[99]Source!I815</f>
        <v>40.380000000000003</v>
      </c>
      <c r="G238" s="697">
        <f>J238/F238</f>
        <v>33.99</v>
      </c>
      <c r="H238" s="696"/>
      <c r="I238" s="694">
        <f>[99]Source!AW342</f>
        <v>1</v>
      </c>
      <c r="J238" s="697">
        <f>L238/K238</f>
        <v>1372.33</v>
      </c>
      <c r="K238" s="694">
        <v>5.58</v>
      </c>
      <c r="L238" s="697">
        <f>185.92*1.02*F238</f>
        <v>7657.6</v>
      </c>
      <c r="Q238" s="718">
        <f>ROUND(([99]Source!DN815/100)*ROUND((ROUND(([99]Source!AF815*[99]Source!AV815*[99]Source!I815),2)),2), 2)</f>
        <v>0</v>
      </c>
      <c r="R238" s="718">
        <f>[99]Source!X815</f>
        <v>0</v>
      </c>
      <c r="S238" s="718">
        <f>ROUND(([99]Source!DO815/100)*ROUND((ROUND(([99]Source!AF815*[99]Source!AV815*[99]Source!I815),2)),2), 2)</f>
        <v>0</v>
      </c>
      <c r="T238" s="718">
        <f>[99]Source!Y815</f>
        <v>0</v>
      </c>
      <c r="U238" s="718">
        <f>ROUND((175/100)*ROUND((ROUND(([99]Source!AE815*[99]Source!AV815*[99]Source!I815),2)),2), 2)</f>
        <v>0</v>
      </c>
      <c r="V238" s="718">
        <f>ROUND((157/100)*ROUND(ROUND((ROUND(([99]Source!AE815*[99]Source!AV815*[99]Source!I815),2)*[99]Source!BS815),2), 2), 2)</f>
        <v>0</v>
      </c>
    </row>
    <row r="239" spans="1:27" ht="14.25" x14ac:dyDescent="0.2">
      <c r="A239" s="737"/>
      <c r="B239" s="737"/>
      <c r="C239" s="737"/>
      <c r="D239" s="737"/>
      <c r="E239" s="737"/>
      <c r="F239" s="737"/>
      <c r="G239" s="737"/>
      <c r="H239" s="737"/>
      <c r="I239" s="1067">
        <f>J238</f>
        <v>1372.33</v>
      </c>
      <c r="J239" s="1067"/>
      <c r="K239" s="1067">
        <f>L238</f>
        <v>7657.6</v>
      </c>
      <c r="L239" s="1067"/>
      <c r="O239" s="736">
        <f>J238</f>
        <v>1372.33</v>
      </c>
      <c r="P239" s="736">
        <f>L238</f>
        <v>7657.6</v>
      </c>
      <c r="X239" s="718">
        <f>IF([99]Source!BI815&lt;=1,J238-0, 0)</f>
        <v>1372.33</v>
      </c>
      <c r="Y239" s="718">
        <f>IF([99]Source!BI815=2,J238-0, 0)</f>
        <v>0</v>
      </c>
      <c r="Z239" s="718">
        <f>IF([99]Source!BI815=3,J238-0, 0)</f>
        <v>0</v>
      </c>
      <c r="AA239" s="718">
        <f>IF([99]Source!BI815=4,J238,0)</f>
        <v>0</v>
      </c>
    </row>
    <row r="240" spans="1:27" ht="85.5" x14ac:dyDescent="0.25">
      <c r="A240" s="691">
        <v>47</v>
      </c>
      <c r="B240" s="691" t="str">
        <f>[99]Source!E819</f>
        <v>178</v>
      </c>
      <c r="C240" s="692" t="str">
        <f>[99]Source!F819</f>
        <v>МКЭ-33-1382/8-1 от 20.09.2018г.</v>
      </c>
      <c r="D240" s="692" t="s">
        <v>756</v>
      </c>
      <c r="E240" s="693" t="str">
        <f>[99]Source!H819</f>
        <v>м</v>
      </c>
      <c r="F240" s="694">
        <f>[99]Source!I819</f>
        <v>59.17</v>
      </c>
      <c r="G240" s="697">
        <f>J240/F240</f>
        <v>55.85</v>
      </c>
      <c r="H240" s="696"/>
      <c r="I240" s="694">
        <f>[99]Source!AW344</f>
        <v>1</v>
      </c>
      <c r="J240" s="697">
        <f>L240/K240</f>
        <v>3304.4</v>
      </c>
      <c r="K240" s="694">
        <v>5.58</v>
      </c>
      <c r="L240" s="697">
        <f>305.51*1.02*F240</f>
        <v>18438.57</v>
      </c>
      <c r="Q240" s="718">
        <f>ROUND(([99]Source!DN819/100)*ROUND((ROUND(([99]Source!AF819*[99]Source!AV819*[99]Source!I819),2)),2), 2)</f>
        <v>0</v>
      </c>
      <c r="R240" s="718">
        <f>[99]Source!X819</f>
        <v>0</v>
      </c>
      <c r="S240" s="718">
        <f>ROUND(([99]Source!DO819/100)*ROUND((ROUND(([99]Source!AF819*[99]Source!AV819*[99]Source!I819),2)),2), 2)</f>
        <v>0</v>
      </c>
      <c r="T240" s="718">
        <f>[99]Source!Y819</f>
        <v>0</v>
      </c>
      <c r="U240" s="718">
        <f>ROUND((175/100)*ROUND((ROUND(([99]Source!AE819*[99]Source!AV819*[99]Source!I819),2)),2), 2)</f>
        <v>0</v>
      </c>
      <c r="V240" s="718">
        <f>ROUND((157/100)*ROUND(ROUND((ROUND(([99]Source!AE819*[99]Source!AV819*[99]Source!I819),2)*[99]Source!BS819),2), 2), 2)</f>
        <v>0</v>
      </c>
    </row>
    <row r="241" spans="1:27" ht="14.25" x14ac:dyDescent="0.2">
      <c r="A241" s="737"/>
      <c r="B241" s="737"/>
      <c r="C241" s="737"/>
      <c r="D241" s="737"/>
      <c r="E241" s="737"/>
      <c r="F241" s="737"/>
      <c r="G241" s="737"/>
      <c r="H241" s="737"/>
      <c r="I241" s="1067">
        <f>J240</f>
        <v>3304.4</v>
      </c>
      <c r="J241" s="1067"/>
      <c r="K241" s="1067">
        <f>L240</f>
        <v>18438.57</v>
      </c>
      <c r="L241" s="1067"/>
      <c r="O241" s="736">
        <f>J240</f>
        <v>3304.4</v>
      </c>
      <c r="P241" s="736">
        <f>L240</f>
        <v>18438.57</v>
      </c>
      <c r="X241" s="718">
        <f>IF([99]Source!BI819&lt;=1,J240-0, 0)</f>
        <v>3304.4</v>
      </c>
      <c r="Y241" s="718">
        <f>IF([99]Source!BI819=2,J240-0, 0)</f>
        <v>0</v>
      </c>
      <c r="Z241" s="718">
        <f>IF([99]Source!BI819=3,J240-0, 0)</f>
        <v>0</v>
      </c>
      <c r="AA241" s="718">
        <f>IF([99]Source!BI819=4,J240,0)</f>
        <v>0</v>
      </c>
    </row>
    <row r="242" spans="1:27" ht="45" x14ac:dyDescent="0.25">
      <c r="A242" s="691">
        <v>48</v>
      </c>
      <c r="B242" s="691" t="str">
        <f>[99]Source!E827</f>
        <v>182</v>
      </c>
      <c r="C242" s="692" t="str">
        <f>[99]Source!F827</f>
        <v>4.8-83-4</v>
      </c>
      <c r="D242" s="692" t="s">
        <v>560</v>
      </c>
      <c r="E242" s="693" t="str">
        <f>[99]Source!H827</f>
        <v>100 шт.</v>
      </c>
      <c r="F242" s="694">
        <f>[99]Source!I827</f>
        <v>0.39</v>
      </c>
      <c r="G242" s="695"/>
      <c r="H242" s="696"/>
      <c r="I242" s="694"/>
      <c r="J242" s="697"/>
      <c r="K242" s="694"/>
      <c r="L242" s="697"/>
      <c r="Q242" s="718">
        <f>ROUND(([99]Source!DN827/100)*ROUND((ROUND(([99]Source!AF827*[99]Source!AV827*[99]Source!I827),2)),2), 2)</f>
        <v>241.48</v>
      </c>
      <c r="R242" s="718">
        <f>[99]Source!X827</f>
        <v>4701.8100000000004</v>
      </c>
      <c r="S242" s="718">
        <f>ROUND(([99]Source!DO827/100)*ROUND((ROUND(([99]Source!AF827*[99]Source!AV827*[99]Source!I827),2)),2), 2)</f>
        <v>150.93</v>
      </c>
      <c r="T242" s="718">
        <f>[99]Source!Y827</f>
        <v>2246.42</v>
      </c>
      <c r="U242" s="718">
        <f>ROUND((175/100)*ROUND((ROUND(([99]Source!AE827*[99]Source!AV827*[99]Source!I827),2)),2), 2)</f>
        <v>72.099999999999994</v>
      </c>
      <c r="V242" s="718">
        <f>ROUND((157/100)*ROUND(ROUND((ROUND(([99]Source!AE827*[99]Source!AV827*[99]Source!I827),2)*[99]Source!BS827),2), 2), 2)</f>
        <v>1567.3</v>
      </c>
    </row>
    <row r="243" spans="1:27" ht="15" x14ac:dyDescent="0.25">
      <c r="A243" s="691"/>
      <c r="B243" s="691"/>
      <c r="C243" s="692"/>
      <c r="D243" s="692" t="s">
        <v>84</v>
      </c>
      <c r="E243" s="693"/>
      <c r="F243" s="694"/>
      <c r="G243" s="695">
        <f>[99]Source!AO827</f>
        <v>304.55</v>
      </c>
      <c r="H243" s="696" t="str">
        <f>[99]Source!DG827</f>
        <v>)*1,67</v>
      </c>
      <c r="I243" s="694">
        <f>[99]Source!AV827</f>
        <v>1.087</v>
      </c>
      <c r="J243" s="697">
        <f>ROUND((ROUND(([99]Source!AF827*[99]Source!AV827*[99]Source!I827),2)),2)</f>
        <v>215.61</v>
      </c>
      <c r="K243" s="694">
        <f>IF([99]Source!BA827&lt;&gt; 0, [99]Source!BA827, 1)</f>
        <v>24.23</v>
      </c>
      <c r="L243" s="697">
        <f>[99]Source!S827</f>
        <v>5224.2299999999996</v>
      </c>
      <c r="W243" s="718">
        <f>J243</f>
        <v>215.61</v>
      </c>
    </row>
    <row r="244" spans="1:27" ht="15" x14ac:dyDescent="0.25">
      <c r="A244" s="691"/>
      <c r="B244" s="691"/>
      <c r="C244" s="692"/>
      <c r="D244" s="692" t="s">
        <v>85</v>
      </c>
      <c r="E244" s="693"/>
      <c r="F244" s="694"/>
      <c r="G244" s="695">
        <f>[99]Source!AM827</f>
        <v>855.92</v>
      </c>
      <c r="H244" s="696" t="str">
        <f>[99]Source!DE827</f>
        <v/>
      </c>
      <c r="I244" s="694">
        <f>[99]Source!AV827</f>
        <v>1.087</v>
      </c>
      <c r="J244" s="697">
        <f>(ROUND((ROUND((([99]Source!ET827)*[99]Source!AV827*[99]Source!I827),2)),2)+ROUND((ROUND((([99]Source!AE827-([99]Source!EU827))*[99]Source!AV827*[99]Source!I827),2)),2))-J253</f>
        <v>362.85</v>
      </c>
      <c r="K244" s="694">
        <f>IF([99]Source!BB827&lt;&gt; 0, [99]Source!BB827, 1)</f>
        <v>6.83</v>
      </c>
      <c r="L244" s="697">
        <f>[99]Source!Q827-L253</f>
        <v>2478.3200000000002</v>
      </c>
    </row>
    <row r="245" spans="1:27" ht="15" x14ac:dyDescent="0.25">
      <c r="A245" s="691"/>
      <c r="B245" s="691"/>
      <c r="C245" s="692"/>
      <c r="D245" s="692" t="s">
        <v>86</v>
      </c>
      <c r="E245" s="693"/>
      <c r="F245" s="694"/>
      <c r="G245" s="695">
        <f>[99]Source!AN827</f>
        <v>58.19</v>
      </c>
      <c r="H245" s="696" t="str">
        <f>[99]Source!DE827</f>
        <v/>
      </c>
      <c r="I245" s="694">
        <f>[99]Source!AV827</f>
        <v>1.087</v>
      </c>
      <c r="J245" s="700">
        <f>ROUND((ROUND(([99]Source!AE827*[99]Source!AV827*[99]Source!I827),2)),2)-J254</f>
        <v>24.67</v>
      </c>
      <c r="K245" s="694">
        <f>IF([99]Source!BS827&lt;&gt; 0, [99]Source!BS827, 1)</f>
        <v>24.23</v>
      </c>
      <c r="L245" s="700">
        <f>[99]Source!R827-L254</f>
        <v>597.80999999999995</v>
      </c>
      <c r="W245" s="718">
        <f>J245</f>
        <v>24.67</v>
      </c>
    </row>
    <row r="246" spans="1:27" ht="15" x14ac:dyDescent="0.25">
      <c r="A246" s="691"/>
      <c r="B246" s="691"/>
      <c r="C246" s="692"/>
      <c r="D246" s="692" t="s">
        <v>87</v>
      </c>
      <c r="E246" s="693"/>
      <c r="F246" s="694"/>
      <c r="G246" s="695">
        <f>[99]Source!AL827</f>
        <v>130.9</v>
      </c>
      <c r="H246" s="696" t="str">
        <f>[99]Source!DD827</f>
        <v/>
      </c>
      <c r="I246" s="694">
        <f>[99]Source!AW827</f>
        <v>1</v>
      </c>
      <c r="J246" s="697">
        <f>ROUND((ROUND(([99]Source!AC827*[99]Source!AW827*[99]Source!I827),2)),2)</f>
        <v>51.05</v>
      </c>
      <c r="K246" s="694">
        <f>IF([99]Source!BC827&lt;&gt; 0, [99]Source!BC827, 1)</f>
        <v>5.58</v>
      </c>
      <c r="L246" s="697">
        <f>[99]Source!P827</f>
        <v>284.86</v>
      </c>
    </row>
    <row r="247" spans="1:27" ht="15" x14ac:dyDescent="0.25">
      <c r="A247" s="691"/>
      <c r="B247" s="691"/>
      <c r="C247" s="692"/>
      <c r="D247" s="692" t="s">
        <v>88</v>
      </c>
      <c r="E247" s="693" t="s">
        <v>89</v>
      </c>
      <c r="F247" s="694">
        <f>[99]Source!DN827</f>
        <v>112</v>
      </c>
      <c r="G247" s="695"/>
      <c r="H247" s="696"/>
      <c r="I247" s="694"/>
      <c r="J247" s="697">
        <f>SUM(Q242:Q246)</f>
        <v>241.48</v>
      </c>
      <c r="K247" s="694">
        <f>[99]Source!BZ827</f>
        <v>90</v>
      </c>
      <c r="L247" s="697">
        <f>SUM(R242:R246)</f>
        <v>4701.8100000000004</v>
      </c>
    </row>
    <row r="248" spans="1:27" ht="15" x14ac:dyDescent="0.25">
      <c r="A248" s="691"/>
      <c r="B248" s="691"/>
      <c r="C248" s="692"/>
      <c r="D248" s="692" t="s">
        <v>90</v>
      </c>
      <c r="E248" s="693" t="s">
        <v>89</v>
      </c>
      <c r="F248" s="694">
        <f>[99]Source!DO827</f>
        <v>70</v>
      </c>
      <c r="G248" s="695"/>
      <c r="H248" s="696"/>
      <c r="I248" s="694"/>
      <c r="J248" s="697">
        <f>SUM(S242:S247)</f>
        <v>150.93</v>
      </c>
      <c r="K248" s="694">
        <f>[99]Source!CA827</f>
        <v>43</v>
      </c>
      <c r="L248" s="697">
        <f>SUM(T242:T247)</f>
        <v>2246.42</v>
      </c>
    </row>
    <row r="249" spans="1:27" ht="15" x14ac:dyDescent="0.25">
      <c r="A249" s="691"/>
      <c r="B249" s="691"/>
      <c r="C249" s="692"/>
      <c r="D249" s="692" t="s">
        <v>91</v>
      </c>
      <c r="E249" s="693" t="s">
        <v>89</v>
      </c>
      <c r="F249" s="694">
        <f>175</f>
        <v>175</v>
      </c>
      <c r="G249" s="695"/>
      <c r="H249" s="696"/>
      <c r="I249" s="694"/>
      <c r="J249" s="697">
        <f>SUM(U242:U248)-J255</f>
        <v>43.17</v>
      </c>
      <c r="K249" s="694">
        <f>157</f>
        <v>157</v>
      </c>
      <c r="L249" s="697">
        <f>SUM(V242:V248)-L255</f>
        <v>938.56</v>
      </c>
    </row>
    <row r="250" spans="1:27" ht="15" x14ac:dyDescent="0.25">
      <c r="A250" s="691"/>
      <c r="B250" s="691"/>
      <c r="C250" s="692"/>
      <c r="D250" s="692" t="s">
        <v>92</v>
      </c>
      <c r="E250" s="693" t="s">
        <v>93</v>
      </c>
      <c r="F250" s="694">
        <f>[99]Source!AQ827</f>
        <v>24.7</v>
      </c>
      <c r="G250" s="695"/>
      <c r="H250" s="696" t="str">
        <f>[99]Source!DI827</f>
        <v/>
      </c>
      <c r="I250" s="694">
        <f>[99]Source!AV827</f>
        <v>1.087</v>
      </c>
      <c r="J250" s="697">
        <f>[99]Source!U827</f>
        <v>10.47</v>
      </c>
      <c r="K250" s="694"/>
      <c r="L250" s="697"/>
    </row>
    <row r="251" spans="1:27" ht="14.25" x14ac:dyDescent="0.2">
      <c r="I251" s="1067">
        <f>J243+J244+J246+J247+J248+J249</f>
        <v>1065.0899999999999</v>
      </c>
      <c r="J251" s="1067"/>
      <c r="K251" s="1067">
        <f>L243+L244+L246+L247+L248+L249</f>
        <v>15874.2</v>
      </c>
      <c r="L251" s="1067"/>
      <c r="O251" s="736">
        <f>J243+J244+J246+J247+J248+J249</f>
        <v>1065.0899999999999</v>
      </c>
      <c r="P251" s="736">
        <f>L243+L244+L246+L247+L248+L249</f>
        <v>15874.2</v>
      </c>
      <c r="X251" s="718">
        <f>IF([99]Source!BI827&lt;=1,J243+J244+J246+J247+J248+J249-0, 0)</f>
        <v>0</v>
      </c>
      <c r="Y251" s="718">
        <f>IF([99]Source!BI827=2,J243+J244+J246+J247+J248+J249-0, 0)</f>
        <v>1065.0899999999999</v>
      </c>
      <c r="Z251" s="718">
        <f>IF([99]Source!BI827=3,J243+J244+J246+J247+J248+J249-0, 0)</f>
        <v>0</v>
      </c>
      <c r="AA251" s="718">
        <f>IF([99]Source!BI827=4,J243+J244+J246+J247+J248+J249,0)</f>
        <v>0</v>
      </c>
    </row>
    <row r="252" spans="1:27" ht="30" x14ac:dyDescent="0.25">
      <c r="A252" s="701"/>
      <c r="B252" s="701"/>
      <c r="C252" s="702"/>
      <c r="D252" s="702" t="s">
        <v>94</v>
      </c>
      <c r="E252" s="693"/>
      <c r="F252" s="703"/>
      <c r="G252" s="704"/>
      <c r="H252" s="693"/>
      <c r="I252" s="703"/>
      <c r="J252" s="700"/>
      <c r="K252" s="703"/>
      <c r="L252" s="700"/>
    </row>
    <row r="253" spans="1:27" ht="15" x14ac:dyDescent="0.25">
      <c r="A253" s="701"/>
      <c r="B253" s="701"/>
      <c r="C253" s="702"/>
      <c r="D253" s="702" t="s">
        <v>85</v>
      </c>
      <c r="E253" s="693"/>
      <c r="F253" s="703"/>
      <c r="G253" s="704">
        <f t="shared" ref="G253:L253" si="3">G254</f>
        <v>58.19</v>
      </c>
      <c r="H253" s="705" t="str">
        <f t="shared" si="3"/>
        <v>)*(1.67-1)</v>
      </c>
      <c r="I253" s="703">
        <f t="shared" si="3"/>
        <v>1.087</v>
      </c>
      <c r="J253" s="700">
        <f t="shared" si="3"/>
        <v>16.53</v>
      </c>
      <c r="K253" s="703">
        <f t="shared" si="3"/>
        <v>24.23</v>
      </c>
      <c r="L253" s="700">
        <f t="shared" si="3"/>
        <v>400.47</v>
      </c>
    </row>
    <row r="254" spans="1:27" ht="15" x14ac:dyDescent="0.25">
      <c r="A254" s="701"/>
      <c r="B254" s="701"/>
      <c r="C254" s="702"/>
      <c r="D254" s="702" t="s">
        <v>86</v>
      </c>
      <c r="E254" s="693"/>
      <c r="F254" s="703"/>
      <c r="G254" s="704">
        <f>[99]Source!AN827</f>
        <v>58.19</v>
      </c>
      <c r="H254" s="705" t="s">
        <v>95</v>
      </c>
      <c r="I254" s="703">
        <f>[99]Source!AV827</f>
        <v>1.087</v>
      </c>
      <c r="J254" s="700">
        <f>ROUND(F242*G254*I254*(1.67-1), 2)</f>
        <v>16.53</v>
      </c>
      <c r="K254" s="703">
        <f>IF([99]Source!BS827&lt;&gt; 0, [99]Source!BS827, 1)</f>
        <v>24.23</v>
      </c>
      <c r="L254" s="700">
        <f>ROUND(F242*G254*I254*(1.67-1)*K254, 2)</f>
        <v>400.47</v>
      </c>
      <c r="W254" s="718">
        <f>J254</f>
        <v>16.53</v>
      </c>
    </row>
    <row r="255" spans="1:27" ht="15" x14ac:dyDescent="0.25">
      <c r="A255" s="701"/>
      <c r="B255" s="701"/>
      <c r="C255" s="702"/>
      <c r="D255" s="702" t="s">
        <v>91</v>
      </c>
      <c r="E255" s="693" t="s">
        <v>89</v>
      </c>
      <c r="F255" s="703">
        <f>175</f>
        <v>175</v>
      </c>
      <c r="G255" s="704"/>
      <c r="H255" s="693"/>
      <c r="I255" s="703"/>
      <c r="J255" s="700">
        <f>ROUND(J254*(F255/100), 2)</f>
        <v>28.93</v>
      </c>
      <c r="K255" s="703">
        <f>157</f>
        <v>157</v>
      </c>
      <c r="L255" s="700">
        <f>ROUND(L254*(K255/100), 2)</f>
        <v>628.74</v>
      </c>
    </row>
    <row r="256" spans="1:27" ht="14.25" x14ac:dyDescent="0.2">
      <c r="I256" s="1067">
        <f>J255+J254</f>
        <v>45.46</v>
      </c>
      <c r="J256" s="1067"/>
      <c r="K256" s="1067">
        <f>L255+L254</f>
        <v>1029.21</v>
      </c>
      <c r="L256" s="1067"/>
      <c r="O256" s="736">
        <f>I256</f>
        <v>45.46</v>
      </c>
      <c r="P256" s="736">
        <f>K256</f>
        <v>1029.21</v>
      </c>
      <c r="X256" s="718">
        <f>IF([99]Source!BI827&lt;=1,I256, 0)</f>
        <v>0</v>
      </c>
      <c r="Y256" s="718">
        <f>IF([99]Source!BI827=2,I256, 0)</f>
        <v>45.46</v>
      </c>
      <c r="Z256" s="718">
        <f>IF([99]Source!BI827=3,I256, 0)</f>
        <v>0</v>
      </c>
      <c r="AA256" s="718">
        <f>IF([99]Source!BI827=4,I256, 0)</f>
        <v>0</v>
      </c>
    </row>
    <row r="258" spans="1:38" ht="15" x14ac:dyDescent="0.25">
      <c r="A258" s="706"/>
      <c r="B258" s="706"/>
      <c r="C258" s="707"/>
      <c r="D258" s="707" t="s">
        <v>96</v>
      </c>
      <c r="E258" s="708"/>
      <c r="F258" s="709"/>
      <c r="G258" s="710"/>
      <c r="H258" s="711"/>
      <c r="I258" s="1067">
        <f>I251+I256</f>
        <v>1110.55</v>
      </c>
      <c r="J258" s="1067"/>
      <c r="K258" s="1067">
        <f>K251+K256</f>
        <v>16903.41</v>
      </c>
      <c r="L258" s="1067"/>
    </row>
    <row r="259" spans="1:38" ht="30" x14ac:dyDescent="0.25">
      <c r="A259" s="691">
        <v>49</v>
      </c>
      <c r="B259" s="691" t="str">
        <f>[99]Source!E829</f>
        <v>183</v>
      </c>
      <c r="C259" s="692" t="str">
        <f>[99]Source!F829</f>
        <v>1.7-5-261</v>
      </c>
      <c r="D259" s="692" t="s">
        <v>561</v>
      </c>
      <c r="E259" s="693" t="str">
        <f>[99]Source!H829</f>
        <v>100 шт.</v>
      </c>
      <c r="F259" s="694">
        <f>[99]Source!I829</f>
        <v>1.84</v>
      </c>
      <c r="G259" s="695">
        <f>[99]Source!AL829</f>
        <v>126.58</v>
      </c>
      <c r="H259" s="696" t="str">
        <f>[99]Source!DD829</f>
        <v/>
      </c>
      <c r="I259" s="694">
        <f>[99]Source!AW829</f>
        <v>1</v>
      </c>
      <c r="J259" s="697">
        <f>ROUND((ROUND(([99]Source!AC829*[99]Source!AW829*[99]Source!I829),2)),2)</f>
        <v>232.91</v>
      </c>
      <c r="K259" s="694">
        <f>IF([99]Source!BC829&lt;&gt; 0, [99]Source!BC829, 1)</f>
        <v>10.64</v>
      </c>
      <c r="L259" s="697">
        <f>[99]Source!P829</f>
        <v>2478.16</v>
      </c>
      <c r="Q259" s="718">
        <f>ROUND(([99]Source!DN829/100)*ROUND((ROUND(([99]Source!AF829*[99]Source!AV829*[99]Source!I829),2)),2), 2)</f>
        <v>0</v>
      </c>
      <c r="R259" s="718">
        <f>[99]Source!X829</f>
        <v>0</v>
      </c>
      <c r="S259" s="718">
        <f>ROUND(([99]Source!DO829/100)*ROUND((ROUND(([99]Source!AF829*[99]Source!AV829*[99]Source!I829),2)),2), 2)</f>
        <v>0</v>
      </c>
      <c r="T259" s="718">
        <f>[99]Source!Y829</f>
        <v>0</v>
      </c>
      <c r="U259" s="718">
        <f>ROUND((175/100)*ROUND((ROUND(([99]Source!AE829*[99]Source!AV829*[99]Source!I829),2)),2), 2)</f>
        <v>0</v>
      </c>
      <c r="V259" s="718">
        <f>ROUND((157/100)*ROUND(ROUND((ROUND(([99]Source!AE829*[99]Source!AV829*[99]Source!I829),2)*[99]Source!BS829),2), 2), 2)</f>
        <v>0</v>
      </c>
    </row>
    <row r="260" spans="1:38" ht="14.25" x14ac:dyDescent="0.2">
      <c r="A260" s="737"/>
      <c r="B260" s="737"/>
      <c r="C260" s="737"/>
      <c r="D260" s="737"/>
      <c r="E260" s="737"/>
      <c r="F260" s="737"/>
      <c r="G260" s="737"/>
      <c r="H260" s="737"/>
      <c r="I260" s="1067">
        <f>J259</f>
        <v>232.91</v>
      </c>
      <c r="J260" s="1067"/>
      <c r="K260" s="1067">
        <f>L259</f>
        <v>2478.16</v>
      </c>
      <c r="L260" s="1067"/>
      <c r="O260" s="736">
        <f>J259</f>
        <v>232.91</v>
      </c>
      <c r="P260" s="736">
        <f>L259</f>
        <v>2478.16</v>
      </c>
      <c r="X260" s="718">
        <f>IF([99]Source!BI829&lt;=1,J259-0, 0)</f>
        <v>232.91</v>
      </c>
      <c r="Y260" s="718">
        <f>IF([99]Source!BI829=2,J259-0, 0)</f>
        <v>0</v>
      </c>
      <c r="Z260" s="718">
        <f>IF([99]Source!BI829=3,J259-0, 0)</f>
        <v>0</v>
      </c>
      <c r="AA260" s="718">
        <f>IF([99]Source!BI829=4,J259,0)</f>
        <v>0</v>
      </c>
    </row>
    <row r="261" spans="1:38" ht="70.5" x14ac:dyDescent="0.25">
      <c r="A261" s="691">
        <v>50</v>
      </c>
      <c r="B261" s="691" t="str">
        <f>[99]Source!E831</f>
        <v>184</v>
      </c>
      <c r="C261" s="692" t="str">
        <f>[99]Source!F831</f>
        <v>МКЭ-33-257/9-3 от 01.04.2019г.</v>
      </c>
      <c r="D261" s="692" t="s">
        <v>757</v>
      </c>
      <c r="E261" s="693" t="str">
        <f>[99]Source!H831</f>
        <v>м</v>
      </c>
      <c r="F261" s="694">
        <f>[99]Source!I831</f>
        <v>78</v>
      </c>
      <c r="G261" s="697">
        <f>J261/F261</f>
        <v>6.69</v>
      </c>
      <c r="H261" s="696"/>
      <c r="I261" s="694">
        <f>[99]Source!AW365</f>
        <v>1</v>
      </c>
      <c r="J261" s="697">
        <f>L261/K261</f>
        <v>521.85</v>
      </c>
      <c r="K261" s="694">
        <v>5.58</v>
      </c>
      <c r="L261" s="697">
        <f>36.6*1.02*F261</f>
        <v>2911.9</v>
      </c>
      <c r="Q261" s="718">
        <f>ROUND(([99]Source!DN831/100)*ROUND((ROUND(([99]Source!AF831*[99]Source!AV831*[99]Source!I831),2)),2), 2)</f>
        <v>0</v>
      </c>
      <c r="R261" s="718">
        <f>[99]Source!X831</f>
        <v>0</v>
      </c>
      <c r="S261" s="718">
        <f>ROUND(([99]Source!DO831/100)*ROUND((ROUND(([99]Source!AF831*[99]Source!AV831*[99]Source!I831),2)),2), 2)</f>
        <v>0</v>
      </c>
      <c r="T261" s="718">
        <f>[99]Source!Y831</f>
        <v>0</v>
      </c>
      <c r="U261" s="718">
        <f>ROUND((175/100)*ROUND((ROUND(([99]Source!AE831*[99]Source!AV831*[99]Source!I831),2)),2), 2)</f>
        <v>0</v>
      </c>
      <c r="V261" s="718">
        <f>ROUND((157/100)*ROUND(ROUND((ROUND(([99]Source!AE831*[99]Source!AV831*[99]Source!I831),2)*[99]Source!BS831),2), 2), 2)</f>
        <v>0</v>
      </c>
    </row>
    <row r="262" spans="1:38" ht="14.25" x14ac:dyDescent="0.2">
      <c r="A262" s="737"/>
      <c r="B262" s="737"/>
      <c r="C262" s="737"/>
      <c r="D262" s="737"/>
      <c r="E262" s="737"/>
      <c r="F262" s="737"/>
      <c r="G262" s="737"/>
      <c r="H262" s="737"/>
      <c r="I262" s="1067">
        <f>J261</f>
        <v>521.85</v>
      </c>
      <c r="J262" s="1067"/>
      <c r="K262" s="1067">
        <f>L261</f>
        <v>2911.9</v>
      </c>
      <c r="L262" s="1067"/>
      <c r="O262" s="736">
        <f>J261</f>
        <v>521.85</v>
      </c>
      <c r="P262" s="736">
        <f>L261</f>
        <v>2911.9</v>
      </c>
      <c r="X262" s="718">
        <f>IF([99]Source!BI831&lt;=1,J261-0, 0)</f>
        <v>521.85</v>
      </c>
      <c r="Y262" s="718">
        <f>IF([99]Source!BI831=2,J261-0, 0)</f>
        <v>0</v>
      </c>
      <c r="Z262" s="718">
        <f>IF([99]Source!BI831=3,J261-0, 0)</f>
        <v>0</v>
      </c>
      <c r="AA262" s="718">
        <f>IF([99]Source!BI831=4,J261,0)</f>
        <v>0</v>
      </c>
    </row>
    <row r="264" spans="1:38" ht="14.25" x14ac:dyDescent="0.2">
      <c r="A264" s="1068" t="str">
        <f>CONCATENATE("Итого по подразделу: ",IF([99]Source!G837&lt;&gt;"Новый подраздел", [99]Source!G837, ""))</f>
        <v>Итого по подразделу: К2-21</v>
      </c>
      <c r="B264" s="1068"/>
      <c r="C264" s="1068"/>
      <c r="D264" s="1068"/>
      <c r="E264" s="1068"/>
      <c r="F264" s="1068"/>
      <c r="G264" s="1068"/>
      <c r="H264" s="1068"/>
      <c r="I264" s="1069">
        <f>SUM(O220:O263)</f>
        <v>6823.49</v>
      </c>
      <c r="J264" s="1070"/>
      <c r="K264" s="1069">
        <f>SUM(P220:P263)</f>
        <v>53462.04</v>
      </c>
      <c r="L264" s="1070"/>
    </row>
    <row r="265" spans="1:38" hidden="1" x14ac:dyDescent="0.2">
      <c r="A265" s="718" t="s">
        <v>139</v>
      </c>
      <c r="I265" s="718">
        <f>SUM(AC220:AC264)</f>
        <v>0</v>
      </c>
      <c r="K265" s="718">
        <f>SUM(AD220:AD264)</f>
        <v>0</v>
      </c>
    </row>
    <row r="266" spans="1:38" hidden="1" x14ac:dyDescent="0.2">
      <c r="A266" s="718" t="s">
        <v>140</v>
      </c>
      <c r="I266" s="718">
        <f>SUM(AE220:AE265)</f>
        <v>0</v>
      </c>
      <c r="K266" s="718">
        <f>SUM(AF220:AF265)</f>
        <v>0</v>
      </c>
    </row>
    <row r="268" spans="1:38" ht="14.25" x14ac:dyDescent="0.2">
      <c r="A268" s="1068" t="str">
        <f>CONCATENATE("Итого по разделу: ",IF([99]Source!G867&lt;&gt;"Новый раздел", [99]Source!G867, ""))</f>
        <v>Итого по разделу: Кондиционирование</v>
      </c>
      <c r="B268" s="1068"/>
      <c r="C268" s="1068"/>
      <c r="D268" s="1068"/>
      <c r="E268" s="1068"/>
      <c r="F268" s="1068"/>
      <c r="G268" s="1068"/>
      <c r="H268" s="1068"/>
      <c r="I268" s="1069">
        <f>SUM(O17:O267)</f>
        <v>82228.210000000006</v>
      </c>
      <c r="J268" s="1070"/>
      <c r="K268" s="1069">
        <f>SUM(P17:P267)</f>
        <v>911526.37</v>
      </c>
      <c r="L268" s="1070"/>
    </row>
    <row r="269" spans="1:38" hidden="1" x14ac:dyDescent="0.2">
      <c r="A269" s="718" t="s">
        <v>139</v>
      </c>
      <c r="I269" s="718">
        <f>SUM(AC17:AC268)</f>
        <v>0</v>
      </c>
      <c r="K269" s="718">
        <f>SUM(AD17:AD268)</f>
        <v>0</v>
      </c>
    </row>
    <row r="270" spans="1:38" hidden="1" x14ac:dyDescent="0.2">
      <c r="A270" s="718" t="s">
        <v>140</v>
      </c>
      <c r="I270" s="718">
        <f>SUM(AE17:AE269)</f>
        <v>0</v>
      </c>
      <c r="K270" s="718">
        <f>SUM(AF17:AF269)</f>
        <v>0</v>
      </c>
    </row>
    <row r="272" spans="1:38" ht="24.75" customHeight="1" x14ac:dyDescent="0.2">
      <c r="A272" s="1068" t="s">
        <v>701</v>
      </c>
      <c r="B272" s="1068"/>
      <c r="C272" s="1068"/>
      <c r="D272" s="1068"/>
      <c r="E272" s="1068"/>
      <c r="F272" s="1068"/>
      <c r="G272" s="1068"/>
      <c r="H272" s="1068"/>
      <c r="I272" s="1069">
        <f>SUM(O1:O271)</f>
        <v>82228.210000000006</v>
      </c>
      <c r="J272" s="1070"/>
      <c r="K272" s="1069">
        <f>SUM(P1:P271)</f>
        <v>911526.37</v>
      </c>
      <c r="L272" s="1070"/>
      <c r="AL272" s="712" t="str">
        <f>CONCATENATE("Итого по акту: ",IF([99]Source!G927&lt;&gt;"Новый объект", [99]Source!G927, ""))</f>
        <v>Итого по акту: 48875-ТПК-5-0707-Р-ССР2-изм.1.1-доп.1_12-4017-Л-Р-11.4.3.1-ОВ1.2-СМ1К (взамен локальной сметы №12-4017-Л-Р-11.4.3.1-ОВ1.2-СМ1)</v>
      </c>
    </row>
    <row r="273" spans="1:12" hidden="1" x14ac:dyDescent="0.2">
      <c r="A273" s="718" t="s">
        <v>139</v>
      </c>
      <c r="I273" s="718">
        <f>SUM(AC1:AC272)</f>
        <v>0</v>
      </c>
      <c r="K273" s="718">
        <f>SUM(AD1:AD272)</f>
        <v>0</v>
      </c>
    </row>
    <row r="274" spans="1:12" hidden="1" x14ac:dyDescent="0.2">
      <c r="A274" s="718" t="s">
        <v>140</v>
      </c>
      <c r="I274" s="718">
        <f>SUM(AE1:AE273)</f>
        <v>0</v>
      </c>
      <c r="K274" s="718">
        <f>SUM(AF1:AF273)</f>
        <v>0</v>
      </c>
    </row>
    <row r="275" spans="1:12" ht="15" x14ac:dyDescent="0.25">
      <c r="D275" s="714" t="s">
        <v>114</v>
      </c>
      <c r="I275" s="1079">
        <f>SUMIF(D20:D262,"МР",J20:J262)+J261+J259+J240+J238+J211+J209+J207+J205+J182+J173+J164+J155+J146+J137+J128+J122+J120+J112+J110+J108+J106+J84+J75+J66+J57+J48+J39+J30+J24+J22+J20</f>
        <v>55913.01</v>
      </c>
      <c r="J275" s="1080"/>
      <c r="K275" s="1079">
        <f>SUMIF(D20:D262,"МР",L20:L262)+L261+L259+L240+L238+L211+L209+L207+L205+L182+L173+L164+L155+L146+L137+L128+L122+L120+L112+L110+L108+L106+L84+L75+L66+L57+L48+L39+L30+L24+L22+L20</f>
        <v>388874.45</v>
      </c>
      <c r="L275" s="1080"/>
    </row>
    <row r="276" spans="1:12" ht="15" x14ac:dyDescent="0.25">
      <c r="D276" s="714" t="s">
        <v>115</v>
      </c>
      <c r="I276" s="1079">
        <f>SUMIF(D20:D262,"в т.ч. ЗПМ",J20:J262)</f>
        <v>250.07</v>
      </c>
      <c r="J276" s="1080"/>
      <c r="K276" s="1079">
        <f>SUMIF(D20:D262,"в т.ч. ЗПМ",L20:L262)</f>
        <v>6059.2</v>
      </c>
      <c r="L276" s="1080"/>
    </row>
    <row r="277" spans="1:12" ht="15" x14ac:dyDescent="0.25">
      <c r="D277" s="714" t="s">
        <v>116</v>
      </c>
      <c r="I277" s="1079">
        <f>SUMIF(D20:D262,"ЗП",J20:J262)</f>
        <v>9697.7099999999991</v>
      </c>
      <c r="J277" s="1080"/>
      <c r="K277" s="1079">
        <f>SUMIF(D20:D262,"ЗП",L20:L262)</f>
        <v>234975.52</v>
      </c>
      <c r="L277" s="1080"/>
    </row>
    <row r="278" spans="1:12" ht="15" hidden="1" x14ac:dyDescent="0.25">
      <c r="D278" s="761" t="s">
        <v>323</v>
      </c>
      <c r="E278" s="762"/>
      <c r="F278" s="762"/>
      <c r="G278" s="762"/>
      <c r="H278" s="762"/>
      <c r="I278" s="1085">
        <v>0</v>
      </c>
      <c r="J278" s="1086"/>
      <c r="K278" s="1085">
        <v>0</v>
      </c>
      <c r="L278" s="1086"/>
    </row>
    <row r="279" spans="1:12" ht="14.25" x14ac:dyDescent="0.2">
      <c r="D279" s="712"/>
      <c r="E279" s="712"/>
      <c r="F279" s="712"/>
      <c r="G279" s="712"/>
      <c r="H279" s="712"/>
      <c r="I279" s="715"/>
      <c r="J279" s="715"/>
      <c r="K279" s="716"/>
      <c r="L279" s="716"/>
    </row>
    <row r="280" spans="1:12" ht="15" x14ac:dyDescent="0.25">
      <c r="D280" s="717" t="s">
        <v>268</v>
      </c>
      <c r="J280" s="719">
        <f>I272</f>
        <v>82228.210000000006</v>
      </c>
      <c r="K280" s="719"/>
      <c r="L280" s="719">
        <f>K272</f>
        <v>911526.37</v>
      </c>
    </row>
    <row r="281" spans="1:12" ht="15" x14ac:dyDescent="0.25">
      <c r="D281" s="717" t="s">
        <v>3</v>
      </c>
      <c r="J281" s="719">
        <f>J280</f>
        <v>82228.210000000006</v>
      </c>
      <c r="K281" s="719"/>
      <c r="L281" s="719">
        <f>L280</f>
        <v>911526.37</v>
      </c>
    </row>
    <row r="282" spans="1:12" ht="15" x14ac:dyDescent="0.25">
      <c r="D282" s="717" t="s">
        <v>269</v>
      </c>
      <c r="J282" s="719">
        <f>I277+I276</f>
        <v>9947.7800000000007</v>
      </c>
      <c r="K282" s="719"/>
      <c r="L282" s="719">
        <f>K277+K276</f>
        <v>241034.72</v>
      </c>
    </row>
    <row r="283" spans="1:12" ht="15" x14ac:dyDescent="0.25">
      <c r="D283" s="717" t="s">
        <v>270</v>
      </c>
      <c r="J283" s="719">
        <f>I275</f>
        <v>55913.01</v>
      </c>
      <c r="K283" s="719"/>
      <c r="L283" s="719">
        <f>K275</f>
        <v>388874.45</v>
      </c>
    </row>
    <row r="284" spans="1:12" ht="15" hidden="1" x14ac:dyDescent="0.25">
      <c r="D284" s="717" t="s">
        <v>271</v>
      </c>
      <c r="J284" s="743">
        <v>0</v>
      </c>
      <c r="K284" s="743"/>
      <c r="L284" s="743">
        <v>0</v>
      </c>
    </row>
    <row r="285" spans="1:12" ht="15" hidden="1" x14ac:dyDescent="0.25">
      <c r="D285" s="1074" t="s">
        <v>583</v>
      </c>
      <c r="E285" s="1074"/>
      <c r="F285" s="1074"/>
      <c r="G285" s="1074"/>
      <c r="H285" s="1074"/>
      <c r="I285" s="720"/>
      <c r="J285" s="720">
        <v>0</v>
      </c>
      <c r="K285" s="720"/>
      <c r="L285" s="720">
        <v>0</v>
      </c>
    </row>
    <row r="286" spans="1:12" ht="15" x14ac:dyDescent="0.25">
      <c r="D286" s="1074" t="s">
        <v>323</v>
      </c>
      <c r="E286" s="1074"/>
      <c r="F286" s="1074"/>
      <c r="G286" s="1074"/>
      <c r="H286" s="1074"/>
      <c r="I286" s="671"/>
      <c r="J286" s="721">
        <v>0</v>
      </c>
      <c r="K286" s="721"/>
      <c r="L286" s="721">
        <v>0</v>
      </c>
    </row>
    <row r="287" spans="1:12" ht="15" x14ac:dyDescent="0.25">
      <c r="D287" s="1076" t="s">
        <v>584</v>
      </c>
      <c r="E287" s="1076"/>
      <c r="F287" s="1076"/>
      <c r="G287" s="1076"/>
      <c r="H287" s="1076"/>
      <c r="I287" s="671"/>
      <c r="J287" s="721">
        <f>J282*0.15</f>
        <v>1492.17</v>
      </c>
      <c r="K287" s="721"/>
      <c r="L287" s="721">
        <f>L282*0.15</f>
        <v>36155.21</v>
      </c>
    </row>
    <row r="288" spans="1:12" ht="14.25" x14ac:dyDescent="0.2">
      <c r="D288" s="1068" t="s">
        <v>688</v>
      </c>
      <c r="E288" s="1068"/>
      <c r="F288" s="1068"/>
      <c r="G288" s="1068"/>
      <c r="H288" s="1068"/>
      <c r="I288" s="671"/>
      <c r="J288" s="650">
        <f>J281+J287</f>
        <v>83720.38</v>
      </c>
      <c r="K288" s="650"/>
      <c r="L288" s="650">
        <f>L281+L287</f>
        <v>947681.58</v>
      </c>
    </row>
    <row r="289" spans="1:256" s="671" customFormat="1" ht="15" x14ac:dyDescent="0.25">
      <c r="D289" s="1074"/>
      <c r="E289" s="1074"/>
      <c r="F289" s="1074"/>
      <c r="G289" s="1074"/>
      <c r="H289" s="1074"/>
      <c r="I289" s="1075"/>
      <c r="J289" s="1075"/>
      <c r="K289" s="1075"/>
      <c r="L289" s="1075"/>
    </row>
    <row r="290" spans="1:256" s="675" customFormat="1" ht="15" x14ac:dyDescent="0.25">
      <c r="A290" s="398"/>
      <c r="B290" s="398"/>
      <c r="C290" s="398"/>
      <c r="D290" s="651" t="s">
        <v>596</v>
      </c>
      <c r="E290" s="652"/>
      <c r="F290" s="652"/>
      <c r="G290" s="652"/>
      <c r="H290" s="652"/>
      <c r="I290" s="652"/>
      <c r="J290" s="653"/>
      <c r="K290" s="653"/>
      <c r="L290" s="653">
        <f>L280*0.925</f>
        <v>843161.89</v>
      </c>
      <c r="M290" s="399"/>
      <c r="N290" s="400"/>
      <c r="O290" s="400"/>
      <c r="P290" s="400"/>
      <c r="Q290" s="400"/>
      <c r="R290" s="400"/>
      <c r="S290" s="400"/>
      <c r="T290" s="400"/>
      <c r="U290" s="400"/>
      <c r="V290" s="400"/>
      <c r="W290" s="400"/>
      <c r="X290" s="400"/>
      <c r="Y290" s="400"/>
      <c r="Z290" s="400"/>
      <c r="AA290" s="400"/>
      <c r="AB290" s="400"/>
      <c r="AC290" s="400"/>
      <c r="AD290" s="400"/>
      <c r="AE290" s="400"/>
      <c r="AF290" s="400"/>
      <c r="AG290" s="400"/>
      <c r="AH290" s="400"/>
      <c r="AI290" s="400"/>
      <c r="AJ290" s="400"/>
      <c r="AK290" s="400"/>
      <c r="AL290" s="400"/>
      <c r="AM290" s="400"/>
      <c r="AN290" s="400"/>
      <c r="AO290" s="400"/>
      <c r="AP290" s="400"/>
      <c r="AQ290" s="400"/>
      <c r="AR290" s="400"/>
      <c r="AS290" s="400"/>
      <c r="AT290" s="400"/>
      <c r="AU290" s="400"/>
      <c r="AV290" s="400"/>
      <c r="AW290" s="400"/>
      <c r="AX290" s="400"/>
      <c r="AY290" s="400"/>
      <c r="AZ290" s="400"/>
      <c r="BA290" s="400"/>
      <c r="BB290" s="400"/>
      <c r="BC290" s="400"/>
      <c r="BD290" s="400"/>
      <c r="BE290" s="400"/>
      <c r="BF290" s="400"/>
      <c r="BG290" s="400"/>
      <c r="BH290" s="400"/>
      <c r="BI290" s="400"/>
      <c r="BJ290" s="400"/>
      <c r="BK290" s="400"/>
      <c r="BL290" s="400"/>
      <c r="BM290" s="400"/>
      <c r="BN290" s="400"/>
      <c r="BO290" s="400"/>
      <c r="BP290" s="400"/>
      <c r="BQ290" s="400"/>
      <c r="BR290" s="400"/>
      <c r="BS290" s="400"/>
      <c r="BT290" s="400"/>
      <c r="BU290" s="400"/>
      <c r="BV290" s="400"/>
      <c r="BW290" s="400"/>
      <c r="BX290" s="400"/>
      <c r="BY290" s="400"/>
      <c r="BZ290" s="400"/>
      <c r="CA290" s="400"/>
      <c r="CB290" s="400"/>
      <c r="CC290" s="400"/>
      <c r="CD290" s="400"/>
      <c r="CE290" s="400"/>
      <c r="CF290" s="400"/>
      <c r="CG290" s="400"/>
      <c r="CH290" s="400"/>
      <c r="CI290" s="400"/>
      <c r="CJ290" s="400"/>
      <c r="CK290" s="400"/>
      <c r="CL290" s="400"/>
      <c r="CM290" s="400"/>
      <c r="CN290" s="400"/>
      <c r="CO290" s="400"/>
      <c r="CP290" s="400"/>
      <c r="CQ290" s="400"/>
      <c r="CR290" s="400"/>
      <c r="CS290" s="400"/>
      <c r="CT290" s="400"/>
      <c r="CU290" s="400"/>
      <c r="CV290" s="400"/>
      <c r="CW290" s="400"/>
      <c r="CX290" s="400"/>
      <c r="CY290" s="400"/>
      <c r="CZ290" s="400"/>
      <c r="DA290" s="400"/>
      <c r="DB290" s="400"/>
      <c r="DC290" s="400"/>
      <c r="DD290" s="400"/>
      <c r="DE290" s="400"/>
      <c r="DF290" s="400"/>
      <c r="DG290" s="400"/>
      <c r="DH290" s="400"/>
      <c r="DI290" s="400"/>
      <c r="DJ290" s="400"/>
      <c r="DK290" s="400"/>
      <c r="DL290" s="400"/>
      <c r="DM290" s="400"/>
      <c r="DN290" s="400"/>
      <c r="DO290" s="400"/>
      <c r="DP290" s="400"/>
      <c r="DQ290" s="400"/>
      <c r="DR290" s="400"/>
      <c r="DS290" s="400"/>
      <c r="DT290" s="400"/>
      <c r="DU290" s="400"/>
      <c r="DV290" s="400"/>
      <c r="DW290" s="400"/>
      <c r="DX290" s="400"/>
      <c r="DY290" s="400"/>
      <c r="DZ290" s="400"/>
      <c r="EA290" s="400"/>
      <c r="EB290" s="400"/>
      <c r="EC290" s="400"/>
      <c r="ED290" s="400"/>
      <c r="EE290" s="400"/>
      <c r="EF290" s="400"/>
      <c r="EG290" s="400"/>
      <c r="EH290" s="400"/>
      <c r="EI290" s="400"/>
      <c r="EJ290" s="400"/>
      <c r="EK290" s="400"/>
      <c r="EL290" s="400"/>
      <c r="EM290" s="400"/>
      <c r="EN290" s="400"/>
      <c r="EO290" s="400"/>
      <c r="EP290" s="400"/>
      <c r="EQ290" s="400"/>
      <c r="ER290" s="400"/>
      <c r="ES290" s="400"/>
      <c r="ET290" s="400"/>
      <c r="EU290" s="400"/>
      <c r="EV290" s="400"/>
      <c r="EW290" s="400"/>
      <c r="EX290" s="400"/>
      <c r="EY290" s="400"/>
      <c r="EZ290" s="400"/>
      <c r="FA290" s="400"/>
      <c r="FB290" s="400"/>
      <c r="FC290" s="400"/>
      <c r="FD290" s="400"/>
      <c r="FE290" s="400"/>
      <c r="FF290" s="400"/>
      <c r="FG290" s="400"/>
      <c r="FH290" s="400"/>
      <c r="FI290" s="400"/>
      <c r="FJ290" s="400"/>
      <c r="FK290" s="400"/>
      <c r="FL290" s="400"/>
      <c r="FM290" s="400"/>
      <c r="FN290" s="400"/>
      <c r="FO290" s="400"/>
      <c r="FP290" s="400"/>
      <c r="FQ290" s="400"/>
      <c r="FR290" s="400"/>
      <c r="FS290" s="400"/>
      <c r="FT290" s="400"/>
      <c r="FU290" s="400"/>
      <c r="FV290" s="400"/>
      <c r="FW290" s="400"/>
      <c r="FX290" s="400"/>
      <c r="FY290" s="400"/>
      <c r="FZ290" s="400"/>
      <c r="GA290" s="400"/>
      <c r="GB290" s="400"/>
      <c r="GC290" s="400"/>
      <c r="GD290" s="400"/>
      <c r="GE290" s="400"/>
      <c r="GF290" s="400"/>
      <c r="GG290" s="400"/>
      <c r="GH290" s="400"/>
      <c r="GI290" s="400"/>
      <c r="GJ290" s="400"/>
      <c r="GK290" s="400"/>
      <c r="GL290" s="400"/>
      <c r="GM290" s="400"/>
      <c r="GN290" s="400"/>
      <c r="GO290" s="400"/>
      <c r="GP290" s="400"/>
      <c r="GQ290" s="400"/>
      <c r="GR290" s="400"/>
      <c r="GS290" s="400"/>
      <c r="GT290" s="400"/>
      <c r="GU290" s="400"/>
      <c r="GV290" s="400"/>
      <c r="GW290" s="400"/>
      <c r="GX290" s="400"/>
      <c r="GY290" s="400"/>
      <c r="GZ290" s="400"/>
      <c r="HA290" s="400"/>
      <c r="HB290" s="400"/>
      <c r="HC290" s="400"/>
      <c r="HD290" s="400"/>
      <c r="HE290" s="400"/>
      <c r="HF290" s="400"/>
      <c r="HG290" s="400"/>
      <c r="HH290" s="400"/>
      <c r="HI290" s="400"/>
      <c r="HJ290" s="400"/>
      <c r="HK290" s="400"/>
      <c r="HL290" s="400"/>
      <c r="HM290" s="400"/>
      <c r="HN290" s="400"/>
      <c r="HO290" s="400"/>
      <c r="HP290" s="400"/>
      <c r="HQ290" s="400"/>
      <c r="HR290" s="400"/>
      <c r="HS290" s="400"/>
      <c r="HT290" s="400"/>
      <c r="HU290" s="400"/>
      <c r="HV290" s="400"/>
      <c r="HW290" s="400"/>
      <c r="HX290" s="400"/>
      <c r="HY290" s="400"/>
      <c r="HZ290" s="400"/>
      <c r="IA290" s="400"/>
      <c r="IB290" s="400"/>
      <c r="IC290" s="400"/>
      <c r="ID290" s="400"/>
      <c r="IE290" s="400"/>
      <c r="IF290" s="400"/>
      <c r="IG290" s="400"/>
      <c r="IH290" s="400"/>
      <c r="II290" s="400"/>
      <c r="IJ290" s="400"/>
      <c r="IK290" s="400"/>
      <c r="IL290" s="400"/>
      <c r="IM290" s="400"/>
      <c r="IN290" s="400"/>
      <c r="IO290" s="400"/>
      <c r="IP290" s="400"/>
      <c r="IQ290" s="400"/>
      <c r="IR290" s="400"/>
      <c r="IS290" s="400"/>
      <c r="IT290" s="400"/>
      <c r="IU290" s="400"/>
      <c r="IV290" s="400"/>
    </row>
    <row r="291" spans="1:256" s="675" customFormat="1" ht="15" x14ac:dyDescent="0.25">
      <c r="A291" s="398"/>
      <c r="B291" s="398"/>
      <c r="C291" s="398"/>
      <c r="D291" s="652" t="s">
        <v>3</v>
      </c>
      <c r="E291" s="652"/>
      <c r="F291" s="652"/>
      <c r="G291" s="652"/>
      <c r="H291" s="652"/>
      <c r="I291" s="652"/>
      <c r="J291" s="654"/>
      <c r="K291" s="654"/>
      <c r="L291" s="654">
        <f>L290</f>
        <v>843161.89</v>
      </c>
      <c r="M291" s="399"/>
      <c r="N291" s="400"/>
      <c r="O291" s="400"/>
      <c r="P291" s="400"/>
      <c r="Q291" s="400"/>
      <c r="R291" s="400"/>
      <c r="S291" s="400"/>
      <c r="T291" s="400"/>
      <c r="U291" s="400"/>
      <c r="V291" s="400"/>
      <c r="W291" s="400"/>
      <c r="X291" s="400"/>
      <c r="Y291" s="400"/>
      <c r="Z291" s="400"/>
      <c r="AA291" s="400"/>
      <c r="AB291" s="400"/>
      <c r="AC291" s="400"/>
      <c r="AD291" s="400"/>
      <c r="AE291" s="400"/>
      <c r="AF291" s="400"/>
      <c r="AG291" s="400"/>
      <c r="AH291" s="400"/>
      <c r="AI291" s="400"/>
      <c r="AJ291" s="400"/>
      <c r="AK291" s="400"/>
      <c r="AL291" s="400"/>
      <c r="AM291" s="400"/>
      <c r="AN291" s="400"/>
      <c r="AO291" s="400"/>
      <c r="AP291" s="400"/>
      <c r="AQ291" s="400"/>
      <c r="AR291" s="400"/>
      <c r="AS291" s="400"/>
      <c r="AT291" s="400"/>
      <c r="AU291" s="400"/>
      <c r="AV291" s="400"/>
      <c r="AW291" s="400"/>
      <c r="AX291" s="400"/>
      <c r="AY291" s="400"/>
      <c r="AZ291" s="400"/>
      <c r="BA291" s="400"/>
      <c r="BB291" s="400"/>
      <c r="BC291" s="400"/>
      <c r="BD291" s="400"/>
      <c r="BE291" s="400"/>
      <c r="BF291" s="400"/>
      <c r="BG291" s="400"/>
      <c r="BH291" s="400"/>
      <c r="BI291" s="400"/>
      <c r="BJ291" s="400"/>
      <c r="BK291" s="400"/>
      <c r="BL291" s="400"/>
      <c r="BM291" s="400"/>
      <c r="BN291" s="400"/>
      <c r="BO291" s="400"/>
      <c r="BP291" s="400"/>
      <c r="BQ291" s="400"/>
      <c r="BR291" s="400"/>
      <c r="BS291" s="400"/>
      <c r="BT291" s="400"/>
      <c r="BU291" s="400"/>
      <c r="BV291" s="400"/>
      <c r="BW291" s="400"/>
      <c r="BX291" s="400"/>
      <c r="BY291" s="400"/>
      <c r="BZ291" s="400"/>
      <c r="CA291" s="400"/>
      <c r="CB291" s="400"/>
      <c r="CC291" s="400"/>
      <c r="CD291" s="400"/>
      <c r="CE291" s="400"/>
      <c r="CF291" s="400"/>
      <c r="CG291" s="400"/>
      <c r="CH291" s="400"/>
      <c r="CI291" s="400"/>
      <c r="CJ291" s="400"/>
      <c r="CK291" s="400"/>
      <c r="CL291" s="400"/>
      <c r="CM291" s="400"/>
      <c r="CN291" s="400"/>
      <c r="CO291" s="400"/>
      <c r="CP291" s="400"/>
      <c r="CQ291" s="400"/>
      <c r="CR291" s="400"/>
      <c r="CS291" s="400"/>
      <c r="CT291" s="400"/>
      <c r="CU291" s="400"/>
      <c r="CV291" s="400"/>
      <c r="CW291" s="400"/>
      <c r="CX291" s="400"/>
      <c r="CY291" s="400"/>
      <c r="CZ291" s="400"/>
      <c r="DA291" s="400"/>
      <c r="DB291" s="400"/>
      <c r="DC291" s="400"/>
      <c r="DD291" s="400"/>
      <c r="DE291" s="400"/>
      <c r="DF291" s="400"/>
      <c r="DG291" s="400"/>
      <c r="DH291" s="400"/>
      <c r="DI291" s="400"/>
      <c r="DJ291" s="400"/>
      <c r="DK291" s="400"/>
      <c r="DL291" s="400"/>
      <c r="DM291" s="400"/>
      <c r="DN291" s="400"/>
      <c r="DO291" s="400"/>
      <c r="DP291" s="400"/>
      <c r="DQ291" s="400"/>
      <c r="DR291" s="400"/>
      <c r="DS291" s="400"/>
      <c r="DT291" s="400"/>
      <c r="DU291" s="400"/>
      <c r="DV291" s="400"/>
      <c r="DW291" s="400"/>
      <c r="DX291" s="400"/>
      <c r="DY291" s="400"/>
      <c r="DZ291" s="400"/>
      <c r="EA291" s="400"/>
      <c r="EB291" s="400"/>
      <c r="EC291" s="400"/>
      <c r="ED291" s="400"/>
      <c r="EE291" s="400"/>
      <c r="EF291" s="400"/>
      <c r="EG291" s="400"/>
      <c r="EH291" s="400"/>
      <c r="EI291" s="400"/>
      <c r="EJ291" s="400"/>
      <c r="EK291" s="400"/>
      <c r="EL291" s="400"/>
      <c r="EM291" s="400"/>
      <c r="EN291" s="400"/>
      <c r="EO291" s="400"/>
      <c r="EP291" s="400"/>
      <c r="EQ291" s="400"/>
      <c r="ER291" s="400"/>
      <c r="ES291" s="400"/>
      <c r="ET291" s="400"/>
      <c r="EU291" s="400"/>
      <c r="EV291" s="400"/>
      <c r="EW291" s="400"/>
      <c r="EX291" s="400"/>
      <c r="EY291" s="400"/>
      <c r="EZ291" s="400"/>
      <c r="FA291" s="400"/>
      <c r="FB291" s="400"/>
      <c r="FC291" s="400"/>
      <c r="FD291" s="400"/>
      <c r="FE291" s="400"/>
      <c r="FF291" s="400"/>
      <c r="FG291" s="400"/>
      <c r="FH291" s="400"/>
      <c r="FI291" s="400"/>
      <c r="FJ291" s="400"/>
      <c r="FK291" s="400"/>
      <c r="FL291" s="400"/>
      <c r="FM291" s="400"/>
      <c r="FN291" s="400"/>
      <c r="FO291" s="400"/>
      <c r="FP291" s="400"/>
      <c r="FQ291" s="400"/>
      <c r="FR291" s="400"/>
      <c r="FS291" s="400"/>
      <c r="FT291" s="400"/>
      <c r="FU291" s="400"/>
      <c r="FV291" s="400"/>
      <c r="FW291" s="400"/>
      <c r="FX291" s="400"/>
      <c r="FY291" s="400"/>
      <c r="FZ291" s="400"/>
      <c r="GA291" s="400"/>
      <c r="GB291" s="400"/>
      <c r="GC291" s="400"/>
      <c r="GD291" s="400"/>
      <c r="GE291" s="400"/>
      <c r="GF291" s="400"/>
      <c r="GG291" s="400"/>
      <c r="GH291" s="400"/>
      <c r="GI291" s="400"/>
      <c r="GJ291" s="400"/>
      <c r="GK291" s="400"/>
      <c r="GL291" s="400"/>
      <c r="GM291" s="400"/>
      <c r="GN291" s="400"/>
      <c r="GO291" s="400"/>
      <c r="GP291" s="400"/>
      <c r="GQ291" s="400"/>
      <c r="GR291" s="400"/>
      <c r="GS291" s="400"/>
      <c r="GT291" s="400"/>
      <c r="GU291" s="400"/>
      <c r="GV291" s="400"/>
      <c r="GW291" s="400"/>
      <c r="GX291" s="400"/>
      <c r="GY291" s="400"/>
      <c r="GZ291" s="400"/>
      <c r="HA291" s="400"/>
      <c r="HB291" s="400"/>
      <c r="HC291" s="400"/>
      <c r="HD291" s="400"/>
      <c r="HE291" s="400"/>
      <c r="HF291" s="400"/>
      <c r="HG291" s="400"/>
      <c r="HH291" s="400"/>
      <c r="HI291" s="400"/>
      <c r="HJ291" s="400"/>
      <c r="HK291" s="400"/>
      <c r="HL291" s="400"/>
      <c r="HM291" s="400"/>
      <c r="HN291" s="400"/>
      <c r="HO291" s="400"/>
      <c r="HP291" s="400"/>
      <c r="HQ291" s="400"/>
      <c r="HR291" s="400"/>
      <c r="HS291" s="400"/>
      <c r="HT291" s="400"/>
      <c r="HU291" s="400"/>
      <c r="HV291" s="400"/>
      <c r="HW291" s="400"/>
      <c r="HX291" s="400"/>
      <c r="HY291" s="400"/>
      <c r="HZ291" s="400"/>
      <c r="IA291" s="400"/>
      <c r="IB291" s="400"/>
      <c r="IC291" s="400"/>
      <c r="ID291" s="400"/>
      <c r="IE291" s="400"/>
      <c r="IF291" s="400"/>
      <c r="IG291" s="400"/>
      <c r="IH291" s="400"/>
      <c r="II291" s="400"/>
      <c r="IJ291" s="400"/>
      <c r="IK291" s="400"/>
      <c r="IL291" s="400"/>
      <c r="IM291" s="400"/>
      <c r="IN291" s="400"/>
      <c r="IO291" s="400"/>
      <c r="IP291" s="400"/>
      <c r="IQ291" s="400"/>
      <c r="IR291" s="400"/>
      <c r="IS291" s="400"/>
      <c r="IT291" s="400"/>
      <c r="IU291" s="400"/>
      <c r="IV291" s="400"/>
    </row>
    <row r="292" spans="1:256" s="675" customFormat="1" ht="15" x14ac:dyDescent="0.25">
      <c r="A292" s="398"/>
      <c r="B292" s="398"/>
      <c r="C292" s="398"/>
      <c r="D292" s="652" t="s">
        <v>269</v>
      </c>
      <c r="E292" s="652"/>
      <c r="F292" s="652"/>
      <c r="G292" s="652"/>
      <c r="H292" s="652"/>
      <c r="I292" s="652"/>
      <c r="J292" s="654"/>
      <c r="K292" s="654"/>
      <c r="L292" s="654">
        <f>L282*0.925</f>
        <v>222957.12</v>
      </c>
      <c r="M292" s="399"/>
      <c r="N292" s="400"/>
      <c r="O292" s="400"/>
      <c r="P292" s="400"/>
      <c r="Q292" s="400"/>
      <c r="R292" s="400"/>
      <c r="S292" s="400"/>
      <c r="T292" s="400"/>
      <c r="U292" s="400"/>
      <c r="V292" s="400"/>
      <c r="W292" s="400"/>
      <c r="X292" s="400"/>
      <c r="Y292" s="400"/>
      <c r="Z292" s="400"/>
      <c r="AA292" s="400"/>
      <c r="AB292" s="400"/>
      <c r="AC292" s="400"/>
      <c r="AD292" s="400"/>
      <c r="AE292" s="400"/>
      <c r="AF292" s="400"/>
      <c r="AG292" s="400"/>
      <c r="AH292" s="400"/>
      <c r="AI292" s="400"/>
      <c r="AJ292" s="400"/>
      <c r="AK292" s="400"/>
      <c r="AL292" s="400"/>
      <c r="AM292" s="400"/>
      <c r="AN292" s="400"/>
      <c r="AO292" s="400"/>
      <c r="AP292" s="400"/>
      <c r="AQ292" s="400"/>
      <c r="AR292" s="400"/>
      <c r="AS292" s="400"/>
      <c r="AT292" s="400"/>
      <c r="AU292" s="400"/>
      <c r="AV292" s="400"/>
      <c r="AW292" s="400"/>
      <c r="AX292" s="400"/>
      <c r="AY292" s="400"/>
      <c r="AZ292" s="400"/>
      <c r="BA292" s="400"/>
      <c r="BB292" s="400"/>
      <c r="BC292" s="400"/>
      <c r="BD292" s="400"/>
      <c r="BE292" s="400"/>
      <c r="BF292" s="400"/>
      <c r="BG292" s="400"/>
      <c r="BH292" s="400"/>
      <c r="BI292" s="400"/>
      <c r="BJ292" s="400"/>
      <c r="BK292" s="400"/>
      <c r="BL292" s="400"/>
      <c r="BM292" s="400"/>
      <c r="BN292" s="400"/>
      <c r="BO292" s="400"/>
      <c r="BP292" s="400"/>
      <c r="BQ292" s="400"/>
      <c r="BR292" s="400"/>
      <c r="BS292" s="400"/>
      <c r="BT292" s="400"/>
      <c r="BU292" s="400"/>
      <c r="BV292" s="400"/>
      <c r="BW292" s="400"/>
      <c r="BX292" s="400"/>
      <c r="BY292" s="400"/>
      <c r="BZ292" s="400"/>
      <c r="CA292" s="400"/>
      <c r="CB292" s="400"/>
      <c r="CC292" s="400"/>
      <c r="CD292" s="400"/>
      <c r="CE292" s="400"/>
      <c r="CF292" s="400"/>
      <c r="CG292" s="400"/>
      <c r="CH292" s="400"/>
      <c r="CI292" s="400"/>
      <c r="CJ292" s="400"/>
      <c r="CK292" s="400"/>
      <c r="CL292" s="400"/>
      <c r="CM292" s="400"/>
      <c r="CN292" s="400"/>
      <c r="CO292" s="400"/>
      <c r="CP292" s="400"/>
      <c r="CQ292" s="400"/>
      <c r="CR292" s="400"/>
      <c r="CS292" s="400"/>
      <c r="CT292" s="400"/>
      <c r="CU292" s="400"/>
      <c r="CV292" s="400"/>
      <c r="CW292" s="400"/>
      <c r="CX292" s="400"/>
      <c r="CY292" s="400"/>
      <c r="CZ292" s="400"/>
      <c r="DA292" s="400"/>
      <c r="DB292" s="400"/>
      <c r="DC292" s="400"/>
      <c r="DD292" s="400"/>
      <c r="DE292" s="400"/>
      <c r="DF292" s="400"/>
      <c r="DG292" s="400"/>
      <c r="DH292" s="400"/>
      <c r="DI292" s="400"/>
      <c r="DJ292" s="400"/>
      <c r="DK292" s="400"/>
      <c r="DL292" s="400"/>
      <c r="DM292" s="400"/>
      <c r="DN292" s="400"/>
      <c r="DO292" s="400"/>
      <c r="DP292" s="400"/>
      <c r="DQ292" s="400"/>
      <c r="DR292" s="400"/>
      <c r="DS292" s="400"/>
      <c r="DT292" s="400"/>
      <c r="DU292" s="400"/>
      <c r="DV292" s="400"/>
      <c r="DW292" s="400"/>
      <c r="DX292" s="400"/>
      <c r="DY292" s="400"/>
      <c r="DZ292" s="400"/>
      <c r="EA292" s="400"/>
      <c r="EB292" s="400"/>
      <c r="EC292" s="400"/>
      <c r="ED292" s="400"/>
      <c r="EE292" s="400"/>
      <c r="EF292" s="400"/>
      <c r="EG292" s="400"/>
      <c r="EH292" s="400"/>
      <c r="EI292" s="400"/>
      <c r="EJ292" s="400"/>
      <c r="EK292" s="400"/>
      <c r="EL292" s="400"/>
      <c r="EM292" s="400"/>
      <c r="EN292" s="400"/>
      <c r="EO292" s="400"/>
      <c r="EP292" s="400"/>
      <c r="EQ292" s="400"/>
      <c r="ER292" s="400"/>
      <c r="ES292" s="400"/>
      <c r="ET292" s="400"/>
      <c r="EU292" s="400"/>
      <c r="EV292" s="400"/>
      <c r="EW292" s="400"/>
      <c r="EX292" s="400"/>
      <c r="EY292" s="400"/>
      <c r="EZ292" s="400"/>
      <c r="FA292" s="400"/>
      <c r="FB292" s="400"/>
      <c r="FC292" s="400"/>
      <c r="FD292" s="400"/>
      <c r="FE292" s="400"/>
      <c r="FF292" s="400"/>
      <c r="FG292" s="400"/>
      <c r="FH292" s="400"/>
      <c r="FI292" s="400"/>
      <c r="FJ292" s="400"/>
      <c r="FK292" s="400"/>
      <c r="FL292" s="400"/>
      <c r="FM292" s="400"/>
      <c r="FN292" s="400"/>
      <c r="FO292" s="400"/>
      <c r="FP292" s="400"/>
      <c r="FQ292" s="400"/>
      <c r="FR292" s="400"/>
      <c r="FS292" s="400"/>
      <c r="FT292" s="400"/>
      <c r="FU292" s="400"/>
      <c r="FV292" s="400"/>
      <c r="FW292" s="400"/>
      <c r="FX292" s="400"/>
      <c r="FY292" s="400"/>
      <c r="FZ292" s="400"/>
      <c r="GA292" s="400"/>
      <c r="GB292" s="400"/>
      <c r="GC292" s="400"/>
      <c r="GD292" s="400"/>
      <c r="GE292" s="400"/>
      <c r="GF292" s="400"/>
      <c r="GG292" s="400"/>
      <c r="GH292" s="400"/>
      <c r="GI292" s="400"/>
      <c r="GJ292" s="400"/>
      <c r="GK292" s="400"/>
      <c r="GL292" s="400"/>
      <c r="GM292" s="400"/>
      <c r="GN292" s="400"/>
      <c r="GO292" s="400"/>
      <c r="GP292" s="400"/>
      <c r="GQ292" s="400"/>
      <c r="GR292" s="400"/>
      <c r="GS292" s="400"/>
      <c r="GT292" s="400"/>
      <c r="GU292" s="400"/>
      <c r="GV292" s="400"/>
      <c r="GW292" s="400"/>
      <c r="GX292" s="400"/>
      <c r="GY292" s="400"/>
      <c r="GZ292" s="400"/>
      <c r="HA292" s="400"/>
      <c r="HB292" s="400"/>
      <c r="HC292" s="400"/>
      <c r="HD292" s="400"/>
      <c r="HE292" s="400"/>
      <c r="HF292" s="400"/>
      <c r="HG292" s="400"/>
      <c r="HH292" s="400"/>
      <c r="HI292" s="400"/>
      <c r="HJ292" s="400"/>
      <c r="HK292" s="400"/>
      <c r="HL292" s="400"/>
      <c r="HM292" s="400"/>
      <c r="HN292" s="400"/>
      <c r="HO292" s="400"/>
      <c r="HP292" s="400"/>
      <c r="HQ292" s="400"/>
      <c r="HR292" s="400"/>
      <c r="HS292" s="400"/>
      <c r="HT292" s="400"/>
      <c r="HU292" s="400"/>
      <c r="HV292" s="400"/>
      <c r="HW292" s="400"/>
      <c r="HX292" s="400"/>
      <c r="HY292" s="400"/>
      <c r="HZ292" s="400"/>
      <c r="IA292" s="400"/>
      <c r="IB292" s="400"/>
      <c r="IC292" s="400"/>
      <c r="ID292" s="400"/>
      <c r="IE292" s="400"/>
      <c r="IF292" s="400"/>
      <c r="IG292" s="400"/>
      <c r="IH292" s="400"/>
      <c r="II292" s="400"/>
      <c r="IJ292" s="400"/>
      <c r="IK292" s="400"/>
      <c r="IL292" s="400"/>
      <c r="IM292" s="400"/>
      <c r="IN292" s="400"/>
      <c r="IO292" s="400"/>
      <c r="IP292" s="400"/>
      <c r="IQ292" s="400"/>
      <c r="IR292" s="400"/>
      <c r="IS292" s="400"/>
      <c r="IT292" s="400"/>
      <c r="IU292" s="400"/>
      <c r="IV292" s="400"/>
    </row>
    <row r="293" spans="1:256" s="675" customFormat="1" ht="15" x14ac:dyDescent="0.25">
      <c r="A293" s="398"/>
      <c r="B293" s="398"/>
      <c r="C293" s="398"/>
      <c r="D293" s="652" t="s">
        <v>597</v>
      </c>
      <c r="E293" s="652"/>
      <c r="F293" s="652"/>
      <c r="G293" s="652"/>
      <c r="H293" s="652"/>
      <c r="I293" s="652"/>
      <c r="J293" s="654"/>
      <c r="K293" s="654"/>
      <c r="L293" s="654">
        <f>L283*0.925</f>
        <v>359708.87</v>
      </c>
      <c r="M293" s="399"/>
    </row>
    <row r="294" spans="1:256" s="675" customFormat="1" ht="15" x14ac:dyDescent="0.25">
      <c r="A294" s="398"/>
      <c r="B294" s="398"/>
      <c r="C294" s="398"/>
      <c r="D294" s="655" t="s">
        <v>323</v>
      </c>
      <c r="E294" s="652"/>
      <c r="F294" s="652"/>
      <c r="G294" s="652"/>
      <c r="H294" s="652"/>
      <c r="I294" s="652"/>
      <c r="J294" s="656"/>
      <c r="K294" s="654"/>
      <c r="L294" s="656">
        <v>0</v>
      </c>
      <c r="M294" s="399"/>
    </row>
    <row r="295" spans="1:256" s="675" customFormat="1" ht="15" x14ac:dyDescent="0.25">
      <c r="A295" s="398"/>
      <c r="B295" s="398"/>
      <c r="C295" s="398"/>
      <c r="D295" s="652" t="s">
        <v>598</v>
      </c>
      <c r="E295" s="652"/>
      <c r="F295" s="652"/>
      <c r="G295" s="652"/>
      <c r="H295" s="652"/>
      <c r="I295" s="652"/>
      <c r="J295" s="654"/>
      <c r="K295" s="654"/>
      <c r="L295" s="654">
        <f>L292*0.15</f>
        <v>33443.57</v>
      </c>
      <c r="M295" s="399"/>
    </row>
    <row r="296" spans="1:256" s="675" customFormat="1" ht="14.25" x14ac:dyDescent="0.2">
      <c r="A296" s="398"/>
      <c r="B296" s="398"/>
      <c r="C296" s="398"/>
      <c r="D296" s="651" t="s">
        <v>599</v>
      </c>
      <c r="E296" s="657"/>
      <c r="F296" s="657"/>
      <c r="G296" s="657"/>
      <c r="H296" s="657"/>
      <c r="I296" s="657"/>
      <c r="J296" s="653"/>
      <c r="K296" s="657"/>
      <c r="L296" s="653">
        <f>L295+L290</f>
        <v>876605.46</v>
      </c>
      <c r="M296" s="399"/>
    </row>
    <row r="297" spans="1:256" s="675" customFormat="1" ht="15" x14ac:dyDescent="0.25">
      <c r="A297" s="398"/>
      <c r="B297" s="398"/>
      <c r="C297" s="398"/>
      <c r="D297" s="658"/>
      <c r="E297" s="658"/>
      <c r="F297" s="658"/>
      <c r="G297" s="658"/>
      <c r="H297" s="658"/>
      <c r="I297" s="658"/>
      <c r="J297" s="658"/>
      <c r="K297" s="658"/>
      <c r="L297" s="658"/>
      <c r="M297" s="399"/>
    </row>
    <row r="298" spans="1:256" s="675" customFormat="1" ht="15" x14ac:dyDescent="0.25">
      <c r="A298" s="398"/>
      <c r="B298" s="398"/>
      <c r="C298" s="398"/>
      <c r="D298" s="658"/>
      <c r="E298" s="658"/>
      <c r="F298" s="658"/>
      <c r="G298" s="658"/>
      <c r="H298" s="658"/>
      <c r="I298" s="658"/>
      <c r="J298" s="658"/>
      <c r="K298" s="658"/>
      <c r="L298" s="658"/>
      <c r="M298" s="399"/>
    </row>
    <row r="299" spans="1:256" s="675" customFormat="1" ht="14.25" x14ac:dyDescent="0.2">
      <c r="A299" s="398"/>
      <c r="B299" s="398"/>
      <c r="C299" s="398"/>
      <c r="D299" s="659"/>
      <c r="E299" s="660"/>
      <c r="F299" s="660"/>
      <c r="G299" s="660"/>
      <c r="H299" s="660"/>
      <c r="J299" s="662"/>
      <c r="K299" s="663"/>
      <c r="L299" s="662"/>
      <c r="M299" s="399"/>
    </row>
    <row r="300" spans="1:256" s="675" customFormat="1" ht="15" x14ac:dyDescent="0.25">
      <c r="A300" s="398"/>
      <c r="B300" s="398"/>
      <c r="C300" s="398"/>
      <c r="D300" s="664"/>
      <c r="E300" s="665"/>
      <c r="F300" s="665"/>
      <c r="G300" s="665"/>
      <c r="H300" s="665"/>
      <c r="I300" s="661"/>
      <c r="J300" s="667"/>
      <c r="K300" s="668"/>
      <c r="L300" s="667"/>
      <c r="M300" s="399"/>
    </row>
    <row r="301" spans="1:256" s="675" customFormat="1" ht="15" x14ac:dyDescent="0.25">
      <c r="A301" s="398"/>
      <c r="B301" s="398"/>
      <c r="C301" s="398"/>
      <c r="D301" s="664"/>
      <c r="E301" s="665"/>
      <c r="F301" s="665"/>
      <c r="G301" s="665"/>
      <c r="H301" s="665"/>
      <c r="I301" s="666"/>
      <c r="J301" s="667"/>
      <c r="K301" s="669"/>
      <c r="L301" s="667"/>
      <c r="M301" s="399"/>
    </row>
    <row r="302" spans="1:256" s="675" customFormat="1" ht="15" x14ac:dyDescent="0.25">
      <c r="A302" s="398"/>
      <c r="B302" s="398"/>
      <c r="C302" s="398"/>
      <c r="D302" s="664"/>
      <c r="E302" s="665"/>
      <c r="F302" s="665"/>
      <c r="G302" s="665"/>
      <c r="H302" s="665"/>
      <c r="I302" s="666"/>
      <c r="J302" s="667"/>
      <c r="K302" s="667"/>
      <c r="L302" s="667"/>
      <c r="M302" s="399"/>
    </row>
    <row r="303" spans="1:256" s="675" customFormat="1" ht="15" x14ac:dyDescent="0.25">
      <c r="A303" s="398"/>
      <c r="B303" s="398"/>
      <c r="C303" s="398"/>
      <c r="D303" s="664"/>
      <c r="E303" s="665"/>
      <c r="F303" s="665"/>
      <c r="G303" s="665"/>
      <c r="H303" s="665"/>
      <c r="I303" s="666"/>
      <c r="J303" s="670"/>
      <c r="K303" s="670"/>
      <c r="L303" s="670"/>
      <c r="M303" s="399"/>
    </row>
  </sheetData>
  <mergeCells count="137">
    <mergeCell ref="A8:L8"/>
    <mergeCell ref="A9:B9"/>
    <mergeCell ref="C9:C14"/>
    <mergeCell ref="D9:D14"/>
    <mergeCell ref="E9:E14"/>
    <mergeCell ref="F9:F14"/>
    <mergeCell ref="G9:G14"/>
    <mergeCell ref="H9:H14"/>
    <mergeCell ref="I21:J21"/>
    <mergeCell ref="K21:L21"/>
    <mergeCell ref="I23:J23"/>
    <mergeCell ref="K23:L23"/>
    <mergeCell ref="I25:J25"/>
    <mergeCell ref="K25:L25"/>
    <mergeCell ref="A19:L19"/>
    <mergeCell ref="A17:L17"/>
    <mergeCell ref="I9:I14"/>
    <mergeCell ref="J9:J14"/>
    <mergeCell ref="K9:K14"/>
    <mergeCell ref="L9:L14"/>
    <mergeCell ref="A10:A14"/>
    <mergeCell ref="B10:B14"/>
    <mergeCell ref="I61:J61"/>
    <mergeCell ref="K61:L61"/>
    <mergeCell ref="I70:J70"/>
    <mergeCell ref="K70:L70"/>
    <mergeCell ref="I79:J79"/>
    <mergeCell ref="K79:L79"/>
    <mergeCell ref="I34:J34"/>
    <mergeCell ref="K34:L34"/>
    <mergeCell ref="I43:J43"/>
    <mergeCell ref="K43:L43"/>
    <mergeCell ref="I52:J52"/>
    <mergeCell ref="K52:L52"/>
    <mergeCell ref="I105:J105"/>
    <mergeCell ref="K105:L105"/>
    <mergeCell ref="I107:J107"/>
    <mergeCell ref="K107:L107"/>
    <mergeCell ref="I109:J109"/>
    <mergeCell ref="K109:L109"/>
    <mergeCell ref="I88:J88"/>
    <mergeCell ref="K88:L88"/>
    <mergeCell ref="I98:J98"/>
    <mergeCell ref="K98:L98"/>
    <mergeCell ref="I103:J103"/>
    <mergeCell ref="K103:L103"/>
    <mergeCell ref="I141:J141"/>
    <mergeCell ref="K141:L141"/>
    <mergeCell ref="I150:J150"/>
    <mergeCell ref="K150:L150"/>
    <mergeCell ref="I159:J159"/>
    <mergeCell ref="K159:L159"/>
    <mergeCell ref="K113:L113"/>
    <mergeCell ref="A115:H115"/>
    <mergeCell ref="I115:J115"/>
    <mergeCell ref="K115:L115"/>
    <mergeCell ref="I197:J197"/>
    <mergeCell ref="K197:L197"/>
    <mergeCell ref="I202:J202"/>
    <mergeCell ref="K202:L202"/>
    <mergeCell ref="I204:J204"/>
    <mergeCell ref="K204:L204"/>
    <mergeCell ref="K168:L168"/>
    <mergeCell ref="I177:J177"/>
    <mergeCell ref="K177:L177"/>
    <mergeCell ref="I186:J186"/>
    <mergeCell ref="K186:L186"/>
    <mergeCell ref="I212:J212"/>
    <mergeCell ref="K212:L212"/>
    <mergeCell ref="A214:H214"/>
    <mergeCell ref="I214:J214"/>
    <mergeCell ref="K214:L214"/>
    <mergeCell ref="A220:L220"/>
    <mergeCell ref="K206:L206"/>
    <mergeCell ref="I208:J208"/>
    <mergeCell ref="K208:L208"/>
    <mergeCell ref="I210:J210"/>
    <mergeCell ref="K210:L210"/>
    <mergeCell ref="A264:H264"/>
    <mergeCell ref="I264:J264"/>
    <mergeCell ref="K264:L264"/>
    <mergeCell ref="A268:H268"/>
    <mergeCell ref="I268:J268"/>
    <mergeCell ref="K268:L268"/>
    <mergeCell ref="K230:L230"/>
    <mergeCell ref="I235:J235"/>
    <mergeCell ref="K235:L235"/>
    <mergeCell ref="I237:J237"/>
    <mergeCell ref="K237:L237"/>
    <mergeCell ref="A1:L1"/>
    <mergeCell ref="A2:L2"/>
    <mergeCell ref="I275:J275"/>
    <mergeCell ref="I276:J276"/>
    <mergeCell ref="K276:L276"/>
    <mergeCell ref="I277:J277"/>
    <mergeCell ref="K277:L277"/>
    <mergeCell ref="I278:J278"/>
    <mergeCell ref="K275:L275"/>
    <mergeCell ref="K278:L278"/>
    <mergeCell ref="I256:J256"/>
    <mergeCell ref="K256:L256"/>
    <mergeCell ref="I258:J258"/>
    <mergeCell ref="K258:L258"/>
    <mergeCell ref="I260:J260"/>
    <mergeCell ref="K260:L260"/>
    <mergeCell ref="I239:J239"/>
    <mergeCell ref="K239:L239"/>
    <mergeCell ref="I241:J241"/>
    <mergeCell ref="K241:L241"/>
    <mergeCell ref="I251:J251"/>
    <mergeCell ref="K251:L251"/>
    <mergeCell ref="K272:L272"/>
    <mergeCell ref="I262:J262"/>
    <mergeCell ref="B7:H7"/>
    <mergeCell ref="D285:H285"/>
    <mergeCell ref="D286:H286"/>
    <mergeCell ref="D287:H287"/>
    <mergeCell ref="D288:H288"/>
    <mergeCell ref="D289:H289"/>
    <mergeCell ref="I289:J289"/>
    <mergeCell ref="I230:J230"/>
    <mergeCell ref="A272:H272"/>
    <mergeCell ref="I272:J272"/>
    <mergeCell ref="I206:J206"/>
    <mergeCell ref="I168:J168"/>
    <mergeCell ref="A119:L119"/>
    <mergeCell ref="I121:J121"/>
    <mergeCell ref="K121:L121"/>
    <mergeCell ref="I123:J123"/>
    <mergeCell ref="K123:L123"/>
    <mergeCell ref="I132:J132"/>
    <mergeCell ref="K132:L132"/>
    <mergeCell ref="I111:J111"/>
    <mergeCell ref="K111:L111"/>
    <mergeCell ref="I113:J113"/>
    <mergeCell ref="K289:L289"/>
    <mergeCell ref="K262:L262"/>
  </mergeCells>
  <pageMargins left="0.78740157480314965" right="0" top="0.39370078740157483" bottom="0" header="0.31496062992125984" footer="0.31496062992125984"/>
  <pageSetup paperSize="9" scale="61" firstPageNumber="27" fitToHeight="0" orientation="portrait" blackAndWhite="1" useFirstPageNumber="1" r:id="rId1"/>
  <headerFooter>
    <oddFooter>&amp;R&amp;P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IV228"/>
  <sheetViews>
    <sheetView view="pageBreakPreview" zoomScale="60" zoomScaleNormal="55" workbookViewId="0">
      <selection activeCell="A170" sqref="A1:XFD1048576"/>
    </sheetView>
  </sheetViews>
  <sheetFormatPr defaultRowHeight="11.25" x14ac:dyDescent="0.2"/>
  <cols>
    <col min="1" max="2" width="6.6640625" style="718" customWidth="1"/>
    <col min="3" max="3" width="16.33203125" style="718" customWidth="1"/>
    <col min="4" max="4" width="47.5" style="718" customWidth="1"/>
    <col min="5" max="5" width="13.6640625" style="718" customWidth="1"/>
    <col min="6" max="6" width="14.33203125" style="718" bestFit="1" customWidth="1"/>
    <col min="7" max="7" width="12.33203125" style="718" bestFit="1" customWidth="1"/>
    <col min="8" max="8" width="13.1640625" style="718" bestFit="1" customWidth="1"/>
    <col min="9" max="9" width="12.6640625" style="718" bestFit="1" customWidth="1"/>
    <col min="10" max="10" width="14.6640625" style="718" customWidth="1"/>
    <col min="11" max="11" width="10.6640625" style="718" bestFit="1" customWidth="1"/>
    <col min="12" max="12" width="17.5" style="718" customWidth="1"/>
    <col min="13" max="13" width="9.33203125" style="718"/>
    <col min="14" max="35" width="0" style="718" hidden="1" customWidth="1"/>
    <col min="36" max="36" width="106.1640625" style="718" hidden="1" customWidth="1"/>
    <col min="37" max="37" width="157.1640625" style="718" hidden="1" customWidth="1"/>
    <col min="38" max="38" width="117.83203125" style="718" hidden="1" customWidth="1"/>
    <col min="39" max="39" width="0" style="718" hidden="1" customWidth="1"/>
    <col min="40" max="40" width="113" style="718" hidden="1" customWidth="1"/>
    <col min="41" max="42" width="0" style="718" hidden="1" customWidth="1"/>
    <col min="43" max="16384" width="9.33203125" style="718"/>
  </cols>
  <sheetData>
    <row r="1" spans="1:37" ht="18.75" x14ac:dyDescent="0.3">
      <c r="A1" s="1052" t="s">
        <v>702</v>
      </c>
      <c r="B1" s="1052"/>
      <c r="C1" s="1052"/>
      <c r="D1" s="1052"/>
      <c r="E1" s="1052"/>
      <c r="F1" s="1052"/>
      <c r="G1" s="1052"/>
      <c r="H1" s="1052"/>
      <c r="I1" s="1052"/>
      <c r="J1" s="1052"/>
      <c r="K1" s="1052"/>
      <c r="L1" s="1052"/>
    </row>
    <row r="2" spans="1:37" ht="15.75" x14ac:dyDescent="0.25">
      <c r="A2" s="1077" t="s">
        <v>569</v>
      </c>
      <c r="B2" s="1077"/>
      <c r="C2" s="1077"/>
      <c r="D2" s="1077"/>
      <c r="E2" s="1077"/>
      <c r="F2" s="1077"/>
      <c r="G2" s="1077"/>
      <c r="H2" s="1077"/>
      <c r="I2" s="1077"/>
      <c r="J2" s="1077"/>
      <c r="K2" s="1077"/>
      <c r="L2" s="1077"/>
    </row>
    <row r="3" spans="1:37" ht="15" x14ac:dyDescent="0.25">
      <c r="A3" s="727"/>
      <c r="B3" s="727"/>
      <c r="C3" s="727"/>
      <c r="D3" s="727"/>
      <c r="E3" s="727"/>
      <c r="F3" s="727"/>
      <c r="G3" s="727"/>
      <c r="H3" s="727"/>
      <c r="I3" s="727"/>
      <c r="J3" s="727"/>
      <c r="K3" s="727"/>
      <c r="L3" s="727"/>
    </row>
    <row r="4" spans="1:37" ht="15" x14ac:dyDescent="0.25">
      <c r="A4" s="727"/>
      <c r="B4" s="727"/>
      <c r="C4" s="727"/>
      <c r="D4" s="727"/>
      <c r="E4" s="727"/>
      <c r="F4" s="727"/>
      <c r="G4" s="727"/>
      <c r="H4" s="727"/>
      <c r="I4" s="727"/>
      <c r="J4" s="727"/>
      <c r="K4" s="727"/>
      <c r="L4" s="727"/>
    </row>
    <row r="5" spans="1:37" ht="15.75" x14ac:dyDescent="0.25">
      <c r="A5" s="727"/>
      <c r="B5" s="727"/>
      <c r="C5" s="759" t="s">
        <v>518</v>
      </c>
      <c r="D5" s="758"/>
      <c r="E5" s="758"/>
      <c r="F5" s="758"/>
      <c r="G5" s="758"/>
      <c r="H5" s="727"/>
      <c r="I5" s="727"/>
      <c r="J5" s="727"/>
      <c r="K5" s="727"/>
      <c r="L5" s="727"/>
    </row>
    <row r="6" spans="1:37" ht="15.75" x14ac:dyDescent="0.25">
      <c r="A6" s="727"/>
      <c r="B6" s="727"/>
      <c r="C6" s="760" t="s">
        <v>563</v>
      </c>
      <c r="D6" s="758"/>
      <c r="E6" s="758"/>
      <c r="F6" s="758"/>
      <c r="G6" s="758"/>
      <c r="H6" s="727"/>
      <c r="I6" s="727"/>
      <c r="J6" s="727"/>
      <c r="K6" s="727"/>
      <c r="L6" s="727"/>
    </row>
    <row r="7" spans="1:37" ht="15.75" x14ac:dyDescent="0.25">
      <c r="A7" s="727"/>
      <c r="B7" s="727"/>
      <c r="C7" s="758"/>
      <c r="D7" s="758"/>
      <c r="E7" s="758"/>
      <c r="F7" s="758"/>
      <c r="G7" s="758"/>
      <c r="H7" s="727"/>
      <c r="I7" s="727"/>
      <c r="J7" s="727"/>
      <c r="K7" s="727"/>
      <c r="L7" s="727"/>
    </row>
    <row r="8" spans="1:37" ht="54.75" customHeight="1" x14ac:dyDescent="0.25">
      <c r="A8" s="727"/>
      <c r="B8" s="727"/>
      <c r="C8" s="1084" t="s">
        <v>564</v>
      </c>
      <c r="D8" s="1084"/>
      <c r="E8" s="1084"/>
      <c r="F8" s="1084"/>
      <c r="G8" s="1084"/>
      <c r="H8" s="727"/>
      <c r="I8" s="727"/>
      <c r="J8" s="727"/>
      <c r="K8" s="727"/>
      <c r="L8" s="727"/>
    </row>
    <row r="9" spans="1:37" ht="12" customHeight="1" x14ac:dyDescent="0.25">
      <c r="A9" s="1061" t="s">
        <v>526</v>
      </c>
      <c r="B9" s="1061"/>
      <c r="C9" s="1061"/>
      <c r="D9" s="1061"/>
      <c r="E9" s="1061"/>
      <c r="F9" s="1061"/>
      <c r="G9" s="1061"/>
      <c r="H9" s="1061"/>
      <c r="I9" s="1061"/>
      <c r="J9" s="1061"/>
      <c r="K9" s="1061"/>
      <c r="L9" s="1061"/>
      <c r="AK9" s="688" t="s">
        <v>526</v>
      </c>
    </row>
    <row r="10" spans="1:37" ht="15" x14ac:dyDescent="0.2">
      <c r="A10" s="1065" t="s">
        <v>67</v>
      </c>
      <c r="B10" s="1065"/>
      <c r="C10" s="1065" t="s">
        <v>68</v>
      </c>
      <c r="D10" s="1065" t="s">
        <v>69</v>
      </c>
      <c r="E10" s="1065" t="s">
        <v>70</v>
      </c>
      <c r="F10" s="1065" t="s">
        <v>457</v>
      </c>
      <c r="G10" s="1065" t="s">
        <v>458</v>
      </c>
      <c r="H10" s="1062" t="s">
        <v>459</v>
      </c>
      <c r="I10" s="1062" t="s">
        <v>460</v>
      </c>
      <c r="J10" s="1065" t="s">
        <v>461</v>
      </c>
      <c r="K10" s="1065" t="s">
        <v>462</v>
      </c>
      <c r="L10" s="1065" t="s">
        <v>463</v>
      </c>
    </row>
    <row r="11" spans="1:37" x14ac:dyDescent="0.2">
      <c r="A11" s="1062" t="s">
        <v>78</v>
      </c>
      <c r="B11" s="1062" t="s">
        <v>79</v>
      </c>
      <c r="C11" s="1065"/>
      <c r="D11" s="1065"/>
      <c r="E11" s="1065"/>
      <c r="F11" s="1065"/>
      <c r="G11" s="1065"/>
      <c r="H11" s="1063"/>
      <c r="I11" s="1063"/>
      <c r="J11" s="1065"/>
      <c r="K11" s="1065"/>
      <c r="L11" s="1065"/>
    </row>
    <row r="12" spans="1:37" x14ac:dyDescent="0.2">
      <c r="A12" s="1063"/>
      <c r="B12" s="1063"/>
      <c r="C12" s="1065"/>
      <c r="D12" s="1065"/>
      <c r="E12" s="1065"/>
      <c r="F12" s="1065"/>
      <c r="G12" s="1065"/>
      <c r="H12" s="1063"/>
      <c r="I12" s="1063"/>
      <c r="J12" s="1065"/>
      <c r="K12" s="1065"/>
      <c r="L12" s="1065"/>
    </row>
    <row r="13" spans="1:37" x14ac:dyDescent="0.2">
      <c r="A13" s="1063"/>
      <c r="B13" s="1063"/>
      <c r="C13" s="1065"/>
      <c r="D13" s="1065"/>
      <c r="E13" s="1065"/>
      <c r="F13" s="1065"/>
      <c r="G13" s="1065"/>
      <c r="H13" s="1063"/>
      <c r="I13" s="1063"/>
      <c r="J13" s="1065"/>
      <c r="K13" s="1065"/>
      <c r="L13" s="1065"/>
    </row>
    <row r="14" spans="1:37" x14ac:dyDescent="0.2">
      <c r="A14" s="1063"/>
      <c r="B14" s="1063"/>
      <c r="C14" s="1065"/>
      <c r="D14" s="1065"/>
      <c r="E14" s="1065"/>
      <c r="F14" s="1065"/>
      <c r="G14" s="1065"/>
      <c r="H14" s="1063"/>
      <c r="I14" s="1063"/>
      <c r="J14" s="1065"/>
      <c r="K14" s="1065"/>
      <c r="L14" s="1065"/>
    </row>
    <row r="15" spans="1:37" x14ac:dyDescent="0.2">
      <c r="A15" s="1064"/>
      <c r="B15" s="1064"/>
      <c r="C15" s="1065"/>
      <c r="D15" s="1065"/>
      <c r="E15" s="1065"/>
      <c r="F15" s="1065"/>
      <c r="G15" s="1065"/>
      <c r="H15" s="1064"/>
      <c r="I15" s="1064"/>
      <c r="J15" s="1065"/>
      <c r="K15" s="1065"/>
      <c r="L15" s="1065"/>
    </row>
    <row r="16" spans="1:37" ht="15" x14ac:dyDescent="0.2">
      <c r="A16" s="689">
        <v>1</v>
      </c>
      <c r="B16" s="689">
        <v>2</v>
      </c>
      <c r="C16" s="689">
        <v>3</v>
      </c>
      <c r="D16" s="689">
        <v>4</v>
      </c>
      <c r="E16" s="689">
        <v>5</v>
      </c>
      <c r="F16" s="689">
        <v>6</v>
      </c>
      <c r="G16" s="689">
        <v>7</v>
      </c>
      <c r="H16" s="689">
        <v>8</v>
      </c>
      <c r="I16" s="689">
        <v>9</v>
      </c>
      <c r="J16" s="689">
        <v>10</v>
      </c>
      <c r="K16" s="689">
        <v>11</v>
      </c>
      <c r="L16" s="689">
        <v>12</v>
      </c>
    </row>
    <row r="18" spans="1:27" ht="16.5" x14ac:dyDescent="0.25">
      <c r="A18" s="1066" t="str">
        <f>CONCATENATE("Подраздел: ",IF([100]Source!G333&lt;&gt;"Новый подраздел", [100]Source!G333, ""))</f>
        <v>Подраздел: П2-5, П2-5р</v>
      </c>
      <c r="B18" s="1066"/>
      <c r="C18" s="1066"/>
      <c r="D18" s="1066"/>
      <c r="E18" s="1066"/>
      <c r="F18" s="1066"/>
      <c r="G18" s="1066"/>
      <c r="H18" s="1066"/>
      <c r="I18" s="1066"/>
      <c r="J18" s="1066"/>
      <c r="K18" s="1066"/>
      <c r="L18" s="1066"/>
    </row>
    <row r="19" spans="1:27" ht="30" x14ac:dyDescent="0.25">
      <c r="A19" s="691">
        <v>1</v>
      </c>
      <c r="B19" s="691" t="str">
        <f>[100]Source!E354</f>
        <v>73</v>
      </c>
      <c r="C19" s="692" t="str">
        <f>[100]Source!F354</f>
        <v>3.29-1939-2</v>
      </c>
      <c r="D19" s="692" t="s">
        <v>541</v>
      </c>
      <c r="E19" s="693" t="str">
        <f>[100]Source!H354</f>
        <v>1 М</v>
      </c>
      <c r="F19" s="694">
        <f>[100]Source!I354</f>
        <v>71.400000000000006</v>
      </c>
      <c r="G19" s="695"/>
      <c r="H19" s="696"/>
      <c r="I19" s="694"/>
      <c r="J19" s="697"/>
      <c r="K19" s="694"/>
      <c r="L19" s="697"/>
      <c r="Q19" s="718">
        <f>ROUND(([100]Source!DN354/100)*ROUND((ROUND(([100]Source!AF354*[100]Source!AV354*[100]Source!I354),2)),2), 2)</f>
        <v>858.35</v>
      </c>
      <c r="R19" s="718">
        <f>[100]Source!X354</f>
        <v>17901.939999999999</v>
      </c>
      <c r="S19" s="718">
        <f>ROUND(([100]Source!DO354/100)*ROUND((ROUND(([100]Source!AF354*[100]Source!AV354*[100]Source!I354),2)),2), 2)</f>
        <v>760.56</v>
      </c>
      <c r="T19" s="718">
        <f>[100]Source!Y354</f>
        <v>11320.34</v>
      </c>
      <c r="U19" s="718">
        <f>ROUND((175/100)*ROUND((ROUND(([100]Source!AE354*[100]Source!AV354*[100]Source!I354),2)),2), 2)</f>
        <v>0</v>
      </c>
      <c r="V19" s="718">
        <f>ROUND((157/100)*ROUND(ROUND((ROUND(([100]Source!AE354*[100]Source!AV354*[100]Source!I354),2)*[100]Source!BS354),2), 2), 2)</f>
        <v>0</v>
      </c>
    </row>
    <row r="20" spans="1:27" ht="15" x14ac:dyDescent="0.25">
      <c r="A20" s="691"/>
      <c r="B20" s="691"/>
      <c r="C20" s="692"/>
      <c r="D20" s="692" t="s">
        <v>84</v>
      </c>
      <c r="E20" s="693"/>
      <c r="F20" s="694"/>
      <c r="G20" s="695">
        <f>[100]Source!AO354</f>
        <v>8.5399999999999991</v>
      </c>
      <c r="H20" s="696" t="str">
        <f>[100]Source!DG354</f>
        <v>)*1,67</v>
      </c>
      <c r="I20" s="694">
        <f>[100]Source!AV354</f>
        <v>1.0669999999999999</v>
      </c>
      <c r="J20" s="697">
        <f>ROUND((ROUND(([100]Source!AF354*[100]Source!AV354*[100]Source!I354),2)),2)</f>
        <v>1086.52</v>
      </c>
      <c r="K20" s="694">
        <f>IF([100]Source!BA354&lt;&gt; 0, [100]Source!BA354, 1)</f>
        <v>24.23</v>
      </c>
      <c r="L20" s="697">
        <f>[100]Source!S354</f>
        <v>26326.38</v>
      </c>
      <c r="W20" s="718">
        <f>J20</f>
        <v>1086.52</v>
      </c>
    </row>
    <row r="21" spans="1:27" ht="15" x14ac:dyDescent="0.25">
      <c r="A21" s="691"/>
      <c r="B21" s="691"/>
      <c r="C21" s="692"/>
      <c r="D21" s="692" t="s">
        <v>85</v>
      </c>
      <c r="E21" s="693"/>
      <c r="F21" s="694"/>
      <c r="G21" s="695">
        <f>[100]Source!AM354</f>
        <v>7.0000000000000007E-2</v>
      </c>
      <c r="H21" s="696" t="str">
        <f>[100]Source!DE354</f>
        <v/>
      </c>
      <c r="I21" s="694">
        <f>[100]Source!AV354</f>
        <v>1.0669999999999999</v>
      </c>
      <c r="J21" s="697">
        <f>(ROUND((ROUND((([100]Source!ET354)*[100]Source!AV354*[100]Source!I354),2)),2)+ROUND((ROUND((([100]Source!AE354-([100]Source!EU354))*[100]Source!AV354*[100]Source!I354),2)),2))</f>
        <v>5.33</v>
      </c>
      <c r="K21" s="694">
        <f>IF([100]Source!BB354&lt;&gt; 0, [100]Source!BB354, 1)</f>
        <v>3.71</v>
      </c>
      <c r="L21" s="697">
        <f>[100]Source!Q354</f>
        <v>19.77</v>
      </c>
    </row>
    <row r="22" spans="1:27" ht="15" x14ac:dyDescent="0.25">
      <c r="A22" s="691"/>
      <c r="B22" s="691"/>
      <c r="C22" s="692"/>
      <c r="D22" s="692" t="s">
        <v>87</v>
      </c>
      <c r="E22" s="693"/>
      <c r="F22" s="694"/>
      <c r="G22" s="695">
        <f>[100]Source!AL354</f>
        <v>15.11</v>
      </c>
      <c r="H22" s="696" t="str">
        <f>[100]Source!DD354</f>
        <v/>
      </c>
      <c r="I22" s="694">
        <f>[100]Source!AW354</f>
        <v>1.028</v>
      </c>
      <c r="J22" s="697">
        <f>ROUND((ROUND(([100]Source!AC354*[100]Source!AW354*[100]Source!I354),2)),2)</f>
        <v>1109.06</v>
      </c>
      <c r="K22" s="694">
        <f>IF([100]Source!BC354&lt;&gt; 0, [100]Source!BC354, 1)</f>
        <v>2.52</v>
      </c>
      <c r="L22" s="697">
        <f>[100]Source!P354</f>
        <v>2794.83</v>
      </c>
    </row>
    <row r="23" spans="1:27" ht="45" x14ac:dyDescent="0.25">
      <c r="A23" s="691">
        <v>2</v>
      </c>
      <c r="B23" s="691" t="str">
        <f>[100]Source!E356</f>
        <v>73,1</v>
      </c>
      <c r="C23" s="692" t="str">
        <f>[100]Source!F356</f>
        <v>1.12-7-187</v>
      </c>
      <c r="D23" s="692" t="s">
        <v>542</v>
      </c>
      <c r="E23" s="693" t="str">
        <f>[100]Source!H356</f>
        <v>м</v>
      </c>
      <c r="F23" s="694">
        <f>[100]Source!I356</f>
        <v>71.400000000000006</v>
      </c>
      <c r="G23" s="695">
        <f>[100]Source!AK356</f>
        <v>7.73</v>
      </c>
      <c r="H23" s="734" t="s">
        <v>42</v>
      </c>
      <c r="I23" s="694">
        <f>[100]Source!AW356</f>
        <v>1.028</v>
      </c>
      <c r="J23" s="697">
        <f>ROUND((ROUND(([100]Source!AC356*[100]Source!AW356*[100]Source!I356),2)),2)+(ROUND((ROUND((([100]Source!ET356)*[100]Source!AV356*[100]Source!I356),2)),2)+ROUND((ROUND((([100]Source!AE356-([100]Source!EU356))*[100]Source!AV356*[100]Source!I356),2)),2))+ROUND((ROUND(([100]Source!AF356*[100]Source!AV356*[100]Source!I356),2)),2)</f>
        <v>567.38</v>
      </c>
      <c r="K23" s="694">
        <f>IF([100]Source!BC356&lt;&gt; 0, [100]Source!BC356, 1)</f>
        <v>13.82</v>
      </c>
      <c r="L23" s="697">
        <f>[100]Source!O356</f>
        <v>7841.19</v>
      </c>
      <c r="Q23" s="718">
        <f>ROUND(([100]Source!DN356/100)*ROUND((ROUND(([100]Source!AF356*[100]Source!AV356*[100]Source!I356),2)),2), 2)</f>
        <v>0</v>
      </c>
      <c r="R23" s="718">
        <f>[100]Source!X356</f>
        <v>0</v>
      </c>
      <c r="S23" s="718">
        <f>ROUND(([100]Source!DO356/100)*ROUND((ROUND(([100]Source!AF356*[100]Source!AV356*[100]Source!I356),2)),2), 2)</f>
        <v>0</v>
      </c>
      <c r="T23" s="718">
        <f>[100]Source!Y356</f>
        <v>0</v>
      </c>
      <c r="U23" s="718">
        <f>ROUND((175/100)*ROUND((ROUND(([100]Source!AE356*[100]Source!AV356*[100]Source!I356),2)),2), 2)</f>
        <v>0</v>
      </c>
      <c r="V23" s="718">
        <f>ROUND((157/100)*ROUND(ROUND((ROUND(([100]Source!AE356*[100]Source!AV356*[100]Source!I356),2)*[100]Source!BS356),2), 2), 2)</f>
        <v>0</v>
      </c>
      <c r="X23" s="718">
        <f>IF([100]Source!BI356&lt;=1,J23, 0)</f>
        <v>567.38</v>
      </c>
      <c r="Y23" s="718">
        <f>IF([100]Source!BI356=2,J23, 0)</f>
        <v>0</v>
      </c>
      <c r="Z23" s="718">
        <f>IF([100]Source!BI356=3,J23, 0)</f>
        <v>0</v>
      </c>
      <c r="AA23" s="718">
        <f>IF([100]Source!BI356=4,J23, 0)</f>
        <v>0</v>
      </c>
    </row>
    <row r="24" spans="1:27" ht="15" x14ac:dyDescent="0.25">
      <c r="A24" s="691"/>
      <c r="B24" s="691"/>
      <c r="C24" s="692"/>
      <c r="D24" s="692" t="s">
        <v>88</v>
      </c>
      <c r="E24" s="693" t="s">
        <v>89</v>
      </c>
      <c r="F24" s="694">
        <f>[100]Source!DN354</f>
        <v>79</v>
      </c>
      <c r="G24" s="695"/>
      <c r="H24" s="696"/>
      <c r="I24" s="694"/>
      <c r="J24" s="697">
        <f>SUM(Q19:Q23)</f>
        <v>858.35</v>
      </c>
      <c r="K24" s="694">
        <f>[100]Source!BZ354</f>
        <v>68</v>
      </c>
      <c r="L24" s="697">
        <f>SUM(R19:R23)</f>
        <v>17901.939999999999</v>
      </c>
    </row>
    <row r="25" spans="1:27" ht="15" x14ac:dyDescent="0.25">
      <c r="A25" s="691"/>
      <c r="B25" s="691"/>
      <c r="C25" s="692"/>
      <c r="D25" s="692" t="s">
        <v>90</v>
      </c>
      <c r="E25" s="693" t="s">
        <v>89</v>
      </c>
      <c r="F25" s="694">
        <f>[100]Source!DO354</f>
        <v>70</v>
      </c>
      <c r="G25" s="695"/>
      <c r="H25" s="696"/>
      <c r="I25" s="694"/>
      <c r="J25" s="697">
        <f>SUM(S19:S24)</f>
        <v>760.56</v>
      </c>
      <c r="K25" s="694">
        <f>[100]Source!CA354</f>
        <v>43</v>
      </c>
      <c r="L25" s="697">
        <f>SUM(T19:T24)</f>
        <v>11320.34</v>
      </c>
    </row>
    <row r="26" spans="1:27" ht="15" x14ac:dyDescent="0.25">
      <c r="A26" s="691"/>
      <c r="B26" s="691"/>
      <c r="C26" s="692"/>
      <c r="D26" s="692" t="s">
        <v>92</v>
      </c>
      <c r="E26" s="693" t="s">
        <v>93</v>
      </c>
      <c r="F26" s="694">
        <f>[100]Source!AQ354</f>
        <v>0.7</v>
      </c>
      <c r="G26" s="695"/>
      <c r="H26" s="696" t="str">
        <f>[100]Source!DI354</f>
        <v/>
      </c>
      <c r="I26" s="694">
        <f>[100]Source!AV354</f>
        <v>1.0669999999999999</v>
      </c>
      <c r="J26" s="697">
        <f>[100]Source!U354</f>
        <v>53.33</v>
      </c>
      <c r="K26" s="694"/>
      <c r="L26" s="697"/>
    </row>
    <row r="27" spans="1:27" ht="14.25" x14ac:dyDescent="0.2">
      <c r="A27" s="737"/>
      <c r="B27" s="737"/>
      <c r="C27" s="737"/>
      <c r="D27" s="737"/>
      <c r="E27" s="737"/>
      <c r="F27" s="737"/>
      <c r="G27" s="737"/>
      <c r="H27" s="737"/>
      <c r="I27" s="1067">
        <f>J20+J21+J22+J24+J25+SUM(J23:J23)</f>
        <v>4387.2</v>
      </c>
      <c r="J27" s="1067"/>
      <c r="K27" s="1067">
        <f>L20+L21+L22+L24+L25+SUM(L23:L23)</f>
        <v>66204.45</v>
      </c>
      <c r="L27" s="1067"/>
      <c r="O27" s="736">
        <f>J20+J21+J22+J24+J25+SUM(J23:J23)</f>
        <v>4387.2</v>
      </c>
      <c r="P27" s="736">
        <f>L20+L21+L22+L24+L25+SUM(L23:L23)</f>
        <v>66204.45</v>
      </c>
      <c r="X27" s="718">
        <f>IF([100]Source!BI354&lt;=1,J20+J21+J22+J24+J25-0, 0)</f>
        <v>3819.82</v>
      </c>
      <c r="Y27" s="718">
        <f>IF([100]Source!BI354=2,J20+J21+J22+J24+J25-0, 0)</f>
        <v>0</v>
      </c>
      <c r="Z27" s="718">
        <f>IF([100]Source!BI354=3,J20+J21+J22+J24+J25-0, 0)</f>
        <v>0</v>
      </c>
      <c r="AA27" s="718">
        <f>IF([100]Source!BI354=4,J20+J21+J22+J24+J25,0)</f>
        <v>0</v>
      </c>
    </row>
    <row r="28" spans="1:27" ht="30" x14ac:dyDescent="0.25">
      <c r="A28" s="691">
        <v>3</v>
      </c>
      <c r="B28" s="691" t="str">
        <f>[100]Source!E358</f>
        <v>74</v>
      </c>
      <c r="C28" s="692" t="str">
        <f>[100]Source!F358</f>
        <v>3.29-1939-5</v>
      </c>
      <c r="D28" s="692" t="s">
        <v>547</v>
      </c>
      <c r="E28" s="693" t="str">
        <f>[100]Source!H358</f>
        <v>1 М</v>
      </c>
      <c r="F28" s="694">
        <f>[100]Source!I358</f>
        <v>71.400000000000006</v>
      </c>
      <c r="G28" s="695"/>
      <c r="H28" s="696"/>
      <c r="I28" s="694"/>
      <c r="J28" s="697"/>
      <c r="K28" s="694"/>
      <c r="L28" s="697"/>
      <c r="Q28" s="718">
        <f>ROUND(([100]Source!DN358/100)*ROUND((ROUND(([100]Source!AF358*[100]Source!AV358*[100]Source!I358),2)),2), 2)</f>
        <v>1001.07</v>
      </c>
      <c r="R28" s="718">
        <f>[100]Source!X358</f>
        <v>20878.560000000001</v>
      </c>
      <c r="S28" s="718">
        <f>ROUND(([100]Source!DO358/100)*ROUND((ROUND(([100]Source!AF358*[100]Source!AV358*[100]Source!I358),2)),2), 2)</f>
        <v>887.03</v>
      </c>
      <c r="T28" s="718">
        <f>[100]Source!Y358</f>
        <v>13202.62</v>
      </c>
      <c r="U28" s="718">
        <f>ROUND((175/100)*ROUND((ROUND(([100]Source!AE358*[100]Source!AV358*[100]Source!I358),2)),2), 2)</f>
        <v>0</v>
      </c>
      <c r="V28" s="718">
        <f>ROUND((157/100)*ROUND(ROUND((ROUND(([100]Source!AE358*[100]Source!AV358*[100]Source!I358),2)*[100]Source!BS358),2), 2), 2)</f>
        <v>0</v>
      </c>
    </row>
    <row r="29" spans="1:27" ht="15" x14ac:dyDescent="0.25">
      <c r="A29" s="691"/>
      <c r="B29" s="691"/>
      <c r="C29" s="692"/>
      <c r="D29" s="692" t="s">
        <v>84</v>
      </c>
      <c r="E29" s="693"/>
      <c r="F29" s="694"/>
      <c r="G29" s="695">
        <f>[100]Source!AO358</f>
        <v>9.9600000000000009</v>
      </c>
      <c r="H29" s="696" t="str">
        <f>[100]Source!DG358</f>
        <v>)*1,67</v>
      </c>
      <c r="I29" s="694">
        <f>[100]Source!AV358</f>
        <v>1.0669999999999999</v>
      </c>
      <c r="J29" s="697">
        <f>ROUND((ROUND(([100]Source!AF358*[100]Source!AV358*[100]Source!I358),2)),2)</f>
        <v>1267.18</v>
      </c>
      <c r="K29" s="694">
        <f>IF([100]Source!BA358&lt;&gt; 0, [100]Source!BA358, 1)</f>
        <v>24.23</v>
      </c>
      <c r="L29" s="697">
        <f>[100]Source!S358</f>
        <v>30703.77</v>
      </c>
      <c r="W29" s="718">
        <f>J29</f>
        <v>1267.18</v>
      </c>
    </row>
    <row r="30" spans="1:27" ht="15" x14ac:dyDescent="0.25">
      <c r="A30" s="691"/>
      <c r="B30" s="691"/>
      <c r="C30" s="692"/>
      <c r="D30" s="692" t="s">
        <v>85</v>
      </c>
      <c r="E30" s="693"/>
      <c r="F30" s="694"/>
      <c r="G30" s="695">
        <f>[100]Source!AM358</f>
        <v>0.12</v>
      </c>
      <c r="H30" s="696" t="str">
        <f>[100]Source!DE358</f>
        <v/>
      </c>
      <c r="I30" s="694">
        <f>[100]Source!AV358</f>
        <v>1.0669999999999999</v>
      </c>
      <c r="J30" s="697">
        <f>(ROUND((ROUND((([100]Source!ET358)*[100]Source!AV358*[100]Source!I358),2)),2)+ROUND((ROUND((([100]Source!AE358-([100]Source!EU358))*[100]Source!AV358*[100]Source!I358),2)),2))</f>
        <v>9.14</v>
      </c>
      <c r="K30" s="694">
        <f>IF([100]Source!BB358&lt;&gt; 0, [100]Source!BB358, 1)</f>
        <v>3.58</v>
      </c>
      <c r="L30" s="697">
        <f>[100]Source!Q358</f>
        <v>32.72</v>
      </c>
    </row>
    <row r="31" spans="1:27" ht="15" x14ac:dyDescent="0.25">
      <c r="A31" s="691"/>
      <c r="B31" s="691"/>
      <c r="C31" s="692"/>
      <c r="D31" s="692" t="s">
        <v>87</v>
      </c>
      <c r="E31" s="693"/>
      <c r="F31" s="694"/>
      <c r="G31" s="695">
        <f>[100]Source!AL358</f>
        <v>14.55</v>
      </c>
      <c r="H31" s="696" t="str">
        <f>[100]Source!DD358</f>
        <v/>
      </c>
      <c r="I31" s="694">
        <f>[100]Source!AW358</f>
        <v>1.028</v>
      </c>
      <c r="J31" s="697">
        <f>ROUND((ROUND(([100]Source!AC358*[100]Source!AW358*[100]Source!I358),2)),2)</f>
        <v>1067.96</v>
      </c>
      <c r="K31" s="694">
        <f>IF([100]Source!BC358&lt;&gt; 0, [100]Source!BC358, 1)</f>
        <v>2.5499999999999998</v>
      </c>
      <c r="L31" s="697">
        <f>[100]Source!P358</f>
        <v>2723.3</v>
      </c>
    </row>
    <row r="32" spans="1:27" ht="45" x14ac:dyDescent="0.25">
      <c r="A32" s="691">
        <v>4</v>
      </c>
      <c r="B32" s="691" t="str">
        <f>[100]Source!E360</f>
        <v>74,1</v>
      </c>
      <c r="C32" s="692" t="str">
        <f>[100]Source!F360</f>
        <v>1.12-7-189</v>
      </c>
      <c r="D32" s="692" t="s">
        <v>548</v>
      </c>
      <c r="E32" s="693" t="str">
        <f>[100]Source!H360</f>
        <v>м</v>
      </c>
      <c r="F32" s="694">
        <f>[100]Source!I360</f>
        <v>71.400000000000006</v>
      </c>
      <c r="G32" s="695">
        <f>[100]Source!AK360</f>
        <v>17.55</v>
      </c>
      <c r="H32" s="734" t="s">
        <v>42</v>
      </c>
      <c r="I32" s="694">
        <f>[100]Source!AW360</f>
        <v>1.028</v>
      </c>
      <c r="J32" s="697">
        <f>ROUND((ROUND(([100]Source!AC360*[100]Source!AW360*[100]Source!I360),2)),2)+(ROUND((ROUND((([100]Source!ET360)*[100]Source!AV360*[100]Source!I360),2)),2)+ROUND((ROUND((([100]Source!AE360-([100]Source!EU360))*[100]Source!AV360*[100]Source!I360),2)),2))+ROUND((ROUND(([100]Source!AF360*[100]Source!AV360*[100]Source!I360),2)),2)</f>
        <v>1288.1600000000001</v>
      </c>
      <c r="K32" s="694">
        <f>IF([100]Source!BC360&lt;&gt; 0, [100]Source!BC360, 1)</f>
        <v>15.02</v>
      </c>
      <c r="L32" s="697">
        <f>[100]Source!O360</f>
        <v>19348.16</v>
      </c>
      <c r="Q32" s="718">
        <f>ROUND(([100]Source!DN360/100)*ROUND((ROUND(([100]Source!AF360*[100]Source!AV360*[100]Source!I360),2)),2), 2)</f>
        <v>0</v>
      </c>
      <c r="R32" s="718">
        <f>[100]Source!X360</f>
        <v>0</v>
      </c>
      <c r="S32" s="718">
        <f>ROUND(([100]Source!DO360/100)*ROUND((ROUND(([100]Source!AF360*[100]Source!AV360*[100]Source!I360),2)),2), 2)</f>
        <v>0</v>
      </c>
      <c r="T32" s="718">
        <f>[100]Source!Y360</f>
        <v>0</v>
      </c>
      <c r="U32" s="718">
        <f>ROUND((175/100)*ROUND((ROUND(([100]Source!AE360*[100]Source!AV360*[100]Source!I360),2)),2), 2)</f>
        <v>0</v>
      </c>
      <c r="V32" s="718">
        <f>ROUND((157/100)*ROUND(ROUND((ROUND(([100]Source!AE360*[100]Source!AV360*[100]Source!I360),2)*[100]Source!BS360),2), 2), 2)</f>
        <v>0</v>
      </c>
      <c r="X32" s="718">
        <f>IF([100]Source!BI360&lt;=1,J32, 0)</f>
        <v>1288.1600000000001</v>
      </c>
      <c r="Y32" s="718">
        <f>IF([100]Source!BI360=2,J32, 0)</f>
        <v>0</v>
      </c>
      <c r="Z32" s="718">
        <f>IF([100]Source!BI360=3,J32, 0)</f>
        <v>0</v>
      </c>
      <c r="AA32" s="718">
        <f>IF([100]Source!BI360=4,J32, 0)</f>
        <v>0</v>
      </c>
    </row>
    <row r="33" spans="1:27" ht="15" x14ac:dyDescent="0.25">
      <c r="A33" s="691"/>
      <c r="B33" s="691"/>
      <c r="C33" s="692"/>
      <c r="D33" s="692" t="s">
        <v>88</v>
      </c>
      <c r="E33" s="693" t="s">
        <v>89</v>
      </c>
      <c r="F33" s="694">
        <f>[100]Source!DN358</f>
        <v>79</v>
      </c>
      <c r="G33" s="695"/>
      <c r="H33" s="696"/>
      <c r="I33" s="694"/>
      <c r="J33" s="697">
        <f>SUM(Q28:Q32)</f>
        <v>1001.07</v>
      </c>
      <c r="K33" s="694">
        <f>[100]Source!BZ358</f>
        <v>68</v>
      </c>
      <c r="L33" s="697">
        <f>SUM(R28:R32)</f>
        <v>20878.560000000001</v>
      </c>
    </row>
    <row r="34" spans="1:27" ht="15" x14ac:dyDescent="0.25">
      <c r="A34" s="691"/>
      <c r="B34" s="691"/>
      <c r="C34" s="692"/>
      <c r="D34" s="692" t="s">
        <v>90</v>
      </c>
      <c r="E34" s="693" t="s">
        <v>89</v>
      </c>
      <c r="F34" s="694">
        <f>[100]Source!DO358</f>
        <v>70</v>
      </c>
      <c r="G34" s="695"/>
      <c r="H34" s="696"/>
      <c r="I34" s="694"/>
      <c r="J34" s="697">
        <f>SUM(S28:S33)</f>
        <v>887.03</v>
      </c>
      <c r="K34" s="694">
        <f>[100]Source!CA358</f>
        <v>43</v>
      </c>
      <c r="L34" s="697">
        <f>SUM(T28:T33)</f>
        <v>13202.62</v>
      </c>
    </row>
    <row r="35" spans="1:27" ht="15" x14ac:dyDescent="0.25">
      <c r="A35" s="691"/>
      <c r="B35" s="691"/>
      <c r="C35" s="692"/>
      <c r="D35" s="692" t="s">
        <v>92</v>
      </c>
      <c r="E35" s="693" t="s">
        <v>93</v>
      </c>
      <c r="F35" s="694">
        <f>[100]Source!AQ358</f>
        <v>0.82</v>
      </c>
      <c r="G35" s="695"/>
      <c r="H35" s="696" t="str">
        <f>[100]Source!DI358</f>
        <v/>
      </c>
      <c r="I35" s="694">
        <f>[100]Source!AV358</f>
        <v>1.0669999999999999</v>
      </c>
      <c r="J35" s="697">
        <f>[100]Source!U358</f>
        <v>62.47</v>
      </c>
      <c r="K35" s="694"/>
      <c r="L35" s="697"/>
    </row>
    <row r="36" spans="1:27" ht="14.25" x14ac:dyDescent="0.2">
      <c r="A36" s="737"/>
      <c r="B36" s="737"/>
      <c r="C36" s="737"/>
      <c r="D36" s="737"/>
      <c r="E36" s="737"/>
      <c r="F36" s="737"/>
      <c r="G36" s="737"/>
      <c r="H36" s="737"/>
      <c r="I36" s="1067">
        <f>J29+J30+J31+J33+J34+SUM(J32:J32)</f>
        <v>5520.54</v>
      </c>
      <c r="J36" s="1067"/>
      <c r="K36" s="1067">
        <f>L29+L30+L31+L33+L34+SUM(L32:L32)</f>
        <v>86889.13</v>
      </c>
      <c r="L36" s="1067"/>
      <c r="O36" s="736">
        <f>J29+J30+J31+J33+J34+SUM(J32:J32)</f>
        <v>5520.54</v>
      </c>
      <c r="P36" s="736">
        <f>L29+L30+L31+L33+L34+SUM(L32:L32)</f>
        <v>86889.13</v>
      </c>
      <c r="X36" s="718">
        <f>IF([100]Source!BI358&lt;=1,J29+J30+J31+J33+J34-0, 0)</f>
        <v>4232.38</v>
      </c>
      <c r="Y36" s="718">
        <f>IF([100]Source!BI358=2,J29+J30+J31+J33+J34-0, 0)</f>
        <v>0</v>
      </c>
      <c r="Z36" s="718">
        <f>IF([100]Source!BI358=3,J29+J30+J31+J33+J34-0, 0)</f>
        <v>0</v>
      </c>
      <c r="AA36" s="718">
        <f>IF([100]Source!BI358=4,J29+J30+J31+J33+J34,0)</f>
        <v>0</v>
      </c>
    </row>
    <row r="37" spans="1:27" ht="45" x14ac:dyDescent="0.25">
      <c r="A37" s="691">
        <v>5</v>
      </c>
      <c r="B37" s="691" t="str">
        <f>[100]Source!E362</f>
        <v>75</v>
      </c>
      <c r="C37" s="692" t="str">
        <f>[100]Source!F362</f>
        <v>3.26-16-1</v>
      </c>
      <c r="D37" s="692" t="s">
        <v>553</v>
      </c>
      <c r="E37" s="693" t="str">
        <f>[100]Source!H362</f>
        <v>10 м изоляции</v>
      </c>
      <c r="F37" s="694">
        <f>[100]Source!I362</f>
        <v>13.6</v>
      </c>
      <c r="G37" s="695"/>
      <c r="H37" s="696"/>
      <c r="I37" s="694"/>
      <c r="J37" s="697"/>
      <c r="K37" s="694"/>
      <c r="L37" s="697"/>
      <c r="Q37" s="718">
        <f>ROUND(([100]Source!DN362/100)*ROUND((ROUND(([100]Source!AF362*[100]Source!AV362*[100]Source!I362),2)),2), 2)</f>
        <v>666.49</v>
      </c>
      <c r="R37" s="718">
        <f>[100]Source!X362</f>
        <v>13018.08</v>
      </c>
      <c r="S37" s="718">
        <f>ROUND(([100]Source!DO362/100)*ROUND((ROUND(([100]Source!AF362*[100]Source!AV362*[100]Source!I362),2)),2), 2)</f>
        <v>496.47</v>
      </c>
      <c r="T37" s="718">
        <f>[100]Source!Y362</f>
        <v>6756.22</v>
      </c>
      <c r="U37" s="718">
        <f>ROUND((175/100)*ROUND((ROUND(([100]Source!AE362*[100]Source!AV362*[100]Source!I362),2)),2), 2)</f>
        <v>109.87</v>
      </c>
      <c r="V37" s="718">
        <f>ROUND((157/100)*ROUND(ROUND((ROUND(([100]Source!AE362*[100]Source!AV362*[100]Source!I362),2)*[100]Source!BS362),2), 2), 2)</f>
        <v>2388.2199999999998</v>
      </c>
    </row>
    <row r="38" spans="1:27" ht="15" x14ac:dyDescent="0.25">
      <c r="A38" s="691"/>
      <c r="B38" s="691"/>
      <c r="C38" s="692"/>
      <c r="D38" s="692" t="s">
        <v>84</v>
      </c>
      <c r="E38" s="693"/>
      <c r="F38" s="694"/>
      <c r="G38" s="695">
        <f>[100]Source!AO362</f>
        <v>28.6</v>
      </c>
      <c r="H38" s="696" t="str">
        <f>[100]Source!DG362</f>
        <v>)*1,67</v>
      </c>
      <c r="I38" s="694">
        <f>[100]Source!AV362</f>
        <v>1.0469999999999999</v>
      </c>
      <c r="J38" s="697">
        <f>ROUND((ROUND(([100]Source!AF362*[100]Source!AV362*[100]Source!I362),2)),2)</f>
        <v>680.09</v>
      </c>
      <c r="K38" s="694">
        <f>IF([100]Source!BA362&lt;&gt; 0, [100]Source!BA362, 1)</f>
        <v>24.23</v>
      </c>
      <c r="L38" s="697">
        <f>[100]Source!S362</f>
        <v>16478.580000000002</v>
      </c>
      <c r="W38" s="718">
        <f>J38</f>
        <v>680.09</v>
      </c>
    </row>
    <row r="39" spans="1:27" ht="15" x14ac:dyDescent="0.25">
      <c r="A39" s="691"/>
      <c r="B39" s="691"/>
      <c r="C39" s="692"/>
      <c r="D39" s="692" t="s">
        <v>85</v>
      </c>
      <c r="E39" s="693"/>
      <c r="F39" s="694"/>
      <c r="G39" s="695">
        <f>[100]Source!AM362</f>
        <v>13.2</v>
      </c>
      <c r="H39" s="696" t="str">
        <f>[100]Source!DE362</f>
        <v/>
      </c>
      <c r="I39" s="694">
        <f>[100]Source!AV362</f>
        <v>1.0469999999999999</v>
      </c>
      <c r="J39" s="697">
        <f>(ROUND((ROUND((([100]Source!ET362)*[100]Source!AV362*[100]Source!I362),2)),2)+ROUND((ROUND((([100]Source!AE362-([100]Source!EU362))*[100]Source!AV362*[100]Source!I362),2)),2))-J48</f>
        <v>187.96</v>
      </c>
      <c r="K39" s="694">
        <f>IF([100]Source!BB362&lt;&gt; 0, [100]Source!BB362, 1)</f>
        <v>9.2899999999999991</v>
      </c>
      <c r="L39" s="697">
        <f>[100]Source!Q362-L48</f>
        <v>1746.24</v>
      </c>
    </row>
    <row r="40" spans="1:27" ht="15" x14ac:dyDescent="0.25">
      <c r="A40" s="691"/>
      <c r="B40" s="691"/>
      <c r="C40" s="692"/>
      <c r="D40" s="692" t="s">
        <v>86</v>
      </c>
      <c r="E40" s="693"/>
      <c r="F40" s="694"/>
      <c r="G40" s="695">
        <f>[100]Source!AN362</f>
        <v>2.64</v>
      </c>
      <c r="H40" s="696" t="str">
        <f>[100]Source!DE362</f>
        <v/>
      </c>
      <c r="I40" s="694">
        <f>[100]Source!AV362</f>
        <v>1.0469999999999999</v>
      </c>
      <c r="J40" s="700">
        <f>ROUND((ROUND(([100]Source!AE362*[100]Source!AV362*[100]Source!I362),2)),2)-J49</f>
        <v>37.590000000000003</v>
      </c>
      <c r="K40" s="694">
        <f>IF([100]Source!BS362&lt;&gt; 0, [100]Source!BS362, 1)</f>
        <v>24.23</v>
      </c>
      <c r="L40" s="700">
        <f>[100]Source!R362-L49</f>
        <v>910.9</v>
      </c>
      <c r="W40" s="718">
        <f>J40</f>
        <v>37.590000000000003</v>
      </c>
    </row>
    <row r="41" spans="1:27" ht="15" x14ac:dyDescent="0.25">
      <c r="A41" s="691"/>
      <c r="B41" s="691"/>
      <c r="C41" s="692"/>
      <c r="D41" s="692" t="s">
        <v>87</v>
      </c>
      <c r="E41" s="693"/>
      <c r="F41" s="694"/>
      <c r="G41" s="695">
        <f>[100]Source!AL362</f>
        <v>59.82</v>
      </c>
      <c r="H41" s="696" t="str">
        <f>[100]Source!DD362</f>
        <v/>
      </c>
      <c r="I41" s="694">
        <f>[100]Source!AW362</f>
        <v>1.0189999999999999</v>
      </c>
      <c r="J41" s="697">
        <f>ROUND((ROUND(([100]Source!AC362*[100]Source!AW362*[100]Source!I362),2)),2)</f>
        <v>829.01</v>
      </c>
      <c r="K41" s="694">
        <f>IF([100]Source!BC362&lt;&gt; 0, [100]Source!BC362, 1)</f>
        <v>19.850000000000001</v>
      </c>
      <c r="L41" s="697">
        <f>[100]Source!P362</f>
        <v>16455.849999999999</v>
      </c>
    </row>
    <row r="42" spans="1:27" ht="15" x14ac:dyDescent="0.25">
      <c r="A42" s="691"/>
      <c r="B42" s="691"/>
      <c r="C42" s="692"/>
      <c r="D42" s="692" t="s">
        <v>88</v>
      </c>
      <c r="E42" s="693" t="s">
        <v>89</v>
      </c>
      <c r="F42" s="694">
        <f>[100]Source!DN362</f>
        <v>98</v>
      </c>
      <c r="G42" s="695"/>
      <c r="H42" s="696"/>
      <c r="I42" s="694"/>
      <c r="J42" s="697">
        <f>SUM(Q37:Q41)</f>
        <v>666.49</v>
      </c>
      <c r="K42" s="694">
        <f>[100]Source!BZ362</f>
        <v>79</v>
      </c>
      <c r="L42" s="697">
        <f>SUM(R37:R41)</f>
        <v>13018.08</v>
      </c>
    </row>
    <row r="43" spans="1:27" ht="15" x14ac:dyDescent="0.25">
      <c r="A43" s="691"/>
      <c r="B43" s="691"/>
      <c r="C43" s="692"/>
      <c r="D43" s="692" t="s">
        <v>90</v>
      </c>
      <c r="E43" s="693" t="s">
        <v>89</v>
      </c>
      <c r="F43" s="694">
        <f>[100]Source!DO362</f>
        <v>73</v>
      </c>
      <c r="G43" s="695"/>
      <c r="H43" s="696"/>
      <c r="I43" s="694"/>
      <c r="J43" s="697">
        <f>SUM(S37:S42)</f>
        <v>496.47</v>
      </c>
      <c r="K43" s="694">
        <f>[100]Source!CA362</f>
        <v>41</v>
      </c>
      <c r="L43" s="697">
        <f>SUM(T37:T42)</f>
        <v>6756.22</v>
      </c>
    </row>
    <row r="44" spans="1:27" ht="15" x14ac:dyDescent="0.25">
      <c r="A44" s="691"/>
      <c r="B44" s="691"/>
      <c r="C44" s="692"/>
      <c r="D44" s="692" t="s">
        <v>91</v>
      </c>
      <c r="E44" s="693" t="s">
        <v>89</v>
      </c>
      <c r="F44" s="694">
        <f>175</f>
        <v>175</v>
      </c>
      <c r="G44" s="695"/>
      <c r="H44" s="696"/>
      <c r="I44" s="694"/>
      <c r="J44" s="697">
        <f>SUM(U37:U43)-J50</f>
        <v>65.790000000000006</v>
      </c>
      <c r="K44" s="694">
        <f>157</f>
        <v>157</v>
      </c>
      <c r="L44" s="697">
        <f>SUM(V37:V43)-L50</f>
        <v>1430.11</v>
      </c>
    </row>
    <row r="45" spans="1:27" ht="15" x14ac:dyDescent="0.25">
      <c r="A45" s="691"/>
      <c r="B45" s="691"/>
      <c r="C45" s="692"/>
      <c r="D45" s="692" t="s">
        <v>92</v>
      </c>
      <c r="E45" s="693" t="s">
        <v>93</v>
      </c>
      <c r="F45" s="694">
        <f>[100]Source!AQ362</f>
        <v>2.2000000000000002</v>
      </c>
      <c r="G45" s="695"/>
      <c r="H45" s="696" t="str">
        <f>[100]Source!DI362</f>
        <v/>
      </c>
      <c r="I45" s="694">
        <f>[100]Source!AV362</f>
        <v>1.0469999999999999</v>
      </c>
      <c r="J45" s="697">
        <f>[100]Source!U362</f>
        <v>31.33</v>
      </c>
      <c r="K45" s="694"/>
      <c r="L45" s="697"/>
    </row>
    <row r="46" spans="1:27" ht="14.25" x14ac:dyDescent="0.2">
      <c r="I46" s="1067">
        <f>J38+J39+J41+J42+J43+J44</f>
        <v>2925.81</v>
      </c>
      <c r="J46" s="1067"/>
      <c r="K46" s="1067">
        <f>L38+L39+L41+L42+L43+L44</f>
        <v>55885.08</v>
      </c>
      <c r="L46" s="1067"/>
      <c r="O46" s="736">
        <f>J38+J39+J41+J42+J43+J44</f>
        <v>2925.81</v>
      </c>
      <c r="P46" s="736">
        <f>L38+L39+L41+L42+L43+L44</f>
        <v>55885.08</v>
      </c>
      <c r="X46" s="718">
        <f>IF([100]Source!BI362&lt;=1,J38+J39+J41+J42+J43+J44-0, 0)</f>
        <v>2925.81</v>
      </c>
      <c r="Y46" s="718">
        <f>IF([100]Source!BI362=2,J38+J39+J41+J42+J43+J44-0, 0)</f>
        <v>0</v>
      </c>
      <c r="Z46" s="718">
        <f>IF([100]Source!BI362=3,J38+J39+J41+J42+J43+J44-0, 0)</f>
        <v>0</v>
      </c>
      <c r="AA46" s="718">
        <f>IF([100]Source!BI362=4,J38+J39+J41+J42+J43+J44,0)</f>
        <v>0</v>
      </c>
    </row>
    <row r="47" spans="1:27" ht="30" x14ac:dyDescent="0.25">
      <c r="A47" s="701"/>
      <c r="B47" s="701"/>
      <c r="C47" s="702"/>
      <c r="D47" s="702" t="s">
        <v>94</v>
      </c>
      <c r="E47" s="693"/>
      <c r="F47" s="703"/>
      <c r="G47" s="704"/>
      <c r="H47" s="693"/>
      <c r="I47" s="703"/>
      <c r="J47" s="700"/>
      <c r="K47" s="703"/>
      <c r="L47" s="700"/>
    </row>
    <row r="48" spans="1:27" ht="15" x14ac:dyDescent="0.25">
      <c r="A48" s="701"/>
      <c r="B48" s="701"/>
      <c r="C48" s="702"/>
      <c r="D48" s="702" t="s">
        <v>85</v>
      </c>
      <c r="E48" s="693"/>
      <c r="F48" s="703"/>
      <c r="G48" s="704">
        <f t="shared" ref="G48:L48" si="0">G49</f>
        <v>2.64</v>
      </c>
      <c r="H48" s="705" t="str">
        <f t="shared" si="0"/>
        <v>)*(1.67-1)</v>
      </c>
      <c r="I48" s="703">
        <f t="shared" si="0"/>
        <v>1.0469999999999999</v>
      </c>
      <c r="J48" s="700">
        <f t="shared" si="0"/>
        <v>25.19</v>
      </c>
      <c r="K48" s="703">
        <f t="shared" si="0"/>
        <v>24.23</v>
      </c>
      <c r="L48" s="700">
        <f t="shared" si="0"/>
        <v>610.26</v>
      </c>
    </row>
    <row r="49" spans="1:43" ht="15" x14ac:dyDescent="0.25">
      <c r="A49" s="701"/>
      <c r="B49" s="701"/>
      <c r="C49" s="702"/>
      <c r="D49" s="702" t="s">
        <v>86</v>
      </c>
      <c r="E49" s="693"/>
      <c r="F49" s="703"/>
      <c r="G49" s="704">
        <f>[100]Source!AN362</f>
        <v>2.64</v>
      </c>
      <c r="H49" s="705" t="s">
        <v>95</v>
      </c>
      <c r="I49" s="703">
        <f>[100]Source!AV362</f>
        <v>1.0469999999999999</v>
      </c>
      <c r="J49" s="700">
        <f>ROUND(F37*G49*I49*(1.67-1), 2)</f>
        <v>25.19</v>
      </c>
      <c r="K49" s="703">
        <f>IF([100]Source!BS362&lt;&gt; 0, [100]Source!BS362, 1)</f>
        <v>24.23</v>
      </c>
      <c r="L49" s="700">
        <f>ROUND(F37*G49*I49*(1.67-1)*K49, 2)</f>
        <v>610.26</v>
      </c>
      <c r="W49" s="718">
        <f>J49</f>
        <v>25.19</v>
      </c>
    </row>
    <row r="50" spans="1:43" ht="15" x14ac:dyDescent="0.25">
      <c r="A50" s="701"/>
      <c r="B50" s="701"/>
      <c r="C50" s="702"/>
      <c r="D50" s="702" t="s">
        <v>91</v>
      </c>
      <c r="E50" s="693" t="s">
        <v>89</v>
      </c>
      <c r="F50" s="703">
        <f>175</f>
        <v>175</v>
      </c>
      <c r="G50" s="704"/>
      <c r="H50" s="693"/>
      <c r="I50" s="703"/>
      <c r="J50" s="700">
        <f>ROUND(J49*(F50/100), 2)</f>
        <v>44.08</v>
      </c>
      <c r="K50" s="703">
        <f>157</f>
        <v>157</v>
      </c>
      <c r="L50" s="700">
        <f>ROUND(L49*(K50/100), 2)</f>
        <v>958.11</v>
      </c>
    </row>
    <row r="51" spans="1:43" ht="14.25" x14ac:dyDescent="0.2">
      <c r="I51" s="1067">
        <f>J50+J49</f>
        <v>69.27</v>
      </c>
      <c r="J51" s="1067"/>
      <c r="K51" s="1067">
        <f>L50+L49</f>
        <v>1568.37</v>
      </c>
      <c r="L51" s="1067"/>
      <c r="O51" s="736">
        <f>I51</f>
        <v>69.27</v>
      </c>
      <c r="P51" s="736">
        <f>K51</f>
        <v>1568.37</v>
      </c>
      <c r="X51" s="718">
        <f>IF([100]Source!BI362&lt;=1,I51, 0)</f>
        <v>69.27</v>
      </c>
      <c r="Y51" s="718">
        <f>IF([100]Source!BI362=2,I51, 0)</f>
        <v>0</v>
      </c>
      <c r="Z51" s="718">
        <f>IF([100]Source!BI362=3,I51, 0)</f>
        <v>0</v>
      </c>
      <c r="AA51" s="718">
        <f>IF([100]Source!BI362=4,I51, 0)</f>
        <v>0</v>
      </c>
    </row>
    <row r="53" spans="1:43" ht="15" x14ac:dyDescent="0.25">
      <c r="A53" s="706"/>
      <c r="B53" s="706"/>
      <c r="C53" s="707"/>
      <c r="D53" s="707" t="s">
        <v>96</v>
      </c>
      <c r="E53" s="708"/>
      <c r="F53" s="709"/>
      <c r="G53" s="710"/>
      <c r="H53" s="711"/>
      <c r="I53" s="1067">
        <f>I46+I51</f>
        <v>2995.08</v>
      </c>
      <c r="J53" s="1067"/>
      <c r="K53" s="1067">
        <f>K46+K51</f>
        <v>57453.45</v>
      </c>
      <c r="L53" s="1067"/>
    </row>
    <row r="54" spans="1:43" ht="120" x14ac:dyDescent="0.25">
      <c r="A54" s="691">
        <v>6</v>
      </c>
      <c r="B54" s="691" t="str">
        <f>[100]Source!E364</f>
        <v>76</v>
      </c>
      <c r="C54" s="692" t="str">
        <f>[100]Source!F364</f>
        <v>1.1-1-1289</v>
      </c>
      <c r="D54" s="692" t="s">
        <v>554</v>
      </c>
      <c r="E54" s="693" t="str">
        <f>[100]Source!H364</f>
        <v>м</v>
      </c>
      <c r="F54" s="694">
        <f>[100]Source!I364</f>
        <v>71.400000000000006</v>
      </c>
      <c r="G54" s="695">
        <f>[100]Source!AL364</f>
        <v>5.85</v>
      </c>
      <c r="H54" s="696" t="str">
        <f>[100]Source!DD364</f>
        <v/>
      </c>
      <c r="I54" s="694">
        <f>[100]Source!AW364</f>
        <v>1.0189999999999999</v>
      </c>
      <c r="J54" s="697">
        <f>I54*F54*G54</f>
        <v>425.63</v>
      </c>
      <c r="K54" s="694">
        <v>7.96</v>
      </c>
      <c r="L54" s="697">
        <f>K54*J54</f>
        <v>3388.01</v>
      </c>
      <c r="Q54" s="718">
        <f>ROUND(([100]Source!DN364/100)*ROUND((ROUND(([100]Source!AF364*[100]Source!AV364*[100]Source!I364),2)),2), 2)</f>
        <v>0</v>
      </c>
      <c r="R54" s="718">
        <f>[100]Source!X364</f>
        <v>0</v>
      </c>
      <c r="S54" s="718">
        <f>ROUND(([100]Source!DO364/100)*ROUND((ROUND(([100]Source!AF364*[100]Source!AV364*[100]Source!I364),2)),2), 2)</f>
        <v>0</v>
      </c>
      <c r="T54" s="718">
        <f>[100]Source!Y364</f>
        <v>0</v>
      </c>
      <c r="U54" s="718">
        <f>ROUND((175/100)*ROUND((ROUND(([100]Source!AE364*[100]Source!AV364*[100]Source!I364),2)),2), 2)</f>
        <v>0</v>
      </c>
      <c r="V54" s="718">
        <f>ROUND((157/100)*ROUND(ROUND((ROUND(([100]Source!AE364*[100]Source!AV364*[100]Source!I364),2)*[100]Source!BS364),2), 2), 2)</f>
        <v>0</v>
      </c>
    </row>
    <row r="55" spans="1:43" ht="14.25" x14ac:dyDescent="0.2">
      <c r="A55" s="737"/>
      <c r="B55" s="737"/>
      <c r="C55" s="737"/>
      <c r="D55" s="737"/>
      <c r="E55" s="737"/>
      <c r="F55" s="737"/>
      <c r="G55" s="737"/>
      <c r="H55" s="737"/>
      <c r="I55" s="1067">
        <f>J54</f>
        <v>425.63</v>
      </c>
      <c r="J55" s="1067"/>
      <c r="K55" s="1067">
        <f>L54</f>
        <v>3388.01</v>
      </c>
      <c r="L55" s="1067"/>
      <c r="O55" s="736">
        <f>J54</f>
        <v>425.63</v>
      </c>
      <c r="P55" s="736">
        <f>L54</f>
        <v>3388.01</v>
      </c>
      <c r="X55" s="718">
        <f>IF([100]Source!BI364&lt;=1,J54-0, 0)</f>
        <v>425.63</v>
      </c>
      <c r="Y55" s="718">
        <f>IF([100]Source!BI364=2,J54-0, 0)</f>
        <v>0</v>
      </c>
      <c r="Z55" s="718">
        <f>IF([100]Source!BI364=3,J54-0, 0)</f>
        <v>0</v>
      </c>
      <c r="AA55" s="718">
        <f>IF([100]Source!BI364=4,J54,0)</f>
        <v>0</v>
      </c>
    </row>
    <row r="56" spans="1:43" ht="120" x14ac:dyDescent="0.25">
      <c r="A56" s="691">
        <v>7</v>
      </c>
      <c r="B56" s="691" t="str">
        <f>[100]Source!E366</f>
        <v>77</v>
      </c>
      <c r="C56" s="692" t="str">
        <f>[100]Source!F366</f>
        <v>1.1-1-1273</v>
      </c>
      <c r="D56" s="692" t="s">
        <v>555</v>
      </c>
      <c r="E56" s="693" t="str">
        <f>[100]Source!H366</f>
        <v>м</v>
      </c>
      <c r="F56" s="694">
        <f>[100]Source!I366</f>
        <v>71.400000000000006</v>
      </c>
      <c r="G56" s="695">
        <f>[100]Source!AL366</f>
        <v>10.38</v>
      </c>
      <c r="H56" s="696" t="str">
        <f>[100]Source!DD366</f>
        <v/>
      </c>
      <c r="I56" s="694">
        <f>[100]Source!AW366</f>
        <v>1.0189999999999999</v>
      </c>
      <c r="J56" s="697">
        <f>I56*F56*G56</f>
        <v>755.21</v>
      </c>
      <c r="K56" s="694">
        <v>6.93</v>
      </c>
      <c r="L56" s="697">
        <f>K56*J56</f>
        <v>5233.6099999999997</v>
      </c>
      <c r="Q56" s="718">
        <f>ROUND(([100]Source!DN366/100)*ROUND((ROUND(([100]Source!AF366*[100]Source!AV366*[100]Source!I366),2)),2), 2)</f>
        <v>0</v>
      </c>
      <c r="R56" s="718">
        <f>[100]Source!X366</f>
        <v>0</v>
      </c>
      <c r="S56" s="718">
        <f>ROUND(([100]Source!DO366/100)*ROUND((ROUND(([100]Source!AF366*[100]Source!AV366*[100]Source!I366),2)),2), 2)</f>
        <v>0</v>
      </c>
      <c r="T56" s="718">
        <f>[100]Source!Y366</f>
        <v>0</v>
      </c>
      <c r="U56" s="718">
        <f>ROUND((175/100)*ROUND((ROUND(([100]Source!AE366*[100]Source!AV366*[100]Source!I366),2)),2), 2)</f>
        <v>0</v>
      </c>
      <c r="V56" s="718">
        <f>ROUND((157/100)*ROUND(ROUND((ROUND(([100]Source!AE366*[100]Source!AV366*[100]Source!I366),2)*[100]Source!BS366),2), 2), 2)</f>
        <v>0</v>
      </c>
      <c r="AQ56" s="718" t="s">
        <v>565</v>
      </c>
    </row>
    <row r="57" spans="1:43" ht="14.25" x14ac:dyDescent="0.2">
      <c r="A57" s="737"/>
      <c r="B57" s="737"/>
      <c r="C57" s="737"/>
      <c r="D57" s="737"/>
      <c r="E57" s="737"/>
      <c r="F57" s="737"/>
      <c r="G57" s="737"/>
      <c r="H57" s="737"/>
      <c r="I57" s="1067">
        <f>J56</f>
        <v>755.21</v>
      </c>
      <c r="J57" s="1067"/>
      <c r="K57" s="1067">
        <f>L56</f>
        <v>5233.6099999999997</v>
      </c>
      <c r="L57" s="1067"/>
      <c r="O57" s="736">
        <f>J56</f>
        <v>755.21</v>
      </c>
      <c r="P57" s="736">
        <f>L56</f>
        <v>5233.6099999999997</v>
      </c>
      <c r="X57" s="718">
        <f>IF([100]Source!BI366&lt;=1,J56-0, 0)</f>
        <v>755.21</v>
      </c>
      <c r="Y57" s="718">
        <f>IF([100]Source!BI366=2,J56-0, 0)</f>
        <v>0</v>
      </c>
      <c r="Z57" s="718">
        <f>IF([100]Source!BI366=3,J56-0, 0)</f>
        <v>0</v>
      </c>
      <c r="AA57" s="718">
        <f>IF([100]Source!BI366=4,J56,0)</f>
        <v>0</v>
      </c>
    </row>
    <row r="59" spans="1:43" ht="14.25" x14ac:dyDescent="0.2">
      <c r="A59" s="1068" t="str">
        <f>CONCATENATE("Итого по подразделу: ",IF([100]Source!G374&lt;&gt;"Новый подраздел", [100]Source!G374, ""))</f>
        <v>Итого по подразделу: П2-5, П2-5р</v>
      </c>
      <c r="B59" s="1068"/>
      <c r="C59" s="1068"/>
      <c r="D59" s="1068"/>
      <c r="E59" s="1068"/>
      <c r="F59" s="1068"/>
      <c r="G59" s="1068"/>
      <c r="H59" s="1068"/>
      <c r="I59" s="1069">
        <f>SUM(O18:O58)</f>
        <v>14083.66</v>
      </c>
      <c r="J59" s="1070"/>
      <c r="K59" s="1069">
        <f>SUM(P18:P58)</f>
        <v>219168.65</v>
      </c>
      <c r="L59" s="1070"/>
    </row>
    <row r="60" spans="1:43" hidden="1" x14ac:dyDescent="0.2">
      <c r="A60" s="718" t="s">
        <v>139</v>
      </c>
      <c r="I60" s="718">
        <f>SUM(AC18:AC59)</f>
        <v>0</v>
      </c>
      <c r="K60" s="718">
        <f>SUM(AD18:AD59)</f>
        <v>0</v>
      </c>
    </row>
    <row r="61" spans="1:43" hidden="1" x14ac:dyDescent="0.2">
      <c r="A61" s="718" t="s">
        <v>140</v>
      </c>
      <c r="I61" s="718">
        <f>SUM(AE18:AE60)</f>
        <v>0</v>
      </c>
      <c r="K61" s="718">
        <f>SUM(AF18:AF60)</f>
        <v>0</v>
      </c>
    </row>
    <row r="63" spans="1:43" ht="16.5" x14ac:dyDescent="0.25">
      <c r="A63" s="1066" t="str">
        <f>CONCATENATE("Подраздел: ",IF([100]Source!G580&lt;&gt;"Новый подраздел", [100]Source!G580, ""))</f>
        <v>Подраздел: К2-10, К2-11р</v>
      </c>
      <c r="B63" s="1066"/>
      <c r="C63" s="1066"/>
      <c r="D63" s="1066"/>
      <c r="E63" s="1066"/>
      <c r="F63" s="1066"/>
      <c r="G63" s="1066"/>
      <c r="H63" s="1066"/>
      <c r="I63" s="1066"/>
      <c r="J63" s="1066"/>
      <c r="K63" s="1066"/>
      <c r="L63" s="1066"/>
    </row>
    <row r="64" spans="1:43" ht="30" x14ac:dyDescent="0.25">
      <c r="A64" s="691">
        <v>8</v>
      </c>
      <c r="B64" s="691" t="str">
        <f>[100]Source!E601</f>
        <v>123</v>
      </c>
      <c r="C64" s="692" t="str">
        <f>[100]Source!F601</f>
        <v>3.29-1939-2</v>
      </c>
      <c r="D64" s="692" t="s">
        <v>541</v>
      </c>
      <c r="E64" s="693" t="str">
        <f>[100]Source!H601</f>
        <v>1 М</v>
      </c>
      <c r="F64" s="694">
        <f>[100]Source!I601</f>
        <v>22.64</v>
      </c>
      <c r="G64" s="695"/>
      <c r="H64" s="696"/>
      <c r="I64" s="694"/>
      <c r="J64" s="697"/>
      <c r="K64" s="694"/>
      <c r="L64" s="697"/>
      <c r="Q64" s="718">
        <f>ROUND(([100]Source!DN601/100)*ROUND((ROUND(([100]Source!AF601*[100]Source!AV601*[100]Source!I601),2)),2), 2)</f>
        <v>272.17</v>
      </c>
      <c r="R64" s="718">
        <f>[100]Source!X601</f>
        <v>5676.45</v>
      </c>
      <c r="S64" s="718">
        <f>ROUND(([100]Source!DO601/100)*ROUND((ROUND(([100]Source!AF601*[100]Source!AV601*[100]Source!I601),2)),2), 2)</f>
        <v>241.16</v>
      </c>
      <c r="T64" s="718">
        <f>[100]Source!Y601</f>
        <v>3589.52</v>
      </c>
      <c r="U64" s="718">
        <f>ROUND((175/100)*ROUND((ROUND(([100]Source!AE601*[100]Source!AV601*[100]Source!I601),2)),2), 2)</f>
        <v>0</v>
      </c>
      <c r="V64" s="718">
        <f>ROUND((157/100)*ROUND(ROUND((ROUND(([100]Source!AE601*[100]Source!AV601*[100]Source!I601),2)*[100]Source!BS601),2), 2), 2)</f>
        <v>0</v>
      </c>
    </row>
    <row r="65" spans="1:27" ht="15" x14ac:dyDescent="0.25">
      <c r="A65" s="691"/>
      <c r="B65" s="691"/>
      <c r="C65" s="692"/>
      <c r="D65" s="692" t="s">
        <v>84</v>
      </c>
      <c r="E65" s="693"/>
      <c r="F65" s="694"/>
      <c r="G65" s="695">
        <f>[100]Source!AO601</f>
        <v>8.5399999999999991</v>
      </c>
      <c r="H65" s="696" t="str">
        <f>[100]Source!DG601</f>
        <v>)*1,67</v>
      </c>
      <c r="I65" s="694">
        <f>[100]Source!AV601</f>
        <v>1.0669999999999999</v>
      </c>
      <c r="J65" s="697">
        <f>ROUND((ROUND(([100]Source!AF601*[100]Source!AV601*[100]Source!I601),2)),2)</f>
        <v>344.52</v>
      </c>
      <c r="K65" s="694">
        <f>IF([100]Source!BA601&lt;&gt; 0, [100]Source!BA601, 1)</f>
        <v>24.23</v>
      </c>
      <c r="L65" s="697">
        <f>[100]Source!S601</f>
        <v>8347.7199999999993</v>
      </c>
      <c r="W65" s="718">
        <f>J65</f>
        <v>344.52</v>
      </c>
    </row>
    <row r="66" spans="1:27" ht="15" x14ac:dyDescent="0.25">
      <c r="A66" s="691"/>
      <c r="B66" s="691"/>
      <c r="C66" s="692"/>
      <c r="D66" s="692" t="s">
        <v>85</v>
      </c>
      <c r="E66" s="693"/>
      <c r="F66" s="694"/>
      <c r="G66" s="695">
        <f>[100]Source!AM601</f>
        <v>7.0000000000000007E-2</v>
      </c>
      <c r="H66" s="696" t="str">
        <f>[100]Source!DE601</f>
        <v/>
      </c>
      <c r="I66" s="694">
        <f>[100]Source!AV601</f>
        <v>1.0669999999999999</v>
      </c>
      <c r="J66" s="697">
        <f>(ROUND((ROUND((([100]Source!ET601)*[100]Source!AV601*[100]Source!I601),2)),2)+ROUND((ROUND((([100]Source!AE601-([100]Source!EU601))*[100]Source!AV601*[100]Source!I601),2)),2))</f>
        <v>1.69</v>
      </c>
      <c r="K66" s="694">
        <f>IF([100]Source!BB601&lt;&gt; 0, [100]Source!BB601, 1)</f>
        <v>3.71</v>
      </c>
      <c r="L66" s="697">
        <f>[100]Source!Q601</f>
        <v>6.27</v>
      </c>
    </row>
    <row r="67" spans="1:27" ht="15" x14ac:dyDescent="0.25">
      <c r="A67" s="691"/>
      <c r="B67" s="691"/>
      <c r="C67" s="692"/>
      <c r="D67" s="692" t="s">
        <v>87</v>
      </c>
      <c r="E67" s="693"/>
      <c r="F67" s="694"/>
      <c r="G67" s="695">
        <f>[100]Source!AL601</f>
        <v>15.11</v>
      </c>
      <c r="H67" s="696" t="str">
        <f>[100]Source!DD601</f>
        <v/>
      </c>
      <c r="I67" s="694">
        <f>[100]Source!AW601</f>
        <v>1.028</v>
      </c>
      <c r="J67" s="697">
        <f>ROUND((ROUND(([100]Source!AC601*[100]Source!AW601*[100]Source!I601),2)),2)</f>
        <v>351.67</v>
      </c>
      <c r="K67" s="694">
        <f>IF([100]Source!BC601&lt;&gt; 0, [100]Source!BC601, 1)</f>
        <v>2.52</v>
      </c>
      <c r="L67" s="697">
        <f>[100]Source!P601</f>
        <v>886.21</v>
      </c>
    </row>
    <row r="68" spans="1:27" ht="45" x14ac:dyDescent="0.25">
      <c r="A68" s="691">
        <v>9</v>
      </c>
      <c r="B68" s="691" t="str">
        <f>[100]Source!E603</f>
        <v>123,1</v>
      </c>
      <c r="C68" s="692" t="str">
        <f>[100]Source!F603</f>
        <v>1.12-7-187</v>
      </c>
      <c r="D68" s="692" t="s">
        <v>542</v>
      </c>
      <c r="E68" s="693" t="str">
        <f>[100]Source!H603</f>
        <v>м</v>
      </c>
      <c r="F68" s="694">
        <f>[100]Source!I603</f>
        <v>22.64</v>
      </c>
      <c r="G68" s="695">
        <f>[100]Source!AK603</f>
        <v>7.73</v>
      </c>
      <c r="H68" s="734" t="s">
        <v>42</v>
      </c>
      <c r="I68" s="694">
        <f>[100]Source!AW603</f>
        <v>1.028</v>
      </c>
      <c r="J68" s="697">
        <f>ROUND((ROUND(([100]Source!AC603*[100]Source!AW603*[100]Source!I603),2)),2)+(ROUND((ROUND((([100]Source!ET603)*[100]Source!AV603*[100]Source!I603),2)),2)+ROUND((ROUND((([100]Source!AE603-([100]Source!EU603))*[100]Source!AV603*[100]Source!I603),2)),2))+ROUND((ROUND(([100]Source!AF603*[100]Source!AV603*[100]Source!I603),2)),2)</f>
        <v>179.91</v>
      </c>
      <c r="K68" s="694">
        <f>IF([100]Source!BC603&lt;&gt; 0, [100]Source!BC603, 1)</f>
        <v>13.82</v>
      </c>
      <c r="L68" s="697">
        <f>[100]Source!O603</f>
        <v>2486.36</v>
      </c>
      <c r="Q68" s="718">
        <f>ROUND(([100]Source!DN603/100)*ROUND((ROUND(([100]Source!AF603*[100]Source!AV603*[100]Source!I603),2)),2), 2)</f>
        <v>0</v>
      </c>
      <c r="R68" s="718">
        <f>[100]Source!X603</f>
        <v>0</v>
      </c>
      <c r="S68" s="718">
        <f>ROUND(([100]Source!DO603/100)*ROUND((ROUND(([100]Source!AF603*[100]Source!AV603*[100]Source!I603),2)),2), 2)</f>
        <v>0</v>
      </c>
      <c r="T68" s="718">
        <f>[100]Source!Y603</f>
        <v>0</v>
      </c>
      <c r="U68" s="718">
        <f>ROUND((175/100)*ROUND((ROUND(([100]Source!AE603*[100]Source!AV603*[100]Source!I603),2)),2), 2)</f>
        <v>0</v>
      </c>
      <c r="V68" s="718">
        <f>ROUND((157/100)*ROUND(ROUND((ROUND(([100]Source!AE603*[100]Source!AV603*[100]Source!I603),2)*[100]Source!BS603),2), 2), 2)</f>
        <v>0</v>
      </c>
      <c r="X68" s="718">
        <f>IF([100]Source!BI603&lt;=1,J68, 0)</f>
        <v>179.91</v>
      </c>
      <c r="Y68" s="718">
        <f>IF([100]Source!BI603=2,J68, 0)</f>
        <v>0</v>
      </c>
      <c r="Z68" s="718">
        <f>IF([100]Source!BI603=3,J68, 0)</f>
        <v>0</v>
      </c>
      <c r="AA68" s="718">
        <f>IF([100]Source!BI603=4,J68, 0)</f>
        <v>0</v>
      </c>
    </row>
    <row r="69" spans="1:27" ht="15" x14ac:dyDescent="0.25">
      <c r="A69" s="691"/>
      <c r="B69" s="691"/>
      <c r="C69" s="692"/>
      <c r="D69" s="692" t="s">
        <v>88</v>
      </c>
      <c r="E69" s="693" t="s">
        <v>89</v>
      </c>
      <c r="F69" s="694">
        <f>[100]Source!DN601</f>
        <v>79</v>
      </c>
      <c r="G69" s="695"/>
      <c r="H69" s="696"/>
      <c r="I69" s="694"/>
      <c r="J69" s="697">
        <f>SUM(Q64:Q68)</f>
        <v>272.17</v>
      </c>
      <c r="K69" s="694">
        <f>[100]Source!BZ601</f>
        <v>68</v>
      </c>
      <c r="L69" s="697">
        <f>SUM(R64:R68)</f>
        <v>5676.45</v>
      </c>
    </row>
    <row r="70" spans="1:27" ht="15" x14ac:dyDescent="0.25">
      <c r="A70" s="691"/>
      <c r="B70" s="691"/>
      <c r="C70" s="692"/>
      <c r="D70" s="692" t="s">
        <v>90</v>
      </c>
      <c r="E70" s="693" t="s">
        <v>89</v>
      </c>
      <c r="F70" s="694">
        <f>[100]Source!DO601</f>
        <v>70</v>
      </c>
      <c r="G70" s="695"/>
      <c r="H70" s="696"/>
      <c r="I70" s="694"/>
      <c r="J70" s="697">
        <f>SUM(S64:S69)</f>
        <v>241.16</v>
      </c>
      <c r="K70" s="694">
        <f>[100]Source!CA601</f>
        <v>43</v>
      </c>
      <c r="L70" s="697">
        <f>SUM(T64:T69)</f>
        <v>3589.52</v>
      </c>
    </row>
    <row r="71" spans="1:27" ht="15" x14ac:dyDescent="0.25">
      <c r="A71" s="691"/>
      <c r="B71" s="691"/>
      <c r="C71" s="692"/>
      <c r="D71" s="692" t="s">
        <v>92</v>
      </c>
      <c r="E71" s="693" t="s">
        <v>93</v>
      </c>
      <c r="F71" s="694">
        <f>[100]Source!AQ601</f>
        <v>0.7</v>
      </c>
      <c r="G71" s="695"/>
      <c r="H71" s="696" t="str">
        <f>[100]Source!DI601</f>
        <v/>
      </c>
      <c r="I71" s="694">
        <f>[100]Source!AV601</f>
        <v>1.0669999999999999</v>
      </c>
      <c r="J71" s="697">
        <f>[100]Source!U601</f>
        <v>16.91</v>
      </c>
      <c r="K71" s="694"/>
      <c r="L71" s="697"/>
    </row>
    <row r="72" spans="1:27" ht="14.25" x14ac:dyDescent="0.2">
      <c r="A72" s="737"/>
      <c r="B72" s="737"/>
      <c r="C72" s="737"/>
      <c r="D72" s="737"/>
      <c r="E72" s="737"/>
      <c r="F72" s="737"/>
      <c r="G72" s="737"/>
      <c r="H72" s="737"/>
      <c r="I72" s="1067">
        <f>J65+J66+J67+J69+J70+SUM(J68:J68)</f>
        <v>1391.12</v>
      </c>
      <c r="J72" s="1067"/>
      <c r="K72" s="1067">
        <f>L65+L66+L67+L69+L70+SUM(L68:L68)</f>
        <v>20992.53</v>
      </c>
      <c r="L72" s="1067"/>
      <c r="O72" s="736">
        <f>J65+J66+J67+J69+J70+SUM(J68:J68)</f>
        <v>1391.12</v>
      </c>
      <c r="P72" s="736">
        <f>L65+L66+L67+L69+L70+SUM(L68:L68)</f>
        <v>20992.53</v>
      </c>
      <c r="X72" s="718">
        <f>IF([100]Source!BI601&lt;=1,J65+J66+J67+J69+J70-0, 0)</f>
        <v>1211.21</v>
      </c>
      <c r="Y72" s="718">
        <f>IF([100]Source!BI601=2,J65+J66+J67+J69+J70-0, 0)</f>
        <v>0</v>
      </c>
      <c r="Z72" s="718">
        <f>IF([100]Source!BI601=3,J65+J66+J67+J69+J70-0, 0)</f>
        <v>0</v>
      </c>
      <c r="AA72" s="718">
        <f>IF([100]Source!BI601=4,J65+J66+J67+J69+J70,0)</f>
        <v>0</v>
      </c>
    </row>
    <row r="73" spans="1:27" ht="30" x14ac:dyDescent="0.25">
      <c r="A73" s="691">
        <v>10</v>
      </c>
      <c r="B73" s="691" t="str">
        <f>[100]Source!E605</f>
        <v>124</v>
      </c>
      <c r="C73" s="692" t="str">
        <f>[100]Source!F605</f>
        <v>3.29-1939-5</v>
      </c>
      <c r="D73" s="692" t="s">
        <v>547</v>
      </c>
      <c r="E73" s="693" t="str">
        <f>[100]Source!H605</f>
        <v>1 М</v>
      </c>
      <c r="F73" s="694">
        <f>[100]Source!I605</f>
        <v>22.64</v>
      </c>
      <c r="G73" s="695"/>
      <c r="H73" s="696"/>
      <c r="I73" s="694"/>
      <c r="J73" s="697"/>
      <c r="K73" s="694"/>
      <c r="L73" s="697"/>
      <c r="Q73" s="718">
        <f>ROUND(([100]Source!DN605/100)*ROUND((ROUND(([100]Source!AF605*[100]Source!AV605*[100]Source!I605),2)),2), 2)</f>
        <v>317.43</v>
      </c>
      <c r="R73" s="718">
        <f>[100]Source!X605</f>
        <v>6620.38</v>
      </c>
      <c r="S73" s="718">
        <f>ROUND(([100]Source!DO605/100)*ROUND((ROUND(([100]Source!AF605*[100]Source!AV605*[100]Source!I605),2)),2), 2)</f>
        <v>281.27</v>
      </c>
      <c r="T73" s="718">
        <f>[100]Source!Y605</f>
        <v>4186.42</v>
      </c>
      <c r="U73" s="718">
        <f>ROUND((175/100)*ROUND((ROUND(([100]Source!AE605*[100]Source!AV605*[100]Source!I605),2)),2), 2)</f>
        <v>0</v>
      </c>
      <c r="V73" s="718">
        <f>ROUND((157/100)*ROUND(ROUND((ROUND(([100]Source!AE605*[100]Source!AV605*[100]Source!I605),2)*[100]Source!BS605),2), 2), 2)</f>
        <v>0</v>
      </c>
    </row>
    <row r="74" spans="1:27" ht="15" x14ac:dyDescent="0.25">
      <c r="A74" s="691"/>
      <c r="B74" s="691"/>
      <c r="C74" s="692"/>
      <c r="D74" s="692" t="s">
        <v>84</v>
      </c>
      <c r="E74" s="693"/>
      <c r="F74" s="694"/>
      <c r="G74" s="695">
        <f>[100]Source!AO605</f>
        <v>9.9600000000000009</v>
      </c>
      <c r="H74" s="696" t="str">
        <f>[100]Source!DG605</f>
        <v>)*1,67</v>
      </c>
      <c r="I74" s="694">
        <f>[100]Source!AV605</f>
        <v>1.0669999999999999</v>
      </c>
      <c r="J74" s="697">
        <f>ROUND((ROUND(([100]Source!AF605*[100]Source!AV605*[100]Source!I605),2)),2)</f>
        <v>401.81</v>
      </c>
      <c r="K74" s="694">
        <f>IF([100]Source!BA605&lt;&gt; 0, [100]Source!BA605, 1)</f>
        <v>24.23</v>
      </c>
      <c r="L74" s="697">
        <f>[100]Source!S605</f>
        <v>9735.86</v>
      </c>
      <c r="W74" s="718">
        <f>J74</f>
        <v>401.81</v>
      </c>
    </row>
    <row r="75" spans="1:27" ht="15" x14ac:dyDescent="0.25">
      <c r="A75" s="691"/>
      <c r="B75" s="691"/>
      <c r="C75" s="692"/>
      <c r="D75" s="692" t="s">
        <v>85</v>
      </c>
      <c r="E75" s="693"/>
      <c r="F75" s="694"/>
      <c r="G75" s="695">
        <f>[100]Source!AM605</f>
        <v>0.12</v>
      </c>
      <c r="H75" s="696" t="str">
        <f>[100]Source!DE605</f>
        <v/>
      </c>
      <c r="I75" s="694">
        <f>[100]Source!AV605</f>
        <v>1.0669999999999999</v>
      </c>
      <c r="J75" s="697">
        <f>(ROUND((ROUND((([100]Source!ET605)*[100]Source!AV605*[100]Source!I605),2)),2)+ROUND((ROUND((([100]Source!AE605-([100]Source!EU605))*[100]Source!AV605*[100]Source!I605),2)),2))</f>
        <v>2.9</v>
      </c>
      <c r="K75" s="694">
        <f>IF([100]Source!BB605&lt;&gt; 0, [100]Source!BB605, 1)</f>
        <v>3.58</v>
      </c>
      <c r="L75" s="697">
        <f>[100]Source!Q605</f>
        <v>10.38</v>
      </c>
    </row>
    <row r="76" spans="1:27" ht="15" x14ac:dyDescent="0.25">
      <c r="A76" s="691"/>
      <c r="B76" s="691"/>
      <c r="C76" s="692"/>
      <c r="D76" s="692" t="s">
        <v>87</v>
      </c>
      <c r="E76" s="693"/>
      <c r="F76" s="694"/>
      <c r="G76" s="695">
        <f>[100]Source!AL605</f>
        <v>14.55</v>
      </c>
      <c r="H76" s="696" t="str">
        <f>[100]Source!DD605</f>
        <v/>
      </c>
      <c r="I76" s="694">
        <f>[100]Source!AW605</f>
        <v>1.028</v>
      </c>
      <c r="J76" s="697">
        <f>ROUND((ROUND(([100]Source!AC605*[100]Source!AW605*[100]Source!I605),2)),2)</f>
        <v>338.64</v>
      </c>
      <c r="K76" s="694">
        <f>IF([100]Source!BC605&lt;&gt; 0, [100]Source!BC605, 1)</f>
        <v>2.5499999999999998</v>
      </c>
      <c r="L76" s="697">
        <f>[100]Source!P605</f>
        <v>863.53</v>
      </c>
    </row>
    <row r="77" spans="1:27" ht="45" x14ac:dyDescent="0.25">
      <c r="A77" s="691">
        <v>11</v>
      </c>
      <c r="B77" s="691" t="str">
        <f>[100]Source!E607</f>
        <v>124,1</v>
      </c>
      <c r="C77" s="692" t="str">
        <f>[100]Source!F607</f>
        <v>1.12-7-189</v>
      </c>
      <c r="D77" s="692" t="s">
        <v>548</v>
      </c>
      <c r="E77" s="693" t="str">
        <f>[100]Source!H607</f>
        <v>м</v>
      </c>
      <c r="F77" s="694">
        <f>[100]Source!I607</f>
        <v>22.64</v>
      </c>
      <c r="G77" s="695">
        <f>[100]Source!AK607</f>
        <v>17.55</v>
      </c>
      <c r="H77" s="734" t="s">
        <v>42</v>
      </c>
      <c r="I77" s="694">
        <f>[100]Source!AW607</f>
        <v>1.028</v>
      </c>
      <c r="J77" s="697">
        <f>ROUND((ROUND(([100]Source!AC607*[100]Source!AW607*[100]Source!I607),2)),2)+(ROUND((ROUND((([100]Source!ET607)*[100]Source!AV607*[100]Source!I607),2)),2)+ROUND((ROUND((([100]Source!AE607-([100]Source!EU607))*[100]Source!AV607*[100]Source!I607),2)),2))+ROUND((ROUND(([100]Source!AF607*[100]Source!AV607*[100]Source!I607),2)),2)</f>
        <v>408.46</v>
      </c>
      <c r="K77" s="694">
        <f>IF([100]Source!BC607&lt;&gt; 0, [100]Source!BC607, 1)</f>
        <v>15.02</v>
      </c>
      <c r="L77" s="697">
        <f>[100]Source!O607</f>
        <v>6135.07</v>
      </c>
      <c r="Q77" s="718">
        <f>ROUND(([100]Source!DN607/100)*ROUND((ROUND(([100]Source!AF607*[100]Source!AV607*[100]Source!I607),2)),2), 2)</f>
        <v>0</v>
      </c>
      <c r="R77" s="718">
        <f>[100]Source!X607</f>
        <v>0</v>
      </c>
      <c r="S77" s="718">
        <f>ROUND(([100]Source!DO607/100)*ROUND((ROUND(([100]Source!AF607*[100]Source!AV607*[100]Source!I607),2)),2), 2)</f>
        <v>0</v>
      </c>
      <c r="T77" s="718">
        <f>[100]Source!Y607</f>
        <v>0</v>
      </c>
      <c r="U77" s="718">
        <f>ROUND((175/100)*ROUND((ROUND(([100]Source!AE607*[100]Source!AV607*[100]Source!I607),2)),2), 2)</f>
        <v>0</v>
      </c>
      <c r="V77" s="718">
        <f>ROUND((157/100)*ROUND(ROUND((ROUND(([100]Source!AE607*[100]Source!AV607*[100]Source!I607),2)*[100]Source!BS607),2), 2), 2)</f>
        <v>0</v>
      </c>
      <c r="X77" s="718">
        <f>IF([100]Source!BI607&lt;=1,J77, 0)</f>
        <v>408.46</v>
      </c>
      <c r="Y77" s="718">
        <f>IF([100]Source!BI607=2,J77, 0)</f>
        <v>0</v>
      </c>
      <c r="Z77" s="718">
        <f>IF([100]Source!BI607=3,J77, 0)</f>
        <v>0</v>
      </c>
      <c r="AA77" s="718">
        <f>IF([100]Source!BI607=4,J77, 0)</f>
        <v>0</v>
      </c>
    </row>
    <row r="78" spans="1:27" ht="15" x14ac:dyDescent="0.25">
      <c r="A78" s="691"/>
      <c r="B78" s="691"/>
      <c r="C78" s="692"/>
      <c r="D78" s="692" t="s">
        <v>88</v>
      </c>
      <c r="E78" s="693" t="s">
        <v>89</v>
      </c>
      <c r="F78" s="694">
        <f>[100]Source!DN605</f>
        <v>79</v>
      </c>
      <c r="G78" s="695"/>
      <c r="H78" s="696"/>
      <c r="I78" s="694"/>
      <c r="J78" s="697">
        <f>SUM(Q73:Q77)</f>
        <v>317.43</v>
      </c>
      <c r="K78" s="694">
        <f>[100]Source!BZ605</f>
        <v>68</v>
      </c>
      <c r="L78" s="697">
        <f>SUM(R73:R77)</f>
        <v>6620.38</v>
      </c>
    </row>
    <row r="79" spans="1:27" ht="15" x14ac:dyDescent="0.25">
      <c r="A79" s="691"/>
      <c r="B79" s="691"/>
      <c r="C79" s="692"/>
      <c r="D79" s="692" t="s">
        <v>90</v>
      </c>
      <c r="E79" s="693" t="s">
        <v>89</v>
      </c>
      <c r="F79" s="694">
        <f>[100]Source!DO605</f>
        <v>70</v>
      </c>
      <c r="G79" s="695"/>
      <c r="H79" s="696"/>
      <c r="I79" s="694"/>
      <c r="J79" s="697">
        <f>SUM(S73:S78)</f>
        <v>281.27</v>
      </c>
      <c r="K79" s="694">
        <f>[100]Source!CA605</f>
        <v>43</v>
      </c>
      <c r="L79" s="697">
        <f>SUM(T73:T78)</f>
        <v>4186.42</v>
      </c>
    </row>
    <row r="80" spans="1:27" ht="15" x14ac:dyDescent="0.25">
      <c r="A80" s="691"/>
      <c r="B80" s="691"/>
      <c r="C80" s="692"/>
      <c r="D80" s="692" t="s">
        <v>92</v>
      </c>
      <c r="E80" s="693" t="s">
        <v>93</v>
      </c>
      <c r="F80" s="694">
        <f>[100]Source!AQ605</f>
        <v>0.82</v>
      </c>
      <c r="G80" s="695"/>
      <c r="H80" s="696" t="str">
        <f>[100]Source!DI605</f>
        <v/>
      </c>
      <c r="I80" s="694">
        <f>[100]Source!AV605</f>
        <v>1.0669999999999999</v>
      </c>
      <c r="J80" s="697">
        <f>[100]Source!U605</f>
        <v>19.809999999999999</v>
      </c>
      <c r="K80" s="694"/>
      <c r="L80" s="697"/>
    </row>
    <row r="81" spans="1:27" ht="14.25" x14ac:dyDescent="0.2">
      <c r="A81" s="737"/>
      <c r="B81" s="737"/>
      <c r="C81" s="737"/>
      <c r="D81" s="737"/>
      <c r="E81" s="737"/>
      <c r="F81" s="737"/>
      <c r="G81" s="737"/>
      <c r="H81" s="737"/>
      <c r="I81" s="1067">
        <f>J74+J75+J76+J78+J79+SUM(J77:J77)</f>
        <v>1750.51</v>
      </c>
      <c r="J81" s="1067"/>
      <c r="K81" s="1067">
        <f>L74+L75+L76+L78+L79+SUM(L77:L77)</f>
        <v>27551.64</v>
      </c>
      <c r="L81" s="1067"/>
      <c r="O81" s="736">
        <f>J74+J75+J76+J78+J79+SUM(J77:J77)</f>
        <v>1750.51</v>
      </c>
      <c r="P81" s="736">
        <f>L74+L75+L76+L78+L79+SUM(L77:L77)</f>
        <v>27551.64</v>
      </c>
      <c r="X81" s="718">
        <f>IF([100]Source!BI605&lt;=1,J74+J75+J76+J78+J79-0, 0)</f>
        <v>1342.05</v>
      </c>
      <c r="Y81" s="718">
        <f>IF([100]Source!BI605=2,J74+J75+J76+J78+J79-0, 0)</f>
        <v>0</v>
      </c>
      <c r="Z81" s="718">
        <f>IF([100]Source!BI605=3,J74+J75+J76+J78+J79-0, 0)</f>
        <v>0</v>
      </c>
      <c r="AA81" s="718">
        <f>IF([100]Source!BI605=4,J74+J75+J76+J78+J79,0)</f>
        <v>0</v>
      </c>
    </row>
    <row r="82" spans="1:27" ht="45" x14ac:dyDescent="0.25">
      <c r="A82" s="691">
        <v>12</v>
      </c>
      <c r="B82" s="691" t="str">
        <f>[100]Source!E609</f>
        <v>125</v>
      </c>
      <c r="C82" s="692" t="str">
        <f>[100]Source!F609</f>
        <v>3.26-16-1</v>
      </c>
      <c r="D82" s="692" t="s">
        <v>553</v>
      </c>
      <c r="E82" s="693" t="str">
        <f>[100]Source!H609</f>
        <v>10 м изоляции</v>
      </c>
      <c r="F82" s="694">
        <f>[100]Source!I609</f>
        <v>4.3120000000000003</v>
      </c>
      <c r="G82" s="695"/>
      <c r="H82" s="696"/>
      <c r="I82" s="694"/>
      <c r="J82" s="697"/>
      <c r="K82" s="694"/>
      <c r="L82" s="697"/>
      <c r="Q82" s="718">
        <f>ROUND(([100]Source!DN609/100)*ROUND((ROUND(([100]Source!AF609*[100]Source!AV609*[100]Source!I609),2)),2), 2)</f>
        <v>211.32</v>
      </c>
      <c r="R82" s="718">
        <f>[100]Source!X609</f>
        <v>4127.5200000000004</v>
      </c>
      <c r="S82" s="718">
        <f>ROUND(([100]Source!DO609/100)*ROUND((ROUND(([100]Source!AF609*[100]Source!AV609*[100]Source!I609),2)),2), 2)</f>
        <v>157.41</v>
      </c>
      <c r="T82" s="718">
        <f>[100]Source!Y609</f>
        <v>2142.13</v>
      </c>
      <c r="U82" s="718">
        <f>ROUND((175/100)*ROUND((ROUND(([100]Source!AE609*[100]Source!AV609*[100]Source!I609),2)),2), 2)</f>
        <v>34.83</v>
      </c>
      <c r="V82" s="718">
        <f>ROUND((157/100)*ROUND(ROUND((ROUND(([100]Source!AE609*[100]Source!AV609*[100]Source!I609),2)*[100]Source!BS609),2), 2), 2)</f>
        <v>757.02</v>
      </c>
    </row>
    <row r="83" spans="1:27" ht="15" x14ac:dyDescent="0.25">
      <c r="A83" s="691"/>
      <c r="B83" s="691"/>
      <c r="C83" s="692"/>
      <c r="D83" s="692" t="s">
        <v>84</v>
      </c>
      <c r="E83" s="693"/>
      <c r="F83" s="694"/>
      <c r="G83" s="695">
        <f>[100]Source!AO609</f>
        <v>28.6</v>
      </c>
      <c r="H83" s="696" t="str">
        <f>[100]Source!DG609</f>
        <v>)*1,67</v>
      </c>
      <c r="I83" s="694">
        <f>[100]Source!AV609</f>
        <v>1.0469999999999999</v>
      </c>
      <c r="J83" s="697">
        <f>ROUND((ROUND(([100]Source!AF609*[100]Source!AV609*[100]Source!I609),2)),2)</f>
        <v>215.63</v>
      </c>
      <c r="K83" s="694">
        <f>IF([100]Source!BA609&lt;&gt; 0, [100]Source!BA609, 1)</f>
        <v>24.23</v>
      </c>
      <c r="L83" s="697">
        <f>[100]Source!S609</f>
        <v>5224.71</v>
      </c>
      <c r="W83" s="718">
        <f>J83</f>
        <v>215.63</v>
      </c>
    </row>
    <row r="84" spans="1:27" ht="15" x14ac:dyDescent="0.25">
      <c r="A84" s="691"/>
      <c r="B84" s="691"/>
      <c r="C84" s="692"/>
      <c r="D84" s="692" t="s">
        <v>85</v>
      </c>
      <c r="E84" s="693"/>
      <c r="F84" s="694"/>
      <c r="G84" s="695">
        <f>[100]Source!AM609</f>
        <v>13.2</v>
      </c>
      <c r="H84" s="696" t="str">
        <f>[100]Source!DE609</f>
        <v/>
      </c>
      <c r="I84" s="694">
        <f>[100]Source!AV609</f>
        <v>1.0469999999999999</v>
      </c>
      <c r="J84" s="697">
        <f>(ROUND((ROUND((([100]Source!ET609)*[100]Source!AV609*[100]Source!I609),2)),2)+ROUND((ROUND((([100]Source!AE609-([100]Source!EU609))*[100]Source!AV609*[100]Source!I609),2)),2))-J93</f>
        <v>59.59</v>
      </c>
      <c r="K84" s="694">
        <f>IF([100]Source!BB609&lt;&gt; 0, [100]Source!BB609, 1)</f>
        <v>9.2899999999999991</v>
      </c>
      <c r="L84" s="697">
        <f>[100]Source!Q609-L93</f>
        <v>553.70000000000005</v>
      </c>
    </row>
    <row r="85" spans="1:27" ht="15" x14ac:dyDescent="0.25">
      <c r="A85" s="691"/>
      <c r="B85" s="691"/>
      <c r="C85" s="692"/>
      <c r="D85" s="692" t="s">
        <v>86</v>
      </c>
      <c r="E85" s="693"/>
      <c r="F85" s="694"/>
      <c r="G85" s="695">
        <f>[100]Source!AN609</f>
        <v>2.64</v>
      </c>
      <c r="H85" s="696" t="str">
        <f>[100]Source!DE609</f>
        <v/>
      </c>
      <c r="I85" s="694">
        <f>[100]Source!AV609</f>
        <v>1.0469999999999999</v>
      </c>
      <c r="J85" s="700">
        <f>ROUND((ROUND(([100]Source!AE609*[100]Source!AV609*[100]Source!I609),2)),2)-J94</f>
        <v>11.91</v>
      </c>
      <c r="K85" s="694">
        <f>IF([100]Source!BS609&lt;&gt; 0, [100]Source!BS609, 1)</f>
        <v>24.23</v>
      </c>
      <c r="L85" s="700">
        <f>[100]Source!R609-L94</f>
        <v>288.69</v>
      </c>
      <c r="W85" s="718">
        <f>J85</f>
        <v>11.91</v>
      </c>
    </row>
    <row r="86" spans="1:27" ht="15" x14ac:dyDescent="0.25">
      <c r="A86" s="691"/>
      <c r="B86" s="691"/>
      <c r="C86" s="692"/>
      <c r="D86" s="692" t="s">
        <v>87</v>
      </c>
      <c r="E86" s="693"/>
      <c r="F86" s="694"/>
      <c r="G86" s="695">
        <f>[100]Source!AL609</f>
        <v>59.82</v>
      </c>
      <c r="H86" s="696" t="str">
        <f>[100]Source!DD609</f>
        <v/>
      </c>
      <c r="I86" s="694">
        <f>[100]Source!AW609</f>
        <v>1.0189999999999999</v>
      </c>
      <c r="J86" s="697">
        <f>ROUND((ROUND(([100]Source!AC609*[100]Source!AW609*[100]Source!I609),2)),2)</f>
        <v>262.83999999999997</v>
      </c>
      <c r="K86" s="694">
        <f>IF([100]Source!BC609&lt;&gt; 0, [100]Source!BC609, 1)</f>
        <v>19.850000000000001</v>
      </c>
      <c r="L86" s="697">
        <f>[100]Source!P609</f>
        <v>5217.37</v>
      </c>
    </row>
    <row r="87" spans="1:27" ht="15" x14ac:dyDescent="0.25">
      <c r="A87" s="691"/>
      <c r="B87" s="691"/>
      <c r="C87" s="692"/>
      <c r="D87" s="692" t="s">
        <v>88</v>
      </c>
      <c r="E87" s="693" t="s">
        <v>89</v>
      </c>
      <c r="F87" s="694">
        <f>[100]Source!DN609</f>
        <v>98</v>
      </c>
      <c r="G87" s="695"/>
      <c r="H87" s="696"/>
      <c r="I87" s="694"/>
      <c r="J87" s="697">
        <f>SUM(Q82:Q86)</f>
        <v>211.32</v>
      </c>
      <c r="K87" s="694">
        <f>[100]Source!BZ609</f>
        <v>79</v>
      </c>
      <c r="L87" s="697">
        <f>SUM(R82:R86)</f>
        <v>4127.5200000000004</v>
      </c>
    </row>
    <row r="88" spans="1:27" ht="15" x14ac:dyDescent="0.25">
      <c r="A88" s="691"/>
      <c r="B88" s="691"/>
      <c r="C88" s="692"/>
      <c r="D88" s="692" t="s">
        <v>90</v>
      </c>
      <c r="E88" s="693" t="s">
        <v>89</v>
      </c>
      <c r="F88" s="694">
        <f>[100]Source!DO609</f>
        <v>73</v>
      </c>
      <c r="G88" s="695"/>
      <c r="H88" s="696"/>
      <c r="I88" s="694"/>
      <c r="J88" s="697">
        <f>SUM(S82:S87)</f>
        <v>157.41</v>
      </c>
      <c r="K88" s="694">
        <f>[100]Source!CA609</f>
        <v>41</v>
      </c>
      <c r="L88" s="697">
        <f>SUM(T82:T87)</f>
        <v>2142.13</v>
      </c>
    </row>
    <row r="89" spans="1:27" ht="15" x14ac:dyDescent="0.25">
      <c r="A89" s="691"/>
      <c r="B89" s="691"/>
      <c r="C89" s="692"/>
      <c r="D89" s="692" t="s">
        <v>91</v>
      </c>
      <c r="E89" s="693" t="s">
        <v>89</v>
      </c>
      <c r="F89" s="694">
        <f>175</f>
        <v>175</v>
      </c>
      <c r="G89" s="695"/>
      <c r="H89" s="696"/>
      <c r="I89" s="694"/>
      <c r="J89" s="697">
        <f>SUM(U82:U88)-J95</f>
        <v>20.85</v>
      </c>
      <c r="K89" s="694">
        <f>157</f>
        <v>157</v>
      </c>
      <c r="L89" s="697">
        <f>SUM(V82:V88)-L95</f>
        <v>453.24</v>
      </c>
    </row>
    <row r="90" spans="1:27" ht="15" x14ac:dyDescent="0.25">
      <c r="A90" s="691"/>
      <c r="B90" s="691"/>
      <c r="C90" s="692"/>
      <c r="D90" s="692" t="s">
        <v>92</v>
      </c>
      <c r="E90" s="693" t="s">
        <v>93</v>
      </c>
      <c r="F90" s="694">
        <f>[100]Source!AQ609</f>
        <v>2.2000000000000002</v>
      </c>
      <c r="G90" s="695"/>
      <c r="H90" s="696" t="str">
        <f>[100]Source!DI609</f>
        <v/>
      </c>
      <c r="I90" s="694">
        <f>[100]Source!AV609</f>
        <v>1.0469999999999999</v>
      </c>
      <c r="J90" s="697">
        <f>[100]Source!U609</f>
        <v>9.93</v>
      </c>
      <c r="K90" s="694"/>
      <c r="L90" s="697"/>
    </row>
    <row r="91" spans="1:27" ht="14.25" x14ac:dyDescent="0.2">
      <c r="I91" s="1067">
        <f>J83+J84+J86+J87+J88+J89</f>
        <v>927.64</v>
      </c>
      <c r="J91" s="1067"/>
      <c r="K91" s="1067">
        <f>L83+L84+L86+L87+L88+L89</f>
        <v>17718.669999999998</v>
      </c>
      <c r="L91" s="1067"/>
      <c r="O91" s="736">
        <f>J83+J84+J86+J87+J88+J89</f>
        <v>927.64</v>
      </c>
      <c r="P91" s="736">
        <f>L83+L84+L86+L87+L88+L89</f>
        <v>17718.669999999998</v>
      </c>
      <c r="X91" s="718">
        <f>IF([100]Source!BI609&lt;=1,J83+J84+J86+J87+J88+J89-0, 0)</f>
        <v>927.64</v>
      </c>
      <c r="Y91" s="718">
        <f>IF([100]Source!BI609=2,J83+J84+J86+J87+J88+J89-0, 0)</f>
        <v>0</v>
      </c>
      <c r="Z91" s="718">
        <f>IF([100]Source!BI609=3,J83+J84+J86+J87+J88+J89-0, 0)</f>
        <v>0</v>
      </c>
      <c r="AA91" s="718">
        <f>IF([100]Source!BI609=4,J83+J84+J86+J87+J88+J89,0)</f>
        <v>0</v>
      </c>
    </row>
    <row r="92" spans="1:27" ht="30" x14ac:dyDescent="0.25">
      <c r="A92" s="701"/>
      <c r="B92" s="701"/>
      <c r="C92" s="702"/>
      <c r="D92" s="702" t="s">
        <v>94</v>
      </c>
      <c r="E92" s="693"/>
      <c r="F92" s="703"/>
      <c r="G92" s="704"/>
      <c r="H92" s="693"/>
      <c r="I92" s="703"/>
      <c r="J92" s="700"/>
      <c r="K92" s="703"/>
      <c r="L92" s="700"/>
    </row>
    <row r="93" spans="1:27" ht="15" x14ac:dyDescent="0.25">
      <c r="A93" s="701"/>
      <c r="B93" s="701"/>
      <c r="C93" s="702"/>
      <c r="D93" s="702" t="s">
        <v>85</v>
      </c>
      <c r="E93" s="693"/>
      <c r="F93" s="703"/>
      <c r="G93" s="704">
        <f t="shared" ref="G93:L93" si="1">G94</f>
        <v>2.64</v>
      </c>
      <c r="H93" s="705" t="str">
        <f t="shared" si="1"/>
        <v>)*(1.67-1)</v>
      </c>
      <c r="I93" s="703">
        <f t="shared" si="1"/>
        <v>1.0469999999999999</v>
      </c>
      <c r="J93" s="700">
        <f t="shared" si="1"/>
        <v>7.99</v>
      </c>
      <c r="K93" s="703">
        <f t="shared" si="1"/>
        <v>24.23</v>
      </c>
      <c r="L93" s="700">
        <f t="shared" si="1"/>
        <v>193.49</v>
      </c>
    </row>
    <row r="94" spans="1:27" ht="15" x14ac:dyDescent="0.25">
      <c r="A94" s="701"/>
      <c r="B94" s="701"/>
      <c r="C94" s="702"/>
      <c r="D94" s="702" t="s">
        <v>86</v>
      </c>
      <c r="E94" s="693"/>
      <c r="F94" s="703"/>
      <c r="G94" s="704">
        <f>[100]Source!AN609</f>
        <v>2.64</v>
      </c>
      <c r="H94" s="705" t="s">
        <v>95</v>
      </c>
      <c r="I94" s="703">
        <f>[100]Source!AV609</f>
        <v>1.0469999999999999</v>
      </c>
      <c r="J94" s="700">
        <f>ROUND(F82*G94*I94*(1.67-1), 2)</f>
        <v>7.99</v>
      </c>
      <c r="K94" s="703">
        <f>IF([100]Source!BS609&lt;&gt; 0, [100]Source!BS609, 1)</f>
        <v>24.23</v>
      </c>
      <c r="L94" s="700">
        <f>ROUND(F82*G94*I94*(1.67-1)*K94, 2)</f>
        <v>193.49</v>
      </c>
      <c r="W94" s="718">
        <f>J94</f>
        <v>7.99</v>
      </c>
    </row>
    <row r="95" spans="1:27" ht="15" x14ac:dyDescent="0.25">
      <c r="A95" s="701"/>
      <c r="B95" s="701"/>
      <c r="C95" s="702"/>
      <c r="D95" s="702" t="s">
        <v>91</v>
      </c>
      <c r="E95" s="693" t="s">
        <v>89</v>
      </c>
      <c r="F95" s="703">
        <f>175</f>
        <v>175</v>
      </c>
      <c r="G95" s="704"/>
      <c r="H95" s="693"/>
      <c r="I95" s="703"/>
      <c r="J95" s="700">
        <f>ROUND(J94*(F95/100), 2)</f>
        <v>13.98</v>
      </c>
      <c r="K95" s="703">
        <f>157</f>
        <v>157</v>
      </c>
      <c r="L95" s="700">
        <f>ROUND(L94*(K95/100), 2)</f>
        <v>303.77999999999997</v>
      </c>
    </row>
    <row r="96" spans="1:27" ht="14.25" x14ac:dyDescent="0.2">
      <c r="I96" s="1067">
        <f>J95+J94</f>
        <v>21.97</v>
      </c>
      <c r="J96" s="1067"/>
      <c r="K96" s="1067">
        <f>L95+L94</f>
        <v>497.27</v>
      </c>
      <c r="L96" s="1067"/>
      <c r="O96" s="736">
        <f>I96</f>
        <v>21.97</v>
      </c>
      <c r="P96" s="736">
        <f>K96</f>
        <v>497.27</v>
      </c>
      <c r="X96" s="718">
        <f>IF([100]Source!BI609&lt;=1,I96, 0)</f>
        <v>21.97</v>
      </c>
      <c r="Y96" s="718">
        <f>IF([100]Source!BI609=2,I96, 0)</f>
        <v>0</v>
      </c>
      <c r="Z96" s="718">
        <f>IF([100]Source!BI609=3,I96, 0)</f>
        <v>0</v>
      </c>
      <c r="AA96" s="718">
        <f>IF([100]Source!BI609=4,I96, 0)</f>
        <v>0</v>
      </c>
    </row>
    <row r="98" spans="1:27" ht="15" x14ac:dyDescent="0.25">
      <c r="A98" s="706"/>
      <c r="B98" s="706"/>
      <c r="C98" s="707"/>
      <c r="D98" s="707" t="s">
        <v>96</v>
      </c>
      <c r="E98" s="708"/>
      <c r="F98" s="709"/>
      <c r="G98" s="710"/>
      <c r="H98" s="711"/>
      <c r="I98" s="1067">
        <f>I91+I96</f>
        <v>949.61</v>
      </c>
      <c r="J98" s="1067"/>
      <c r="K98" s="1067">
        <f>K91+K96</f>
        <v>18215.939999999999</v>
      </c>
      <c r="L98" s="1067"/>
    </row>
    <row r="99" spans="1:27" ht="120" x14ac:dyDescent="0.25">
      <c r="A99" s="691">
        <v>13</v>
      </c>
      <c r="B99" s="691" t="str">
        <f>[100]Source!E611</f>
        <v>126</v>
      </c>
      <c r="C99" s="692" t="str">
        <f>[100]Source!F611</f>
        <v>1.1-1-1289</v>
      </c>
      <c r="D99" s="692" t="s">
        <v>554</v>
      </c>
      <c r="E99" s="693" t="str">
        <f>[100]Source!H611</f>
        <v>м</v>
      </c>
      <c r="F99" s="694">
        <f>[100]Source!I611</f>
        <v>22.64</v>
      </c>
      <c r="G99" s="695">
        <f>[100]Source!AL611</f>
        <v>5.85</v>
      </c>
      <c r="H99" s="696" t="str">
        <f>[100]Source!DD611</f>
        <v/>
      </c>
      <c r="I99" s="694">
        <f>[100]Source!AW611</f>
        <v>1.0189999999999999</v>
      </c>
      <c r="J99" s="697">
        <f>I99*G99*F99</f>
        <v>134.96</v>
      </c>
      <c r="K99" s="694">
        <v>7.96</v>
      </c>
      <c r="L99" s="697">
        <f>J99*K99</f>
        <v>1074.28</v>
      </c>
      <c r="Q99" s="718">
        <f>ROUND(([100]Source!DN611/100)*ROUND((ROUND(([100]Source!AF611*[100]Source!AV611*[100]Source!I611),2)),2), 2)</f>
        <v>0</v>
      </c>
      <c r="R99" s="718">
        <f>[100]Source!X611</f>
        <v>0</v>
      </c>
      <c r="S99" s="718">
        <f>ROUND(([100]Source!DO611/100)*ROUND((ROUND(([100]Source!AF611*[100]Source!AV611*[100]Source!I611),2)),2), 2)</f>
        <v>0</v>
      </c>
      <c r="T99" s="718">
        <f>[100]Source!Y611</f>
        <v>0</v>
      </c>
      <c r="U99" s="718">
        <f>ROUND((175/100)*ROUND((ROUND(([100]Source!AE611*[100]Source!AV611*[100]Source!I611),2)),2), 2)</f>
        <v>0</v>
      </c>
      <c r="V99" s="718">
        <f>ROUND((157/100)*ROUND(ROUND((ROUND(([100]Source!AE611*[100]Source!AV611*[100]Source!I611),2)*[100]Source!BS611),2), 2), 2)</f>
        <v>0</v>
      </c>
    </row>
    <row r="100" spans="1:27" ht="14.25" x14ac:dyDescent="0.2">
      <c r="A100" s="737"/>
      <c r="B100" s="737"/>
      <c r="C100" s="737"/>
      <c r="D100" s="737"/>
      <c r="E100" s="737"/>
      <c r="F100" s="737"/>
      <c r="G100" s="737"/>
      <c r="H100" s="737"/>
      <c r="I100" s="1067">
        <f>J99</f>
        <v>134.96</v>
      </c>
      <c r="J100" s="1067"/>
      <c r="K100" s="1067">
        <f>L99</f>
        <v>1074.28</v>
      </c>
      <c r="L100" s="1067"/>
      <c r="O100" s="736">
        <f>J99</f>
        <v>134.96</v>
      </c>
      <c r="P100" s="736">
        <f>L99</f>
        <v>1074.28</v>
      </c>
      <c r="X100" s="718">
        <f>IF([100]Source!BI611&lt;=1,J99-0, 0)</f>
        <v>134.96</v>
      </c>
      <c r="Y100" s="718">
        <f>IF([100]Source!BI611=2,J99-0, 0)</f>
        <v>0</v>
      </c>
      <c r="Z100" s="718">
        <f>IF([100]Source!BI611=3,J99-0, 0)</f>
        <v>0</v>
      </c>
      <c r="AA100" s="718">
        <f>IF([100]Source!BI611=4,J99,0)</f>
        <v>0</v>
      </c>
    </row>
    <row r="101" spans="1:27" ht="120" x14ac:dyDescent="0.25">
      <c r="A101" s="691">
        <v>14</v>
      </c>
      <c r="B101" s="691" t="str">
        <f>[100]Source!E613</f>
        <v>127</v>
      </c>
      <c r="C101" s="692" t="str">
        <f>[100]Source!F613</f>
        <v>1.1-1-1273</v>
      </c>
      <c r="D101" s="692" t="s">
        <v>555</v>
      </c>
      <c r="E101" s="693" t="str">
        <f>[100]Source!H613</f>
        <v>м</v>
      </c>
      <c r="F101" s="694">
        <f>[100]Source!I613</f>
        <v>22.64</v>
      </c>
      <c r="G101" s="695">
        <f>[100]Source!AL613</f>
        <v>10.38</v>
      </c>
      <c r="H101" s="696" t="str">
        <f>[100]Source!DD613</f>
        <v/>
      </c>
      <c r="I101" s="694">
        <f>[100]Source!AW613</f>
        <v>1.0189999999999999</v>
      </c>
      <c r="J101" s="697">
        <f>I101*G101*F101</f>
        <v>239.47</v>
      </c>
      <c r="K101" s="694">
        <v>6.93</v>
      </c>
      <c r="L101" s="697">
        <f>J101*K101</f>
        <v>1659.53</v>
      </c>
      <c r="Q101" s="718">
        <f>ROUND(([100]Source!DN613/100)*ROUND((ROUND(([100]Source!AF613*[100]Source!AV613*[100]Source!I613),2)),2), 2)</f>
        <v>0</v>
      </c>
      <c r="R101" s="718">
        <f>[100]Source!X613</f>
        <v>0</v>
      </c>
      <c r="S101" s="718">
        <f>ROUND(([100]Source!DO613/100)*ROUND((ROUND(([100]Source!AF613*[100]Source!AV613*[100]Source!I613),2)),2), 2)</f>
        <v>0</v>
      </c>
      <c r="T101" s="718">
        <f>[100]Source!Y613</f>
        <v>0</v>
      </c>
      <c r="U101" s="718">
        <f>ROUND((175/100)*ROUND((ROUND(([100]Source!AE613*[100]Source!AV613*[100]Source!I613),2)),2), 2)</f>
        <v>0</v>
      </c>
      <c r="V101" s="718">
        <f>ROUND((157/100)*ROUND(ROUND((ROUND(([100]Source!AE613*[100]Source!AV613*[100]Source!I613),2)*[100]Source!BS613),2), 2), 2)</f>
        <v>0</v>
      </c>
    </row>
    <row r="102" spans="1:27" ht="14.25" x14ac:dyDescent="0.2">
      <c r="A102" s="737"/>
      <c r="B102" s="737"/>
      <c r="C102" s="737"/>
      <c r="D102" s="737"/>
      <c r="E102" s="737"/>
      <c r="F102" s="737"/>
      <c r="G102" s="737"/>
      <c r="H102" s="737"/>
      <c r="I102" s="1067">
        <f>J101</f>
        <v>239.47</v>
      </c>
      <c r="J102" s="1067"/>
      <c r="K102" s="1067">
        <f>L101</f>
        <v>1659.53</v>
      </c>
      <c r="L102" s="1067"/>
      <c r="O102" s="736">
        <f>J101</f>
        <v>239.47</v>
      </c>
      <c r="P102" s="736">
        <f>L101</f>
        <v>1659.53</v>
      </c>
      <c r="X102" s="718">
        <f>IF([100]Source!BI613&lt;=1,J101-0, 0)</f>
        <v>239.47</v>
      </c>
      <c r="Y102" s="718">
        <f>IF([100]Source!BI613=2,J101-0, 0)</f>
        <v>0</v>
      </c>
      <c r="Z102" s="718">
        <f>IF([100]Source!BI613=3,J101-0, 0)</f>
        <v>0</v>
      </c>
      <c r="AA102" s="718">
        <f>IF([100]Source!BI613=4,J101,0)</f>
        <v>0</v>
      </c>
    </row>
    <row r="104" spans="1:27" ht="14.25" x14ac:dyDescent="0.2">
      <c r="A104" s="1068" t="str">
        <f>CONCATENATE("Итого по подразделу: ",IF([100]Source!G621&lt;&gt;"Новый подраздел", [100]Source!G621, ""))</f>
        <v>Итого по подразделу: К2-10, К2-11р</v>
      </c>
      <c r="B104" s="1068"/>
      <c r="C104" s="1068"/>
      <c r="D104" s="1068"/>
      <c r="E104" s="1068"/>
      <c r="F104" s="1068"/>
      <c r="G104" s="1068"/>
      <c r="H104" s="1068"/>
      <c r="I104" s="1069">
        <f>SUM(O63:O103)</f>
        <v>4465.67</v>
      </c>
      <c r="J104" s="1070"/>
      <c r="K104" s="1069">
        <f>SUM(P63:P103)</f>
        <v>69493.919999999998</v>
      </c>
      <c r="L104" s="1070"/>
    </row>
    <row r="105" spans="1:27" hidden="1" x14ac:dyDescent="0.2">
      <c r="A105" s="718" t="s">
        <v>139</v>
      </c>
      <c r="I105" s="718">
        <f>SUM(AC63:AC104)</f>
        <v>0</v>
      </c>
      <c r="K105" s="718">
        <f>SUM(AD63:AD104)</f>
        <v>0</v>
      </c>
    </row>
    <row r="106" spans="1:27" hidden="1" x14ac:dyDescent="0.2">
      <c r="A106" s="718" t="s">
        <v>140</v>
      </c>
      <c r="I106" s="718">
        <f>SUM(AE63:AE105)</f>
        <v>0</v>
      </c>
      <c r="K106" s="718">
        <f>SUM(AF63:AF105)</f>
        <v>0</v>
      </c>
    </row>
    <row r="108" spans="1:27" ht="16.5" x14ac:dyDescent="0.25">
      <c r="A108" s="1066" t="str">
        <f>CONCATENATE("Подраздел: ",IF([100]Source!G651&lt;&gt;"Новый подраздел", [100]Source!G651, ""))</f>
        <v>Подраздел: К2-12, К2-13р</v>
      </c>
      <c r="B108" s="1066"/>
      <c r="C108" s="1066"/>
      <c r="D108" s="1066"/>
      <c r="E108" s="1066"/>
      <c r="F108" s="1066"/>
      <c r="G108" s="1066"/>
      <c r="H108" s="1066"/>
      <c r="I108" s="1066"/>
      <c r="J108" s="1066"/>
      <c r="K108" s="1066"/>
      <c r="L108" s="1066"/>
    </row>
    <row r="109" spans="1:27" ht="30" x14ac:dyDescent="0.25">
      <c r="A109" s="691">
        <v>15</v>
      </c>
      <c r="B109" s="691" t="str">
        <f>[100]Source!E670</f>
        <v>136</v>
      </c>
      <c r="C109" s="692" t="str">
        <f>[100]Source!F670</f>
        <v>3.29-1939-2</v>
      </c>
      <c r="D109" s="692" t="s">
        <v>541</v>
      </c>
      <c r="E109" s="693" t="str">
        <f>[100]Source!H670</f>
        <v>1 М</v>
      </c>
      <c r="F109" s="694">
        <f>[100]Source!I670</f>
        <v>27.8</v>
      </c>
      <c r="G109" s="695"/>
      <c r="H109" s="696"/>
      <c r="I109" s="694"/>
      <c r="J109" s="697"/>
      <c r="K109" s="694"/>
      <c r="L109" s="697"/>
      <c r="Q109" s="718">
        <f>ROUND(([100]Source!DN670/100)*ROUND((ROUND(([100]Source!AF670*[100]Source!AV670*[100]Source!I670),2)),2), 2)</f>
        <v>334.2</v>
      </c>
      <c r="R109" s="718">
        <f>[100]Source!X670</f>
        <v>6970.18</v>
      </c>
      <c r="S109" s="718">
        <f>ROUND(([100]Source!DO670/100)*ROUND((ROUND(([100]Source!AF670*[100]Source!AV670*[100]Source!I670),2)),2), 2)</f>
        <v>296.13</v>
      </c>
      <c r="T109" s="718">
        <f>[100]Source!Y670</f>
        <v>4407.6099999999997</v>
      </c>
      <c r="U109" s="718">
        <f>ROUND((175/100)*ROUND((ROUND(([100]Source!AE670*[100]Source!AV670*[100]Source!I670),2)),2), 2)</f>
        <v>0</v>
      </c>
      <c r="V109" s="718">
        <f>ROUND((157/100)*ROUND(ROUND((ROUND(([100]Source!AE670*[100]Source!AV670*[100]Source!I670),2)*[100]Source!BS670),2), 2), 2)</f>
        <v>0</v>
      </c>
    </row>
    <row r="110" spans="1:27" ht="15" x14ac:dyDescent="0.25">
      <c r="A110" s="691"/>
      <c r="B110" s="691"/>
      <c r="C110" s="692"/>
      <c r="D110" s="692" t="s">
        <v>84</v>
      </c>
      <c r="E110" s="693"/>
      <c r="F110" s="694"/>
      <c r="G110" s="695">
        <f>[100]Source!AO670</f>
        <v>8.5399999999999991</v>
      </c>
      <c r="H110" s="696" t="str">
        <f>[100]Source!DG670</f>
        <v>)*1,67</v>
      </c>
      <c r="I110" s="694">
        <f>[100]Source!AV670</f>
        <v>1.0669999999999999</v>
      </c>
      <c r="J110" s="697">
        <f>ROUND((ROUND(([100]Source!AF670*[100]Source!AV670*[100]Source!I670),2)),2)</f>
        <v>423.04</v>
      </c>
      <c r="K110" s="694">
        <f>IF([100]Source!BA670&lt;&gt; 0, [100]Source!BA670, 1)</f>
        <v>24.23</v>
      </c>
      <c r="L110" s="697">
        <f>[100]Source!S670</f>
        <v>10250.26</v>
      </c>
      <c r="W110" s="718">
        <f>J110</f>
        <v>423.04</v>
      </c>
    </row>
    <row r="111" spans="1:27" ht="15" x14ac:dyDescent="0.25">
      <c r="A111" s="691"/>
      <c r="B111" s="691"/>
      <c r="C111" s="692"/>
      <c r="D111" s="692" t="s">
        <v>85</v>
      </c>
      <c r="E111" s="693"/>
      <c r="F111" s="694"/>
      <c r="G111" s="695">
        <f>[100]Source!AM670</f>
        <v>7.0000000000000007E-2</v>
      </c>
      <c r="H111" s="696" t="str">
        <f>[100]Source!DE670</f>
        <v/>
      </c>
      <c r="I111" s="694">
        <f>[100]Source!AV670</f>
        <v>1.0669999999999999</v>
      </c>
      <c r="J111" s="697">
        <f>(ROUND((ROUND((([100]Source!ET670)*[100]Source!AV670*[100]Source!I670),2)),2)+ROUND((ROUND((([100]Source!AE670-([100]Source!EU670))*[100]Source!AV670*[100]Source!I670),2)),2))</f>
        <v>2.08</v>
      </c>
      <c r="K111" s="694">
        <f>IF([100]Source!BB670&lt;&gt; 0, [100]Source!BB670, 1)</f>
        <v>3.71</v>
      </c>
      <c r="L111" s="697">
        <f>[100]Source!Q670</f>
        <v>7.72</v>
      </c>
    </row>
    <row r="112" spans="1:27" ht="15" x14ac:dyDescent="0.25">
      <c r="A112" s="691"/>
      <c r="B112" s="691"/>
      <c r="C112" s="692"/>
      <c r="D112" s="692" t="s">
        <v>87</v>
      </c>
      <c r="E112" s="693"/>
      <c r="F112" s="694"/>
      <c r="G112" s="695">
        <f>[100]Source!AL670</f>
        <v>15.11</v>
      </c>
      <c r="H112" s="696" t="str">
        <f>[100]Source!DD670</f>
        <v/>
      </c>
      <c r="I112" s="694">
        <f>[100]Source!AW670</f>
        <v>1.028</v>
      </c>
      <c r="J112" s="697">
        <f>ROUND((ROUND(([100]Source!AC670*[100]Source!AW670*[100]Source!I670),2)),2)</f>
        <v>431.82</v>
      </c>
      <c r="K112" s="694">
        <f>IF([100]Source!BC670&lt;&gt; 0, [100]Source!BC670, 1)</f>
        <v>2.52</v>
      </c>
      <c r="L112" s="697">
        <f>[100]Source!P670</f>
        <v>1088.19</v>
      </c>
    </row>
    <row r="113" spans="1:27" ht="45" x14ac:dyDescent="0.25">
      <c r="A113" s="691">
        <v>16</v>
      </c>
      <c r="B113" s="691" t="str">
        <f>[100]Source!E672</f>
        <v>136,1</v>
      </c>
      <c r="C113" s="692" t="str">
        <f>[100]Source!F672</f>
        <v>1.12-7-187</v>
      </c>
      <c r="D113" s="692" t="s">
        <v>542</v>
      </c>
      <c r="E113" s="693" t="str">
        <f>[100]Source!H672</f>
        <v>м</v>
      </c>
      <c r="F113" s="694">
        <f>[100]Source!I672</f>
        <v>27.8</v>
      </c>
      <c r="G113" s="695">
        <f>[100]Source!AK672</f>
        <v>7.73</v>
      </c>
      <c r="H113" s="734" t="s">
        <v>42</v>
      </c>
      <c r="I113" s="694">
        <f>[100]Source!AW672</f>
        <v>1.028</v>
      </c>
      <c r="J113" s="697">
        <f>ROUND((ROUND(([100]Source!AC672*[100]Source!AW672*[100]Source!I672),2)),2)+(ROUND((ROUND((([100]Source!ET672)*[100]Source!AV672*[100]Source!I672),2)),2)+ROUND((ROUND((([100]Source!AE672-([100]Source!EU672))*[100]Source!AV672*[100]Source!I672),2)),2))+ROUND((ROUND(([100]Source!AF672*[100]Source!AV672*[100]Source!I672),2)),2)</f>
        <v>220.91</v>
      </c>
      <c r="K113" s="694">
        <f>IF([100]Source!BC672&lt;&gt; 0, [100]Source!BC672, 1)</f>
        <v>13.82</v>
      </c>
      <c r="L113" s="697">
        <f>[100]Source!O672</f>
        <v>3052.98</v>
      </c>
      <c r="Q113" s="718">
        <f>ROUND(([100]Source!DN672/100)*ROUND((ROUND(([100]Source!AF672*[100]Source!AV672*[100]Source!I672),2)),2), 2)</f>
        <v>0</v>
      </c>
      <c r="R113" s="718">
        <f>[100]Source!X672</f>
        <v>0</v>
      </c>
      <c r="S113" s="718">
        <f>ROUND(([100]Source!DO672/100)*ROUND((ROUND(([100]Source!AF672*[100]Source!AV672*[100]Source!I672),2)),2), 2)</f>
        <v>0</v>
      </c>
      <c r="T113" s="718">
        <f>[100]Source!Y672</f>
        <v>0</v>
      </c>
      <c r="U113" s="718">
        <f>ROUND((175/100)*ROUND((ROUND(([100]Source!AE672*[100]Source!AV672*[100]Source!I672),2)),2), 2)</f>
        <v>0</v>
      </c>
      <c r="V113" s="718">
        <f>ROUND((157/100)*ROUND(ROUND((ROUND(([100]Source!AE672*[100]Source!AV672*[100]Source!I672),2)*[100]Source!BS672),2), 2), 2)</f>
        <v>0</v>
      </c>
      <c r="X113" s="718">
        <f>IF([100]Source!BI672&lt;=1,J113, 0)</f>
        <v>220.91</v>
      </c>
      <c r="Y113" s="718">
        <f>IF([100]Source!BI672=2,J113, 0)</f>
        <v>0</v>
      </c>
      <c r="Z113" s="718">
        <f>IF([100]Source!BI672=3,J113, 0)</f>
        <v>0</v>
      </c>
      <c r="AA113" s="718">
        <f>IF([100]Source!BI672=4,J113, 0)</f>
        <v>0</v>
      </c>
    </row>
    <row r="114" spans="1:27" ht="15" x14ac:dyDescent="0.25">
      <c r="A114" s="691"/>
      <c r="B114" s="691"/>
      <c r="C114" s="692"/>
      <c r="D114" s="692" t="s">
        <v>88</v>
      </c>
      <c r="E114" s="693" t="s">
        <v>89</v>
      </c>
      <c r="F114" s="694">
        <f>[100]Source!DN670</f>
        <v>79</v>
      </c>
      <c r="G114" s="695"/>
      <c r="H114" s="696"/>
      <c r="I114" s="694"/>
      <c r="J114" s="697">
        <f>SUM(Q109:Q113)</f>
        <v>334.2</v>
      </c>
      <c r="K114" s="694">
        <f>[100]Source!BZ670</f>
        <v>68</v>
      </c>
      <c r="L114" s="697">
        <f>SUM(R109:R113)</f>
        <v>6970.18</v>
      </c>
    </row>
    <row r="115" spans="1:27" ht="15" x14ac:dyDescent="0.25">
      <c r="A115" s="691"/>
      <c r="B115" s="691"/>
      <c r="C115" s="692"/>
      <c r="D115" s="692" t="s">
        <v>90</v>
      </c>
      <c r="E115" s="693" t="s">
        <v>89</v>
      </c>
      <c r="F115" s="694">
        <f>[100]Source!DO670</f>
        <v>70</v>
      </c>
      <c r="G115" s="695"/>
      <c r="H115" s="696"/>
      <c r="I115" s="694"/>
      <c r="J115" s="697">
        <f>SUM(S109:S114)</f>
        <v>296.13</v>
      </c>
      <c r="K115" s="694">
        <f>[100]Source!CA670</f>
        <v>43</v>
      </c>
      <c r="L115" s="697">
        <f>SUM(T109:T114)</f>
        <v>4407.6099999999997</v>
      </c>
    </row>
    <row r="116" spans="1:27" ht="15" x14ac:dyDescent="0.25">
      <c r="A116" s="691"/>
      <c r="B116" s="691"/>
      <c r="C116" s="692"/>
      <c r="D116" s="692" t="s">
        <v>92</v>
      </c>
      <c r="E116" s="693" t="s">
        <v>93</v>
      </c>
      <c r="F116" s="694">
        <f>[100]Source!AQ670</f>
        <v>0.7</v>
      </c>
      <c r="G116" s="695"/>
      <c r="H116" s="696" t="str">
        <f>[100]Source!DI670</f>
        <v/>
      </c>
      <c r="I116" s="694">
        <f>[100]Source!AV670</f>
        <v>1.0669999999999999</v>
      </c>
      <c r="J116" s="697">
        <f>[100]Source!U670</f>
        <v>20.76</v>
      </c>
      <c r="K116" s="694"/>
      <c r="L116" s="697"/>
    </row>
    <row r="117" spans="1:27" ht="14.25" x14ac:dyDescent="0.2">
      <c r="A117" s="737"/>
      <c r="B117" s="737"/>
      <c r="C117" s="737"/>
      <c r="D117" s="737"/>
      <c r="E117" s="737"/>
      <c r="F117" s="737"/>
      <c r="G117" s="737"/>
      <c r="H117" s="737"/>
      <c r="I117" s="1067">
        <f>J110+J111+J112+J114+J115+SUM(J113:J113)</f>
        <v>1708.18</v>
      </c>
      <c r="J117" s="1067"/>
      <c r="K117" s="1067">
        <f>L110+L111+L112+L114+L115+SUM(L113:L113)</f>
        <v>25776.94</v>
      </c>
      <c r="L117" s="1067"/>
      <c r="O117" s="736">
        <f>J110+J111+J112+J114+J115+SUM(J113:J113)</f>
        <v>1708.18</v>
      </c>
      <c r="P117" s="736">
        <f>L110+L111+L112+L114+L115+SUM(L113:L113)</f>
        <v>25776.94</v>
      </c>
      <c r="X117" s="718">
        <f>IF([100]Source!BI670&lt;=1,J110+J111+J112+J114+J115-0, 0)</f>
        <v>1487.27</v>
      </c>
      <c r="Y117" s="718">
        <f>IF([100]Source!BI670=2,J110+J111+J112+J114+J115-0, 0)</f>
        <v>0</v>
      </c>
      <c r="Z117" s="718">
        <f>IF([100]Source!BI670=3,J110+J111+J112+J114+J115-0, 0)</f>
        <v>0</v>
      </c>
      <c r="AA117" s="718">
        <f>IF([100]Source!BI670=4,J110+J111+J112+J114+J115,0)</f>
        <v>0</v>
      </c>
    </row>
    <row r="118" spans="1:27" ht="30" x14ac:dyDescent="0.25">
      <c r="A118" s="691">
        <v>17</v>
      </c>
      <c r="B118" s="691" t="str">
        <f>[100]Source!E674</f>
        <v>137</v>
      </c>
      <c r="C118" s="692" t="str">
        <f>[100]Source!F674</f>
        <v>3.29-1939-4</v>
      </c>
      <c r="D118" s="692" t="s">
        <v>545</v>
      </c>
      <c r="E118" s="693" t="str">
        <f>[100]Source!H674</f>
        <v>1 М</v>
      </c>
      <c r="F118" s="694">
        <f>[100]Source!I674</f>
        <v>27.8</v>
      </c>
      <c r="G118" s="695"/>
      <c r="H118" s="696"/>
      <c r="I118" s="694"/>
      <c r="J118" s="697"/>
      <c r="K118" s="694"/>
      <c r="L118" s="697"/>
      <c r="Q118" s="718">
        <f>ROUND(([100]Source!DN674/100)*ROUND((ROUND(([100]Source!AF674*[100]Source!AV674*[100]Source!I674),2)),2), 2)</f>
        <v>348.68</v>
      </c>
      <c r="R118" s="718">
        <f>[100]Source!X674</f>
        <v>7272.19</v>
      </c>
      <c r="S118" s="718">
        <f>ROUND(([100]Source!DO674/100)*ROUND((ROUND(([100]Source!AF674*[100]Source!AV674*[100]Source!I674),2)),2), 2)</f>
        <v>308.95999999999998</v>
      </c>
      <c r="T118" s="718">
        <f>[100]Source!Y674</f>
        <v>4598.59</v>
      </c>
      <c r="U118" s="718">
        <f>ROUND((175/100)*ROUND((ROUND(([100]Source!AE674*[100]Source!AV674*[100]Source!I674),2)),2), 2)</f>
        <v>0</v>
      </c>
      <c r="V118" s="718">
        <f>ROUND((157/100)*ROUND(ROUND((ROUND(([100]Source!AE674*[100]Source!AV674*[100]Source!I674),2)*[100]Source!BS674),2), 2), 2)</f>
        <v>0</v>
      </c>
    </row>
    <row r="119" spans="1:27" ht="15" x14ac:dyDescent="0.25">
      <c r="A119" s="691"/>
      <c r="B119" s="691"/>
      <c r="C119" s="692"/>
      <c r="D119" s="692" t="s">
        <v>84</v>
      </c>
      <c r="E119" s="693"/>
      <c r="F119" s="694"/>
      <c r="G119" s="695">
        <f>[100]Source!AO674</f>
        <v>8.91</v>
      </c>
      <c r="H119" s="696" t="str">
        <f>[100]Source!DG674</f>
        <v>)*1,67</v>
      </c>
      <c r="I119" s="694">
        <f>[100]Source!AV674</f>
        <v>1.0669999999999999</v>
      </c>
      <c r="J119" s="697">
        <f>ROUND((ROUND(([100]Source!AF674*[100]Source!AV674*[100]Source!I674),2)),2)</f>
        <v>441.37</v>
      </c>
      <c r="K119" s="694">
        <f>IF([100]Source!BA674&lt;&gt; 0, [100]Source!BA674, 1)</f>
        <v>24.23</v>
      </c>
      <c r="L119" s="697">
        <f>[100]Source!S674</f>
        <v>10694.4</v>
      </c>
      <c r="W119" s="718">
        <f>J119</f>
        <v>441.37</v>
      </c>
    </row>
    <row r="120" spans="1:27" ht="15" x14ac:dyDescent="0.25">
      <c r="A120" s="691"/>
      <c r="B120" s="691"/>
      <c r="C120" s="692"/>
      <c r="D120" s="692" t="s">
        <v>85</v>
      </c>
      <c r="E120" s="693"/>
      <c r="F120" s="694"/>
      <c r="G120" s="695">
        <f>[100]Source!AM674</f>
        <v>7.0000000000000007E-2</v>
      </c>
      <c r="H120" s="696" t="str">
        <f>[100]Source!DE674</f>
        <v/>
      </c>
      <c r="I120" s="694">
        <f>[100]Source!AV674</f>
        <v>1.0669999999999999</v>
      </c>
      <c r="J120" s="697">
        <f>(ROUND((ROUND((([100]Source!ET674)*[100]Source!AV674*[100]Source!I674),2)),2)+ROUND((ROUND((([100]Source!AE674-([100]Source!EU674))*[100]Source!AV674*[100]Source!I674),2)),2))</f>
        <v>2.08</v>
      </c>
      <c r="K120" s="694">
        <f>IF([100]Source!BB674&lt;&gt; 0, [100]Source!BB674, 1)</f>
        <v>3.71</v>
      </c>
      <c r="L120" s="697">
        <f>[100]Source!Q674</f>
        <v>7.72</v>
      </c>
    </row>
    <row r="121" spans="1:27" ht="15" x14ac:dyDescent="0.25">
      <c r="A121" s="691"/>
      <c r="B121" s="691"/>
      <c r="C121" s="692"/>
      <c r="D121" s="692" t="s">
        <v>87</v>
      </c>
      <c r="E121" s="693"/>
      <c r="F121" s="694"/>
      <c r="G121" s="695">
        <f>[100]Source!AL674</f>
        <v>15.33</v>
      </c>
      <c r="H121" s="696" t="str">
        <f>[100]Source!DD674</f>
        <v/>
      </c>
      <c r="I121" s="694">
        <f>[100]Source!AW674</f>
        <v>1.028</v>
      </c>
      <c r="J121" s="697">
        <f>ROUND((ROUND(([100]Source!AC674*[100]Source!AW674*[100]Source!I674),2)),2)</f>
        <v>438.11</v>
      </c>
      <c r="K121" s="694">
        <f>IF([100]Source!BC674&lt;&gt; 0, [100]Source!BC674, 1)</f>
        <v>2.5299999999999998</v>
      </c>
      <c r="L121" s="697">
        <f>[100]Source!P674</f>
        <v>1108.42</v>
      </c>
    </row>
    <row r="122" spans="1:27" ht="45" x14ac:dyDescent="0.25">
      <c r="A122" s="691">
        <v>18</v>
      </c>
      <c r="B122" s="691" t="str">
        <f>[100]Source!E676</f>
        <v>137,1</v>
      </c>
      <c r="C122" s="692" t="str">
        <f>[100]Source!F676</f>
        <v>1.12-7-192</v>
      </c>
      <c r="D122" s="692" t="s">
        <v>546</v>
      </c>
      <c r="E122" s="693" t="str">
        <f>[100]Source!H676</f>
        <v>м</v>
      </c>
      <c r="F122" s="694">
        <f>[100]Source!I676</f>
        <v>27.8</v>
      </c>
      <c r="G122" s="695">
        <f>[100]Source!AK676</f>
        <v>15.1</v>
      </c>
      <c r="H122" s="734" t="s">
        <v>42</v>
      </c>
      <c r="I122" s="694">
        <f>[100]Source!AW676</f>
        <v>1.028</v>
      </c>
      <c r="J122" s="697">
        <f>ROUND((ROUND(([100]Source!AC676*[100]Source!AW676*[100]Source!I676),2)),2)+(ROUND((ROUND((([100]Source!ET676)*[100]Source!AV676*[100]Source!I676),2)),2)+ROUND((ROUND((([100]Source!AE676-([100]Source!EU676))*[100]Source!AV676*[100]Source!I676),2)),2))+ROUND((ROUND(([100]Source!AF676*[100]Source!AV676*[100]Source!I676),2)),2)</f>
        <v>431.53</v>
      </c>
      <c r="K122" s="694">
        <f>IF([100]Source!BC676&lt;&gt; 0, [100]Source!BC676, 1)</f>
        <v>15.9</v>
      </c>
      <c r="L122" s="697">
        <f>[100]Source!O676</f>
        <v>6861.33</v>
      </c>
      <c r="Q122" s="718">
        <f>ROUND(([100]Source!DN676/100)*ROUND((ROUND(([100]Source!AF676*[100]Source!AV676*[100]Source!I676),2)),2), 2)</f>
        <v>0</v>
      </c>
      <c r="R122" s="718">
        <f>[100]Source!X676</f>
        <v>0</v>
      </c>
      <c r="S122" s="718">
        <f>ROUND(([100]Source!DO676/100)*ROUND((ROUND(([100]Source!AF676*[100]Source!AV676*[100]Source!I676),2)),2), 2)</f>
        <v>0</v>
      </c>
      <c r="T122" s="718">
        <f>[100]Source!Y676</f>
        <v>0</v>
      </c>
      <c r="U122" s="718">
        <f>ROUND((175/100)*ROUND((ROUND(([100]Source!AE676*[100]Source!AV676*[100]Source!I676),2)),2), 2)</f>
        <v>0</v>
      </c>
      <c r="V122" s="718">
        <f>ROUND((157/100)*ROUND(ROUND((ROUND(([100]Source!AE676*[100]Source!AV676*[100]Source!I676),2)*[100]Source!BS676),2), 2), 2)</f>
        <v>0</v>
      </c>
      <c r="X122" s="718">
        <f>IF([100]Source!BI676&lt;=1,J122, 0)</f>
        <v>431.53</v>
      </c>
      <c r="Y122" s="718">
        <f>IF([100]Source!BI676=2,J122, 0)</f>
        <v>0</v>
      </c>
      <c r="Z122" s="718">
        <f>IF([100]Source!BI676=3,J122, 0)</f>
        <v>0</v>
      </c>
      <c r="AA122" s="718">
        <f>IF([100]Source!BI676=4,J122, 0)</f>
        <v>0</v>
      </c>
    </row>
    <row r="123" spans="1:27" ht="15" x14ac:dyDescent="0.25">
      <c r="A123" s="691"/>
      <c r="B123" s="691"/>
      <c r="C123" s="692"/>
      <c r="D123" s="692" t="s">
        <v>88</v>
      </c>
      <c r="E123" s="693" t="s">
        <v>89</v>
      </c>
      <c r="F123" s="694">
        <f>[100]Source!DN674</f>
        <v>79</v>
      </c>
      <c r="G123" s="695"/>
      <c r="H123" s="696"/>
      <c r="I123" s="694"/>
      <c r="J123" s="697">
        <f>SUM(Q118:Q122)</f>
        <v>348.68</v>
      </c>
      <c r="K123" s="694">
        <f>[100]Source!BZ674</f>
        <v>68</v>
      </c>
      <c r="L123" s="697">
        <f>SUM(R118:R122)</f>
        <v>7272.19</v>
      </c>
    </row>
    <row r="124" spans="1:27" ht="15" x14ac:dyDescent="0.25">
      <c r="A124" s="691"/>
      <c r="B124" s="691"/>
      <c r="C124" s="692"/>
      <c r="D124" s="692" t="s">
        <v>90</v>
      </c>
      <c r="E124" s="693" t="s">
        <v>89</v>
      </c>
      <c r="F124" s="694">
        <f>[100]Source!DO674</f>
        <v>70</v>
      </c>
      <c r="G124" s="695"/>
      <c r="H124" s="696"/>
      <c r="I124" s="694"/>
      <c r="J124" s="697">
        <f>SUM(S118:S123)</f>
        <v>308.95999999999998</v>
      </c>
      <c r="K124" s="694">
        <f>[100]Source!CA674</f>
        <v>43</v>
      </c>
      <c r="L124" s="697">
        <f>SUM(T118:T123)</f>
        <v>4598.59</v>
      </c>
    </row>
    <row r="125" spans="1:27" ht="15" x14ac:dyDescent="0.25">
      <c r="A125" s="691"/>
      <c r="B125" s="691"/>
      <c r="C125" s="692"/>
      <c r="D125" s="692" t="s">
        <v>92</v>
      </c>
      <c r="E125" s="693" t="s">
        <v>93</v>
      </c>
      <c r="F125" s="694">
        <f>[100]Source!AQ674</f>
        <v>0.73</v>
      </c>
      <c r="G125" s="695"/>
      <c r="H125" s="696" t="str">
        <f>[100]Source!DI674</f>
        <v/>
      </c>
      <c r="I125" s="694">
        <f>[100]Source!AV674</f>
        <v>1.0669999999999999</v>
      </c>
      <c r="J125" s="697">
        <f>[100]Source!U674</f>
        <v>21.65</v>
      </c>
      <c r="K125" s="694"/>
      <c r="L125" s="697"/>
    </row>
    <row r="126" spans="1:27" ht="14.25" x14ac:dyDescent="0.2">
      <c r="A126" s="737"/>
      <c r="B126" s="737"/>
      <c r="C126" s="737"/>
      <c r="D126" s="737"/>
      <c r="E126" s="737"/>
      <c r="F126" s="737"/>
      <c r="G126" s="737"/>
      <c r="H126" s="737"/>
      <c r="I126" s="1067">
        <f>J119+J120+J121+J123+J124+SUM(J122:J122)</f>
        <v>1970.73</v>
      </c>
      <c r="J126" s="1067"/>
      <c r="K126" s="1067">
        <f>L119+L120+L121+L123+L124+SUM(L122:L122)</f>
        <v>30542.65</v>
      </c>
      <c r="L126" s="1067"/>
      <c r="O126" s="736">
        <f>J119+J120+J121+J123+J124+SUM(J122:J122)</f>
        <v>1970.73</v>
      </c>
      <c r="P126" s="736">
        <f>L119+L120+L121+L123+L124+SUM(L122:L122)</f>
        <v>30542.65</v>
      </c>
      <c r="X126" s="718">
        <f>IF([100]Source!BI674&lt;=1,J119+J120+J121+J123+J124-0, 0)</f>
        <v>1539.2</v>
      </c>
      <c r="Y126" s="718">
        <f>IF([100]Source!BI674=2,J119+J120+J121+J123+J124-0, 0)</f>
        <v>0</v>
      </c>
      <c r="Z126" s="718">
        <f>IF([100]Source!BI674=3,J119+J120+J121+J123+J124-0, 0)</f>
        <v>0</v>
      </c>
      <c r="AA126" s="718">
        <f>IF([100]Source!BI674=4,J119+J120+J121+J123+J124,0)</f>
        <v>0</v>
      </c>
    </row>
    <row r="128" spans="1:27" ht="14.25" x14ac:dyDescent="0.2">
      <c r="A128" s="1068" t="str">
        <f>CONCATENATE("Итого по подразделу: ",IF([100]Source!G698&lt;&gt;"Новый подраздел", [100]Source!G698, ""))</f>
        <v>Итого по подразделу: К2-12, К2-13р</v>
      </c>
      <c r="B128" s="1068"/>
      <c r="C128" s="1068"/>
      <c r="D128" s="1068"/>
      <c r="E128" s="1068"/>
      <c r="F128" s="1068"/>
      <c r="G128" s="1068"/>
      <c r="H128" s="1068"/>
      <c r="I128" s="1069">
        <f>SUM(O108:O127)</f>
        <v>3678.91</v>
      </c>
      <c r="J128" s="1070"/>
      <c r="K128" s="1069">
        <f>SUM(P108:P127)</f>
        <v>56319.59</v>
      </c>
      <c r="L128" s="1070"/>
    </row>
    <row r="129" spans="1:27" hidden="1" x14ac:dyDescent="0.2">
      <c r="A129" s="718" t="s">
        <v>139</v>
      </c>
      <c r="I129" s="718">
        <f>SUM(AC108:AC128)</f>
        <v>0</v>
      </c>
      <c r="K129" s="718">
        <f>SUM(AD108:AD128)</f>
        <v>0</v>
      </c>
    </row>
    <row r="130" spans="1:27" hidden="1" x14ac:dyDescent="0.2">
      <c r="A130" s="718" t="s">
        <v>140</v>
      </c>
      <c r="I130" s="718">
        <f>SUM(AE108:AE129)</f>
        <v>0</v>
      </c>
      <c r="K130" s="718">
        <f>SUM(AF108:AF129)</f>
        <v>0</v>
      </c>
    </row>
    <row r="132" spans="1:27" ht="16.5" x14ac:dyDescent="0.25">
      <c r="A132" s="1066" t="str">
        <f>CONCATENATE("Подраздел: ",IF([100]Source!G728&lt;&gt;"Новый подраздел", [100]Source!G728, ""))</f>
        <v>Подраздел: К2-21</v>
      </c>
      <c r="B132" s="1066"/>
      <c r="C132" s="1066"/>
      <c r="D132" s="1066"/>
      <c r="E132" s="1066"/>
      <c r="F132" s="1066"/>
      <c r="G132" s="1066"/>
      <c r="H132" s="1066"/>
      <c r="I132" s="1066"/>
      <c r="J132" s="1066"/>
      <c r="K132" s="1066"/>
      <c r="L132" s="1066"/>
    </row>
    <row r="133" spans="1:27" ht="45" x14ac:dyDescent="0.25">
      <c r="A133" s="691">
        <v>19</v>
      </c>
      <c r="B133" s="691" t="str">
        <f>[100]Source!E813</f>
        <v>175</v>
      </c>
      <c r="C133" s="692" t="str">
        <f>[100]Source!F813</f>
        <v>4.8-158-1</v>
      </c>
      <c r="D133" s="692" t="s">
        <v>559</v>
      </c>
      <c r="E133" s="693" t="str">
        <f>[100]Source!H813</f>
        <v>1 Т</v>
      </c>
      <c r="F133" s="694">
        <f>[100]Source!I813</f>
        <v>8.7017700000000003E-2</v>
      </c>
      <c r="G133" s="695"/>
      <c r="H133" s="696"/>
      <c r="I133" s="694"/>
      <c r="J133" s="697"/>
      <c r="K133" s="694"/>
      <c r="L133" s="697"/>
      <c r="Q133" s="718">
        <f>ROUND(([100]Source!DN813/100)*ROUND((ROUND(([100]Source!AF813*[100]Source!AV813*[100]Source!I813),2)),2), 2)</f>
        <v>123.33</v>
      </c>
      <c r="R133" s="718">
        <f>[100]Source!X813</f>
        <v>2401.39</v>
      </c>
      <c r="S133" s="718">
        <f>ROUND(([100]Source!DO813/100)*ROUND((ROUND(([100]Source!AF813*[100]Source!AV813*[100]Source!I813),2)),2), 2)</f>
        <v>77.08</v>
      </c>
      <c r="T133" s="718">
        <f>[100]Source!Y813</f>
        <v>1147.33</v>
      </c>
      <c r="U133" s="718">
        <f>ROUND((175/100)*ROUND((ROUND(([100]Source!AE813*[100]Source!AV813*[100]Source!I813),2)),2), 2)</f>
        <v>15.56</v>
      </c>
      <c r="V133" s="718">
        <f>ROUND((157/100)*ROUND(ROUND((ROUND(([100]Source!AE813*[100]Source!AV813*[100]Source!I813),2)*[100]Source!BS813),2), 2), 2)</f>
        <v>338.18</v>
      </c>
    </row>
    <row r="134" spans="1:27" ht="15" x14ac:dyDescent="0.25">
      <c r="A134" s="691"/>
      <c r="B134" s="691"/>
      <c r="C134" s="692"/>
      <c r="D134" s="692" t="s">
        <v>84</v>
      </c>
      <c r="E134" s="693"/>
      <c r="F134" s="694"/>
      <c r="G134" s="695">
        <f>[100]Source!AO813</f>
        <v>723.77</v>
      </c>
      <c r="H134" s="696" t="str">
        <f>[100]Source!DG813</f>
        <v>)*1,67</v>
      </c>
      <c r="I134" s="694">
        <f>[100]Source!AV813</f>
        <v>1.0469999999999999</v>
      </c>
      <c r="J134" s="697">
        <f>ROUND((ROUND(([100]Source!AF813*[100]Source!AV813*[100]Source!I813),2)),2)</f>
        <v>110.12</v>
      </c>
      <c r="K134" s="694">
        <f>IF([100]Source!BA813&lt;&gt; 0, [100]Source!BA813, 1)</f>
        <v>24.23</v>
      </c>
      <c r="L134" s="697">
        <f>[100]Source!S813</f>
        <v>2668.21</v>
      </c>
      <c r="W134" s="718">
        <f>J134</f>
        <v>110.12</v>
      </c>
    </row>
    <row r="135" spans="1:27" ht="15" x14ac:dyDescent="0.25">
      <c r="A135" s="691"/>
      <c r="B135" s="691"/>
      <c r="C135" s="692"/>
      <c r="D135" s="692" t="s">
        <v>85</v>
      </c>
      <c r="E135" s="693"/>
      <c r="F135" s="694"/>
      <c r="G135" s="695">
        <f>[100]Source!AM813</f>
        <v>611.48</v>
      </c>
      <c r="H135" s="696" t="str">
        <f>[100]Source!DE813</f>
        <v/>
      </c>
      <c r="I135" s="694">
        <f>[100]Source!AV813</f>
        <v>1.0469999999999999</v>
      </c>
      <c r="J135" s="697">
        <f>(ROUND((ROUND((([100]Source!ET813)*[100]Source!AV813*[100]Source!I813),2)),2)+ROUND((ROUND((([100]Source!AE813-([100]Source!EU813))*[100]Source!AV813*[100]Source!I813),2)),2))-J144</f>
        <v>55.71</v>
      </c>
      <c r="K135" s="694">
        <f>IF([100]Source!BB813&lt;&gt; 0, [100]Source!BB813, 1)</f>
        <v>7.34</v>
      </c>
      <c r="L135" s="697">
        <f>[100]Source!Q813-L144</f>
        <v>408.79</v>
      </c>
    </row>
    <row r="136" spans="1:27" ht="15" x14ac:dyDescent="0.25">
      <c r="A136" s="691"/>
      <c r="B136" s="691"/>
      <c r="C136" s="692"/>
      <c r="D136" s="692" t="s">
        <v>86</v>
      </c>
      <c r="E136" s="693"/>
      <c r="F136" s="694"/>
      <c r="G136" s="695">
        <f>[100]Source!AN813</f>
        <v>58.4</v>
      </c>
      <c r="H136" s="696" t="str">
        <f>[100]Source!DE813</f>
        <v/>
      </c>
      <c r="I136" s="694">
        <f>[100]Source!AV813</f>
        <v>1.0469999999999999</v>
      </c>
      <c r="J136" s="700">
        <f>ROUND((ROUND(([100]Source!AE813*[100]Source!AV813*[100]Source!I813),2)),2)-J145</f>
        <v>5.33</v>
      </c>
      <c r="K136" s="694">
        <f>IF([100]Source!BS813&lt;&gt; 0, [100]Source!BS813, 1)</f>
        <v>24.23</v>
      </c>
      <c r="L136" s="700">
        <f>[100]Source!R813-L145</f>
        <v>129.02000000000001</v>
      </c>
      <c r="W136" s="718">
        <f>J136</f>
        <v>5.33</v>
      </c>
    </row>
    <row r="137" spans="1:27" ht="15" x14ac:dyDescent="0.25">
      <c r="A137" s="691"/>
      <c r="B137" s="691"/>
      <c r="C137" s="692"/>
      <c r="D137" s="692" t="s">
        <v>87</v>
      </c>
      <c r="E137" s="693"/>
      <c r="F137" s="694"/>
      <c r="G137" s="695">
        <f>[100]Source!AL813</f>
        <v>97.3</v>
      </c>
      <c r="H137" s="696" t="str">
        <f>[100]Source!DD813</f>
        <v/>
      </c>
      <c r="I137" s="694">
        <f>[100]Source!AW813</f>
        <v>1</v>
      </c>
      <c r="J137" s="697">
        <f>ROUND((ROUND(([100]Source!AC813*[100]Source!AW813*[100]Source!I813),2)),2)</f>
        <v>8.4700000000000006</v>
      </c>
      <c r="K137" s="694">
        <f>IF([100]Source!BC813&lt;&gt; 0, [100]Source!BC813, 1)</f>
        <v>5.58</v>
      </c>
      <c r="L137" s="697">
        <f>[100]Source!P813</f>
        <v>47.26</v>
      </c>
    </row>
    <row r="138" spans="1:27" ht="15" x14ac:dyDescent="0.25">
      <c r="A138" s="691"/>
      <c r="B138" s="691"/>
      <c r="C138" s="692"/>
      <c r="D138" s="692" t="s">
        <v>88</v>
      </c>
      <c r="E138" s="693" t="s">
        <v>89</v>
      </c>
      <c r="F138" s="694">
        <f>[100]Source!DN813</f>
        <v>112</v>
      </c>
      <c r="G138" s="695"/>
      <c r="H138" s="696"/>
      <c r="I138" s="694"/>
      <c r="J138" s="697">
        <f>SUM(Q133:Q137)</f>
        <v>123.33</v>
      </c>
      <c r="K138" s="694">
        <f>[100]Source!BZ813</f>
        <v>90</v>
      </c>
      <c r="L138" s="697">
        <f>SUM(R133:R137)</f>
        <v>2401.39</v>
      </c>
    </row>
    <row r="139" spans="1:27" ht="15" x14ac:dyDescent="0.25">
      <c r="A139" s="691"/>
      <c r="B139" s="691"/>
      <c r="C139" s="692"/>
      <c r="D139" s="692" t="s">
        <v>90</v>
      </c>
      <c r="E139" s="693" t="s">
        <v>89</v>
      </c>
      <c r="F139" s="694">
        <f>[100]Source!DO813</f>
        <v>70</v>
      </c>
      <c r="G139" s="695"/>
      <c r="H139" s="696"/>
      <c r="I139" s="694"/>
      <c r="J139" s="697">
        <f>SUM(S133:S138)</f>
        <v>77.08</v>
      </c>
      <c r="K139" s="694">
        <f>[100]Source!CA813</f>
        <v>43</v>
      </c>
      <c r="L139" s="697">
        <f>SUM(T133:T138)</f>
        <v>1147.33</v>
      </c>
    </row>
    <row r="140" spans="1:27" ht="15" x14ac:dyDescent="0.25">
      <c r="A140" s="691"/>
      <c r="B140" s="691"/>
      <c r="C140" s="692"/>
      <c r="D140" s="692" t="s">
        <v>91</v>
      </c>
      <c r="E140" s="693" t="s">
        <v>89</v>
      </c>
      <c r="F140" s="694">
        <f>175</f>
        <v>175</v>
      </c>
      <c r="G140" s="695"/>
      <c r="H140" s="696"/>
      <c r="I140" s="694"/>
      <c r="J140" s="697">
        <f>SUM(U133:U139)-J146</f>
        <v>9.33</v>
      </c>
      <c r="K140" s="694">
        <f>157</f>
        <v>157</v>
      </c>
      <c r="L140" s="697">
        <f>SUM(V133:V139)-L146</f>
        <v>202.56</v>
      </c>
    </row>
    <row r="141" spans="1:27" ht="15" x14ac:dyDescent="0.25">
      <c r="A141" s="691"/>
      <c r="B141" s="691"/>
      <c r="C141" s="692"/>
      <c r="D141" s="692" t="s">
        <v>92</v>
      </c>
      <c r="E141" s="693" t="s">
        <v>93</v>
      </c>
      <c r="F141" s="694">
        <f>[100]Source!AQ813</f>
        <v>58.7</v>
      </c>
      <c r="G141" s="695"/>
      <c r="H141" s="696" t="str">
        <f>[100]Source!DI813</f>
        <v/>
      </c>
      <c r="I141" s="694">
        <f>[100]Source!AV813</f>
        <v>1.0469999999999999</v>
      </c>
      <c r="J141" s="697">
        <f>[100]Source!U813</f>
        <v>5.35</v>
      </c>
      <c r="K141" s="694"/>
      <c r="L141" s="697"/>
    </row>
    <row r="142" spans="1:27" ht="14.25" x14ac:dyDescent="0.2">
      <c r="I142" s="1067">
        <f>J134+J135+J137+J138+J139+J140</f>
        <v>384.04</v>
      </c>
      <c r="J142" s="1067"/>
      <c r="K142" s="1067">
        <f>L134+L135+L137+L138+L139+L140</f>
        <v>6875.54</v>
      </c>
      <c r="L142" s="1067"/>
      <c r="O142" s="736">
        <f>J134+J135+J137+J138+J139+J140</f>
        <v>384.04</v>
      </c>
      <c r="P142" s="736">
        <f>L134+L135+L137+L138+L139+L140</f>
        <v>6875.54</v>
      </c>
      <c r="X142" s="718">
        <f>IF([100]Source!BI813&lt;=1,J134+J135+J137+J138+J139+J140-0, 0)</f>
        <v>0</v>
      </c>
      <c r="Y142" s="718">
        <f>IF([100]Source!BI813=2,J134+J135+J137+J138+J139+J140-0, 0)</f>
        <v>384.04</v>
      </c>
      <c r="Z142" s="718">
        <f>IF([100]Source!BI813=3,J134+J135+J137+J138+J139+J140-0, 0)</f>
        <v>0</v>
      </c>
      <c r="AA142" s="718">
        <f>IF([100]Source!BI813=4,J134+J135+J137+J138+J139+J140,0)</f>
        <v>0</v>
      </c>
    </row>
    <row r="143" spans="1:27" ht="30" x14ac:dyDescent="0.25">
      <c r="A143" s="701"/>
      <c r="B143" s="701"/>
      <c r="C143" s="702"/>
      <c r="D143" s="702" t="s">
        <v>94</v>
      </c>
      <c r="E143" s="693"/>
      <c r="F143" s="703"/>
      <c r="G143" s="704"/>
      <c r="H143" s="693"/>
      <c r="I143" s="703"/>
      <c r="J143" s="700"/>
      <c r="K143" s="703"/>
      <c r="L143" s="700"/>
    </row>
    <row r="144" spans="1:27" ht="15" x14ac:dyDescent="0.25">
      <c r="A144" s="701"/>
      <c r="B144" s="701"/>
      <c r="C144" s="702"/>
      <c r="D144" s="702" t="s">
        <v>85</v>
      </c>
      <c r="E144" s="693"/>
      <c r="F144" s="703"/>
      <c r="G144" s="704">
        <f t="shared" ref="G144:L144" si="2">G145</f>
        <v>58.4</v>
      </c>
      <c r="H144" s="705" t="str">
        <f t="shared" si="2"/>
        <v>)*(1.67-1)</v>
      </c>
      <c r="I144" s="703">
        <f t="shared" si="2"/>
        <v>1.0469999999999999</v>
      </c>
      <c r="J144" s="700">
        <f t="shared" si="2"/>
        <v>3.56</v>
      </c>
      <c r="K144" s="703">
        <f t="shared" si="2"/>
        <v>24.23</v>
      </c>
      <c r="L144" s="700">
        <f t="shared" si="2"/>
        <v>86.38</v>
      </c>
    </row>
    <row r="145" spans="1:27" ht="15" x14ac:dyDescent="0.25">
      <c r="A145" s="701"/>
      <c r="B145" s="701"/>
      <c r="C145" s="702"/>
      <c r="D145" s="702" t="s">
        <v>86</v>
      </c>
      <c r="E145" s="693"/>
      <c r="F145" s="703"/>
      <c r="G145" s="704">
        <f>[100]Source!AN813</f>
        <v>58.4</v>
      </c>
      <c r="H145" s="705" t="s">
        <v>95</v>
      </c>
      <c r="I145" s="703">
        <f>[100]Source!AV813</f>
        <v>1.0469999999999999</v>
      </c>
      <c r="J145" s="700">
        <f>ROUND(F133*G145*I145*(1.67-1), 2)</f>
        <v>3.56</v>
      </c>
      <c r="K145" s="703">
        <f>IF([100]Source!BS813&lt;&gt; 0, [100]Source!BS813, 1)</f>
        <v>24.23</v>
      </c>
      <c r="L145" s="700">
        <f>ROUND(F133*G145*I145*(1.67-1)*K145, 2)</f>
        <v>86.38</v>
      </c>
      <c r="W145" s="718">
        <f>J145</f>
        <v>3.56</v>
      </c>
    </row>
    <row r="146" spans="1:27" ht="15" x14ac:dyDescent="0.25">
      <c r="A146" s="701"/>
      <c r="B146" s="701"/>
      <c r="C146" s="702"/>
      <c r="D146" s="702" t="s">
        <v>91</v>
      </c>
      <c r="E146" s="693" t="s">
        <v>89</v>
      </c>
      <c r="F146" s="703">
        <f>175</f>
        <v>175</v>
      </c>
      <c r="G146" s="704"/>
      <c r="H146" s="693"/>
      <c r="I146" s="703"/>
      <c r="J146" s="700">
        <f>ROUND(J145*(F146/100), 2)</f>
        <v>6.23</v>
      </c>
      <c r="K146" s="703">
        <f>157</f>
        <v>157</v>
      </c>
      <c r="L146" s="700">
        <f>ROUND(L145*(K146/100), 2)</f>
        <v>135.62</v>
      </c>
    </row>
    <row r="147" spans="1:27" ht="14.25" x14ac:dyDescent="0.2">
      <c r="I147" s="1067">
        <f>J146+J145</f>
        <v>9.7899999999999991</v>
      </c>
      <c r="J147" s="1067"/>
      <c r="K147" s="1067">
        <f>L146+L145</f>
        <v>222</v>
      </c>
      <c r="L147" s="1067"/>
      <c r="O147" s="736">
        <f>I147</f>
        <v>9.7899999999999991</v>
      </c>
      <c r="P147" s="736">
        <f>K147</f>
        <v>222</v>
      </c>
      <c r="X147" s="718">
        <f>IF([100]Source!BI813&lt;=1,I147, 0)</f>
        <v>0</v>
      </c>
      <c r="Y147" s="718">
        <f>IF([100]Source!BI813=2,I147, 0)</f>
        <v>9.7899999999999991</v>
      </c>
      <c r="Z147" s="718">
        <f>IF([100]Source!BI813=3,I147, 0)</f>
        <v>0</v>
      </c>
      <c r="AA147" s="718">
        <f>IF([100]Source!BI813=4,I147, 0)</f>
        <v>0</v>
      </c>
    </row>
    <row r="149" spans="1:27" ht="15" x14ac:dyDescent="0.25">
      <c r="A149" s="706"/>
      <c r="B149" s="706"/>
      <c r="C149" s="707"/>
      <c r="D149" s="707" t="s">
        <v>96</v>
      </c>
      <c r="E149" s="708"/>
      <c r="F149" s="709"/>
      <c r="G149" s="710"/>
      <c r="H149" s="711"/>
      <c r="I149" s="1067">
        <f>I142+I147</f>
        <v>393.83</v>
      </c>
      <c r="J149" s="1067"/>
      <c r="K149" s="1067">
        <f>K142+K147</f>
        <v>7097.54</v>
      </c>
      <c r="L149" s="1067"/>
    </row>
    <row r="150" spans="1:27" ht="100.5" x14ac:dyDescent="0.25">
      <c r="A150" s="691">
        <v>20</v>
      </c>
      <c r="B150" s="691" t="str">
        <f>[100]Source!E815</f>
        <v>176</v>
      </c>
      <c r="C150" s="692" t="str">
        <f>[100]Source!F815</f>
        <v>МКЭ-33-1475/7-1 от 09.08.2017г.</v>
      </c>
      <c r="D150" s="692" t="s">
        <v>758</v>
      </c>
      <c r="E150" s="693" t="str">
        <f>[100]Source!H815</f>
        <v>м</v>
      </c>
      <c r="F150" s="694">
        <f>[100]Source!I815</f>
        <v>56.5</v>
      </c>
      <c r="G150" s="697">
        <f>J150/F150</f>
        <v>33.99</v>
      </c>
      <c r="H150" s="696"/>
      <c r="I150" s="694">
        <f>[100]Source!AW815</f>
        <v>1</v>
      </c>
      <c r="J150" s="697">
        <f>L150/K150</f>
        <v>1920.17</v>
      </c>
      <c r="K150" s="694">
        <v>5.58</v>
      </c>
      <c r="L150" s="697">
        <f>185.92*1.02*F150</f>
        <v>10714.57</v>
      </c>
      <c r="Q150" s="718">
        <f>ROUND(([100]Source!DN815/100)*ROUND((ROUND(([100]Source!AF815*[100]Source!AV815*[100]Source!I815),2)),2), 2)</f>
        <v>0</v>
      </c>
      <c r="R150" s="718">
        <f>[100]Source!X815</f>
        <v>0</v>
      </c>
      <c r="S150" s="718">
        <f>ROUND(([100]Source!DO815/100)*ROUND((ROUND(([100]Source!AF815*[100]Source!AV815*[100]Source!I815),2)),2), 2)</f>
        <v>0</v>
      </c>
      <c r="T150" s="718">
        <f>[100]Source!Y815</f>
        <v>0</v>
      </c>
      <c r="U150" s="718">
        <f>ROUND((175/100)*ROUND((ROUND(([100]Source!AE815*[100]Source!AV815*[100]Source!I815),2)),2), 2)</f>
        <v>0</v>
      </c>
      <c r="V150" s="718">
        <f>ROUND((157/100)*ROUND(ROUND((ROUND(([100]Source!AE815*[100]Source!AV815*[100]Source!I815),2)*[100]Source!BS815),2), 2), 2)</f>
        <v>0</v>
      </c>
    </row>
    <row r="151" spans="1:27" ht="14.25" x14ac:dyDescent="0.2">
      <c r="A151" s="737"/>
      <c r="B151" s="737"/>
      <c r="C151" s="737"/>
      <c r="D151" s="737"/>
      <c r="E151" s="737"/>
      <c r="F151" s="737"/>
      <c r="G151" s="737"/>
      <c r="H151" s="737"/>
      <c r="I151" s="1067">
        <f>J150</f>
        <v>1920.17</v>
      </c>
      <c r="J151" s="1067"/>
      <c r="K151" s="1067">
        <f>L150</f>
        <v>10714.57</v>
      </c>
      <c r="L151" s="1067"/>
      <c r="O151" s="736">
        <f>J150</f>
        <v>1920.17</v>
      </c>
      <c r="P151" s="736">
        <f>L150</f>
        <v>10714.57</v>
      </c>
      <c r="X151" s="718">
        <f>IF([100]Source!BI815&lt;=1,J150-0, 0)</f>
        <v>1920.17</v>
      </c>
      <c r="Y151" s="718">
        <f>IF([100]Source!BI815=2,J150-0, 0)</f>
        <v>0</v>
      </c>
      <c r="Z151" s="718">
        <f>IF([100]Source!BI815=3,J150-0, 0)</f>
        <v>0</v>
      </c>
      <c r="AA151" s="718">
        <f>IF([100]Source!BI815=4,J150,0)</f>
        <v>0</v>
      </c>
    </row>
    <row r="152" spans="1:27" ht="45" x14ac:dyDescent="0.25">
      <c r="A152" s="691">
        <v>21</v>
      </c>
      <c r="B152" s="691" t="str">
        <f>[100]Source!E821</f>
        <v>179</v>
      </c>
      <c r="C152" s="692" t="str">
        <f>[100]Source!F821</f>
        <v>4.8-83-7</v>
      </c>
      <c r="D152" s="692" t="s">
        <v>566</v>
      </c>
      <c r="E152" s="693" t="str">
        <f>[100]Source!H821</f>
        <v>100 шт.</v>
      </c>
      <c r="F152" s="694">
        <f>[100]Source!I821</f>
        <v>0.48</v>
      </c>
      <c r="G152" s="695"/>
      <c r="H152" s="696"/>
      <c r="I152" s="694"/>
      <c r="J152" s="697"/>
      <c r="K152" s="694"/>
      <c r="L152" s="697"/>
      <c r="Q152" s="718">
        <f>ROUND(([100]Source!DN821/100)*ROUND((ROUND(([100]Source!AF821*[100]Source!AV821*[100]Source!I821),2)),2), 2)</f>
        <v>24.79</v>
      </c>
      <c r="R152" s="718">
        <f>[100]Source!X821</f>
        <v>482.59</v>
      </c>
      <c r="S152" s="718">
        <f>ROUND(([100]Source!DO821/100)*ROUND((ROUND(([100]Source!AF821*[100]Source!AV821*[100]Source!I821),2)),2), 2)</f>
        <v>15.49</v>
      </c>
      <c r="T152" s="718">
        <f>[100]Source!Y821</f>
        <v>230.57</v>
      </c>
      <c r="U152" s="718">
        <f>ROUND((175/100)*ROUND((ROUND(([100]Source!AE821*[100]Source!AV821*[100]Source!I821),2)),2), 2)</f>
        <v>3.01</v>
      </c>
      <c r="V152" s="718">
        <f>ROUND((157/100)*ROUND(ROUND((ROUND(([100]Source!AE821*[100]Source!AV821*[100]Source!I821),2)*[100]Source!BS821),2), 2), 2)</f>
        <v>65.44</v>
      </c>
    </row>
    <row r="153" spans="1:27" ht="15" x14ac:dyDescent="0.25">
      <c r="A153" s="691"/>
      <c r="B153" s="691"/>
      <c r="C153" s="692"/>
      <c r="D153" s="692" t="s">
        <v>84</v>
      </c>
      <c r="E153" s="693"/>
      <c r="F153" s="694"/>
      <c r="G153" s="695">
        <f>[100]Source!AO821</f>
        <v>25.4</v>
      </c>
      <c r="H153" s="696" t="str">
        <f>[100]Source!DG821</f>
        <v>)*1,67</v>
      </c>
      <c r="I153" s="694">
        <f>[100]Source!AV821</f>
        <v>1.087</v>
      </c>
      <c r="J153" s="697">
        <f>ROUND((ROUND(([100]Source!AF821*[100]Source!AV821*[100]Source!I821),2)),2)</f>
        <v>22.13</v>
      </c>
      <c r="K153" s="694">
        <f>IF([100]Source!BA821&lt;&gt; 0, [100]Source!BA821, 1)</f>
        <v>24.23</v>
      </c>
      <c r="L153" s="697">
        <f>[100]Source!S821</f>
        <v>536.21</v>
      </c>
      <c r="W153" s="718">
        <f>J153</f>
        <v>22.13</v>
      </c>
    </row>
    <row r="154" spans="1:27" ht="15" x14ac:dyDescent="0.25">
      <c r="A154" s="691"/>
      <c r="B154" s="691"/>
      <c r="C154" s="692"/>
      <c r="D154" s="692" t="s">
        <v>85</v>
      </c>
      <c r="E154" s="693"/>
      <c r="F154" s="694"/>
      <c r="G154" s="695">
        <f>[100]Source!AM821</f>
        <v>8.4700000000000006</v>
      </c>
      <c r="H154" s="696" t="str">
        <f>[100]Source!DE821</f>
        <v/>
      </c>
      <c r="I154" s="694">
        <f>[100]Source!AV821</f>
        <v>1.087</v>
      </c>
      <c r="J154" s="697">
        <f>(ROUND((ROUND((([100]Source!ET821)*[100]Source!AV821*[100]Source!I821),2)),2)+ROUND((ROUND((([100]Source!AE821-([100]Source!EU821))*[100]Source!AV821*[100]Source!I821),2)),2))-J163</f>
        <v>4.42</v>
      </c>
      <c r="K154" s="694">
        <f>IF([100]Source!BB821&lt;&gt; 0, [100]Source!BB821, 1)</f>
        <v>9.9</v>
      </c>
      <c r="L154" s="697">
        <f>[100]Source!Q821-L163</f>
        <v>43.79</v>
      </c>
    </row>
    <row r="155" spans="1:27" ht="15" x14ac:dyDescent="0.25">
      <c r="A155" s="691"/>
      <c r="B155" s="691"/>
      <c r="C155" s="692"/>
      <c r="D155" s="692" t="s">
        <v>86</v>
      </c>
      <c r="E155" s="693"/>
      <c r="F155" s="694"/>
      <c r="G155" s="695">
        <f>[100]Source!AN821</f>
        <v>1.97</v>
      </c>
      <c r="H155" s="696" t="str">
        <f>[100]Source!DE821</f>
        <v/>
      </c>
      <c r="I155" s="694">
        <f>[100]Source!AV821</f>
        <v>1.087</v>
      </c>
      <c r="J155" s="700">
        <f>ROUND((ROUND(([100]Source!AE821*[100]Source!AV821*[100]Source!I821),2)),2)-J164</f>
        <v>1.03</v>
      </c>
      <c r="K155" s="694">
        <f>IF([100]Source!BS821&lt;&gt; 0, [100]Source!BS821, 1)</f>
        <v>24.23</v>
      </c>
      <c r="L155" s="700">
        <f>[100]Source!R821-L164</f>
        <v>24.99</v>
      </c>
      <c r="W155" s="718">
        <f>J155</f>
        <v>1.03</v>
      </c>
    </row>
    <row r="156" spans="1:27" ht="15" x14ac:dyDescent="0.25">
      <c r="A156" s="691"/>
      <c r="B156" s="691"/>
      <c r="C156" s="692"/>
      <c r="D156" s="692" t="s">
        <v>87</v>
      </c>
      <c r="E156" s="693"/>
      <c r="F156" s="694"/>
      <c r="G156" s="695">
        <f>[100]Source!AL821</f>
        <v>1.19</v>
      </c>
      <c r="H156" s="696" t="str">
        <f>[100]Source!DD821</f>
        <v/>
      </c>
      <c r="I156" s="694">
        <f>[100]Source!AW821</f>
        <v>1</v>
      </c>
      <c r="J156" s="697">
        <f>ROUND((ROUND(([100]Source!AC821*[100]Source!AW821*[100]Source!I821),2)),2)</f>
        <v>0.56999999999999995</v>
      </c>
      <c r="K156" s="694">
        <f>IF([100]Source!BC821&lt;&gt; 0, [100]Source!BC821, 1)</f>
        <v>5.58</v>
      </c>
      <c r="L156" s="697">
        <f>[100]Source!P821</f>
        <v>3.18</v>
      </c>
    </row>
    <row r="157" spans="1:27" ht="15" x14ac:dyDescent="0.25">
      <c r="A157" s="691"/>
      <c r="B157" s="691"/>
      <c r="C157" s="692"/>
      <c r="D157" s="692" t="s">
        <v>88</v>
      </c>
      <c r="E157" s="693" t="s">
        <v>89</v>
      </c>
      <c r="F157" s="694">
        <f>[100]Source!DN821</f>
        <v>112</v>
      </c>
      <c r="G157" s="695"/>
      <c r="H157" s="696"/>
      <c r="I157" s="694"/>
      <c r="J157" s="697">
        <f>SUM(Q152:Q156)</f>
        <v>24.79</v>
      </c>
      <c r="K157" s="694">
        <f>[100]Source!BZ821</f>
        <v>90</v>
      </c>
      <c r="L157" s="697">
        <f>SUM(R152:R156)</f>
        <v>482.59</v>
      </c>
    </row>
    <row r="158" spans="1:27" ht="15" x14ac:dyDescent="0.25">
      <c r="A158" s="691"/>
      <c r="B158" s="691"/>
      <c r="C158" s="692"/>
      <c r="D158" s="692" t="s">
        <v>90</v>
      </c>
      <c r="E158" s="693" t="s">
        <v>89</v>
      </c>
      <c r="F158" s="694">
        <f>[100]Source!DO821</f>
        <v>70</v>
      </c>
      <c r="G158" s="695"/>
      <c r="H158" s="696"/>
      <c r="I158" s="694"/>
      <c r="J158" s="697">
        <f>SUM(S152:S157)</f>
        <v>15.49</v>
      </c>
      <c r="K158" s="694">
        <f>[100]Source!CA821</f>
        <v>43</v>
      </c>
      <c r="L158" s="697">
        <f>SUM(T152:T157)</f>
        <v>230.57</v>
      </c>
    </row>
    <row r="159" spans="1:27" ht="15" x14ac:dyDescent="0.25">
      <c r="A159" s="691"/>
      <c r="B159" s="691"/>
      <c r="C159" s="692"/>
      <c r="D159" s="692" t="s">
        <v>91</v>
      </c>
      <c r="E159" s="693" t="s">
        <v>89</v>
      </c>
      <c r="F159" s="694">
        <f>175</f>
        <v>175</v>
      </c>
      <c r="G159" s="695"/>
      <c r="H159" s="696"/>
      <c r="I159" s="694"/>
      <c r="J159" s="697">
        <f>SUM(U152:U158)-J165</f>
        <v>1.8</v>
      </c>
      <c r="K159" s="694">
        <f>157</f>
        <v>157</v>
      </c>
      <c r="L159" s="697">
        <f>SUM(V152:V158)-L165</f>
        <v>39.24</v>
      </c>
    </row>
    <row r="160" spans="1:27" ht="15" x14ac:dyDescent="0.25">
      <c r="A160" s="691"/>
      <c r="B160" s="691"/>
      <c r="C160" s="692"/>
      <c r="D160" s="692" t="s">
        <v>92</v>
      </c>
      <c r="E160" s="693" t="s">
        <v>93</v>
      </c>
      <c r="F160" s="694">
        <f>[100]Source!AQ821</f>
        <v>2.06</v>
      </c>
      <c r="G160" s="695"/>
      <c r="H160" s="696" t="str">
        <f>[100]Source!DI821</f>
        <v/>
      </c>
      <c r="I160" s="694">
        <f>[100]Source!AV821</f>
        <v>1.087</v>
      </c>
      <c r="J160" s="697">
        <f>[100]Source!U821</f>
        <v>1.07</v>
      </c>
      <c r="K160" s="694"/>
      <c r="L160" s="697"/>
    </row>
    <row r="161" spans="1:27" ht="14.25" x14ac:dyDescent="0.2">
      <c r="I161" s="1067">
        <f>J153+J154+J156+J157+J158+J159</f>
        <v>69.2</v>
      </c>
      <c r="J161" s="1067"/>
      <c r="K161" s="1067">
        <f>L153+L154+L156+L157+L158+L159</f>
        <v>1335.58</v>
      </c>
      <c r="L161" s="1067"/>
      <c r="O161" s="736">
        <f>J153+J154+J156+J157+J158+J159</f>
        <v>69.2</v>
      </c>
      <c r="P161" s="736">
        <f>L153+L154+L156+L157+L158+L159</f>
        <v>1335.58</v>
      </c>
      <c r="X161" s="718">
        <f>IF([100]Source!BI821&lt;=1,J153+J154+J156+J157+J158+J159-0, 0)</f>
        <v>0</v>
      </c>
      <c r="Y161" s="718">
        <f>IF([100]Source!BI821=2,J153+J154+J156+J157+J158+J159-0, 0)</f>
        <v>69.2</v>
      </c>
      <c r="Z161" s="718">
        <f>IF([100]Source!BI821=3,J153+J154+J156+J157+J158+J159-0, 0)</f>
        <v>0</v>
      </c>
      <c r="AA161" s="718">
        <f>IF([100]Source!BI821=4,J153+J154+J156+J157+J158+J159,0)</f>
        <v>0</v>
      </c>
    </row>
    <row r="162" spans="1:27" ht="30" x14ac:dyDescent="0.25">
      <c r="A162" s="701"/>
      <c r="B162" s="701"/>
      <c r="C162" s="702"/>
      <c r="D162" s="702" t="s">
        <v>94</v>
      </c>
      <c r="E162" s="693"/>
      <c r="F162" s="703"/>
      <c r="G162" s="704"/>
      <c r="H162" s="693"/>
      <c r="I162" s="703"/>
      <c r="J162" s="700"/>
      <c r="K162" s="703"/>
      <c r="L162" s="700"/>
    </row>
    <row r="163" spans="1:27" ht="15" x14ac:dyDescent="0.25">
      <c r="A163" s="701"/>
      <c r="B163" s="701"/>
      <c r="C163" s="702"/>
      <c r="D163" s="702" t="s">
        <v>85</v>
      </c>
      <c r="E163" s="693"/>
      <c r="F163" s="703"/>
      <c r="G163" s="704">
        <f t="shared" ref="G163:L163" si="3">G164</f>
        <v>1.97</v>
      </c>
      <c r="H163" s="705" t="str">
        <f t="shared" si="3"/>
        <v>)*(1.67-1)</v>
      </c>
      <c r="I163" s="703">
        <f t="shared" si="3"/>
        <v>1.087</v>
      </c>
      <c r="J163" s="700">
        <f t="shared" si="3"/>
        <v>0.69</v>
      </c>
      <c r="K163" s="703">
        <f t="shared" si="3"/>
        <v>24.23</v>
      </c>
      <c r="L163" s="700">
        <f t="shared" si="3"/>
        <v>16.690000000000001</v>
      </c>
    </row>
    <row r="164" spans="1:27" ht="15" x14ac:dyDescent="0.25">
      <c r="A164" s="701"/>
      <c r="B164" s="701"/>
      <c r="C164" s="702"/>
      <c r="D164" s="702" t="s">
        <v>86</v>
      </c>
      <c r="E164" s="693"/>
      <c r="F164" s="703"/>
      <c r="G164" s="704">
        <f>[100]Source!AN821</f>
        <v>1.97</v>
      </c>
      <c r="H164" s="705" t="s">
        <v>95</v>
      </c>
      <c r="I164" s="703">
        <f>[100]Source!AV821</f>
        <v>1.087</v>
      </c>
      <c r="J164" s="700">
        <f>ROUND(F152*G164*I164*(1.67-1), 2)</f>
        <v>0.69</v>
      </c>
      <c r="K164" s="703">
        <f>IF([100]Source!BS821&lt;&gt; 0, [100]Source!BS821, 1)</f>
        <v>24.23</v>
      </c>
      <c r="L164" s="700">
        <f>ROUND(F152*G164*I164*(1.67-1)*K164, 2)</f>
        <v>16.690000000000001</v>
      </c>
      <c r="W164" s="718">
        <f>J164</f>
        <v>0.69</v>
      </c>
    </row>
    <row r="165" spans="1:27" ht="15" x14ac:dyDescent="0.25">
      <c r="A165" s="701"/>
      <c r="B165" s="701"/>
      <c r="C165" s="702"/>
      <c r="D165" s="702" t="s">
        <v>91</v>
      </c>
      <c r="E165" s="693" t="s">
        <v>89</v>
      </c>
      <c r="F165" s="703">
        <f>175</f>
        <v>175</v>
      </c>
      <c r="G165" s="704"/>
      <c r="H165" s="693"/>
      <c r="I165" s="703"/>
      <c r="J165" s="700">
        <f>ROUND(J164*(F165/100), 2)</f>
        <v>1.21</v>
      </c>
      <c r="K165" s="703">
        <f>157</f>
        <v>157</v>
      </c>
      <c r="L165" s="700">
        <f>ROUND(L164*(K165/100), 2)</f>
        <v>26.2</v>
      </c>
    </row>
    <row r="166" spans="1:27" ht="14.25" x14ac:dyDescent="0.2">
      <c r="I166" s="1067">
        <f>J165+J164</f>
        <v>1.9</v>
      </c>
      <c r="J166" s="1067"/>
      <c r="K166" s="1067">
        <f>L165+L164</f>
        <v>42.89</v>
      </c>
      <c r="L166" s="1067"/>
      <c r="O166" s="736">
        <f>I166</f>
        <v>1.9</v>
      </c>
      <c r="P166" s="736">
        <f>K166</f>
        <v>42.89</v>
      </c>
      <c r="X166" s="718">
        <f>IF([100]Source!BI821&lt;=1,I166, 0)</f>
        <v>0</v>
      </c>
      <c r="Y166" s="718">
        <f>IF([100]Source!BI821=2,I166, 0)</f>
        <v>1.9</v>
      </c>
      <c r="Z166" s="718">
        <f>IF([100]Source!BI821=3,I166, 0)</f>
        <v>0</v>
      </c>
      <c r="AA166" s="718">
        <f>IF([100]Source!BI821=4,I166, 0)</f>
        <v>0</v>
      </c>
    </row>
    <row r="168" spans="1:27" ht="15" x14ac:dyDescent="0.25">
      <c r="A168" s="706"/>
      <c r="B168" s="706"/>
      <c r="C168" s="707"/>
      <c r="D168" s="707" t="s">
        <v>96</v>
      </c>
      <c r="E168" s="708"/>
      <c r="F168" s="709"/>
      <c r="G168" s="710"/>
      <c r="H168" s="711"/>
      <c r="I168" s="1067">
        <f>I161+I166</f>
        <v>71.099999999999994</v>
      </c>
      <c r="J168" s="1067"/>
      <c r="K168" s="1067">
        <f>K161+K166</f>
        <v>1378.47</v>
      </c>
      <c r="L168" s="1067"/>
    </row>
    <row r="169" spans="1:27" ht="30" x14ac:dyDescent="0.25">
      <c r="A169" s="691">
        <v>22</v>
      </c>
      <c r="B169" s="691" t="str">
        <f>[100]Source!E823</f>
        <v>180</v>
      </c>
      <c r="C169" s="692" t="str">
        <f>[100]Source!F823</f>
        <v>1.21-5-563</v>
      </c>
      <c r="D169" s="692" t="s">
        <v>567</v>
      </c>
      <c r="E169" s="693" t="str">
        <f>[100]Source!H823</f>
        <v>шт.</v>
      </c>
      <c r="F169" s="694">
        <f>[100]Source!I823</f>
        <v>48</v>
      </c>
      <c r="G169" s="695">
        <f>[100]Source!AL823</f>
        <v>69.42</v>
      </c>
      <c r="H169" s="696" t="str">
        <f>[100]Source!DD823</f>
        <v/>
      </c>
      <c r="I169" s="694">
        <f>[100]Source!AW823</f>
        <v>1</v>
      </c>
      <c r="J169" s="697">
        <f>ROUND((ROUND(([100]Source!AC823*[100]Source!AW823*[100]Source!I823),2)),2)</f>
        <v>3332.16</v>
      </c>
      <c r="K169" s="694">
        <f>IF([100]Source!BC823&lt;&gt; 0, [100]Source!BC823, 1)</f>
        <v>0.88</v>
      </c>
      <c r="L169" s="697">
        <f>[100]Source!P823</f>
        <v>2932.3</v>
      </c>
      <c r="Q169" s="718">
        <f>ROUND(([100]Source!DN823/100)*ROUND((ROUND(([100]Source!AF823*[100]Source!AV823*[100]Source!I823),2)),2), 2)</f>
        <v>0</v>
      </c>
      <c r="R169" s="718">
        <f>[100]Source!X823</f>
        <v>0</v>
      </c>
      <c r="S169" s="718">
        <f>ROUND(([100]Source!DO823/100)*ROUND((ROUND(([100]Source!AF823*[100]Source!AV823*[100]Source!I823),2)),2), 2)</f>
        <v>0</v>
      </c>
      <c r="T169" s="718">
        <f>[100]Source!Y823</f>
        <v>0</v>
      </c>
      <c r="U169" s="718">
        <f>ROUND((175/100)*ROUND((ROUND(([100]Source!AE823*[100]Source!AV823*[100]Source!I823),2)),2), 2)</f>
        <v>0</v>
      </c>
      <c r="V169" s="718">
        <f>ROUND((157/100)*ROUND(ROUND((ROUND(([100]Source!AE823*[100]Source!AV823*[100]Source!I823),2)*[100]Source!BS823),2), 2), 2)</f>
        <v>0</v>
      </c>
    </row>
    <row r="170" spans="1:27" ht="14.25" x14ac:dyDescent="0.2">
      <c r="A170" s="737"/>
      <c r="B170" s="737"/>
      <c r="C170" s="737"/>
      <c r="D170" s="737"/>
      <c r="E170" s="737"/>
      <c r="F170" s="737"/>
      <c r="G170" s="737"/>
      <c r="H170" s="737"/>
      <c r="I170" s="1067">
        <f>J169</f>
        <v>3332.16</v>
      </c>
      <c r="J170" s="1067"/>
      <c r="K170" s="1067">
        <f>L169</f>
        <v>2932.3</v>
      </c>
      <c r="L170" s="1067"/>
      <c r="O170" s="736">
        <f>J169</f>
        <v>3332.16</v>
      </c>
      <c r="P170" s="736">
        <f>L169</f>
        <v>2932.3</v>
      </c>
      <c r="X170" s="718">
        <f>IF([100]Source!BI823&lt;=1,J169-0, 0)</f>
        <v>0</v>
      </c>
      <c r="Y170" s="718">
        <f>IF([100]Source!BI823=2,J169-0, 0)</f>
        <v>3332.16</v>
      </c>
      <c r="Z170" s="718">
        <f>IF([100]Source!BI823=3,J169-0, 0)</f>
        <v>0</v>
      </c>
      <c r="AA170" s="718">
        <f>IF([100]Source!BI823=4,J169,0)</f>
        <v>0</v>
      </c>
    </row>
    <row r="171" spans="1:27" ht="30" x14ac:dyDescent="0.25">
      <c r="A171" s="691">
        <v>23</v>
      </c>
      <c r="B171" s="691" t="str">
        <f>[100]Source!E825</f>
        <v>181</v>
      </c>
      <c r="C171" s="692" t="str">
        <f>[100]Source!F825</f>
        <v>1.1-1-3627</v>
      </c>
      <c r="D171" s="692" t="s">
        <v>568</v>
      </c>
      <c r="E171" s="693" t="str">
        <f>[100]Source!H825</f>
        <v>шт.</v>
      </c>
      <c r="F171" s="694">
        <f>[100]Source!I825</f>
        <v>40</v>
      </c>
      <c r="G171" s="695">
        <f>[100]Source!AL825</f>
        <v>36.32</v>
      </c>
      <c r="H171" s="696" t="str">
        <f>[100]Source!DD825</f>
        <v/>
      </c>
      <c r="I171" s="694">
        <f>[100]Source!AW825</f>
        <v>1</v>
      </c>
      <c r="J171" s="697">
        <f>ROUND((ROUND(([100]Source!AC825*[100]Source!AW825*[100]Source!I825),2)),2)</f>
        <v>1452.8</v>
      </c>
      <c r="K171" s="694">
        <f>IF([100]Source!BC825&lt;&gt; 0, [100]Source!BC825, 1)</f>
        <v>3.66</v>
      </c>
      <c r="L171" s="697">
        <f>[100]Source!P825</f>
        <v>5317.25</v>
      </c>
      <c r="Q171" s="718">
        <f>ROUND(([100]Source!DN825/100)*ROUND((ROUND(([100]Source!AF825*[100]Source!AV825*[100]Source!I825),2)),2), 2)</f>
        <v>0</v>
      </c>
      <c r="R171" s="718">
        <f>[100]Source!X825</f>
        <v>0</v>
      </c>
      <c r="S171" s="718">
        <f>ROUND(([100]Source!DO825/100)*ROUND((ROUND(([100]Source!AF825*[100]Source!AV825*[100]Source!I825),2)),2), 2)</f>
        <v>0</v>
      </c>
      <c r="T171" s="718">
        <f>[100]Source!Y825</f>
        <v>0</v>
      </c>
      <c r="U171" s="718">
        <f>ROUND((175/100)*ROUND((ROUND(([100]Source!AE825*[100]Source!AV825*[100]Source!I825),2)),2), 2)</f>
        <v>0</v>
      </c>
      <c r="V171" s="718">
        <f>ROUND((157/100)*ROUND(ROUND((ROUND(([100]Source!AE825*[100]Source!AV825*[100]Source!I825),2)*[100]Source!BS825),2), 2), 2)</f>
        <v>0</v>
      </c>
    </row>
    <row r="172" spans="1:27" ht="14.25" x14ac:dyDescent="0.2">
      <c r="A172" s="737"/>
      <c r="B172" s="737"/>
      <c r="C172" s="737"/>
      <c r="D172" s="737"/>
      <c r="E172" s="737"/>
      <c r="F172" s="737"/>
      <c r="G172" s="737"/>
      <c r="H172" s="737"/>
      <c r="I172" s="1067">
        <f>J171</f>
        <v>1452.8</v>
      </c>
      <c r="J172" s="1067"/>
      <c r="K172" s="1067">
        <f>L171</f>
        <v>5317.25</v>
      </c>
      <c r="L172" s="1067"/>
      <c r="O172" s="736">
        <f>J171</f>
        <v>1452.8</v>
      </c>
      <c r="P172" s="736">
        <f>L171</f>
        <v>5317.25</v>
      </c>
      <c r="X172" s="718">
        <f>IF([100]Source!BI825&lt;=1,J171-0, 0)</f>
        <v>1452.8</v>
      </c>
      <c r="Y172" s="718">
        <f>IF([100]Source!BI825=2,J171-0, 0)</f>
        <v>0</v>
      </c>
      <c r="Z172" s="718">
        <f>IF([100]Source!BI825=3,J171-0, 0)</f>
        <v>0</v>
      </c>
      <c r="AA172" s="718">
        <f>IF([100]Source!BI825=4,J171,0)</f>
        <v>0</v>
      </c>
    </row>
    <row r="173" spans="1:27" ht="45" x14ac:dyDescent="0.25">
      <c r="A173" s="691">
        <v>24</v>
      </c>
      <c r="B173" s="691" t="str">
        <f>[100]Source!E827</f>
        <v>182</v>
      </c>
      <c r="C173" s="692" t="str">
        <f>[100]Source!F827</f>
        <v>4.8-83-4</v>
      </c>
      <c r="D173" s="692" t="s">
        <v>560</v>
      </c>
      <c r="E173" s="693" t="str">
        <f>[100]Source!H827</f>
        <v>100 шт.</v>
      </c>
      <c r="F173" s="694">
        <f>[100]Source!I827</f>
        <v>9.7500000000000003E-2</v>
      </c>
      <c r="G173" s="695"/>
      <c r="H173" s="696"/>
      <c r="I173" s="694"/>
      <c r="J173" s="697"/>
      <c r="K173" s="694"/>
      <c r="L173" s="697"/>
      <c r="Q173" s="718">
        <f>ROUND(([100]Source!DN827/100)*ROUND((ROUND(([100]Source!AF827*[100]Source!AV827*[100]Source!I827),2)),2), 2)</f>
        <v>60.37</v>
      </c>
      <c r="R173" s="718">
        <f>[100]Source!X827</f>
        <v>1175.4000000000001</v>
      </c>
      <c r="S173" s="718">
        <f>ROUND(([100]Source!DO827/100)*ROUND((ROUND(([100]Source!AF827*[100]Source!AV827*[100]Source!I827),2)),2), 2)</f>
        <v>37.729999999999997</v>
      </c>
      <c r="T173" s="718">
        <f>[100]Source!Y827</f>
        <v>561.58000000000004</v>
      </c>
      <c r="U173" s="718">
        <f>ROUND((175/100)*ROUND((ROUND(([100]Source!AE827*[100]Source!AV827*[100]Source!I827),2)),2), 2)</f>
        <v>18.03</v>
      </c>
      <c r="V173" s="718">
        <f>ROUND((157/100)*ROUND(ROUND((ROUND(([100]Source!AE827*[100]Source!AV827*[100]Source!I827),2)*[100]Source!BS827),2), 2), 2)</f>
        <v>391.82</v>
      </c>
    </row>
    <row r="174" spans="1:27" ht="15" x14ac:dyDescent="0.25">
      <c r="A174" s="691"/>
      <c r="B174" s="691"/>
      <c r="C174" s="692"/>
      <c r="D174" s="692" t="s">
        <v>84</v>
      </c>
      <c r="E174" s="693"/>
      <c r="F174" s="694"/>
      <c r="G174" s="695">
        <f>[100]Source!AO827</f>
        <v>304.55</v>
      </c>
      <c r="H174" s="696" t="str">
        <f>[100]Source!DG827</f>
        <v>)*1,67</v>
      </c>
      <c r="I174" s="694">
        <f>[100]Source!AV827</f>
        <v>1.087</v>
      </c>
      <c r="J174" s="697">
        <f>ROUND((ROUND(([100]Source!AF827*[100]Source!AV827*[100]Source!I827),2)),2)</f>
        <v>53.9</v>
      </c>
      <c r="K174" s="694">
        <f>IF([100]Source!BA827&lt;&gt; 0, [100]Source!BA827, 1)</f>
        <v>24.23</v>
      </c>
      <c r="L174" s="697">
        <f>[100]Source!S827</f>
        <v>1306</v>
      </c>
      <c r="W174" s="718">
        <f>J174</f>
        <v>53.9</v>
      </c>
    </row>
    <row r="175" spans="1:27" ht="15" x14ac:dyDescent="0.25">
      <c r="A175" s="691"/>
      <c r="B175" s="691"/>
      <c r="C175" s="692"/>
      <c r="D175" s="692" t="s">
        <v>85</v>
      </c>
      <c r="E175" s="693"/>
      <c r="F175" s="694"/>
      <c r="G175" s="695">
        <f>[100]Source!AM827</f>
        <v>855.92</v>
      </c>
      <c r="H175" s="696" t="str">
        <f>[100]Source!DE827</f>
        <v/>
      </c>
      <c r="I175" s="694">
        <f>[100]Source!AV827</f>
        <v>1.087</v>
      </c>
      <c r="J175" s="697">
        <f>(ROUND((ROUND((([100]Source!ET827)*[100]Source!AV827*[100]Source!I827),2)),2)+ROUND((ROUND((([100]Source!AE827-([100]Source!EU827))*[100]Source!AV827*[100]Source!I827),2)),2))-J184</f>
        <v>90.71</v>
      </c>
      <c r="K175" s="694">
        <f>IF([100]Source!BB827&lt;&gt; 0, [100]Source!BB827, 1)</f>
        <v>6.83</v>
      </c>
      <c r="L175" s="697">
        <f>[100]Source!Q827-L184</f>
        <v>619.5</v>
      </c>
    </row>
    <row r="176" spans="1:27" ht="15" x14ac:dyDescent="0.25">
      <c r="A176" s="691"/>
      <c r="B176" s="691"/>
      <c r="C176" s="692"/>
      <c r="D176" s="692" t="s">
        <v>86</v>
      </c>
      <c r="E176" s="693"/>
      <c r="F176" s="694"/>
      <c r="G176" s="695">
        <f>[100]Source!AN827</f>
        <v>58.19</v>
      </c>
      <c r="H176" s="696" t="str">
        <f>[100]Source!DE827</f>
        <v/>
      </c>
      <c r="I176" s="694">
        <f>[100]Source!AV827</f>
        <v>1.087</v>
      </c>
      <c r="J176" s="700">
        <f>ROUND((ROUND(([100]Source!AE827*[100]Source!AV827*[100]Source!I827),2)),2)-J185</f>
        <v>6.17</v>
      </c>
      <c r="K176" s="694">
        <f>IF([100]Source!BS827&lt;&gt; 0, [100]Source!BS827, 1)</f>
        <v>24.23</v>
      </c>
      <c r="L176" s="700">
        <f>[100]Source!R827-L185</f>
        <v>149.44999999999999</v>
      </c>
      <c r="W176" s="718">
        <f>J176</f>
        <v>6.17</v>
      </c>
    </row>
    <row r="177" spans="1:27" ht="15" x14ac:dyDescent="0.25">
      <c r="A177" s="691"/>
      <c r="B177" s="691"/>
      <c r="C177" s="692"/>
      <c r="D177" s="692" t="s">
        <v>87</v>
      </c>
      <c r="E177" s="693"/>
      <c r="F177" s="694"/>
      <c r="G177" s="695">
        <f>[100]Source!AL827</f>
        <v>130.9</v>
      </c>
      <c r="H177" s="696" t="str">
        <f>[100]Source!DD827</f>
        <v/>
      </c>
      <c r="I177" s="694">
        <f>[100]Source!AW827</f>
        <v>1</v>
      </c>
      <c r="J177" s="697">
        <f>ROUND((ROUND(([100]Source!AC827*[100]Source!AW827*[100]Source!I827),2)),2)</f>
        <v>12.76</v>
      </c>
      <c r="K177" s="694">
        <f>IF([100]Source!BC827&lt;&gt; 0, [100]Source!BC827, 1)</f>
        <v>5.58</v>
      </c>
      <c r="L177" s="697">
        <f>[100]Source!P827</f>
        <v>71.2</v>
      </c>
    </row>
    <row r="178" spans="1:27" ht="15" x14ac:dyDescent="0.25">
      <c r="A178" s="691"/>
      <c r="B178" s="691"/>
      <c r="C178" s="692"/>
      <c r="D178" s="692" t="s">
        <v>88</v>
      </c>
      <c r="E178" s="693" t="s">
        <v>89</v>
      </c>
      <c r="F178" s="694">
        <f>[100]Source!DN827</f>
        <v>112</v>
      </c>
      <c r="G178" s="695"/>
      <c r="H178" s="696"/>
      <c r="I178" s="694"/>
      <c r="J178" s="697">
        <f>SUM(Q173:Q177)</f>
        <v>60.37</v>
      </c>
      <c r="K178" s="694">
        <f>[100]Source!BZ827</f>
        <v>90</v>
      </c>
      <c r="L178" s="697">
        <f>SUM(R173:R177)</f>
        <v>1175.4000000000001</v>
      </c>
    </row>
    <row r="179" spans="1:27" ht="15" x14ac:dyDescent="0.25">
      <c r="A179" s="691"/>
      <c r="B179" s="691"/>
      <c r="C179" s="692"/>
      <c r="D179" s="692" t="s">
        <v>90</v>
      </c>
      <c r="E179" s="693" t="s">
        <v>89</v>
      </c>
      <c r="F179" s="694">
        <f>[100]Source!DO827</f>
        <v>70</v>
      </c>
      <c r="G179" s="695"/>
      <c r="H179" s="696"/>
      <c r="I179" s="694"/>
      <c r="J179" s="697">
        <f>SUM(S173:S178)</f>
        <v>37.729999999999997</v>
      </c>
      <c r="K179" s="694">
        <f>[100]Source!CA827</f>
        <v>43</v>
      </c>
      <c r="L179" s="697">
        <f>SUM(T173:T178)</f>
        <v>561.58000000000004</v>
      </c>
    </row>
    <row r="180" spans="1:27" ht="15" x14ac:dyDescent="0.25">
      <c r="A180" s="691"/>
      <c r="B180" s="691"/>
      <c r="C180" s="692"/>
      <c r="D180" s="692" t="s">
        <v>91</v>
      </c>
      <c r="E180" s="693" t="s">
        <v>89</v>
      </c>
      <c r="F180" s="694">
        <f>175</f>
        <v>175</v>
      </c>
      <c r="G180" s="695"/>
      <c r="H180" s="696"/>
      <c r="I180" s="694"/>
      <c r="J180" s="697">
        <f>SUM(U173:U179)-J186</f>
        <v>10.8</v>
      </c>
      <c r="K180" s="694">
        <f>157</f>
        <v>157</v>
      </c>
      <c r="L180" s="697">
        <f>SUM(V173:V179)-L186</f>
        <v>234.63</v>
      </c>
    </row>
    <row r="181" spans="1:27" ht="15" x14ac:dyDescent="0.25">
      <c r="A181" s="691"/>
      <c r="B181" s="691"/>
      <c r="C181" s="692"/>
      <c r="D181" s="692" t="s">
        <v>92</v>
      </c>
      <c r="E181" s="693" t="s">
        <v>93</v>
      </c>
      <c r="F181" s="694">
        <f>[100]Source!AQ827</f>
        <v>24.7</v>
      </c>
      <c r="G181" s="695"/>
      <c r="H181" s="696" t="str">
        <f>[100]Source!DI827</f>
        <v/>
      </c>
      <c r="I181" s="694">
        <f>[100]Source!AV827</f>
        <v>1.087</v>
      </c>
      <c r="J181" s="697">
        <f>[100]Source!U827</f>
        <v>2.62</v>
      </c>
      <c r="K181" s="694"/>
      <c r="L181" s="697"/>
    </row>
    <row r="182" spans="1:27" ht="14.25" x14ac:dyDescent="0.2">
      <c r="I182" s="1067">
        <f>J174+J175+J177+J178+J179+J180</f>
        <v>266.27</v>
      </c>
      <c r="J182" s="1067"/>
      <c r="K182" s="1067">
        <f>L174+L175+L177+L178+L179+L180</f>
        <v>3968.31</v>
      </c>
      <c r="L182" s="1067"/>
      <c r="O182" s="736">
        <f>J174+J175+J177+J178+J179+J180</f>
        <v>266.27</v>
      </c>
      <c r="P182" s="736">
        <f>L174+L175+L177+L178+L179+L180</f>
        <v>3968.31</v>
      </c>
      <c r="X182" s="718">
        <f>IF([100]Source!BI827&lt;=1,J174+J175+J177+J178+J179+J180-0, 0)</f>
        <v>0</v>
      </c>
      <c r="Y182" s="718">
        <f>IF([100]Source!BI827=2,J174+J175+J177+J178+J179+J180-0, 0)</f>
        <v>266.27</v>
      </c>
      <c r="Z182" s="718">
        <f>IF([100]Source!BI827=3,J174+J175+J177+J178+J179+J180-0, 0)</f>
        <v>0</v>
      </c>
      <c r="AA182" s="718">
        <f>IF([100]Source!BI827=4,J174+J175+J177+J178+J179+J180,0)</f>
        <v>0</v>
      </c>
    </row>
    <row r="183" spans="1:27" ht="30" x14ac:dyDescent="0.25">
      <c r="A183" s="701"/>
      <c r="B183" s="701"/>
      <c r="C183" s="702"/>
      <c r="D183" s="702" t="s">
        <v>94</v>
      </c>
      <c r="E183" s="693"/>
      <c r="F183" s="703"/>
      <c r="G183" s="704"/>
      <c r="H183" s="693"/>
      <c r="I183" s="703"/>
      <c r="J183" s="700"/>
      <c r="K183" s="703"/>
      <c r="L183" s="700"/>
    </row>
    <row r="184" spans="1:27" ht="15" x14ac:dyDescent="0.25">
      <c r="A184" s="701"/>
      <c r="B184" s="701"/>
      <c r="C184" s="702"/>
      <c r="D184" s="702" t="s">
        <v>85</v>
      </c>
      <c r="E184" s="693"/>
      <c r="F184" s="703"/>
      <c r="G184" s="704">
        <f t="shared" ref="G184:L184" si="4">G185</f>
        <v>58.19</v>
      </c>
      <c r="H184" s="705" t="str">
        <f t="shared" si="4"/>
        <v>)*(1.67-1)</v>
      </c>
      <c r="I184" s="703">
        <f t="shared" si="4"/>
        <v>1.087</v>
      </c>
      <c r="J184" s="700">
        <f t="shared" si="4"/>
        <v>4.13</v>
      </c>
      <c r="K184" s="703">
        <f t="shared" si="4"/>
        <v>24.23</v>
      </c>
      <c r="L184" s="700">
        <f t="shared" si="4"/>
        <v>100.12</v>
      </c>
    </row>
    <row r="185" spans="1:27" ht="15" x14ac:dyDescent="0.25">
      <c r="A185" s="701"/>
      <c r="B185" s="701"/>
      <c r="C185" s="702"/>
      <c r="D185" s="702" t="s">
        <v>86</v>
      </c>
      <c r="E185" s="693"/>
      <c r="F185" s="703"/>
      <c r="G185" s="704">
        <f>[100]Source!AN827</f>
        <v>58.19</v>
      </c>
      <c r="H185" s="705" t="s">
        <v>95</v>
      </c>
      <c r="I185" s="703">
        <f>[100]Source!AV827</f>
        <v>1.087</v>
      </c>
      <c r="J185" s="700">
        <f>ROUND(F173*G185*I185*(1.67-1), 2)</f>
        <v>4.13</v>
      </c>
      <c r="K185" s="703">
        <f>IF([100]Source!BS827&lt;&gt; 0, [100]Source!BS827, 1)</f>
        <v>24.23</v>
      </c>
      <c r="L185" s="700">
        <f>ROUND(F173*G185*I185*(1.67-1)*K185, 2)</f>
        <v>100.12</v>
      </c>
      <c r="W185" s="718">
        <f>J185</f>
        <v>4.13</v>
      </c>
    </row>
    <row r="186" spans="1:27" ht="15" x14ac:dyDescent="0.25">
      <c r="A186" s="701"/>
      <c r="B186" s="701"/>
      <c r="C186" s="702"/>
      <c r="D186" s="702" t="s">
        <v>91</v>
      </c>
      <c r="E186" s="693" t="s">
        <v>89</v>
      </c>
      <c r="F186" s="703">
        <f>175</f>
        <v>175</v>
      </c>
      <c r="G186" s="704"/>
      <c r="H186" s="693"/>
      <c r="I186" s="703"/>
      <c r="J186" s="700">
        <f>ROUND(J185*(F186/100), 2)</f>
        <v>7.23</v>
      </c>
      <c r="K186" s="703">
        <f>157</f>
        <v>157</v>
      </c>
      <c r="L186" s="700">
        <f>ROUND(L185*(K186/100), 2)</f>
        <v>157.19</v>
      </c>
    </row>
    <row r="187" spans="1:27" ht="14.25" x14ac:dyDescent="0.2">
      <c r="I187" s="1067">
        <f>J186+J185</f>
        <v>11.36</v>
      </c>
      <c r="J187" s="1067"/>
      <c r="K187" s="1067">
        <f>L186+L185</f>
        <v>257.31</v>
      </c>
      <c r="L187" s="1067"/>
      <c r="O187" s="736">
        <f>I187</f>
        <v>11.36</v>
      </c>
      <c r="P187" s="736">
        <f>K187</f>
        <v>257.31</v>
      </c>
      <c r="X187" s="718">
        <f>IF([100]Source!BI827&lt;=1,I187, 0)</f>
        <v>0</v>
      </c>
      <c r="Y187" s="718">
        <f>IF([100]Source!BI827=2,I187, 0)</f>
        <v>11.36</v>
      </c>
      <c r="Z187" s="718">
        <f>IF([100]Source!BI827=3,I187, 0)</f>
        <v>0</v>
      </c>
      <c r="AA187" s="718">
        <f>IF([100]Source!BI827=4,I187, 0)</f>
        <v>0</v>
      </c>
    </row>
    <row r="189" spans="1:27" ht="15" x14ac:dyDescent="0.25">
      <c r="A189" s="706"/>
      <c r="B189" s="706"/>
      <c r="C189" s="707"/>
      <c r="D189" s="707" t="s">
        <v>96</v>
      </c>
      <c r="E189" s="708"/>
      <c r="F189" s="709"/>
      <c r="G189" s="710"/>
      <c r="H189" s="711"/>
      <c r="I189" s="1067">
        <f>I182+I187</f>
        <v>277.63</v>
      </c>
      <c r="J189" s="1067"/>
      <c r="K189" s="1067">
        <f>K182+K187</f>
        <v>4225.62</v>
      </c>
      <c r="L189" s="1067"/>
    </row>
    <row r="190" spans="1:27" ht="30" x14ac:dyDescent="0.25">
      <c r="A190" s="691">
        <v>25</v>
      </c>
      <c r="B190" s="691" t="str">
        <f>[100]Source!E829</f>
        <v>183</v>
      </c>
      <c r="C190" s="692" t="str">
        <f>[100]Source!F829</f>
        <v>1.7-5-261</v>
      </c>
      <c r="D190" s="692" t="s">
        <v>561</v>
      </c>
      <c r="E190" s="693" t="str">
        <f>[100]Source!H829</f>
        <v>100 шт.</v>
      </c>
      <c r="F190" s="694">
        <f>[100]Source!I829</f>
        <v>0.16</v>
      </c>
      <c r="G190" s="695">
        <f>[100]Source!AL829</f>
        <v>126.58</v>
      </c>
      <c r="H190" s="696" t="str">
        <f>[100]Source!DD829</f>
        <v/>
      </c>
      <c r="I190" s="694">
        <f>[100]Source!AW829</f>
        <v>1</v>
      </c>
      <c r="J190" s="697">
        <f>ROUND((ROUND(([100]Source!AC829*[100]Source!AW829*[100]Source!I829),2)),2)</f>
        <v>20.25</v>
      </c>
      <c r="K190" s="694">
        <f>IF([100]Source!BC829&lt;&gt; 0, [100]Source!BC829, 1)</f>
        <v>10.64</v>
      </c>
      <c r="L190" s="697">
        <f>[100]Source!P829</f>
        <v>215.46</v>
      </c>
      <c r="Q190" s="718">
        <f>ROUND(([100]Source!DN829/100)*ROUND((ROUND(([100]Source!AF829*[100]Source!AV829*[100]Source!I829),2)),2), 2)</f>
        <v>0</v>
      </c>
      <c r="R190" s="718">
        <f>[100]Source!X829</f>
        <v>0</v>
      </c>
      <c r="S190" s="718">
        <f>ROUND(([100]Source!DO829/100)*ROUND((ROUND(([100]Source!AF829*[100]Source!AV829*[100]Source!I829),2)),2), 2)</f>
        <v>0</v>
      </c>
      <c r="T190" s="718">
        <f>[100]Source!Y829</f>
        <v>0</v>
      </c>
      <c r="U190" s="718">
        <f>ROUND((175/100)*ROUND((ROUND(([100]Source!AE829*[100]Source!AV829*[100]Source!I829),2)),2), 2)</f>
        <v>0</v>
      </c>
      <c r="V190" s="718">
        <f>ROUND((157/100)*ROUND(ROUND((ROUND(([100]Source!AE829*[100]Source!AV829*[100]Source!I829),2)*[100]Source!BS829),2), 2), 2)</f>
        <v>0</v>
      </c>
    </row>
    <row r="191" spans="1:27" ht="14.25" x14ac:dyDescent="0.2">
      <c r="A191" s="737"/>
      <c r="B191" s="737"/>
      <c r="C191" s="737"/>
      <c r="D191" s="737"/>
      <c r="E191" s="737"/>
      <c r="F191" s="737"/>
      <c r="G191" s="737"/>
      <c r="H191" s="737"/>
      <c r="I191" s="1067">
        <f>J190</f>
        <v>20.25</v>
      </c>
      <c r="J191" s="1067"/>
      <c r="K191" s="1067">
        <f>L190</f>
        <v>215.46</v>
      </c>
      <c r="L191" s="1067"/>
      <c r="O191" s="736">
        <f>J190</f>
        <v>20.25</v>
      </c>
      <c r="P191" s="736">
        <f>L190</f>
        <v>215.46</v>
      </c>
      <c r="X191" s="718">
        <f>IF([100]Source!BI829&lt;=1,J190-0, 0)</f>
        <v>20.25</v>
      </c>
      <c r="Y191" s="718">
        <f>IF([100]Source!BI829=2,J190-0, 0)</f>
        <v>0</v>
      </c>
      <c r="Z191" s="718">
        <f>IF([100]Source!BI829=3,J190-0, 0)</f>
        <v>0</v>
      </c>
      <c r="AA191" s="718">
        <f>IF([100]Source!BI829=4,J190,0)</f>
        <v>0</v>
      </c>
    </row>
    <row r="192" spans="1:27" ht="70.5" x14ac:dyDescent="0.25">
      <c r="A192" s="691">
        <v>26</v>
      </c>
      <c r="B192" s="691" t="str">
        <f>[100]Source!E831</f>
        <v>184</v>
      </c>
      <c r="C192" s="692" t="str">
        <f>[100]Source!F831</f>
        <v>МКЭ-33-257/9-3 от 01.04.2019г.</v>
      </c>
      <c r="D192" s="692" t="s">
        <v>759</v>
      </c>
      <c r="E192" s="693" t="str">
        <f>[100]Source!H831</f>
        <v>м</v>
      </c>
      <c r="F192" s="694">
        <f>[100]Source!I831</f>
        <v>19.5</v>
      </c>
      <c r="G192" s="697">
        <f>J192/F192</f>
        <v>6.69</v>
      </c>
      <c r="H192" s="696"/>
      <c r="I192" s="694">
        <v>1</v>
      </c>
      <c r="J192" s="697">
        <f>L192/K192</f>
        <v>130.46</v>
      </c>
      <c r="K192" s="694">
        <v>5.58</v>
      </c>
      <c r="L192" s="697">
        <f>36.6*1.02*F192</f>
        <v>727.97</v>
      </c>
      <c r="Q192" s="718">
        <f>ROUND(([100]Source!DN831/100)*ROUND((ROUND(([100]Source!AF831*[100]Source!AV831*[100]Source!I831),2)),2), 2)</f>
        <v>0</v>
      </c>
      <c r="R192" s="718">
        <f>[100]Source!X831</f>
        <v>0</v>
      </c>
      <c r="S192" s="718">
        <f>ROUND(([100]Source!DO831/100)*ROUND((ROUND(([100]Source!AF831*[100]Source!AV831*[100]Source!I831),2)),2), 2)</f>
        <v>0</v>
      </c>
      <c r="T192" s="718">
        <f>[100]Source!Y831</f>
        <v>0</v>
      </c>
      <c r="U192" s="718">
        <f>ROUND((175/100)*ROUND((ROUND(([100]Source!AE831*[100]Source!AV831*[100]Source!I831),2)),2), 2)</f>
        <v>0</v>
      </c>
      <c r="V192" s="718">
        <f>ROUND((157/100)*ROUND(ROUND((ROUND(([100]Source!AE831*[100]Source!AV831*[100]Source!I831),2)*[100]Source!BS831),2), 2), 2)</f>
        <v>0</v>
      </c>
    </row>
    <row r="193" spans="1:38" ht="14.25" x14ac:dyDescent="0.2">
      <c r="A193" s="737"/>
      <c r="B193" s="737"/>
      <c r="C193" s="737"/>
      <c r="D193" s="737"/>
      <c r="E193" s="737"/>
      <c r="F193" s="737"/>
      <c r="G193" s="737"/>
      <c r="H193" s="737"/>
      <c r="I193" s="1067">
        <f>J192</f>
        <v>130.46</v>
      </c>
      <c r="J193" s="1067"/>
      <c r="K193" s="1067">
        <f>L192</f>
        <v>727.97</v>
      </c>
      <c r="L193" s="1067"/>
      <c r="O193" s="736">
        <f>J192</f>
        <v>130.46</v>
      </c>
      <c r="P193" s="736">
        <f>L192</f>
        <v>727.97</v>
      </c>
      <c r="X193" s="718">
        <f>IF([100]Source!BI831&lt;=1,J192-0, 0)</f>
        <v>130.46</v>
      </c>
      <c r="Y193" s="718">
        <f>IF([100]Source!BI831=2,J192-0, 0)</f>
        <v>0</v>
      </c>
      <c r="Z193" s="718">
        <f>IF([100]Source!BI831=3,J192-0, 0)</f>
        <v>0</v>
      </c>
      <c r="AA193" s="718">
        <f>IF([100]Source!BI831=4,J192,0)</f>
        <v>0</v>
      </c>
    </row>
    <row r="195" spans="1:38" ht="14.25" x14ac:dyDescent="0.2">
      <c r="A195" s="1068" t="str">
        <f>CONCATENATE("Итого по подразделу: ",IF([100]Source!G837&lt;&gt;"Новый подраздел", [100]Source!G837, ""))</f>
        <v>Итого по подразделу: К2-21</v>
      </c>
      <c r="B195" s="1068"/>
      <c r="C195" s="1068"/>
      <c r="D195" s="1068"/>
      <c r="E195" s="1068"/>
      <c r="F195" s="1068"/>
      <c r="G195" s="1068"/>
      <c r="H195" s="1068"/>
      <c r="I195" s="1069">
        <f>SUM(O132:O194)</f>
        <v>7598.4</v>
      </c>
      <c r="J195" s="1070"/>
      <c r="K195" s="1069">
        <f>SUM(P132:P194)</f>
        <v>32609.18</v>
      </c>
      <c r="L195" s="1070"/>
    </row>
    <row r="196" spans="1:38" hidden="1" x14ac:dyDescent="0.2">
      <c r="A196" s="718" t="s">
        <v>139</v>
      </c>
      <c r="I196" s="718">
        <f>SUM(AC132:AC195)</f>
        <v>0</v>
      </c>
      <c r="K196" s="718">
        <f>SUM(AD132:AD195)</f>
        <v>0</v>
      </c>
    </row>
    <row r="197" spans="1:38" hidden="1" x14ac:dyDescent="0.2">
      <c r="A197" s="718" t="s">
        <v>140</v>
      </c>
      <c r="I197" s="718">
        <f>SUM(AE132:AE196)</f>
        <v>0</v>
      </c>
      <c r="K197" s="718">
        <f>SUM(AF132:AF196)</f>
        <v>0</v>
      </c>
    </row>
    <row r="200" spans="1:38" ht="15" customHeight="1" x14ac:dyDescent="0.2">
      <c r="A200" s="1068" t="s">
        <v>703</v>
      </c>
      <c r="B200" s="1068"/>
      <c r="C200" s="1068"/>
      <c r="D200" s="1068"/>
      <c r="E200" s="1068"/>
      <c r="F200" s="1068"/>
      <c r="G200" s="1068"/>
      <c r="H200" s="1068"/>
      <c r="I200" s="1069">
        <f>SUM(O1:O199)</f>
        <v>29826.639999999999</v>
      </c>
      <c r="J200" s="1070"/>
      <c r="K200" s="1069">
        <f>SUM(P1:P199)</f>
        <v>377591.34</v>
      </c>
      <c r="L200" s="1070"/>
      <c r="AL200" s="712" t="str">
        <f>CONCATENATE("Итого по акту: ",IF([100]Source!G927&lt;&gt;"Новый объект", [100]Source!G927, ""))</f>
        <v>Итого по акту: 48875-ТПК-5-0707-Р-ССР2-изм.1.1-доп.1_12-4017-Л-Р-11.4.3.1-ОВ1.2-СМ1К (взамен локальной сметы №12-4017-Л-Р-11.4.3.1-ОВ1.2-СМ1)</v>
      </c>
    </row>
    <row r="201" spans="1:38" hidden="1" x14ac:dyDescent="0.2">
      <c r="A201" s="718" t="s">
        <v>139</v>
      </c>
      <c r="I201" s="718">
        <f>SUM(AC1:AC200)</f>
        <v>0</v>
      </c>
      <c r="K201" s="718">
        <f>SUM(AD1:AD200)</f>
        <v>0</v>
      </c>
    </row>
    <row r="202" spans="1:38" hidden="1" x14ac:dyDescent="0.2">
      <c r="A202" s="718" t="s">
        <v>140</v>
      </c>
      <c r="I202" s="718">
        <f>SUM(AE1:AE201)</f>
        <v>0</v>
      </c>
      <c r="K202" s="718">
        <f>SUM(AF1:AF201)</f>
        <v>0</v>
      </c>
    </row>
    <row r="203" spans="1:38" ht="15" x14ac:dyDescent="0.25">
      <c r="D203" s="714" t="s">
        <v>114</v>
      </c>
      <c r="I203" s="1079">
        <f>SUMIF(D20:D193,"МР",J19:J193)+J192+J190+J171+J169+J150+J122+J113+J101+J99+J77+J68+J56+J54+J32+J23</f>
        <v>11592.71</v>
      </c>
      <c r="J203" s="1080"/>
      <c r="K203" s="1079">
        <f>SUMIF(D20:D193,"МР",L19:L193)+L192+L190+L171+L169+L150+L122+L113+L101+L99+L77+L68+L56+L54+L32+L23</f>
        <v>78575.7</v>
      </c>
      <c r="L203" s="1080"/>
    </row>
    <row r="204" spans="1:38" ht="15" x14ac:dyDescent="0.25">
      <c r="D204" s="714" t="s">
        <v>115</v>
      </c>
      <c r="I204" s="1079">
        <f>SUMIF(D19:D193,"в т.ч. ЗПМ",J19:J193)</f>
        <v>103.59</v>
      </c>
      <c r="J204" s="1080"/>
      <c r="K204" s="1079">
        <f>SUMIF(D19:D193,"в т.ч. ЗПМ",L19:L193)</f>
        <v>2509.9899999999998</v>
      </c>
      <c r="L204" s="1080"/>
    </row>
    <row r="205" spans="1:38" ht="15" x14ac:dyDescent="0.25">
      <c r="D205" s="714" t="s">
        <v>116</v>
      </c>
      <c r="I205" s="1079">
        <f>SUMIF(D19:D193,"ЗП",J19:J193)</f>
        <v>5046.3100000000004</v>
      </c>
      <c r="J205" s="1080"/>
      <c r="K205" s="1079">
        <f>SUMIF(D19:D193,"ЗП",L19:L193)</f>
        <v>122272.1</v>
      </c>
      <c r="L205" s="1080"/>
    </row>
    <row r="206" spans="1:38" ht="14.25" x14ac:dyDescent="0.2">
      <c r="D206" s="712"/>
      <c r="E206" s="712"/>
      <c r="F206" s="712"/>
      <c r="G206" s="712"/>
      <c r="H206" s="712"/>
      <c r="I206" s="715"/>
      <c r="J206" s="715"/>
      <c r="K206" s="716"/>
      <c r="L206" s="716"/>
    </row>
    <row r="207" spans="1:38" ht="15" x14ac:dyDescent="0.25">
      <c r="D207" s="712" t="s">
        <v>268</v>
      </c>
      <c r="J207" s="719">
        <f>I200</f>
        <v>29826.639999999999</v>
      </c>
      <c r="K207" s="719"/>
      <c r="L207" s="719">
        <f>K200</f>
        <v>377591.34</v>
      </c>
    </row>
    <row r="208" spans="1:38" ht="15" x14ac:dyDescent="0.25">
      <c r="D208" s="717" t="s">
        <v>3</v>
      </c>
      <c r="J208" s="719">
        <f>J207</f>
        <v>29826.639999999999</v>
      </c>
      <c r="K208" s="719"/>
      <c r="L208" s="719">
        <f>L207</f>
        <v>377591.34</v>
      </c>
    </row>
    <row r="209" spans="1:256" ht="15" x14ac:dyDescent="0.25">
      <c r="D209" s="717" t="s">
        <v>269</v>
      </c>
      <c r="J209" s="719">
        <f>I205+I204</f>
        <v>5149.8999999999996</v>
      </c>
      <c r="K209" s="719"/>
      <c r="L209" s="719">
        <f>K205+K204</f>
        <v>124782.09</v>
      </c>
    </row>
    <row r="210" spans="1:256" ht="15" x14ac:dyDescent="0.25">
      <c r="D210" s="717" t="s">
        <v>270</v>
      </c>
      <c r="J210" s="719">
        <f>I203</f>
        <v>11592.71</v>
      </c>
      <c r="K210" s="719"/>
      <c r="L210" s="719">
        <f>K203</f>
        <v>78575.7</v>
      </c>
    </row>
    <row r="211" spans="1:256" ht="15" x14ac:dyDescent="0.25">
      <c r="D211" s="1074" t="s">
        <v>323</v>
      </c>
      <c r="E211" s="1074"/>
      <c r="F211" s="1074"/>
      <c r="G211" s="1074"/>
      <c r="H211" s="1074"/>
      <c r="I211" s="671"/>
      <c r="J211" s="721">
        <v>0</v>
      </c>
      <c r="K211" s="721"/>
      <c r="L211" s="721">
        <v>0</v>
      </c>
    </row>
    <row r="212" spans="1:256" ht="15" x14ac:dyDescent="0.25">
      <c r="D212" s="1076" t="s">
        <v>584</v>
      </c>
      <c r="E212" s="1076"/>
      <c r="F212" s="1076"/>
      <c r="G212" s="1076"/>
      <c r="H212" s="1076"/>
      <c r="I212" s="671"/>
      <c r="J212" s="721">
        <f>J209*0.15</f>
        <v>772.49</v>
      </c>
      <c r="K212" s="721"/>
      <c r="L212" s="721">
        <f>L209*0.15</f>
        <v>18717.310000000001</v>
      </c>
    </row>
    <row r="213" spans="1:256" ht="14.25" x14ac:dyDescent="0.2">
      <c r="D213" s="1068" t="s">
        <v>688</v>
      </c>
      <c r="E213" s="1068"/>
      <c r="F213" s="1068"/>
      <c r="G213" s="1068"/>
      <c r="H213" s="1068"/>
      <c r="I213" s="671"/>
      <c r="J213" s="650">
        <f>J208+J212</f>
        <v>30599.13</v>
      </c>
      <c r="K213" s="650"/>
      <c r="L213" s="650">
        <f>L208+L212</f>
        <v>396308.65</v>
      </c>
    </row>
    <row r="214" spans="1:256" s="671" customFormat="1" ht="15" x14ac:dyDescent="0.25">
      <c r="D214" s="1074"/>
      <c r="E214" s="1074"/>
      <c r="F214" s="1074"/>
      <c r="G214" s="1074"/>
      <c r="H214" s="1074"/>
      <c r="I214" s="1075"/>
      <c r="J214" s="1075"/>
      <c r="K214" s="1075"/>
      <c r="L214" s="1075"/>
    </row>
    <row r="215" spans="1:256" s="675" customFormat="1" ht="15" x14ac:dyDescent="0.25">
      <c r="A215" s="398"/>
      <c r="B215" s="398"/>
      <c r="C215" s="398"/>
      <c r="D215" s="651" t="s">
        <v>596</v>
      </c>
      <c r="E215" s="652"/>
      <c r="F215" s="652"/>
      <c r="G215" s="652"/>
      <c r="H215" s="652"/>
      <c r="I215" s="652"/>
      <c r="J215" s="653"/>
      <c r="K215" s="653"/>
      <c r="L215" s="653">
        <f>L207*0.925</f>
        <v>349271.99</v>
      </c>
      <c r="M215" s="399"/>
      <c r="N215" s="400"/>
      <c r="O215" s="400"/>
      <c r="P215" s="400"/>
      <c r="Q215" s="400"/>
      <c r="R215" s="400"/>
      <c r="S215" s="400"/>
      <c r="T215" s="400"/>
      <c r="U215" s="400"/>
      <c r="V215" s="400"/>
      <c r="W215" s="400"/>
      <c r="X215" s="400"/>
      <c r="Y215" s="400"/>
      <c r="Z215" s="400"/>
      <c r="AA215" s="400"/>
      <c r="AB215" s="400"/>
      <c r="AC215" s="400"/>
      <c r="AD215" s="400"/>
      <c r="AE215" s="400"/>
      <c r="AF215" s="400"/>
      <c r="AG215" s="400"/>
      <c r="AH215" s="400"/>
      <c r="AI215" s="400"/>
      <c r="AJ215" s="400"/>
      <c r="AK215" s="400"/>
      <c r="AL215" s="400"/>
      <c r="AM215" s="400"/>
      <c r="AN215" s="400"/>
      <c r="AO215" s="400"/>
      <c r="AP215" s="400"/>
      <c r="AQ215" s="400"/>
      <c r="AR215" s="400"/>
      <c r="AS215" s="400"/>
      <c r="AT215" s="400"/>
      <c r="AU215" s="400"/>
      <c r="AV215" s="400"/>
      <c r="AW215" s="400"/>
      <c r="AX215" s="400"/>
      <c r="AY215" s="400"/>
      <c r="AZ215" s="400"/>
      <c r="BA215" s="400"/>
      <c r="BB215" s="400"/>
      <c r="BC215" s="400"/>
      <c r="BD215" s="400"/>
      <c r="BE215" s="400"/>
      <c r="BF215" s="400"/>
      <c r="BG215" s="400"/>
      <c r="BH215" s="400"/>
      <c r="BI215" s="400"/>
      <c r="BJ215" s="400"/>
      <c r="BK215" s="400"/>
      <c r="BL215" s="400"/>
      <c r="BM215" s="400"/>
      <c r="BN215" s="400"/>
      <c r="BO215" s="400"/>
      <c r="BP215" s="400"/>
      <c r="BQ215" s="400"/>
      <c r="BR215" s="400"/>
      <c r="BS215" s="400"/>
      <c r="BT215" s="400"/>
      <c r="BU215" s="400"/>
      <c r="BV215" s="400"/>
      <c r="BW215" s="400"/>
      <c r="BX215" s="400"/>
      <c r="BY215" s="400"/>
      <c r="BZ215" s="400"/>
      <c r="CA215" s="400"/>
      <c r="CB215" s="400"/>
      <c r="CC215" s="400"/>
      <c r="CD215" s="400"/>
      <c r="CE215" s="400"/>
      <c r="CF215" s="400"/>
      <c r="CG215" s="400"/>
      <c r="CH215" s="400"/>
      <c r="CI215" s="400"/>
      <c r="CJ215" s="400"/>
      <c r="CK215" s="400"/>
      <c r="CL215" s="400"/>
      <c r="CM215" s="400"/>
      <c r="CN215" s="400"/>
      <c r="CO215" s="400"/>
      <c r="CP215" s="400"/>
      <c r="CQ215" s="400"/>
      <c r="CR215" s="400"/>
      <c r="CS215" s="400"/>
      <c r="CT215" s="400"/>
      <c r="CU215" s="400"/>
      <c r="CV215" s="400"/>
      <c r="CW215" s="400"/>
      <c r="CX215" s="400"/>
      <c r="CY215" s="400"/>
      <c r="CZ215" s="400"/>
      <c r="DA215" s="400"/>
      <c r="DB215" s="400"/>
      <c r="DC215" s="400"/>
      <c r="DD215" s="400"/>
      <c r="DE215" s="400"/>
      <c r="DF215" s="400"/>
      <c r="DG215" s="400"/>
      <c r="DH215" s="400"/>
      <c r="DI215" s="400"/>
      <c r="DJ215" s="400"/>
      <c r="DK215" s="400"/>
      <c r="DL215" s="400"/>
      <c r="DM215" s="400"/>
      <c r="DN215" s="400"/>
      <c r="DO215" s="400"/>
      <c r="DP215" s="400"/>
      <c r="DQ215" s="400"/>
      <c r="DR215" s="400"/>
      <c r="DS215" s="400"/>
      <c r="DT215" s="400"/>
      <c r="DU215" s="400"/>
      <c r="DV215" s="400"/>
      <c r="DW215" s="400"/>
      <c r="DX215" s="400"/>
      <c r="DY215" s="400"/>
      <c r="DZ215" s="400"/>
      <c r="EA215" s="400"/>
      <c r="EB215" s="400"/>
      <c r="EC215" s="400"/>
      <c r="ED215" s="400"/>
      <c r="EE215" s="400"/>
      <c r="EF215" s="400"/>
      <c r="EG215" s="400"/>
      <c r="EH215" s="400"/>
      <c r="EI215" s="400"/>
      <c r="EJ215" s="400"/>
      <c r="EK215" s="400"/>
      <c r="EL215" s="400"/>
      <c r="EM215" s="400"/>
      <c r="EN215" s="400"/>
      <c r="EO215" s="400"/>
      <c r="EP215" s="400"/>
      <c r="EQ215" s="400"/>
      <c r="ER215" s="400"/>
      <c r="ES215" s="400"/>
      <c r="ET215" s="400"/>
      <c r="EU215" s="400"/>
      <c r="EV215" s="400"/>
      <c r="EW215" s="400"/>
      <c r="EX215" s="400"/>
      <c r="EY215" s="400"/>
      <c r="EZ215" s="400"/>
      <c r="FA215" s="400"/>
      <c r="FB215" s="400"/>
      <c r="FC215" s="400"/>
      <c r="FD215" s="400"/>
      <c r="FE215" s="400"/>
      <c r="FF215" s="400"/>
      <c r="FG215" s="400"/>
      <c r="FH215" s="400"/>
      <c r="FI215" s="400"/>
      <c r="FJ215" s="400"/>
      <c r="FK215" s="400"/>
      <c r="FL215" s="400"/>
      <c r="FM215" s="400"/>
      <c r="FN215" s="400"/>
      <c r="FO215" s="400"/>
      <c r="FP215" s="400"/>
      <c r="FQ215" s="400"/>
      <c r="FR215" s="400"/>
      <c r="FS215" s="400"/>
      <c r="FT215" s="400"/>
      <c r="FU215" s="400"/>
      <c r="FV215" s="400"/>
      <c r="FW215" s="400"/>
      <c r="FX215" s="400"/>
      <c r="FY215" s="400"/>
      <c r="FZ215" s="400"/>
      <c r="GA215" s="400"/>
      <c r="GB215" s="400"/>
      <c r="GC215" s="400"/>
      <c r="GD215" s="400"/>
      <c r="GE215" s="400"/>
      <c r="GF215" s="400"/>
      <c r="GG215" s="400"/>
      <c r="GH215" s="400"/>
      <c r="GI215" s="400"/>
      <c r="GJ215" s="400"/>
      <c r="GK215" s="400"/>
      <c r="GL215" s="400"/>
      <c r="GM215" s="400"/>
      <c r="GN215" s="400"/>
      <c r="GO215" s="400"/>
      <c r="GP215" s="400"/>
      <c r="GQ215" s="400"/>
      <c r="GR215" s="400"/>
      <c r="GS215" s="400"/>
      <c r="GT215" s="400"/>
      <c r="GU215" s="400"/>
      <c r="GV215" s="400"/>
      <c r="GW215" s="400"/>
      <c r="GX215" s="400"/>
      <c r="GY215" s="400"/>
      <c r="GZ215" s="400"/>
      <c r="HA215" s="400"/>
      <c r="HB215" s="400"/>
      <c r="HC215" s="400"/>
      <c r="HD215" s="400"/>
      <c r="HE215" s="400"/>
      <c r="HF215" s="400"/>
      <c r="HG215" s="400"/>
      <c r="HH215" s="400"/>
      <c r="HI215" s="400"/>
      <c r="HJ215" s="400"/>
      <c r="HK215" s="400"/>
      <c r="HL215" s="400"/>
      <c r="HM215" s="400"/>
      <c r="HN215" s="400"/>
      <c r="HO215" s="400"/>
      <c r="HP215" s="400"/>
      <c r="HQ215" s="400"/>
      <c r="HR215" s="400"/>
      <c r="HS215" s="400"/>
      <c r="HT215" s="400"/>
      <c r="HU215" s="400"/>
      <c r="HV215" s="400"/>
      <c r="HW215" s="400"/>
      <c r="HX215" s="400"/>
      <c r="HY215" s="400"/>
      <c r="HZ215" s="400"/>
      <c r="IA215" s="400"/>
      <c r="IB215" s="400"/>
      <c r="IC215" s="400"/>
      <c r="ID215" s="400"/>
      <c r="IE215" s="400"/>
      <c r="IF215" s="400"/>
      <c r="IG215" s="400"/>
      <c r="IH215" s="400"/>
      <c r="II215" s="400"/>
      <c r="IJ215" s="400"/>
      <c r="IK215" s="400"/>
      <c r="IL215" s="400"/>
      <c r="IM215" s="400"/>
      <c r="IN215" s="400"/>
      <c r="IO215" s="400"/>
      <c r="IP215" s="400"/>
      <c r="IQ215" s="400"/>
      <c r="IR215" s="400"/>
      <c r="IS215" s="400"/>
      <c r="IT215" s="400"/>
      <c r="IU215" s="400"/>
      <c r="IV215" s="400"/>
    </row>
    <row r="216" spans="1:256" s="675" customFormat="1" ht="15" x14ac:dyDescent="0.25">
      <c r="A216" s="398"/>
      <c r="B216" s="398"/>
      <c r="C216" s="398"/>
      <c r="D216" s="652" t="s">
        <v>3</v>
      </c>
      <c r="E216" s="652"/>
      <c r="F216" s="652"/>
      <c r="G216" s="652"/>
      <c r="H216" s="652"/>
      <c r="I216" s="652"/>
      <c r="J216" s="654"/>
      <c r="K216" s="654"/>
      <c r="L216" s="654">
        <f>L215</f>
        <v>349271.99</v>
      </c>
      <c r="M216" s="399"/>
      <c r="N216" s="400"/>
      <c r="O216" s="400"/>
      <c r="P216" s="400"/>
      <c r="Q216" s="400"/>
      <c r="R216" s="400"/>
      <c r="S216" s="400"/>
      <c r="T216" s="400"/>
      <c r="U216" s="400"/>
      <c r="V216" s="400"/>
      <c r="W216" s="400"/>
      <c r="X216" s="400"/>
      <c r="Y216" s="400"/>
      <c r="Z216" s="400"/>
      <c r="AA216" s="400"/>
      <c r="AB216" s="400"/>
      <c r="AC216" s="400"/>
      <c r="AD216" s="400"/>
      <c r="AE216" s="400"/>
      <c r="AF216" s="400"/>
      <c r="AG216" s="400"/>
      <c r="AH216" s="400"/>
      <c r="AI216" s="400"/>
      <c r="AJ216" s="400"/>
      <c r="AK216" s="400"/>
      <c r="AL216" s="400"/>
      <c r="AM216" s="400"/>
      <c r="AN216" s="400"/>
      <c r="AO216" s="400"/>
      <c r="AP216" s="400"/>
      <c r="AQ216" s="400"/>
      <c r="AR216" s="400"/>
      <c r="AS216" s="400"/>
      <c r="AT216" s="400"/>
      <c r="AU216" s="400"/>
      <c r="AV216" s="400"/>
      <c r="AW216" s="400"/>
      <c r="AX216" s="400"/>
      <c r="AY216" s="400"/>
      <c r="AZ216" s="400"/>
      <c r="BA216" s="400"/>
      <c r="BB216" s="400"/>
      <c r="BC216" s="400"/>
      <c r="BD216" s="400"/>
      <c r="BE216" s="400"/>
      <c r="BF216" s="400"/>
      <c r="BG216" s="400"/>
      <c r="BH216" s="400"/>
      <c r="BI216" s="400"/>
      <c r="BJ216" s="400"/>
      <c r="BK216" s="400"/>
      <c r="BL216" s="400"/>
      <c r="BM216" s="400"/>
      <c r="BN216" s="400"/>
      <c r="BO216" s="400"/>
      <c r="BP216" s="400"/>
      <c r="BQ216" s="400"/>
      <c r="BR216" s="400"/>
      <c r="BS216" s="400"/>
      <c r="BT216" s="400"/>
      <c r="BU216" s="400"/>
      <c r="BV216" s="400"/>
      <c r="BW216" s="400"/>
      <c r="BX216" s="400"/>
      <c r="BY216" s="400"/>
      <c r="BZ216" s="400"/>
      <c r="CA216" s="400"/>
      <c r="CB216" s="400"/>
      <c r="CC216" s="400"/>
      <c r="CD216" s="400"/>
      <c r="CE216" s="400"/>
      <c r="CF216" s="400"/>
      <c r="CG216" s="400"/>
      <c r="CH216" s="400"/>
      <c r="CI216" s="400"/>
      <c r="CJ216" s="400"/>
      <c r="CK216" s="400"/>
      <c r="CL216" s="400"/>
      <c r="CM216" s="400"/>
      <c r="CN216" s="400"/>
      <c r="CO216" s="400"/>
      <c r="CP216" s="400"/>
      <c r="CQ216" s="400"/>
      <c r="CR216" s="400"/>
      <c r="CS216" s="400"/>
      <c r="CT216" s="400"/>
      <c r="CU216" s="400"/>
      <c r="CV216" s="400"/>
      <c r="CW216" s="400"/>
      <c r="CX216" s="400"/>
      <c r="CY216" s="400"/>
      <c r="CZ216" s="400"/>
      <c r="DA216" s="400"/>
      <c r="DB216" s="400"/>
      <c r="DC216" s="400"/>
      <c r="DD216" s="400"/>
      <c r="DE216" s="400"/>
      <c r="DF216" s="400"/>
      <c r="DG216" s="400"/>
      <c r="DH216" s="400"/>
      <c r="DI216" s="400"/>
      <c r="DJ216" s="400"/>
      <c r="DK216" s="400"/>
      <c r="DL216" s="400"/>
      <c r="DM216" s="400"/>
      <c r="DN216" s="400"/>
      <c r="DO216" s="400"/>
      <c r="DP216" s="400"/>
      <c r="DQ216" s="400"/>
      <c r="DR216" s="400"/>
      <c r="DS216" s="400"/>
      <c r="DT216" s="400"/>
      <c r="DU216" s="400"/>
      <c r="DV216" s="400"/>
      <c r="DW216" s="400"/>
      <c r="DX216" s="400"/>
      <c r="DY216" s="400"/>
      <c r="DZ216" s="400"/>
      <c r="EA216" s="400"/>
      <c r="EB216" s="400"/>
      <c r="EC216" s="400"/>
      <c r="ED216" s="400"/>
      <c r="EE216" s="400"/>
      <c r="EF216" s="400"/>
      <c r="EG216" s="400"/>
      <c r="EH216" s="400"/>
      <c r="EI216" s="400"/>
      <c r="EJ216" s="400"/>
      <c r="EK216" s="400"/>
      <c r="EL216" s="400"/>
      <c r="EM216" s="400"/>
      <c r="EN216" s="400"/>
      <c r="EO216" s="400"/>
      <c r="EP216" s="400"/>
      <c r="EQ216" s="400"/>
      <c r="ER216" s="400"/>
      <c r="ES216" s="400"/>
      <c r="ET216" s="400"/>
      <c r="EU216" s="400"/>
      <c r="EV216" s="400"/>
      <c r="EW216" s="400"/>
      <c r="EX216" s="400"/>
      <c r="EY216" s="400"/>
      <c r="EZ216" s="400"/>
      <c r="FA216" s="400"/>
      <c r="FB216" s="400"/>
      <c r="FC216" s="400"/>
      <c r="FD216" s="400"/>
      <c r="FE216" s="400"/>
      <c r="FF216" s="400"/>
      <c r="FG216" s="400"/>
      <c r="FH216" s="400"/>
      <c r="FI216" s="400"/>
      <c r="FJ216" s="400"/>
      <c r="FK216" s="400"/>
      <c r="FL216" s="400"/>
      <c r="FM216" s="400"/>
      <c r="FN216" s="400"/>
      <c r="FO216" s="400"/>
      <c r="FP216" s="400"/>
      <c r="FQ216" s="400"/>
      <c r="FR216" s="400"/>
      <c r="FS216" s="400"/>
      <c r="FT216" s="400"/>
      <c r="FU216" s="400"/>
      <c r="FV216" s="400"/>
      <c r="FW216" s="400"/>
      <c r="FX216" s="400"/>
      <c r="FY216" s="400"/>
      <c r="FZ216" s="400"/>
      <c r="GA216" s="400"/>
      <c r="GB216" s="400"/>
      <c r="GC216" s="400"/>
      <c r="GD216" s="400"/>
      <c r="GE216" s="400"/>
      <c r="GF216" s="400"/>
      <c r="GG216" s="400"/>
      <c r="GH216" s="400"/>
      <c r="GI216" s="400"/>
      <c r="GJ216" s="400"/>
      <c r="GK216" s="400"/>
      <c r="GL216" s="400"/>
      <c r="GM216" s="400"/>
      <c r="GN216" s="400"/>
      <c r="GO216" s="400"/>
      <c r="GP216" s="400"/>
      <c r="GQ216" s="400"/>
      <c r="GR216" s="400"/>
      <c r="GS216" s="400"/>
      <c r="GT216" s="400"/>
      <c r="GU216" s="400"/>
      <c r="GV216" s="400"/>
      <c r="GW216" s="400"/>
      <c r="GX216" s="400"/>
      <c r="GY216" s="400"/>
      <c r="GZ216" s="400"/>
      <c r="HA216" s="400"/>
      <c r="HB216" s="400"/>
      <c r="HC216" s="400"/>
      <c r="HD216" s="400"/>
      <c r="HE216" s="400"/>
      <c r="HF216" s="400"/>
      <c r="HG216" s="400"/>
      <c r="HH216" s="400"/>
      <c r="HI216" s="400"/>
      <c r="HJ216" s="400"/>
      <c r="HK216" s="400"/>
      <c r="HL216" s="400"/>
      <c r="HM216" s="400"/>
      <c r="HN216" s="400"/>
      <c r="HO216" s="400"/>
      <c r="HP216" s="400"/>
      <c r="HQ216" s="400"/>
      <c r="HR216" s="400"/>
      <c r="HS216" s="400"/>
      <c r="HT216" s="400"/>
      <c r="HU216" s="400"/>
      <c r="HV216" s="400"/>
      <c r="HW216" s="400"/>
      <c r="HX216" s="400"/>
      <c r="HY216" s="400"/>
      <c r="HZ216" s="400"/>
      <c r="IA216" s="400"/>
      <c r="IB216" s="400"/>
      <c r="IC216" s="400"/>
      <c r="ID216" s="400"/>
      <c r="IE216" s="400"/>
      <c r="IF216" s="400"/>
      <c r="IG216" s="400"/>
      <c r="IH216" s="400"/>
      <c r="II216" s="400"/>
      <c r="IJ216" s="400"/>
      <c r="IK216" s="400"/>
      <c r="IL216" s="400"/>
      <c r="IM216" s="400"/>
      <c r="IN216" s="400"/>
      <c r="IO216" s="400"/>
      <c r="IP216" s="400"/>
      <c r="IQ216" s="400"/>
      <c r="IR216" s="400"/>
      <c r="IS216" s="400"/>
      <c r="IT216" s="400"/>
      <c r="IU216" s="400"/>
      <c r="IV216" s="400"/>
    </row>
    <row r="217" spans="1:256" s="675" customFormat="1" ht="15" x14ac:dyDescent="0.25">
      <c r="A217" s="398"/>
      <c r="B217" s="398"/>
      <c r="C217" s="398"/>
      <c r="D217" s="652" t="s">
        <v>269</v>
      </c>
      <c r="E217" s="652"/>
      <c r="F217" s="652"/>
      <c r="G217" s="652"/>
      <c r="H217" s="652"/>
      <c r="I217" s="652"/>
      <c r="J217" s="654"/>
      <c r="K217" s="654"/>
      <c r="L217" s="654">
        <f>L209*0.925</f>
        <v>115423.43</v>
      </c>
      <c r="M217" s="399"/>
      <c r="N217" s="400"/>
      <c r="O217" s="400"/>
      <c r="P217" s="400"/>
      <c r="Q217" s="400"/>
      <c r="R217" s="400"/>
      <c r="S217" s="400"/>
      <c r="T217" s="400"/>
      <c r="U217" s="400"/>
      <c r="V217" s="400"/>
      <c r="W217" s="400"/>
      <c r="X217" s="400"/>
      <c r="Y217" s="400"/>
      <c r="Z217" s="400"/>
      <c r="AA217" s="400"/>
      <c r="AB217" s="400"/>
      <c r="AC217" s="400"/>
      <c r="AD217" s="400"/>
      <c r="AE217" s="400"/>
      <c r="AF217" s="400"/>
      <c r="AG217" s="400"/>
      <c r="AH217" s="400"/>
      <c r="AI217" s="400"/>
      <c r="AJ217" s="400"/>
      <c r="AK217" s="400"/>
      <c r="AL217" s="400"/>
      <c r="AM217" s="400"/>
      <c r="AN217" s="400"/>
      <c r="AO217" s="400"/>
      <c r="AP217" s="400"/>
      <c r="AQ217" s="400"/>
      <c r="AR217" s="400"/>
      <c r="AS217" s="400"/>
      <c r="AT217" s="400"/>
      <c r="AU217" s="400"/>
      <c r="AV217" s="400"/>
      <c r="AW217" s="400"/>
      <c r="AX217" s="400"/>
      <c r="AY217" s="400"/>
      <c r="AZ217" s="400"/>
      <c r="BA217" s="400"/>
      <c r="BB217" s="400"/>
      <c r="BC217" s="400"/>
      <c r="BD217" s="400"/>
      <c r="BE217" s="400"/>
      <c r="BF217" s="400"/>
      <c r="BG217" s="400"/>
      <c r="BH217" s="400"/>
      <c r="BI217" s="400"/>
      <c r="BJ217" s="400"/>
      <c r="BK217" s="400"/>
      <c r="BL217" s="400"/>
      <c r="BM217" s="400"/>
      <c r="BN217" s="400"/>
      <c r="BO217" s="400"/>
      <c r="BP217" s="400"/>
      <c r="BQ217" s="400"/>
      <c r="BR217" s="400"/>
      <c r="BS217" s="400"/>
      <c r="BT217" s="400"/>
      <c r="BU217" s="400"/>
      <c r="BV217" s="400"/>
      <c r="BW217" s="400"/>
      <c r="BX217" s="400"/>
      <c r="BY217" s="400"/>
      <c r="BZ217" s="400"/>
      <c r="CA217" s="400"/>
      <c r="CB217" s="400"/>
      <c r="CC217" s="400"/>
      <c r="CD217" s="400"/>
      <c r="CE217" s="400"/>
      <c r="CF217" s="400"/>
      <c r="CG217" s="400"/>
      <c r="CH217" s="400"/>
      <c r="CI217" s="400"/>
      <c r="CJ217" s="400"/>
      <c r="CK217" s="400"/>
      <c r="CL217" s="400"/>
      <c r="CM217" s="400"/>
      <c r="CN217" s="400"/>
      <c r="CO217" s="400"/>
      <c r="CP217" s="400"/>
      <c r="CQ217" s="400"/>
      <c r="CR217" s="400"/>
      <c r="CS217" s="400"/>
      <c r="CT217" s="400"/>
      <c r="CU217" s="400"/>
      <c r="CV217" s="400"/>
      <c r="CW217" s="400"/>
      <c r="CX217" s="400"/>
      <c r="CY217" s="400"/>
      <c r="CZ217" s="400"/>
      <c r="DA217" s="400"/>
      <c r="DB217" s="400"/>
      <c r="DC217" s="400"/>
      <c r="DD217" s="400"/>
      <c r="DE217" s="400"/>
      <c r="DF217" s="400"/>
      <c r="DG217" s="400"/>
      <c r="DH217" s="400"/>
      <c r="DI217" s="400"/>
      <c r="DJ217" s="400"/>
      <c r="DK217" s="400"/>
      <c r="DL217" s="400"/>
      <c r="DM217" s="400"/>
      <c r="DN217" s="400"/>
      <c r="DO217" s="400"/>
      <c r="DP217" s="400"/>
      <c r="DQ217" s="400"/>
      <c r="DR217" s="400"/>
      <c r="DS217" s="400"/>
      <c r="DT217" s="400"/>
      <c r="DU217" s="400"/>
      <c r="DV217" s="400"/>
      <c r="DW217" s="400"/>
      <c r="DX217" s="400"/>
      <c r="DY217" s="400"/>
      <c r="DZ217" s="400"/>
      <c r="EA217" s="400"/>
      <c r="EB217" s="400"/>
      <c r="EC217" s="400"/>
      <c r="ED217" s="400"/>
      <c r="EE217" s="400"/>
      <c r="EF217" s="400"/>
      <c r="EG217" s="400"/>
      <c r="EH217" s="400"/>
      <c r="EI217" s="400"/>
      <c r="EJ217" s="400"/>
      <c r="EK217" s="400"/>
      <c r="EL217" s="400"/>
      <c r="EM217" s="400"/>
      <c r="EN217" s="400"/>
      <c r="EO217" s="400"/>
      <c r="EP217" s="400"/>
      <c r="EQ217" s="400"/>
      <c r="ER217" s="400"/>
      <c r="ES217" s="400"/>
      <c r="ET217" s="400"/>
      <c r="EU217" s="400"/>
      <c r="EV217" s="400"/>
      <c r="EW217" s="400"/>
      <c r="EX217" s="400"/>
      <c r="EY217" s="400"/>
      <c r="EZ217" s="400"/>
      <c r="FA217" s="400"/>
      <c r="FB217" s="400"/>
      <c r="FC217" s="400"/>
      <c r="FD217" s="400"/>
      <c r="FE217" s="400"/>
      <c r="FF217" s="400"/>
      <c r="FG217" s="400"/>
      <c r="FH217" s="400"/>
      <c r="FI217" s="400"/>
      <c r="FJ217" s="400"/>
      <c r="FK217" s="400"/>
      <c r="FL217" s="400"/>
      <c r="FM217" s="400"/>
      <c r="FN217" s="400"/>
      <c r="FO217" s="400"/>
      <c r="FP217" s="400"/>
      <c r="FQ217" s="400"/>
      <c r="FR217" s="400"/>
      <c r="FS217" s="400"/>
      <c r="FT217" s="400"/>
      <c r="FU217" s="400"/>
      <c r="FV217" s="400"/>
      <c r="FW217" s="400"/>
      <c r="FX217" s="400"/>
      <c r="FY217" s="400"/>
      <c r="FZ217" s="400"/>
      <c r="GA217" s="400"/>
      <c r="GB217" s="400"/>
      <c r="GC217" s="400"/>
      <c r="GD217" s="400"/>
      <c r="GE217" s="400"/>
      <c r="GF217" s="400"/>
      <c r="GG217" s="400"/>
      <c r="GH217" s="400"/>
      <c r="GI217" s="400"/>
      <c r="GJ217" s="400"/>
      <c r="GK217" s="400"/>
      <c r="GL217" s="400"/>
      <c r="GM217" s="400"/>
      <c r="GN217" s="400"/>
      <c r="GO217" s="400"/>
      <c r="GP217" s="400"/>
      <c r="GQ217" s="400"/>
      <c r="GR217" s="400"/>
      <c r="GS217" s="400"/>
      <c r="GT217" s="400"/>
      <c r="GU217" s="400"/>
      <c r="GV217" s="400"/>
      <c r="GW217" s="400"/>
      <c r="GX217" s="400"/>
      <c r="GY217" s="400"/>
      <c r="GZ217" s="400"/>
      <c r="HA217" s="400"/>
      <c r="HB217" s="400"/>
      <c r="HC217" s="400"/>
      <c r="HD217" s="400"/>
      <c r="HE217" s="400"/>
      <c r="HF217" s="400"/>
      <c r="HG217" s="400"/>
      <c r="HH217" s="400"/>
      <c r="HI217" s="400"/>
      <c r="HJ217" s="400"/>
      <c r="HK217" s="400"/>
      <c r="HL217" s="400"/>
      <c r="HM217" s="400"/>
      <c r="HN217" s="400"/>
      <c r="HO217" s="400"/>
      <c r="HP217" s="400"/>
      <c r="HQ217" s="400"/>
      <c r="HR217" s="400"/>
      <c r="HS217" s="400"/>
      <c r="HT217" s="400"/>
      <c r="HU217" s="400"/>
      <c r="HV217" s="400"/>
      <c r="HW217" s="400"/>
      <c r="HX217" s="400"/>
      <c r="HY217" s="400"/>
      <c r="HZ217" s="400"/>
      <c r="IA217" s="400"/>
      <c r="IB217" s="400"/>
      <c r="IC217" s="400"/>
      <c r="ID217" s="400"/>
      <c r="IE217" s="400"/>
      <c r="IF217" s="400"/>
      <c r="IG217" s="400"/>
      <c r="IH217" s="400"/>
      <c r="II217" s="400"/>
      <c r="IJ217" s="400"/>
      <c r="IK217" s="400"/>
      <c r="IL217" s="400"/>
      <c r="IM217" s="400"/>
      <c r="IN217" s="400"/>
      <c r="IO217" s="400"/>
      <c r="IP217" s="400"/>
      <c r="IQ217" s="400"/>
      <c r="IR217" s="400"/>
      <c r="IS217" s="400"/>
      <c r="IT217" s="400"/>
      <c r="IU217" s="400"/>
      <c r="IV217" s="400"/>
    </row>
    <row r="218" spans="1:256" s="675" customFormat="1" ht="15" x14ac:dyDescent="0.25">
      <c r="A218" s="398"/>
      <c r="B218" s="398"/>
      <c r="C218" s="398"/>
      <c r="D218" s="652" t="s">
        <v>597</v>
      </c>
      <c r="E218" s="652"/>
      <c r="F218" s="652"/>
      <c r="G218" s="652"/>
      <c r="H218" s="652"/>
      <c r="I218" s="652"/>
      <c r="J218" s="654"/>
      <c r="K218" s="654"/>
      <c r="L218" s="654">
        <f>L210*0.925</f>
        <v>72682.52</v>
      </c>
      <c r="M218" s="399"/>
    </row>
    <row r="219" spans="1:256" s="675" customFormat="1" ht="15" x14ac:dyDescent="0.25">
      <c r="A219" s="398"/>
      <c r="B219" s="398"/>
      <c r="C219" s="398"/>
      <c r="D219" s="655" t="s">
        <v>323</v>
      </c>
      <c r="E219" s="652"/>
      <c r="F219" s="652"/>
      <c r="G219" s="652"/>
      <c r="H219" s="652"/>
      <c r="I219" s="652"/>
      <c r="J219" s="656"/>
      <c r="K219" s="654"/>
      <c r="L219" s="656">
        <v>0</v>
      </c>
      <c r="M219" s="399"/>
    </row>
    <row r="220" spans="1:256" s="675" customFormat="1" ht="15" x14ac:dyDescent="0.25">
      <c r="A220" s="398"/>
      <c r="B220" s="398"/>
      <c r="C220" s="398"/>
      <c r="D220" s="652" t="s">
        <v>598</v>
      </c>
      <c r="E220" s="652"/>
      <c r="F220" s="652"/>
      <c r="G220" s="652"/>
      <c r="H220" s="652"/>
      <c r="I220" s="652"/>
      <c r="J220" s="654"/>
      <c r="K220" s="654"/>
      <c r="L220" s="654">
        <f>L217*0.15</f>
        <v>17313.509999999998</v>
      </c>
      <c r="M220" s="399"/>
    </row>
    <row r="221" spans="1:256" s="675" customFormat="1" ht="14.25" x14ac:dyDescent="0.2">
      <c r="A221" s="398"/>
      <c r="B221" s="398"/>
      <c r="C221" s="398"/>
      <c r="D221" s="651" t="s">
        <v>599</v>
      </c>
      <c r="E221" s="657"/>
      <c r="F221" s="657"/>
      <c r="G221" s="657"/>
      <c r="H221" s="657"/>
      <c r="I221" s="657"/>
      <c r="J221" s="653"/>
      <c r="K221" s="657"/>
      <c r="L221" s="653">
        <f>L220+L215</f>
        <v>366585.5</v>
      </c>
      <c r="M221" s="399"/>
    </row>
    <row r="222" spans="1:256" s="675" customFormat="1" ht="15" x14ac:dyDescent="0.25">
      <c r="A222" s="398"/>
      <c r="B222" s="398"/>
      <c r="C222" s="398"/>
      <c r="D222" s="658"/>
      <c r="E222" s="658"/>
      <c r="F222" s="658"/>
      <c r="G222" s="658"/>
      <c r="H222" s="658"/>
      <c r="I222" s="658"/>
      <c r="J222" s="658"/>
      <c r="K222" s="658"/>
      <c r="L222" s="658"/>
      <c r="M222" s="399"/>
    </row>
    <row r="223" spans="1:256" s="675" customFormat="1" ht="15" x14ac:dyDescent="0.25">
      <c r="A223" s="398"/>
      <c r="B223" s="398"/>
      <c r="C223" s="398"/>
      <c r="D223" s="658"/>
      <c r="E223" s="658"/>
      <c r="F223" s="658"/>
      <c r="G223" s="658"/>
      <c r="H223" s="658"/>
      <c r="I223" s="658"/>
      <c r="J223" s="658"/>
      <c r="K223" s="658"/>
      <c r="L223" s="658"/>
      <c r="M223" s="399"/>
    </row>
    <row r="224" spans="1:256" s="675" customFormat="1" ht="14.25" x14ac:dyDescent="0.2">
      <c r="A224" s="398"/>
      <c r="B224" s="398"/>
      <c r="C224" s="398"/>
      <c r="D224" s="659"/>
      <c r="E224" s="660"/>
      <c r="F224" s="660"/>
      <c r="G224" s="660"/>
      <c r="H224" s="660"/>
      <c r="I224" s="661"/>
      <c r="J224" s="662"/>
      <c r="K224" s="663"/>
      <c r="L224" s="662"/>
      <c r="M224" s="399"/>
    </row>
    <row r="225" spans="1:13" s="675" customFormat="1" ht="15" x14ac:dyDescent="0.25">
      <c r="A225" s="398"/>
      <c r="B225" s="398"/>
      <c r="C225" s="398"/>
      <c r="D225" s="664"/>
      <c r="E225" s="665"/>
      <c r="F225" s="665"/>
      <c r="G225" s="665"/>
      <c r="H225" s="665"/>
      <c r="I225" s="666"/>
      <c r="J225" s="667"/>
      <c r="K225" s="668"/>
      <c r="L225" s="667"/>
      <c r="M225" s="399"/>
    </row>
    <row r="226" spans="1:13" s="675" customFormat="1" ht="15" x14ac:dyDescent="0.25">
      <c r="A226" s="398"/>
      <c r="B226" s="398"/>
      <c r="C226" s="398"/>
      <c r="D226" s="664"/>
      <c r="E226" s="665"/>
      <c r="F226" s="665"/>
      <c r="G226" s="665"/>
      <c r="H226" s="665"/>
      <c r="I226" s="666"/>
      <c r="J226" s="667"/>
      <c r="K226" s="669"/>
      <c r="L226" s="667"/>
      <c r="M226" s="399"/>
    </row>
    <row r="227" spans="1:13" s="675" customFormat="1" ht="15" x14ac:dyDescent="0.25">
      <c r="A227" s="398"/>
      <c r="B227" s="398"/>
      <c r="C227" s="398"/>
      <c r="D227" s="664"/>
      <c r="E227" s="665"/>
      <c r="F227" s="665"/>
      <c r="G227" s="665"/>
      <c r="H227" s="665"/>
      <c r="I227" s="666"/>
      <c r="J227" s="667"/>
      <c r="K227" s="667"/>
      <c r="L227" s="667"/>
      <c r="M227" s="399"/>
    </row>
    <row r="228" spans="1:13" s="675" customFormat="1" ht="15" x14ac:dyDescent="0.25">
      <c r="A228" s="398"/>
      <c r="B228" s="398"/>
      <c r="C228" s="398"/>
      <c r="D228" s="664"/>
      <c r="E228" s="665"/>
      <c r="F228" s="665"/>
      <c r="G228" s="665"/>
      <c r="H228" s="665"/>
      <c r="I228" s="666"/>
      <c r="J228" s="670"/>
      <c r="K228" s="670"/>
      <c r="L228" s="670"/>
      <c r="M228" s="399"/>
    </row>
  </sheetData>
  <mergeCells count="108">
    <mergeCell ref="A9:L9"/>
    <mergeCell ref="A10:B10"/>
    <mergeCell ref="C10:C15"/>
    <mergeCell ref="D10:D15"/>
    <mergeCell ref="E10:E15"/>
    <mergeCell ref="F10:F15"/>
    <mergeCell ref="G10:G15"/>
    <mergeCell ref="H10:H15"/>
    <mergeCell ref="I27:J27"/>
    <mergeCell ref="K27:L27"/>
    <mergeCell ref="I36:J36"/>
    <mergeCell ref="K36:L36"/>
    <mergeCell ref="I46:J46"/>
    <mergeCell ref="K46:L46"/>
    <mergeCell ref="A18:L18"/>
    <mergeCell ref="A11:A15"/>
    <mergeCell ref="B11:B15"/>
    <mergeCell ref="I10:I15"/>
    <mergeCell ref="J10:J15"/>
    <mergeCell ref="K10:K15"/>
    <mergeCell ref="L10:L15"/>
    <mergeCell ref="I57:J57"/>
    <mergeCell ref="K57:L57"/>
    <mergeCell ref="A59:H59"/>
    <mergeCell ref="I59:J59"/>
    <mergeCell ref="K59:L59"/>
    <mergeCell ref="I51:J51"/>
    <mergeCell ref="K51:L51"/>
    <mergeCell ref="I53:J53"/>
    <mergeCell ref="K53:L53"/>
    <mergeCell ref="I55:J55"/>
    <mergeCell ref="K55:L55"/>
    <mergeCell ref="I96:J96"/>
    <mergeCell ref="K96:L96"/>
    <mergeCell ref="I98:J98"/>
    <mergeCell ref="K98:L98"/>
    <mergeCell ref="I100:J100"/>
    <mergeCell ref="K100:L100"/>
    <mergeCell ref="A63:L63"/>
    <mergeCell ref="I72:J72"/>
    <mergeCell ref="K72:L72"/>
    <mergeCell ref="I81:J81"/>
    <mergeCell ref="K81:L81"/>
    <mergeCell ref="I91:J91"/>
    <mergeCell ref="K91:L91"/>
    <mergeCell ref="I117:J117"/>
    <mergeCell ref="K117:L117"/>
    <mergeCell ref="I126:J126"/>
    <mergeCell ref="K126:L126"/>
    <mergeCell ref="A128:H128"/>
    <mergeCell ref="I128:J128"/>
    <mergeCell ref="K128:L128"/>
    <mergeCell ref="I102:J102"/>
    <mergeCell ref="K102:L102"/>
    <mergeCell ref="A104:H104"/>
    <mergeCell ref="I104:J104"/>
    <mergeCell ref="K104:L104"/>
    <mergeCell ref="A108:L108"/>
    <mergeCell ref="I151:J151"/>
    <mergeCell ref="K151:L151"/>
    <mergeCell ref="I161:J161"/>
    <mergeCell ref="K161:L161"/>
    <mergeCell ref="I166:J166"/>
    <mergeCell ref="K166:L166"/>
    <mergeCell ref="A132:L132"/>
    <mergeCell ref="I142:J142"/>
    <mergeCell ref="K142:L142"/>
    <mergeCell ref="I147:J147"/>
    <mergeCell ref="K147:L147"/>
    <mergeCell ref="I149:J149"/>
    <mergeCell ref="K149:L149"/>
    <mergeCell ref="K195:L195"/>
    <mergeCell ref="I182:J182"/>
    <mergeCell ref="K182:L182"/>
    <mergeCell ref="I187:J187"/>
    <mergeCell ref="K187:L187"/>
    <mergeCell ref="I189:J189"/>
    <mergeCell ref="K189:L189"/>
    <mergeCell ref="I168:J168"/>
    <mergeCell ref="K168:L168"/>
    <mergeCell ref="I170:J170"/>
    <mergeCell ref="K170:L170"/>
    <mergeCell ref="I172:J172"/>
    <mergeCell ref="K172:L172"/>
    <mergeCell ref="K214:L214"/>
    <mergeCell ref="D211:H211"/>
    <mergeCell ref="D212:H212"/>
    <mergeCell ref="D213:H213"/>
    <mergeCell ref="D214:H214"/>
    <mergeCell ref="I214:J214"/>
    <mergeCell ref="A1:L1"/>
    <mergeCell ref="A2:L2"/>
    <mergeCell ref="I204:J204"/>
    <mergeCell ref="K204:L204"/>
    <mergeCell ref="C8:G8"/>
    <mergeCell ref="I205:J205"/>
    <mergeCell ref="K205:L205"/>
    <mergeCell ref="A200:H200"/>
    <mergeCell ref="I200:J200"/>
    <mergeCell ref="K200:L200"/>
    <mergeCell ref="I203:J203"/>
    <mergeCell ref="K203:L203"/>
    <mergeCell ref="I191:J191"/>
    <mergeCell ref="K191:L191"/>
    <mergeCell ref="I193:J193"/>
    <mergeCell ref="K193:L193"/>
    <mergeCell ref="A195:H195"/>
    <mergeCell ref="I195:J195"/>
  </mergeCells>
  <pageMargins left="0.78740157480314965" right="0" top="0.39370078740157483" bottom="0.39370078740157483" header="0.31496062992125984" footer="0.31496062992125984"/>
  <pageSetup paperSize="9" scale="63" firstPageNumber="32" fitToHeight="5" orientation="portrait" blackAndWhite="1" useFirstPageNumber="1" r:id="rId1"/>
  <headerFooter>
    <oddFooter>&amp;R&amp;P</oddFooter>
  </headerFooter>
  <rowBreaks count="1" manualBreakCount="1">
    <brk id="140" max="11" man="1"/>
  </rowBreak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IV229"/>
  <sheetViews>
    <sheetView view="pageBreakPreview" topLeftCell="A13" zoomScale="60" zoomScaleNormal="55" workbookViewId="0">
      <selection activeCell="F178" sqref="F178"/>
    </sheetView>
  </sheetViews>
  <sheetFormatPr defaultRowHeight="11.25" x14ac:dyDescent="0.2"/>
  <cols>
    <col min="1" max="2" width="6.6640625" style="718" customWidth="1"/>
    <col min="3" max="3" width="13.6640625" style="718" customWidth="1"/>
    <col min="4" max="4" width="47.5" style="718" customWidth="1"/>
    <col min="5" max="5" width="13.6640625" style="718" customWidth="1"/>
    <col min="6" max="6" width="10.1640625" style="718" bestFit="1" customWidth="1"/>
    <col min="7" max="7" width="14.6640625" style="718" customWidth="1"/>
    <col min="8" max="8" width="19.6640625" style="718" bestFit="1" customWidth="1"/>
    <col min="9" max="9" width="12.6640625" style="718" bestFit="1" customWidth="1"/>
    <col min="10" max="10" width="14.6640625" style="718" customWidth="1"/>
    <col min="11" max="11" width="10.6640625" style="718" bestFit="1" customWidth="1"/>
    <col min="12" max="12" width="17.33203125" style="718" customWidth="1"/>
    <col min="13" max="13" width="9.33203125" style="718"/>
    <col min="14" max="36" width="0" style="718" hidden="1" customWidth="1"/>
    <col min="37" max="37" width="157.1640625" style="718" hidden="1" customWidth="1"/>
    <col min="38" max="38" width="117.83203125" style="718" hidden="1" customWidth="1"/>
    <col min="39" max="42" width="0" style="718" hidden="1" customWidth="1"/>
    <col min="43" max="16384" width="9.33203125" style="718"/>
  </cols>
  <sheetData>
    <row r="1" spans="1:37" ht="18.75" x14ac:dyDescent="0.3">
      <c r="A1" s="1052" t="s">
        <v>704</v>
      </c>
      <c r="B1" s="1052"/>
      <c r="C1" s="1052"/>
      <c r="D1" s="1052"/>
      <c r="E1" s="1052"/>
      <c r="F1" s="1052"/>
      <c r="G1" s="1052"/>
      <c r="H1" s="1052"/>
      <c r="I1" s="1052"/>
      <c r="J1" s="1052"/>
      <c r="K1" s="1052"/>
      <c r="L1" s="1052"/>
    </row>
    <row r="2" spans="1:37" ht="15.75" x14ac:dyDescent="0.2">
      <c r="A2" s="1087" t="s">
        <v>338</v>
      </c>
      <c r="B2" s="1087"/>
      <c r="C2" s="1087"/>
      <c r="D2" s="1087"/>
      <c r="E2" s="1087"/>
      <c r="F2" s="1087"/>
      <c r="G2" s="1087"/>
      <c r="H2" s="1087"/>
      <c r="I2" s="1087"/>
      <c r="J2" s="1087"/>
      <c r="K2" s="1087"/>
      <c r="L2" s="1087"/>
    </row>
    <row r="3" spans="1:37" ht="15" x14ac:dyDescent="0.25">
      <c r="A3" s="727"/>
      <c r="B3" s="727"/>
      <c r="C3" s="727"/>
      <c r="D3" s="727"/>
      <c r="E3" s="727"/>
      <c r="F3" s="727"/>
      <c r="G3" s="727"/>
      <c r="H3" s="727"/>
      <c r="I3" s="727"/>
      <c r="J3" s="727"/>
      <c r="K3" s="727"/>
      <c r="L3" s="727"/>
    </row>
    <row r="4" spans="1:37" ht="15" x14ac:dyDescent="0.25">
      <c r="A4" s="727"/>
      <c r="B4" s="727"/>
      <c r="C4" s="731" t="s">
        <v>453</v>
      </c>
      <c r="D4" s="727"/>
      <c r="E4" s="727"/>
      <c r="F4" s="727"/>
      <c r="G4" s="727"/>
      <c r="H4" s="727"/>
      <c r="I4" s="727"/>
      <c r="J4" s="727"/>
      <c r="K4" s="727"/>
      <c r="L4" s="727"/>
    </row>
    <row r="5" spans="1:37" ht="15" x14ac:dyDescent="0.25">
      <c r="A5" s="727"/>
      <c r="B5" s="727"/>
      <c r="C5" s="731" t="s">
        <v>454</v>
      </c>
      <c r="D5" s="727"/>
      <c r="E5" s="727"/>
      <c r="F5" s="727"/>
      <c r="G5" s="727"/>
      <c r="H5" s="727"/>
      <c r="I5" s="727"/>
      <c r="J5" s="727"/>
      <c r="K5" s="727"/>
      <c r="L5" s="727"/>
    </row>
    <row r="6" spans="1:37" ht="65.25" customHeight="1" x14ac:dyDescent="0.25">
      <c r="A6" s="727"/>
      <c r="B6" s="727"/>
      <c r="C6" s="1068" t="s">
        <v>455</v>
      </c>
      <c r="D6" s="1068"/>
      <c r="E6" s="1068"/>
      <c r="F6" s="727"/>
      <c r="G6" s="727"/>
      <c r="H6" s="727"/>
      <c r="I6" s="727"/>
      <c r="J6" s="727"/>
      <c r="K6" s="727"/>
      <c r="L6" s="727"/>
    </row>
    <row r="7" spans="1:37" ht="15" x14ac:dyDescent="0.25">
      <c r="A7" s="727"/>
      <c r="B7" s="727"/>
      <c r="C7" s="727"/>
      <c r="D7" s="727"/>
      <c r="E7" s="727"/>
      <c r="F7" s="727"/>
      <c r="G7" s="727"/>
      <c r="H7" s="727"/>
      <c r="I7" s="727"/>
      <c r="J7" s="727"/>
      <c r="K7" s="727"/>
      <c r="L7" s="727"/>
    </row>
    <row r="8" spans="1:37" ht="30" x14ac:dyDescent="0.25">
      <c r="A8" s="1061" t="s">
        <v>526</v>
      </c>
      <c r="B8" s="1061"/>
      <c r="C8" s="1061"/>
      <c r="D8" s="1061"/>
      <c r="E8" s="1061"/>
      <c r="F8" s="1061"/>
      <c r="G8" s="1061"/>
      <c r="H8" s="1061"/>
      <c r="I8" s="1061"/>
      <c r="J8" s="1061"/>
      <c r="K8" s="1061"/>
      <c r="L8" s="1061"/>
      <c r="AK8" s="688" t="s">
        <v>526</v>
      </c>
    </row>
    <row r="9" spans="1:37" ht="15" x14ac:dyDescent="0.2">
      <c r="A9" s="1065" t="s">
        <v>67</v>
      </c>
      <c r="B9" s="1065"/>
      <c r="C9" s="1065" t="s">
        <v>68</v>
      </c>
      <c r="D9" s="1065" t="s">
        <v>69</v>
      </c>
      <c r="E9" s="1065" t="s">
        <v>70</v>
      </c>
      <c r="F9" s="1065" t="s">
        <v>457</v>
      </c>
      <c r="G9" s="1065" t="s">
        <v>458</v>
      </c>
      <c r="H9" s="1062" t="s">
        <v>459</v>
      </c>
      <c r="I9" s="1062" t="s">
        <v>460</v>
      </c>
      <c r="J9" s="1065" t="s">
        <v>461</v>
      </c>
      <c r="K9" s="1065" t="s">
        <v>462</v>
      </c>
      <c r="L9" s="1065" t="s">
        <v>463</v>
      </c>
    </row>
    <row r="10" spans="1:37" x14ac:dyDescent="0.2">
      <c r="A10" s="1062" t="s">
        <v>78</v>
      </c>
      <c r="B10" s="1062" t="s">
        <v>79</v>
      </c>
      <c r="C10" s="1065"/>
      <c r="D10" s="1065"/>
      <c r="E10" s="1065"/>
      <c r="F10" s="1065"/>
      <c r="G10" s="1065"/>
      <c r="H10" s="1063"/>
      <c r="I10" s="1063"/>
      <c r="J10" s="1065"/>
      <c r="K10" s="1065"/>
      <c r="L10" s="1065"/>
    </row>
    <row r="11" spans="1:37" x14ac:dyDescent="0.2">
      <c r="A11" s="1063"/>
      <c r="B11" s="1063"/>
      <c r="C11" s="1065"/>
      <c r="D11" s="1065"/>
      <c r="E11" s="1065"/>
      <c r="F11" s="1065"/>
      <c r="G11" s="1065"/>
      <c r="H11" s="1063"/>
      <c r="I11" s="1063"/>
      <c r="J11" s="1065"/>
      <c r="K11" s="1065"/>
      <c r="L11" s="1065"/>
    </row>
    <row r="12" spans="1:37" x14ac:dyDescent="0.2">
      <c r="A12" s="1063"/>
      <c r="B12" s="1063"/>
      <c r="C12" s="1065"/>
      <c r="D12" s="1065"/>
      <c r="E12" s="1065"/>
      <c r="F12" s="1065"/>
      <c r="G12" s="1065"/>
      <c r="H12" s="1063"/>
      <c r="I12" s="1063"/>
      <c r="J12" s="1065"/>
      <c r="K12" s="1065"/>
      <c r="L12" s="1065"/>
    </row>
    <row r="13" spans="1:37" x14ac:dyDescent="0.2">
      <c r="A13" s="1063"/>
      <c r="B13" s="1063"/>
      <c r="C13" s="1065"/>
      <c r="D13" s="1065"/>
      <c r="E13" s="1065"/>
      <c r="F13" s="1065"/>
      <c r="G13" s="1065"/>
      <c r="H13" s="1063"/>
      <c r="I13" s="1063"/>
      <c r="J13" s="1065"/>
      <c r="K13" s="1065"/>
      <c r="L13" s="1065"/>
    </row>
    <row r="14" spans="1:37" x14ac:dyDescent="0.2">
      <c r="A14" s="1064"/>
      <c r="B14" s="1064"/>
      <c r="C14" s="1065"/>
      <c r="D14" s="1065"/>
      <c r="E14" s="1065"/>
      <c r="F14" s="1065"/>
      <c r="G14" s="1065"/>
      <c r="H14" s="1064"/>
      <c r="I14" s="1064"/>
      <c r="J14" s="1065"/>
      <c r="K14" s="1065"/>
      <c r="L14" s="1065"/>
    </row>
    <row r="15" spans="1:37" ht="15" x14ac:dyDescent="0.2">
      <c r="A15" s="689">
        <v>1</v>
      </c>
      <c r="B15" s="689">
        <v>2</v>
      </c>
      <c r="C15" s="689">
        <v>3</v>
      </c>
      <c r="D15" s="689">
        <v>4</v>
      </c>
      <c r="E15" s="689">
        <v>5</v>
      </c>
      <c r="F15" s="689">
        <v>6</v>
      </c>
      <c r="G15" s="689">
        <v>7</v>
      </c>
      <c r="H15" s="689">
        <v>8</v>
      </c>
      <c r="I15" s="689">
        <v>9</v>
      </c>
      <c r="J15" s="689">
        <v>10</v>
      </c>
      <c r="K15" s="689">
        <v>11</v>
      </c>
      <c r="L15" s="689">
        <v>12</v>
      </c>
    </row>
    <row r="17" spans="1:27" ht="16.5" x14ac:dyDescent="0.25">
      <c r="A17" s="1066" t="str">
        <f>CONCATENATE("Подраздел: ",IF([101]Source!G71&lt;&gt;"Новый подраздел", [101]Source!G71, ""))</f>
        <v>Подраздел: П2-10</v>
      </c>
      <c r="B17" s="1066"/>
      <c r="C17" s="1066"/>
      <c r="D17" s="1066"/>
      <c r="E17" s="1066"/>
      <c r="F17" s="1066"/>
      <c r="G17" s="1066"/>
      <c r="H17" s="1066"/>
      <c r="I17" s="1066"/>
      <c r="J17" s="1066"/>
      <c r="K17" s="1066"/>
      <c r="L17" s="1066"/>
    </row>
    <row r="18" spans="1:27" ht="45" x14ac:dyDescent="0.25">
      <c r="A18" s="691">
        <v>1</v>
      </c>
      <c r="B18" s="691" t="str">
        <f>[101]Source!E80</f>
        <v>5</v>
      </c>
      <c r="C18" s="692" t="str">
        <f>[101]Source!F80</f>
        <v>3.20-24-1</v>
      </c>
      <c r="D18" s="692" t="s">
        <v>570</v>
      </c>
      <c r="E18" s="693" t="str">
        <f>[101]Source!H80</f>
        <v>1  ШТ.</v>
      </c>
      <c r="F18" s="694">
        <f>[101]Source!I80</f>
        <v>1</v>
      </c>
      <c r="G18" s="695"/>
      <c r="H18" s="696"/>
      <c r="I18" s="694"/>
      <c r="J18" s="697"/>
      <c r="K18" s="694"/>
      <c r="L18" s="697"/>
      <c r="Q18" s="718">
        <f>ROUND(([101]Source!DN80/100)*ROUND((ROUND(([101]Source!AF80*[101]Source!AV80*[101]Source!I80),2)),2), 2)</f>
        <v>27.84</v>
      </c>
      <c r="R18" s="718">
        <f>[101]Source!X80</f>
        <v>539.6</v>
      </c>
      <c r="S18" s="718">
        <f>ROUND(([101]Source!DO80/100)*ROUND((ROUND(([101]Source!AF80*[101]Source!AV80*[101]Source!I80),2)),2), 2)</f>
        <v>20.93</v>
      </c>
      <c r="T18" s="718">
        <f>[101]Source!Y80</f>
        <v>242.82</v>
      </c>
      <c r="U18" s="718">
        <f>ROUND((175/100)*ROUND((ROUND(([101]Source!AE80*[101]Source!AV80*[101]Source!I80),2)),2), 2)</f>
        <v>1.0900000000000001</v>
      </c>
      <c r="V18" s="718">
        <f>ROUND((157/100)*ROUND(ROUND((ROUND(([101]Source!AE80*[101]Source!AV80*[101]Source!I80),2)*[101]Source!BS80),2), 2), 2)</f>
        <v>23.58</v>
      </c>
    </row>
    <row r="19" spans="1:27" ht="15" x14ac:dyDescent="0.25">
      <c r="A19" s="691"/>
      <c r="B19" s="691"/>
      <c r="C19" s="692"/>
      <c r="D19" s="692" t="s">
        <v>84</v>
      </c>
      <c r="E19" s="693"/>
      <c r="F19" s="694"/>
      <c r="G19" s="695">
        <f>[101]Source!AO80</f>
        <v>12.5</v>
      </c>
      <c r="H19" s="696" t="str">
        <f>[101]Source!DG80</f>
        <v>)*1,67</v>
      </c>
      <c r="I19" s="694">
        <f>[101]Source!AV80</f>
        <v>1.0669999999999999</v>
      </c>
      <c r="J19" s="697">
        <f>ROUND((ROUND(([101]Source!AF80*[101]Source!AV80*[101]Source!I80),2)),2)</f>
        <v>22.27</v>
      </c>
      <c r="K19" s="694">
        <f>IF([101]Source!BA80&lt;&gt; 0, [101]Source!BA80, 1)</f>
        <v>24.23</v>
      </c>
      <c r="L19" s="697">
        <f>[101]Source!S80</f>
        <v>539.6</v>
      </c>
      <c r="W19" s="718">
        <f>J19</f>
        <v>22.27</v>
      </c>
    </row>
    <row r="20" spans="1:27" ht="15" x14ac:dyDescent="0.25">
      <c r="A20" s="691"/>
      <c r="B20" s="691"/>
      <c r="C20" s="692"/>
      <c r="D20" s="692" t="s">
        <v>85</v>
      </c>
      <c r="E20" s="693"/>
      <c r="F20" s="694"/>
      <c r="G20" s="695">
        <f>[101]Source!AM80</f>
        <v>1.49</v>
      </c>
      <c r="H20" s="696" t="str">
        <f>[101]Source!DE80</f>
        <v/>
      </c>
      <c r="I20" s="694">
        <f>[101]Source!AV80</f>
        <v>1.0669999999999999</v>
      </c>
      <c r="J20" s="697">
        <f>(ROUND((ROUND((([101]Source!ET80)*[101]Source!AV80*[101]Source!I80),2)),2)+ROUND((ROUND((([101]Source!AE80-([101]Source!EU80))*[101]Source!AV80*[101]Source!I80),2)),2))-J30</f>
        <v>1.59</v>
      </c>
      <c r="K20" s="694">
        <f>IF([101]Source!BB80&lt;&gt; 0, [101]Source!BB80, 1)</f>
        <v>9.9499999999999993</v>
      </c>
      <c r="L20" s="697">
        <f>[101]Source!Q80-L30</f>
        <v>15.82</v>
      </c>
    </row>
    <row r="21" spans="1:27" ht="15" x14ac:dyDescent="0.25">
      <c r="A21" s="691"/>
      <c r="B21" s="691"/>
      <c r="C21" s="692"/>
      <c r="D21" s="692" t="s">
        <v>86</v>
      </c>
      <c r="E21" s="693"/>
      <c r="F21" s="694"/>
      <c r="G21" s="695">
        <f>[101]Source!AN80</f>
        <v>0.35</v>
      </c>
      <c r="H21" s="696" t="str">
        <f>[101]Source!DE80</f>
        <v/>
      </c>
      <c r="I21" s="694">
        <f>[101]Source!AV80</f>
        <v>1.0669999999999999</v>
      </c>
      <c r="J21" s="700">
        <f>ROUND((ROUND(([101]Source!AE80*[101]Source!AV80*[101]Source!I80),2)),2)-J31</f>
        <v>0.37</v>
      </c>
      <c r="K21" s="694">
        <f>IF([101]Source!BS80&lt;&gt; 0, [101]Source!BS80, 1)</f>
        <v>24.23</v>
      </c>
      <c r="L21" s="700">
        <f>[101]Source!R80-L31</f>
        <v>8.9600000000000009</v>
      </c>
      <c r="W21" s="718">
        <f>J21</f>
        <v>0.37</v>
      </c>
    </row>
    <row r="22" spans="1:27" ht="15" x14ac:dyDescent="0.25">
      <c r="A22" s="691"/>
      <c r="B22" s="691"/>
      <c r="C22" s="692"/>
      <c r="D22" s="692" t="s">
        <v>87</v>
      </c>
      <c r="E22" s="693"/>
      <c r="F22" s="694"/>
      <c r="G22" s="695">
        <f>[101]Source!AL80</f>
        <v>6.23</v>
      </c>
      <c r="H22" s="696" t="str">
        <f>[101]Source!DD80</f>
        <v/>
      </c>
      <c r="I22" s="694">
        <f>[101]Source!AW80</f>
        <v>1</v>
      </c>
      <c r="J22" s="697">
        <f>ROUND((ROUND(([101]Source!AC80*[101]Source!AW80*[101]Source!I80),2)),2)</f>
        <v>6.23</v>
      </c>
      <c r="K22" s="694">
        <f>IF([101]Source!BC80&lt;&gt; 0, [101]Source!BC80, 1)</f>
        <v>5.58</v>
      </c>
      <c r="L22" s="697">
        <f>[101]Source!P80</f>
        <v>34.76</v>
      </c>
    </row>
    <row r="23" spans="1:27" ht="90" x14ac:dyDescent="0.25">
      <c r="A23" s="691">
        <v>2</v>
      </c>
      <c r="B23" s="691" t="str">
        <f>[101]Source!E82</f>
        <v>5,1</v>
      </c>
      <c r="C23" s="692" t="str">
        <f>[101]Source!F82</f>
        <v>1.19-11-13</v>
      </c>
      <c r="D23" s="692" t="s">
        <v>571</v>
      </c>
      <c r="E23" s="693" t="str">
        <f>[101]Source!H82</f>
        <v>шт.</v>
      </c>
      <c r="F23" s="694">
        <f>[101]Source!I82</f>
        <v>1</v>
      </c>
      <c r="G23" s="695">
        <f>[101]Source!AK82</f>
        <v>1076.75</v>
      </c>
      <c r="H23" s="734" t="s">
        <v>42</v>
      </c>
      <c r="I23" s="694">
        <f>[101]Source!AW82</f>
        <v>1</v>
      </c>
      <c r="J23" s="697">
        <f>ROUND((ROUND(([101]Source!AC82*[101]Source!AW82*[101]Source!I82),2)),2)+(ROUND((ROUND((([101]Source!ET82)*[101]Source!AV82*[101]Source!I82),2)),2)+ROUND((ROUND((([101]Source!AE82-([101]Source!EU82))*[101]Source!AV82*[101]Source!I82),2)),2))+ROUND((ROUND(([101]Source!AF82*[101]Source!AV82*[101]Source!I82),2)),2)</f>
        <v>1076.75</v>
      </c>
      <c r="K23" s="694">
        <f>IF([101]Source!BC82&lt;&gt; 0, [101]Source!BC82, 1)</f>
        <v>2.35</v>
      </c>
      <c r="L23" s="697">
        <f>[101]Source!O82</f>
        <v>2530.36</v>
      </c>
      <c r="Q23" s="718">
        <f>ROUND(([101]Source!DN82/100)*ROUND((ROUND(([101]Source!AF82*[101]Source!AV82*[101]Source!I82),2)),2), 2)</f>
        <v>0</v>
      </c>
      <c r="R23" s="718">
        <f>[101]Source!X82</f>
        <v>0</v>
      </c>
      <c r="S23" s="718">
        <f>ROUND(([101]Source!DO82/100)*ROUND((ROUND(([101]Source!AF82*[101]Source!AV82*[101]Source!I82),2)),2), 2)</f>
        <v>0</v>
      </c>
      <c r="T23" s="718">
        <f>[101]Source!Y82</f>
        <v>0</v>
      </c>
      <c r="U23" s="718">
        <f>ROUND((175/100)*ROUND((ROUND(([101]Source!AE82*[101]Source!AV82*[101]Source!I82),2)),2), 2)</f>
        <v>0</v>
      </c>
      <c r="V23" s="718">
        <f>ROUND((157/100)*ROUND(ROUND((ROUND(([101]Source!AE82*[101]Source!AV82*[101]Source!I82),2)*[101]Source!BS82),2), 2), 2)</f>
        <v>0</v>
      </c>
      <c r="X23" s="718">
        <f>IF([101]Source!BI82&lt;=1,J23, 0)</f>
        <v>1076.75</v>
      </c>
      <c r="Y23" s="718">
        <f>IF([101]Source!BI82=2,J23, 0)</f>
        <v>0</v>
      </c>
      <c r="Z23" s="718">
        <f>IF([101]Source!BI82=3,J23, 0)</f>
        <v>0</v>
      </c>
      <c r="AA23" s="718">
        <f>IF([101]Source!BI82=4,J23, 0)</f>
        <v>0</v>
      </c>
    </row>
    <row r="24" spans="1:27" ht="15" x14ac:dyDescent="0.25">
      <c r="A24" s="691"/>
      <c r="B24" s="691"/>
      <c r="C24" s="692"/>
      <c r="D24" s="692" t="s">
        <v>88</v>
      </c>
      <c r="E24" s="693" t="s">
        <v>89</v>
      </c>
      <c r="F24" s="694">
        <f>[101]Source!DN80</f>
        <v>125</v>
      </c>
      <c r="G24" s="695"/>
      <c r="H24" s="696"/>
      <c r="I24" s="694"/>
      <c r="J24" s="697">
        <f>SUM(Q18:Q23)</f>
        <v>27.84</v>
      </c>
      <c r="K24" s="694">
        <f>[101]Source!BZ80</f>
        <v>100</v>
      </c>
      <c r="L24" s="697">
        <f>SUM(R18:R23)</f>
        <v>539.6</v>
      </c>
    </row>
    <row r="25" spans="1:27" ht="15" x14ac:dyDescent="0.25">
      <c r="A25" s="691"/>
      <c r="B25" s="691"/>
      <c r="C25" s="692"/>
      <c r="D25" s="692" t="s">
        <v>90</v>
      </c>
      <c r="E25" s="693" t="s">
        <v>89</v>
      </c>
      <c r="F25" s="694">
        <f>[101]Source!DO80</f>
        <v>94</v>
      </c>
      <c r="G25" s="695"/>
      <c r="H25" s="696"/>
      <c r="I25" s="694"/>
      <c r="J25" s="697">
        <f>SUM(S18:S24)</f>
        <v>20.93</v>
      </c>
      <c r="K25" s="694">
        <f>[101]Source!CA80</f>
        <v>45</v>
      </c>
      <c r="L25" s="697">
        <f>SUM(T18:T24)</f>
        <v>242.82</v>
      </c>
    </row>
    <row r="26" spans="1:27" ht="15" x14ac:dyDescent="0.25">
      <c r="A26" s="691"/>
      <c r="B26" s="691"/>
      <c r="C26" s="692"/>
      <c r="D26" s="692" t="s">
        <v>91</v>
      </c>
      <c r="E26" s="693" t="s">
        <v>89</v>
      </c>
      <c r="F26" s="694">
        <f>175</f>
        <v>175</v>
      </c>
      <c r="G26" s="695"/>
      <c r="H26" s="696"/>
      <c r="I26" s="694"/>
      <c r="J26" s="697">
        <f>SUM(U18:U25)-J32</f>
        <v>0.65</v>
      </c>
      <c r="K26" s="694">
        <f>157</f>
        <v>157</v>
      </c>
      <c r="L26" s="697">
        <f>SUM(V18:V25)-L32</f>
        <v>14.07</v>
      </c>
    </row>
    <row r="27" spans="1:27" ht="15" x14ac:dyDescent="0.25">
      <c r="A27" s="691"/>
      <c r="B27" s="691"/>
      <c r="C27" s="692"/>
      <c r="D27" s="692" t="s">
        <v>92</v>
      </c>
      <c r="E27" s="693" t="s">
        <v>93</v>
      </c>
      <c r="F27" s="694">
        <f>[101]Source!AQ80</f>
        <v>1.0900000000000001</v>
      </c>
      <c r="G27" s="695"/>
      <c r="H27" s="696" t="str">
        <f>[101]Source!DI80</f>
        <v/>
      </c>
      <c r="I27" s="694">
        <f>[101]Source!AV80</f>
        <v>1.0669999999999999</v>
      </c>
      <c r="J27" s="697">
        <f>[101]Source!U80</f>
        <v>1.1599999999999999</v>
      </c>
      <c r="K27" s="694"/>
      <c r="L27" s="697"/>
    </row>
    <row r="28" spans="1:27" ht="14.25" x14ac:dyDescent="0.2">
      <c r="I28" s="1067">
        <f>J19+J20+J22+J24+J25+J26+SUM(J23:J23)</f>
        <v>1156.26</v>
      </c>
      <c r="J28" s="1067"/>
      <c r="K28" s="1067">
        <f>L19+L20+L22+L24+L25+L26+SUM(L23:L23)</f>
        <v>3917.03</v>
      </c>
      <c r="L28" s="1067"/>
      <c r="O28" s="736">
        <f>J19+J20+J22+J24+J25+J26+SUM(J23:J23)</f>
        <v>1156.26</v>
      </c>
      <c r="P28" s="736">
        <f>L19+L20+L22+L24+L25+L26+SUM(L23:L23)</f>
        <v>3917.03</v>
      </c>
      <c r="X28" s="718">
        <f>IF([101]Source!BI80&lt;=1,J19+J20+J22+J24+J25+J26-0, 0)</f>
        <v>79.510000000000005</v>
      </c>
      <c r="Y28" s="718">
        <f>IF([101]Source!BI80=2,J19+J20+J22+J24+J25+J26-0, 0)</f>
        <v>0</v>
      </c>
      <c r="Z28" s="718">
        <f>IF([101]Source!BI80=3,J19+J20+J22+J24+J25+J26-0, 0)</f>
        <v>0</v>
      </c>
      <c r="AA28" s="718">
        <f>IF([101]Source!BI80=4,J19+J20+J22+J24+J25+J26,0)</f>
        <v>0</v>
      </c>
    </row>
    <row r="29" spans="1:27" ht="30" x14ac:dyDescent="0.25">
      <c r="A29" s="701"/>
      <c r="B29" s="701"/>
      <c r="C29" s="702"/>
      <c r="D29" s="702" t="s">
        <v>94</v>
      </c>
      <c r="E29" s="693"/>
      <c r="F29" s="703"/>
      <c r="G29" s="704"/>
      <c r="H29" s="693"/>
      <c r="I29" s="703"/>
      <c r="J29" s="700"/>
      <c r="K29" s="703"/>
      <c r="L29" s="700"/>
    </row>
    <row r="30" spans="1:27" ht="15" x14ac:dyDescent="0.25">
      <c r="A30" s="701"/>
      <c r="B30" s="701"/>
      <c r="C30" s="702"/>
      <c r="D30" s="702" t="s">
        <v>85</v>
      </c>
      <c r="E30" s="693"/>
      <c r="F30" s="703"/>
      <c r="G30" s="704">
        <f t="shared" ref="G30:L30" si="0">G31</f>
        <v>0.35</v>
      </c>
      <c r="H30" s="705" t="str">
        <f t="shared" si="0"/>
        <v>)*(1.67-1)</v>
      </c>
      <c r="I30" s="703">
        <f t="shared" si="0"/>
        <v>1.0669999999999999</v>
      </c>
      <c r="J30" s="700">
        <f t="shared" si="0"/>
        <v>0.25</v>
      </c>
      <c r="K30" s="703">
        <f t="shared" si="0"/>
        <v>24.23</v>
      </c>
      <c r="L30" s="700">
        <f t="shared" si="0"/>
        <v>6.06</v>
      </c>
    </row>
    <row r="31" spans="1:27" ht="15" x14ac:dyDescent="0.25">
      <c r="A31" s="701"/>
      <c r="B31" s="701"/>
      <c r="C31" s="702"/>
      <c r="D31" s="702" t="s">
        <v>86</v>
      </c>
      <c r="E31" s="693"/>
      <c r="F31" s="703"/>
      <c r="G31" s="704">
        <f>[101]Source!AN80</f>
        <v>0.35</v>
      </c>
      <c r="H31" s="705" t="s">
        <v>95</v>
      </c>
      <c r="I31" s="703">
        <f>[101]Source!AV80</f>
        <v>1.0669999999999999</v>
      </c>
      <c r="J31" s="700">
        <f>ROUND(F18*G31*I31*(1.67-1), 2)</f>
        <v>0.25</v>
      </c>
      <c r="K31" s="703">
        <f>IF([101]Source!BS80&lt;&gt; 0, [101]Source!BS80, 1)</f>
        <v>24.23</v>
      </c>
      <c r="L31" s="700">
        <f>ROUND(F18*G31*I31*(1.67-1)*K31, 2)</f>
        <v>6.06</v>
      </c>
      <c r="W31" s="718">
        <f>J31</f>
        <v>0.25</v>
      </c>
    </row>
    <row r="32" spans="1:27" ht="15" x14ac:dyDescent="0.25">
      <c r="A32" s="701"/>
      <c r="B32" s="701"/>
      <c r="C32" s="702"/>
      <c r="D32" s="702" t="s">
        <v>91</v>
      </c>
      <c r="E32" s="693" t="s">
        <v>89</v>
      </c>
      <c r="F32" s="703">
        <f>175</f>
        <v>175</v>
      </c>
      <c r="G32" s="704"/>
      <c r="H32" s="693"/>
      <c r="I32" s="703"/>
      <c r="J32" s="700">
        <f>ROUND(J31*(F32/100), 2)</f>
        <v>0.44</v>
      </c>
      <c r="K32" s="703">
        <f>157</f>
        <v>157</v>
      </c>
      <c r="L32" s="700">
        <f>ROUND(L31*(K32/100), 2)</f>
        <v>9.51</v>
      </c>
    </row>
    <row r="33" spans="1:27" ht="14.25" x14ac:dyDescent="0.2">
      <c r="I33" s="1067">
        <f>J32+J31</f>
        <v>0.69</v>
      </c>
      <c r="J33" s="1067"/>
      <c r="K33" s="1067">
        <f>L32+L31</f>
        <v>15.57</v>
      </c>
      <c r="L33" s="1067"/>
      <c r="O33" s="736">
        <f>I33</f>
        <v>0.69</v>
      </c>
      <c r="P33" s="736">
        <f>K33</f>
        <v>15.57</v>
      </c>
      <c r="X33" s="718">
        <f>IF([101]Source!BI80&lt;=1,I33, 0)</f>
        <v>0.69</v>
      </c>
      <c r="Y33" s="718">
        <f>IF([101]Source!BI80=2,I33, 0)</f>
        <v>0</v>
      </c>
      <c r="Z33" s="718">
        <f>IF([101]Source!BI80=3,I33, 0)</f>
        <v>0</v>
      </c>
      <c r="AA33" s="718">
        <f>IF([101]Source!BI80=4,I33, 0)</f>
        <v>0</v>
      </c>
    </row>
    <row r="35" spans="1:27" ht="15" x14ac:dyDescent="0.25">
      <c r="A35" s="706"/>
      <c r="B35" s="706"/>
      <c r="C35" s="707"/>
      <c r="D35" s="707" t="s">
        <v>96</v>
      </c>
      <c r="E35" s="708"/>
      <c r="F35" s="709"/>
      <c r="G35" s="710"/>
      <c r="H35" s="711"/>
      <c r="I35" s="1067">
        <f>I28+I33</f>
        <v>1156.95</v>
      </c>
      <c r="J35" s="1067"/>
      <c r="K35" s="1067">
        <f>K28+K33</f>
        <v>3932.6</v>
      </c>
      <c r="L35" s="1067"/>
    </row>
    <row r="37" spans="1:27" ht="14.25" x14ac:dyDescent="0.2">
      <c r="A37" s="1068" t="str">
        <f>CONCATENATE("Итого по подразделу: ",IF([101]Source!G84&lt;&gt;"Новый подраздел", [101]Source!G84, ""))</f>
        <v>Итого по подразделу: П2-10</v>
      </c>
      <c r="B37" s="1068"/>
      <c r="C37" s="1068"/>
      <c r="D37" s="1068"/>
      <c r="E37" s="1068"/>
      <c r="F37" s="1068"/>
      <c r="G37" s="1068"/>
      <c r="H37" s="1068"/>
      <c r="I37" s="1069">
        <f>SUM(O17:O36)</f>
        <v>1156.95</v>
      </c>
      <c r="J37" s="1070"/>
      <c r="K37" s="1069">
        <f>SUM(P17:P36)</f>
        <v>3932.6</v>
      </c>
      <c r="L37" s="1070"/>
    </row>
    <row r="38" spans="1:27" hidden="1" x14ac:dyDescent="0.2">
      <c r="A38" s="718" t="s">
        <v>139</v>
      </c>
      <c r="I38" s="718">
        <f>SUM(AC17:AC37)</f>
        <v>0</v>
      </c>
      <c r="K38" s="718">
        <f>SUM(AD17:AD37)</f>
        <v>0</v>
      </c>
    </row>
    <row r="39" spans="1:27" hidden="1" x14ac:dyDescent="0.2">
      <c r="A39" s="718" t="s">
        <v>140</v>
      </c>
      <c r="I39" s="718">
        <f>SUM(AE17:AE38)</f>
        <v>0</v>
      </c>
      <c r="K39" s="718">
        <f>SUM(AF17:AF38)</f>
        <v>0</v>
      </c>
    </row>
    <row r="41" spans="1:27" hidden="1" x14ac:dyDescent="0.2">
      <c r="A41" s="718" t="s">
        <v>139</v>
      </c>
      <c r="I41" s="718" t="e">
        <f>SUM(#REF!)</f>
        <v>#REF!</v>
      </c>
      <c r="K41" s="718" t="e">
        <f>SUM(#REF!)</f>
        <v>#REF!</v>
      </c>
    </row>
    <row r="42" spans="1:27" hidden="1" x14ac:dyDescent="0.2">
      <c r="A42" s="718" t="s">
        <v>140</v>
      </c>
      <c r="I42" s="718">
        <f>SUM(AE41:AE41)</f>
        <v>0</v>
      </c>
      <c r="K42" s="718">
        <f>SUM(AF41:AF41)</f>
        <v>0</v>
      </c>
    </row>
    <row r="44" spans="1:27" ht="16.5" x14ac:dyDescent="0.25">
      <c r="A44" s="1066" t="str">
        <f>CONCATENATE("Подраздел: ",IF([101]Source!G2454&lt;&gt;"Новый подраздел", [101]Source!G2454, ""))</f>
        <v>Подраздел: Дополнительные материалы и оборудование</v>
      </c>
      <c r="B44" s="1066"/>
      <c r="C44" s="1066"/>
      <c r="D44" s="1066"/>
      <c r="E44" s="1066"/>
      <c r="F44" s="1066"/>
      <c r="G44" s="1066"/>
      <c r="H44" s="1066"/>
      <c r="I44" s="1066"/>
      <c r="J44" s="1066"/>
      <c r="K44" s="1066"/>
      <c r="L44" s="1066"/>
    </row>
    <row r="45" spans="1:27" ht="45" x14ac:dyDescent="0.25">
      <c r="A45" s="691">
        <v>3</v>
      </c>
      <c r="B45" s="691" t="str">
        <f>[101]Source!E2509</f>
        <v>339</v>
      </c>
      <c r="C45" s="692" t="str">
        <f>[101]Source!F2509</f>
        <v>3.20-11-15</v>
      </c>
      <c r="D45" s="692" t="s">
        <v>490</v>
      </c>
      <c r="E45" s="693" t="str">
        <f>[101]Source!H2509</f>
        <v>1 клапан</v>
      </c>
      <c r="F45" s="694">
        <f>[101]Source!I2509</f>
        <v>9</v>
      </c>
      <c r="G45" s="695"/>
      <c r="H45" s="696"/>
      <c r="I45" s="694"/>
      <c r="J45" s="697"/>
      <c r="K45" s="694"/>
      <c r="L45" s="697"/>
      <c r="Q45" s="718">
        <f>ROUND(([101]Source!DN2509/100)*ROUND((ROUND(([101]Source!AF2509*[101]Source!AV2509*[101]Source!I2509),2)),2), 2)</f>
        <v>995.18</v>
      </c>
      <c r="R45" s="718">
        <f>[101]Source!X2509</f>
        <v>19290.47</v>
      </c>
      <c r="S45" s="718">
        <f>ROUND(([101]Source!DO2509/100)*ROUND((ROUND(([101]Source!AF2509*[101]Source!AV2509*[101]Source!I2509),2)),2), 2)</f>
        <v>748.37</v>
      </c>
      <c r="T45" s="718">
        <f>[101]Source!Y2509</f>
        <v>8680.7099999999991</v>
      </c>
      <c r="U45" s="718">
        <f>ROUND((175/100)*ROUND((ROUND(([101]Source!AE2509*[101]Source!AV2509*[101]Source!I2509),2)),2), 2)</f>
        <v>10.31</v>
      </c>
      <c r="V45" s="718">
        <f>ROUND((157/100)*ROUND(ROUND((ROUND(([101]Source!AE2509*[101]Source!AV2509*[101]Source!I2509),2)*[101]Source!BS2509),2), 2), 2)</f>
        <v>224.05</v>
      </c>
    </row>
    <row r="46" spans="1:27" ht="15" x14ac:dyDescent="0.25">
      <c r="A46" s="691"/>
      <c r="B46" s="691"/>
      <c r="C46" s="692"/>
      <c r="D46" s="692" t="s">
        <v>84</v>
      </c>
      <c r="E46" s="693"/>
      <c r="F46" s="694"/>
      <c r="G46" s="695">
        <f>[101]Source!AO2509</f>
        <v>47.28</v>
      </c>
      <c r="H46" s="696" t="str">
        <f>[101]Source!DG2509</f>
        <v>)*1,05)*1,67</v>
      </c>
      <c r="I46" s="694">
        <f>[101]Source!AV2509</f>
        <v>1.0669999999999999</v>
      </c>
      <c r="J46" s="697">
        <f>ROUND((ROUND(([101]Source!AF2509*[101]Source!AV2509*[101]Source!I2509),2)),2)</f>
        <v>796.14</v>
      </c>
      <c r="K46" s="694">
        <f>IF([101]Source!BA2509&lt;&gt; 0, [101]Source!BA2509, 1)</f>
        <v>24.23</v>
      </c>
      <c r="L46" s="697">
        <f>[101]Source!S2509</f>
        <v>19290.47</v>
      </c>
      <c r="W46" s="718">
        <f>J46</f>
        <v>796.14</v>
      </c>
    </row>
    <row r="47" spans="1:27" ht="15" x14ac:dyDescent="0.25">
      <c r="A47" s="691"/>
      <c r="B47" s="691"/>
      <c r="C47" s="692"/>
      <c r="D47" s="692" t="s">
        <v>85</v>
      </c>
      <c r="E47" s="693"/>
      <c r="F47" s="694"/>
      <c r="G47" s="695">
        <f>[101]Source!AM2509</f>
        <v>1.49</v>
      </c>
      <c r="H47" s="696" t="str">
        <f>[101]Source!DE2509</f>
        <v>)*1,05</v>
      </c>
      <c r="I47" s="694">
        <f>[101]Source!AV2509</f>
        <v>1.0669999999999999</v>
      </c>
      <c r="J47" s="697">
        <f>(ROUND((ROUND(((([101]Source!ET2509*1.05))*[101]Source!AV2509*[101]Source!I2509),2)),2)+ROUND((ROUND((([101]Source!AE2509-(([101]Source!EU2509*1.05)))*[101]Source!AV2509*[101]Source!I2509),2)),2))-J56</f>
        <v>15.02</v>
      </c>
      <c r="K47" s="694">
        <f>IF([101]Source!BB2509&lt;&gt; 0, [101]Source!BB2509, 1)</f>
        <v>9.9499999999999993</v>
      </c>
      <c r="L47" s="697">
        <f>[101]Source!Q2509-L56</f>
        <v>149.34</v>
      </c>
    </row>
    <row r="48" spans="1:27" ht="15" x14ac:dyDescent="0.25">
      <c r="A48" s="691"/>
      <c r="B48" s="691"/>
      <c r="C48" s="692"/>
      <c r="D48" s="692" t="s">
        <v>86</v>
      </c>
      <c r="E48" s="693"/>
      <c r="F48" s="694"/>
      <c r="G48" s="695">
        <f>[101]Source!AN2509</f>
        <v>0.35</v>
      </c>
      <c r="H48" s="696" t="str">
        <f>[101]Source!DE2509</f>
        <v>)*1,05</v>
      </c>
      <c r="I48" s="694">
        <f>[101]Source!AV2509</f>
        <v>1.0669999999999999</v>
      </c>
      <c r="J48" s="700">
        <f>ROUND((ROUND(([101]Source!AE2509*[101]Source!AV2509*[101]Source!I2509),2)),2)-J57</f>
        <v>3.53</v>
      </c>
      <c r="K48" s="694">
        <f>IF([101]Source!BS2509&lt;&gt; 0, [101]Source!BS2509, 1)</f>
        <v>24.23</v>
      </c>
      <c r="L48" s="700">
        <f>[101]Source!R2509-L57</f>
        <v>85.42</v>
      </c>
      <c r="W48" s="718">
        <f>J48</f>
        <v>3.53</v>
      </c>
    </row>
    <row r="49" spans="1:27" ht="15" x14ac:dyDescent="0.25">
      <c r="A49" s="691"/>
      <c r="B49" s="691"/>
      <c r="C49" s="692"/>
      <c r="D49" s="692" t="s">
        <v>87</v>
      </c>
      <c r="E49" s="693"/>
      <c r="F49" s="694"/>
      <c r="G49" s="695">
        <f>[101]Source!AL2509</f>
        <v>15.67</v>
      </c>
      <c r="H49" s="696" t="str">
        <f>[101]Source!DD2509</f>
        <v/>
      </c>
      <c r="I49" s="694">
        <f>[101]Source!AW2509</f>
        <v>1</v>
      </c>
      <c r="J49" s="697">
        <f>ROUND((ROUND(([101]Source!AC2509*[101]Source!AW2509*[101]Source!I2509),2)),2)</f>
        <v>141.03</v>
      </c>
      <c r="K49" s="694">
        <f>IF([101]Source!BC2509&lt;&gt; 0, [101]Source!BC2509, 1)</f>
        <v>8.25</v>
      </c>
      <c r="L49" s="697">
        <f>[101]Source!P2509</f>
        <v>1163.5</v>
      </c>
    </row>
    <row r="50" spans="1:27" ht="15" x14ac:dyDescent="0.25">
      <c r="A50" s="691"/>
      <c r="B50" s="691"/>
      <c r="C50" s="692"/>
      <c r="D50" s="692" t="s">
        <v>88</v>
      </c>
      <c r="E50" s="693" t="s">
        <v>89</v>
      </c>
      <c r="F50" s="694">
        <f>[101]Source!DN2509</f>
        <v>125</v>
      </c>
      <c r="G50" s="695"/>
      <c r="H50" s="696"/>
      <c r="I50" s="694"/>
      <c r="J50" s="697">
        <f>SUM(Q45:Q49)</f>
        <v>995.18</v>
      </c>
      <c r="K50" s="694">
        <f>[101]Source!BZ2509</f>
        <v>100</v>
      </c>
      <c r="L50" s="697">
        <f>SUM(R45:R49)</f>
        <v>19290.47</v>
      </c>
    </row>
    <row r="51" spans="1:27" ht="15" x14ac:dyDescent="0.25">
      <c r="A51" s="691"/>
      <c r="B51" s="691"/>
      <c r="C51" s="692"/>
      <c r="D51" s="692" t="s">
        <v>90</v>
      </c>
      <c r="E51" s="693" t="s">
        <v>89</v>
      </c>
      <c r="F51" s="694">
        <f>[101]Source!DO2509</f>
        <v>94</v>
      </c>
      <c r="G51" s="695"/>
      <c r="H51" s="696"/>
      <c r="I51" s="694"/>
      <c r="J51" s="697">
        <f>SUM(S45:S50)</f>
        <v>748.37</v>
      </c>
      <c r="K51" s="694">
        <f>[101]Source!CA2509</f>
        <v>45</v>
      </c>
      <c r="L51" s="697">
        <f>SUM(T45:T50)</f>
        <v>8680.7099999999991</v>
      </c>
    </row>
    <row r="52" spans="1:27" ht="15" x14ac:dyDescent="0.25">
      <c r="A52" s="691"/>
      <c r="B52" s="691"/>
      <c r="C52" s="692"/>
      <c r="D52" s="692" t="s">
        <v>91</v>
      </c>
      <c r="E52" s="693" t="s">
        <v>89</v>
      </c>
      <c r="F52" s="694">
        <f>175</f>
        <v>175</v>
      </c>
      <c r="G52" s="695"/>
      <c r="H52" s="696"/>
      <c r="I52" s="694"/>
      <c r="J52" s="697">
        <f>SUM(U45:U51)-J58</f>
        <v>6.18</v>
      </c>
      <c r="K52" s="694">
        <f>157</f>
        <v>157</v>
      </c>
      <c r="L52" s="697">
        <f>SUM(V45:V51)-L58</f>
        <v>134.1</v>
      </c>
    </row>
    <row r="53" spans="1:27" ht="15" x14ac:dyDescent="0.25">
      <c r="A53" s="691"/>
      <c r="B53" s="691"/>
      <c r="C53" s="692"/>
      <c r="D53" s="692" t="s">
        <v>92</v>
      </c>
      <c r="E53" s="693" t="s">
        <v>93</v>
      </c>
      <c r="F53" s="694">
        <f>[101]Source!AQ2509</f>
        <v>4.0199999999999996</v>
      </c>
      <c r="G53" s="695"/>
      <c r="H53" s="696" t="str">
        <f>[101]Source!DI2509</f>
        <v>)*1,05</v>
      </c>
      <c r="I53" s="694">
        <f>[101]Source!AV2509</f>
        <v>1.0669999999999999</v>
      </c>
      <c r="J53" s="697">
        <f>[101]Source!U2509</f>
        <v>40.53</v>
      </c>
      <c r="K53" s="694"/>
      <c r="L53" s="697"/>
    </row>
    <row r="54" spans="1:27" ht="14.25" x14ac:dyDescent="0.2">
      <c r="I54" s="1067">
        <f>J46+J47+J49+J50+J51+J52</f>
        <v>2701.92</v>
      </c>
      <c r="J54" s="1067"/>
      <c r="K54" s="1067">
        <f>L46+L47+L49+L50+L51+L52</f>
        <v>48708.59</v>
      </c>
      <c r="L54" s="1067"/>
      <c r="O54" s="736">
        <f>J46+J47+J49+J50+J51+J52</f>
        <v>2701.92</v>
      </c>
      <c r="P54" s="736">
        <f>L46+L47+L49+L50+L51+L52</f>
        <v>48708.59</v>
      </c>
      <c r="X54" s="718">
        <f>IF([101]Source!BI2509&lt;=1,J46+J47+J49+J50+J51+J52-0, 0)</f>
        <v>2701.92</v>
      </c>
      <c r="Y54" s="718">
        <f>IF([101]Source!BI2509=2,J46+J47+J49+J50+J51+J52-0, 0)</f>
        <v>0</v>
      </c>
      <c r="Z54" s="718">
        <f>IF([101]Source!BI2509=3,J46+J47+J49+J50+J51+J52-0, 0)</f>
        <v>0</v>
      </c>
      <c r="AA54" s="718">
        <f>IF([101]Source!BI2509=4,J46+J47+J49+J50+J51+J52,0)</f>
        <v>0</v>
      </c>
    </row>
    <row r="55" spans="1:27" ht="30" x14ac:dyDescent="0.25">
      <c r="A55" s="701"/>
      <c r="B55" s="701"/>
      <c r="C55" s="702"/>
      <c r="D55" s="702" t="s">
        <v>94</v>
      </c>
      <c r="E55" s="693"/>
      <c r="F55" s="703"/>
      <c r="G55" s="704"/>
      <c r="H55" s="693"/>
      <c r="I55" s="703"/>
      <c r="J55" s="700"/>
      <c r="K55" s="703"/>
      <c r="L55" s="700"/>
    </row>
    <row r="56" spans="1:27" ht="15" x14ac:dyDescent="0.25">
      <c r="A56" s="701"/>
      <c r="B56" s="701"/>
      <c r="C56" s="702"/>
      <c r="D56" s="702" t="s">
        <v>85</v>
      </c>
      <c r="E56" s="693"/>
      <c r="F56" s="703"/>
      <c r="G56" s="704">
        <f t="shared" ref="G56:L56" si="1">G57</f>
        <v>0.35</v>
      </c>
      <c r="H56" s="705" t="str">
        <f t="shared" si="1"/>
        <v>)*(1.67-1)*1.05</v>
      </c>
      <c r="I56" s="703">
        <f t="shared" si="1"/>
        <v>1.0669999999999999</v>
      </c>
      <c r="J56" s="700">
        <f t="shared" si="1"/>
        <v>2.36</v>
      </c>
      <c r="K56" s="703">
        <f t="shared" si="1"/>
        <v>24.23</v>
      </c>
      <c r="L56" s="700">
        <f t="shared" si="1"/>
        <v>57.29</v>
      </c>
    </row>
    <row r="57" spans="1:27" ht="15" x14ac:dyDescent="0.25">
      <c r="A57" s="701"/>
      <c r="B57" s="701"/>
      <c r="C57" s="702"/>
      <c r="D57" s="702" t="s">
        <v>86</v>
      </c>
      <c r="E57" s="693"/>
      <c r="F57" s="703"/>
      <c r="G57" s="704">
        <f>[101]Source!AN2509</f>
        <v>0.35</v>
      </c>
      <c r="H57" s="705" t="s">
        <v>491</v>
      </c>
      <c r="I57" s="703">
        <f>[101]Source!AV2509</f>
        <v>1.0669999999999999</v>
      </c>
      <c r="J57" s="700">
        <f>ROUND(F45*G57*I57*(1.67-1)*1.05, 2)</f>
        <v>2.36</v>
      </c>
      <c r="K57" s="703">
        <f>IF([101]Source!BS2509&lt;&gt; 0, [101]Source!BS2509, 1)</f>
        <v>24.23</v>
      </c>
      <c r="L57" s="700">
        <f>ROUND(F45*G57*I57*(1.67-1)*1.05*K57, 2)</f>
        <v>57.29</v>
      </c>
      <c r="W57" s="718">
        <f>J57</f>
        <v>2.36</v>
      </c>
    </row>
    <row r="58" spans="1:27" ht="15" x14ac:dyDescent="0.25">
      <c r="A58" s="701"/>
      <c r="B58" s="701"/>
      <c r="C58" s="702"/>
      <c r="D58" s="702" t="s">
        <v>91</v>
      </c>
      <c r="E58" s="693" t="s">
        <v>89</v>
      </c>
      <c r="F58" s="703">
        <f>175</f>
        <v>175</v>
      </c>
      <c r="G58" s="704"/>
      <c r="H58" s="693"/>
      <c r="I58" s="703"/>
      <c r="J58" s="700">
        <f>ROUND(J57*(F58/100), 2)</f>
        <v>4.13</v>
      </c>
      <c r="K58" s="703">
        <f>157</f>
        <v>157</v>
      </c>
      <c r="L58" s="700">
        <f>ROUND(L57*(K58/100), 2)</f>
        <v>89.95</v>
      </c>
    </row>
    <row r="59" spans="1:27" ht="14.25" x14ac:dyDescent="0.2">
      <c r="I59" s="1067">
        <f>J58+J57</f>
        <v>6.49</v>
      </c>
      <c r="J59" s="1067"/>
      <c r="K59" s="1067">
        <f>L58+L57</f>
        <v>147.24</v>
      </c>
      <c r="L59" s="1067"/>
      <c r="O59" s="736">
        <f>I59</f>
        <v>6.49</v>
      </c>
      <c r="P59" s="736">
        <f>K59</f>
        <v>147.24</v>
      </c>
      <c r="X59" s="718">
        <f>IF([101]Source!BI2509&lt;=1,I59, 0)</f>
        <v>6.49</v>
      </c>
      <c r="Y59" s="718">
        <f>IF([101]Source!BI2509=2,I59, 0)</f>
        <v>0</v>
      </c>
      <c r="Z59" s="718">
        <f>IF([101]Source!BI2509=3,I59, 0)</f>
        <v>0</v>
      </c>
      <c r="AA59" s="718">
        <f>IF([101]Source!BI2509=4,I59, 0)</f>
        <v>0</v>
      </c>
    </row>
    <row r="61" spans="1:27" ht="15" x14ac:dyDescent="0.25">
      <c r="A61" s="706"/>
      <c r="B61" s="706"/>
      <c r="C61" s="707"/>
      <c r="D61" s="707" t="s">
        <v>96</v>
      </c>
      <c r="E61" s="708"/>
      <c r="F61" s="709"/>
      <c r="G61" s="710"/>
      <c r="H61" s="711"/>
      <c r="I61" s="1067">
        <f>I54+I59</f>
        <v>2708.41</v>
      </c>
      <c r="J61" s="1067"/>
      <c r="K61" s="1067">
        <f>K54+K59</f>
        <v>48855.83</v>
      </c>
      <c r="L61" s="1067"/>
    </row>
    <row r="62" spans="1:27" ht="180" x14ac:dyDescent="0.25">
      <c r="A62" s="691">
        <v>4</v>
      </c>
      <c r="B62" s="691" t="str">
        <f>[101]Source!E2513</f>
        <v>341</v>
      </c>
      <c r="C62" s="692" t="str">
        <f>[101]Source!F2513</f>
        <v>МКЭ-33-1005/8-1 от 26.07.2018г.</v>
      </c>
      <c r="D62" s="692" t="s">
        <v>760</v>
      </c>
      <c r="E62" s="693" t="str">
        <f>[101]Source!H2513</f>
        <v>шт.</v>
      </c>
      <c r="F62" s="694">
        <f>[101]Source!I2513</f>
        <v>2</v>
      </c>
      <c r="G62" s="697">
        <f>J62/F62</f>
        <v>2539.2800000000002</v>
      </c>
      <c r="H62" s="696"/>
      <c r="I62" s="694">
        <v>1</v>
      </c>
      <c r="J62" s="697">
        <f>L62/K62</f>
        <v>5078.55</v>
      </c>
      <c r="K62" s="694">
        <v>5.58</v>
      </c>
      <c r="L62" s="697">
        <f>13891.32*1.02*F62</f>
        <v>28338.29</v>
      </c>
      <c r="Q62" s="718">
        <f>ROUND(([101]Source!DN2513/100)*ROUND((ROUND(([101]Source!AF2513*[101]Source!AV2513*[101]Source!I2513),2)),2), 2)</f>
        <v>0</v>
      </c>
      <c r="R62" s="718">
        <f>[101]Source!X2513</f>
        <v>0</v>
      </c>
      <c r="S62" s="718">
        <f>ROUND(([101]Source!DO2513/100)*ROUND((ROUND(([101]Source!AF2513*[101]Source!AV2513*[101]Source!I2513),2)),2), 2)</f>
        <v>0</v>
      </c>
      <c r="T62" s="718">
        <f>[101]Source!Y2513</f>
        <v>0</v>
      </c>
      <c r="U62" s="718">
        <f>ROUND((175/100)*ROUND((ROUND(([101]Source!AE2513*[101]Source!AV2513*[101]Source!I2513),2)),2), 2)</f>
        <v>0</v>
      </c>
      <c r="V62" s="718">
        <f>ROUND((157/100)*ROUND(ROUND((ROUND(([101]Source!AE2513*[101]Source!AV2513*[101]Source!I2513),2)*[101]Source!BS2513),2), 2), 2)</f>
        <v>0</v>
      </c>
    </row>
    <row r="63" spans="1:27" ht="14.25" x14ac:dyDescent="0.2">
      <c r="A63" s="737"/>
      <c r="B63" s="737"/>
      <c r="C63" s="737"/>
      <c r="D63" s="737"/>
      <c r="E63" s="737"/>
      <c r="F63" s="737"/>
      <c r="G63" s="737"/>
      <c r="H63" s="737"/>
      <c r="I63" s="1067">
        <f>J62</f>
        <v>5078.55</v>
      </c>
      <c r="J63" s="1067"/>
      <c r="K63" s="1067">
        <f>L62</f>
        <v>28338.29</v>
      </c>
      <c r="L63" s="1067"/>
      <c r="O63" s="736">
        <f>J62</f>
        <v>5078.55</v>
      </c>
      <c r="P63" s="736">
        <f>L62</f>
        <v>28338.29</v>
      </c>
      <c r="X63" s="718">
        <f>IF([101]Source!BI2513&lt;=1,J62-0, 0)</f>
        <v>5078.55</v>
      </c>
      <c r="Y63" s="718">
        <f>IF([101]Source!BI2513=2,J62-0, 0)</f>
        <v>0</v>
      </c>
      <c r="Z63" s="718">
        <f>IF([101]Source!BI2513=3,J62-0, 0)</f>
        <v>0</v>
      </c>
      <c r="AA63" s="718">
        <f>IF([101]Source!BI2513=4,J62,0)</f>
        <v>0</v>
      </c>
    </row>
    <row r="64" spans="1:27" ht="190.5" x14ac:dyDescent="0.25">
      <c r="A64" s="691">
        <v>5</v>
      </c>
      <c r="B64" s="691" t="str">
        <f>[101]Source!E2517</f>
        <v>343</v>
      </c>
      <c r="C64" s="692" t="str">
        <f>[101]Source!F2517</f>
        <v>МКЭ-33-1005/8-1 от 26.07.2018г.</v>
      </c>
      <c r="D64" s="692" t="s">
        <v>761</v>
      </c>
      <c r="E64" s="693" t="str">
        <f>[101]Source!H2517</f>
        <v>шт.</v>
      </c>
      <c r="F64" s="694">
        <f>[101]Source!I2517</f>
        <v>3</v>
      </c>
      <c r="G64" s="697">
        <f>J64/F64</f>
        <v>2553.38</v>
      </c>
      <c r="H64" s="696"/>
      <c r="I64" s="694">
        <v>1</v>
      </c>
      <c r="J64" s="697">
        <f>L64/K64</f>
        <v>7660.15</v>
      </c>
      <c r="K64" s="694">
        <v>5.58</v>
      </c>
      <c r="L64" s="697">
        <f>13968.5*1.02*F64</f>
        <v>42743.61</v>
      </c>
      <c r="Q64" s="718">
        <f>ROUND(([101]Source!DN2517/100)*ROUND((ROUND(([101]Source!AF2517*[101]Source!AV2517*[101]Source!I2517),2)),2), 2)</f>
        <v>0</v>
      </c>
      <c r="R64" s="718">
        <f>[101]Source!X2517</f>
        <v>0</v>
      </c>
      <c r="S64" s="718">
        <f>ROUND(([101]Source!DO2517/100)*ROUND((ROUND(([101]Source!AF2517*[101]Source!AV2517*[101]Source!I2517),2)),2), 2)</f>
        <v>0</v>
      </c>
      <c r="T64" s="718">
        <f>[101]Source!Y2517</f>
        <v>0</v>
      </c>
      <c r="U64" s="718">
        <f>ROUND((175/100)*ROUND((ROUND(([101]Source!AE2517*[101]Source!AV2517*[101]Source!I2517),2)),2), 2)</f>
        <v>0</v>
      </c>
      <c r="V64" s="718">
        <f>ROUND((157/100)*ROUND(ROUND((ROUND(([101]Source!AE2517*[101]Source!AV2517*[101]Source!I2517),2)*[101]Source!BS2517),2), 2), 2)</f>
        <v>0</v>
      </c>
    </row>
    <row r="65" spans="1:27" ht="14.25" x14ac:dyDescent="0.2">
      <c r="A65" s="737"/>
      <c r="B65" s="737"/>
      <c r="C65" s="737"/>
      <c r="D65" s="737"/>
      <c r="E65" s="737"/>
      <c r="F65" s="737"/>
      <c r="G65" s="737"/>
      <c r="H65" s="737"/>
      <c r="I65" s="1067">
        <f>J64</f>
        <v>7660.15</v>
      </c>
      <c r="J65" s="1067"/>
      <c r="K65" s="1067">
        <f>L64</f>
        <v>42743.61</v>
      </c>
      <c r="L65" s="1067"/>
      <c r="O65" s="736">
        <f>J64</f>
        <v>7660.15</v>
      </c>
      <c r="P65" s="736">
        <f>L64</f>
        <v>42743.61</v>
      </c>
      <c r="X65" s="718">
        <f>IF([101]Source!BI2517&lt;=1,J64-0, 0)</f>
        <v>7660.15</v>
      </c>
      <c r="Y65" s="718">
        <f>IF([101]Source!BI2517=2,J64-0, 0)</f>
        <v>0</v>
      </c>
      <c r="Z65" s="718">
        <f>IF([101]Source!BI2517=3,J64-0, 0)</f>
        <v>0</v>
      </c>
      <c r="AA65" s="718">
        <f>IF([101]Source!BI2517=4,J64,0)</f>
        <v>0</v>
      </c>
    </row>
    <row r="66" spans="1:27" ht="240" x14ac:dyDescent="0.25">
      <c r="A66" s="691">
        <v>6</v>
      </c>
      <c r="B66" s="691" t="str">
        <f>[101]Source!E2521</f>
        <v>345</v>
      </c>
      <c r="C66" s="692" t="str">
        <f>[101]Source!F2521</f>
        <v>МКЭ-33-1714/7-1 от 14.09.2017г.</v>
      </c>
      <c r="D66" s="692" t="s">
        <v>762</v>
      </c>
      <c r="E66" s="693" t="str">
        <f>[101]Source!H2521</f>
        <v>шт.</v>
      </c>
      <c r="F66" s="694">
        <f>[101]Source!I2521</f>
        <v>3</v>
      </c>
      <c r="G66" s="697">
        <f>J66/F66</f>
        <v>2625.25</v>
      </c>
      <c r="H66" s="696"/>
      <c r="I66" s="694">
        <v>1</v>
      </c>
      <c r="J66" s="697">
        <f>L66/K66</f>
        <v>7875.74</v>
      </c>
      <c r="K66" s="694">
        <v>5.58</v>
      </c>
      <c r="L66" s="697">
        <f>14361.64*1.02*F66</f>
        <v>43946.62</v>
      </c>
      <c r="Q66" s="718">
        <f>ROUND(([101]Source!DN2521/100)*ROUND((ROUND(([101]Source!AF2521*[101]Source!AV2521*[101]Source!I2521),2)),2), 2)</f>
        <v>0</v>
      </c>
      <c r="R66" s="718">
        <f>[101]Source!X2521</f>
        <v>0</v>
      </c>
      <c r="S66" s="718">
        <f>ROUND(([101]Source!DO2521/100)*ROUND((ROUND(([101]Source!AF2521*[101]Source!AV2521*[101]Source!I2521),2)),2), 2)</f>
        <v>0</v>
      </c>
      <c r="T66" s="718">
        <f>[101]Source!Y2521</f>
        <v>0</v>
      </c>
      <c r="U66" s="718">
        <f>ROUND((175/100)*ROUND((ROUND(([101]Source!AE2521*[101]Source!AV2521*[101]Source!I2521),2)),2), 2)</f>
        <v>0</v>
      </c>
      <c r="V66" s="718">
        <f>ROUND((157/100)*ROUND(ROUND((ROUND(([101]Source!AE2521*[101]Source!AV2521*[101]Source!I2521),2)*[101]Source!BS2521),2), 2), 2)</f>
        <v>0</v>
      </c>
    </row>
    <row r="67" spans="1:27" ht="14.25" x14ac:dyDescent="0.2">
      <c r="A67" s="737"/>
      <c r="B67" s="737"/>
      <c r="C67" s="737"/>
      <c r="D67" s="737"/>
      <c r="E67" s="737"/>
      <c r="F67" s="737"/>
      <c r="G67" s="737"/>
      <c r="H67" s="737"/>
      <c r="I67" s="1067">
        <f>J66</f>
        <v>7875.74</v>
      </c>
      <c r="J67" s="1067"/>
      <c r="K67" s="1067">
        <f>L66</f>
        <v>43946.62</v>
      </c>
      <c r="L67" s="1067"/>
      <c r="O67" s="736">
        <f>J66</f>
        <v>7875.74</v>
      </c>
      <c r="P67" s="736">
        <f>L66</f>
        <v>43946.62</v>
      </c>
      <c r="X67" s="718">
        <f>IF([101]Source!BI2521&lt;=1,J66-0, 0)</f>
        <v>7875.74</v>
      </c>
      <c r="Y67" s="718">
        <f>IF([101]Source!BI2521=2,J66-0, 0)</f>
        <v>0</v>
      </c>
      <c r="Z67" s="718">
        <f>IF([101]Source!BI2521=3,J66-0, 0)</f>
        <v>0</v>
      </c>
      <c r="AA67" s="718">
        <f>IF([101]Source!BI2521=4,J66,0)</f>
        <v>0</v>
      </c>
    </row>
    <row r="68" spans="1:27" ht="150" x14ac:dyDescent="0.25">
      <c r="A68" s="691">
        <v>7</v>
      </c>
      <c r="B68" s="691" t="str">
        <f>[101]Source!E2543</f>
        <v>356</v>
      </c>
      <c r="C68" s="692" t="str">
        <f>[101]Source!F2543</f>
        <v>МКЭ-33-1005/8-1 от 26.07.2018г.</v>
      </c>
      <c r="D68" s="692" t="s">
        <v>572</v>
      </c>
      <c r="E68" s="693" t="str">
        <f>[101]Source!H2543</f>
        <v>шт.</v>
      </c>
      <c r="F68" s="694">
        <v>1</v>
      </c>
      <c r="G68" s="697">
        <v>2670.96</v>
      </c>
      <c r="H68" s="696" t="s">
        <v>42</v>
      </c>
      <c r="I68" s="694">
        <v>1</v>
      </c>
      <c r="J68" s="697">
        <v>2670.96</v>
      </c>
      <c r="K68" s="694">
        <v>5.58</v>
      </c>
      <c r="L68" s="697">
        <v>14903.96</v>
      </c>
      <c r="M68" s="718" t="s">
        <v>574</v>
      </c>
      <c r="Q68" s="718">
        <f>ROUND(([101]Source!DN2543/100)*ROUND((ROUND(([101]Source!AF2543*[101]Source!AV2543*[101]Source!I2543),2)),2), 2)</f>
        <v>0</v>
      </c>
      <c r="R68" s="718">
        <f>[101]Source!X2543</f>
        <v>0</v>
      </c>
      <c r="S68" s="718">
        <f>ROUND(([101]Source!DO2543/100)*ROUND((ROUND(([101]Source!AF2543*[101]Source!AV2543*[101]Source!I2543),2)),2), 2)</f>
        <v>0</v>
      </c>
      <c r="T68" s="718">
        <f>[101]Source!Y2543</f>
        <v>0</v>
      </c>
      <c r="U68" s="718">
        <f>ROUND((175/100)*ROUND((ROUND(([101]Source!AE2543*[101]Source!AV2543*[101]Source!I2543),2)),2), 2)</f>
        <v>0</v>
      </c>
      <c r="V68" s="718">
        <f>ROUND((157/100)*ROUND(ROUND((ROUND(([101]Source!AE2543*[101]Source!AV2543*[101]Source!I2543),2)*[101]Source!BS2543),2), 2), 2)</f>
        <v>0</v>
      </c>
    </row>
    <row r="69" spans="1:27" ht="14.25" x14ac:dyDescent="0.2">
      <c r="A69" s="737"/>
      <c r="B69" s="737"/>
      <c r="C69" s="737"/>
      <c r="D69" s="737"/>
      <c r="E69" s="737"/>
      <c r="F69" s="737"/>
      <c r="G69" s="737"/>
      <c r="H69" s="737"/>
      <c r="I69" s="1067">
        <f>J68</f>
        <v>2670.96</v>
      </c>
      <c r="J69" s="1067"/>
      <c r="K69" s="1067">
        <f>L68</f>
        <v>14903.96</v>
      </c>
      <c r="L69" s="1067"/>
      <c r="O69" s="736">
        <f>J68</f>
        <v>2670.96</v>
      </c>
      <c r="P69" s="736">
        <f>L68</f>
        <v>14903.96</v>
      </c>
      <c r="X69" s="718">
        <f>IF([101]Source!BI2543&lt;=1,J68-0, 0)</f>
        <v>2670.96</v>
      </c>
      <c r="Y69" s="718">
        <f>IF([101]Source!BI2543=2,J68-0, 0)</f>
        <v>0</v>
      </c>
      <c r="Z69" s="718">
        <f>IF([101]Source!BI2543=3,J68-0, 0)</f>
        <v>0</v>
      </c>
      <c r="AA69" s="718">
        <f>IF([101]Source!BI2543=4,J68,0)</f>
        <v>0</v>
      </c>
    </row>
    <row r="70" spans="1:27" ht="60" x14ac:dyDescent="0.25">
      <c r="A70" s="691">
        <v>8</v>
      </c>
      <c r="B70" s="691" t="str">
        <f>[101]Source!E2689</f>
        <v>424</v>
      </c>
      <c r="C70" s="692" t="str">
        <f>[101]Source!F2689</f>
        <v>1.19-10-1</v>
      </c>
      <c r="D70" s="692" t="s">
        <v>503</v>
      </c>
      <c r="E70" s="693" t="str">
        <f>[101]Source!H2689</f>
        <v>шт.</v>
      </c>
      <c r="F70" s="694">
        <f>[101]Source!I2689</f>
        <v>1</v>
      </c>
      <c r="G70" s="695">
        <f>[101]Source!AL2689</f>
        <v>351.97</v>
      </c>
      <c r="H70" s="696" t="str">
        <f>[101]Source!DD2689</f>
        <v/>
      </c>
      <c r="I70" s="694">
        <f>[101]Source!AW2689</f>
        <v>1</v>
      </c>
      <c r="J70" s="697">
        <f>ROUND((ROUND(([101]Source!AC2689*[101]Source!AW2689*[101]Source!I2689),2)),2)</f>
        <v>351.97</v>
      </c>
      <c r="K70" s="694">
        <f>IF([101]Source!BC2689&lt;&gt; 0, [101]Source!BC2689, 1)</f>
        <v>1.98</v>
      </c>
      <c r="L70" s="697">
        <f>[101]Source!P2689</f>
        <v>696.9</v>
      </c>
      <c r="Q70" s="718">
        <f>ROUND(([101]Source!DN2689/100)*ROUND((ROUND(([101]Source!AF2689*[101]Source!AV2689*[101]Source!I2689),2)),2), 2)</f>
        <v>0</v>
      </c>
      <c r="R70" s="718">
        <f>[101]Source!X2689</f>
        <v>0</v>
      </c>
      <c r="S70" s="718">
        <f>ROUND(([101]Source!DO2689/100)*ROUND((ROUND(([101]Source!AF2689*[101]Source!AV2689*[101]Source!I2689),2)),2), 2)</f>
        <v>0</v>
      </c>
      <c r="T70" s="718">
        <f>[101]Source!Y2689</f>
        <v>0</v>
      </c>
      <c r="U70" s="718">
        <f>ROUND((175/100)*ROUND((ROUND(([101]Source!AE2689*[101]Source!AV2689*[101]Source!I2689),2)),2), 2)</f>
        <v>0</v>
      </c>
      <c r="V70" s="718">
        <f>ROUND((157/100)*ROUND(ROUND((ROUND(([101]Source!AE2689*[101]Source!AV2689*[101]Source!I2689),2)*[101]Source!BS2689),2), 2), 2)</f>
        <v>0</v>
      </c>
    </row>
    <row r="71" spans="1:27" ht="14.25" x14ac:dyDescent="0.2">
      <c r="A71" s="737"/>
      <c r="B71" s="737"/>
      <c r="C71" s="737"/>
      <c r="D71" s="737"/>
      <c r="E71" s="737"/>
      <c r="F71" s="737"/>
      <c r="G71" s="737"/>
      <c r="H71" s="737"/>
      <c r="I71" s="1067">
        <f>J70</f>
        <v>351.97</v>
      </c>
      <c r="J71" s="1067"/>
      <c r="K71" s="1067">
        <f>L70</f>
        <v>696.9</v>
      </c>
      <c r="L71" s="1067"/>
      <c r="O71" s="736">
        <f>J70</f>
        <v>351.97</v>
      </c>
      <c r="P71" s="736">
        <f>L70</f>
        <v>696.9</v>
      </c>
      <c r="X71" s="718">
        <f>IF([101]Source!BI2689&lt;=1,J70-0, 0)</f>
        <v>351.97</v>
      </c>
      <c r="Y71" s="718">
        <f>IF([101]Source!BI2689=2,J70-0, 0)</f>
        <v>0</v>
      </c>
      <c r="Z71" s="718">
        <f>IF([101]Source!BI2689=3,J70-0, 0)</f>
        <v>0</v>
      </c>
      <c r="AA71" s="718">
        <f>IF([101]Source!BI2689=4,J70,0)</f>
        <v>0</v>
      </c>
    </row>
    <row r="72" spans="1:27" ht="60" x14ac:dyDescent="0.25">
      <c r="A72" s="691">
        <v>9</v>
      </c>
      <c r="B72" s="691" t="str">
        <f>[101]Source!E2695</f>
        <v>427</v>
      </c>
      <c r="C72" s="692" t="str">
        <f>[101]Source!F2695</f>
        <v>1.19-10-7</v>
      </c>
      <c r="D72" s="692" t="s">
        <v>505</v>
      </c>
      <c r="E72" s="693" t="str">
        <f>[101]Source!H2695</f>
        <v>шт.</v>
      </c>
      <c r="F72" s="694">
        <f>[101]Source!I2695</f>
        <v>10</v>
      </c>
      <c r="G72" s="695">
        <f>[101]Source!AL2695</f>
        <v>443.7</v>
      </c>
      <c r="H72" s="696" t="str">
        <f>[101]Source!DD2695</f>
        <v/>
      </c>
      <c r="I72" s="694">
        <f>[101]Source!AW2695</f>
        <v>1</v>
      </c>
      <c r="J72" s="697">
        <f>ROUND((ROUND(([101]Source!AC2695*[101]Source!AW2695*[101]Source!I2695),2)),2)</f>
        <v>4437</v>
      </c>
      <c r="K72" s="694">
        <f>IF([101]Source!BC2695&lt;&gt; 0, [101]Source!BC2695, 1)</f>
        <v>3.11</v>
      </c>
      <c r="L72" s="697">
        <f>[101]Source!P2695</f>
        <v>13799.07</v>
      </c>
      <c r="Q72" s="718">
        <f>ROUND(([101]Source!DN2695/100)*ROUND((ROUND(([101]Source!AF2695*[101]Source!AV2695*[101]Source!I2695),2)),2), 2)</f>
        <v>0</v>
      </c>
      <c r="R72" s="718">
        <f>[101]Source!X2695</f>
        <v>0</v>
      </c>
      <c r="S72" s="718">
        <f>ROUND(([101]Source!DO2695/100)*ROUND((ROUND(([101]Source!AF2695*[101]Source!AV2695*[101]Source!I2695),2)),2), 2)</f>
        <v>0</v>
      </c>
      <c r="T72" s="718">
        <f>[101]Source!Y2695</f>
        <v>0</v>
      </c>
      <c r="U72" s="718">
        <f>ROUND((175/100)*ROUND((ROUND(([101]Source!AE2695*[101]Source!AV2695*[101]Source!I2695),2)),2), 2)</f>
        <v>0</v>
      </c>
      <c r="V72" s="718">
        <f>ROUND((157/100)*ROUND(ROUND((ROUND(([101]Source!AE2695*[101]Source!AV2695*[101]Source!I2695),2)*[101]Source!BS2695),2), 2), 2)</f>
        <v>0</v>
      </c>
    </row>
    <row r="73" spans="1:27" ht="14.25" x14ac:dyDescent="0.2">
      <c r="A73" s="737"/>
      <c r="B73" s="737"/>
      <c r="C73" s="737"/>
      <c r="D73" s="737"/>
      <c r="E73" s="737"/>
      <c r="F73" s="737"/>
      <c r="G73" s="737"/>
      <c r="H73" s="737"/>
      <c r="I73" s="1067">
        <f>J72</f>
        <v>4437</v>
      </c>
      <c r="J73" s="1067"/>
      <c r="K73" s="1067">
        <f>L72</f>
        <v>13799.07</v>
      </c>
      <c r="L73" s="1067"/>
      <c r="O73" s="736">
        <f>J72</f>
        <v>4437</v>
      </c>
      <c r="P73" s="736">
        <f>L72</f>
        <v>13799.07</v>
      </c>
      <c r="X73" s="718">
        <f>IF([101]Source!BI2695&lt;=1,J72-0, 0)</f>
        <v>4437</v>
      </c>
      <c r="Y73" s="718">
        <f>IF([101]Source!BI2695=2,J72-0, 0)</f>
        <v>0</v>
      </c>
      <c r="Z73" s="718">
        <f>IF([101]Source!BI2695=3,J72-0, 0)</f>
        <v>0</v>
      </c>
      <c r="AA73" s="718">
        <f>IF([101]Source!BI2695=4,J72,0)</f>
        <v>0</v>
      </c>
    </row>
    <row r="74" spans="1:27" ht="60" x14ac:dyDescent="0.25">
      <c r="A74" s="691">
        <v>10</v>
      </c>
      <c r="B74" s="691" t="str">
        <f>[101]Source!E2697</f>
        <v>428</v>
      </c>
      <c r="C74" s="692" t="str">
        <f>[101]Source!F2697</f>
        <v>1.19-10-8</v>
      </c>
      <c r="D74" s="692" t="s">
        <v>506</v>
      </c>
      <c r="E74" s="693" t="str">
        <f>[101]Source!H2697</f>
        <v>шт.</v>
      </c>
      <c r="F74" s="694">
        <f>[101]Source!I2697</f>
        <v>3</v>
      </c>
      <c r="G74" s="695">
        <f>[101]Source!AL2697</f>
        <v>654.78</v>
      </c>
      <c r="H74" s="696" t="str">
        <f>[101]Source!DD2697</f>
        <v/>
      </c>
      <c r="I74" s="694">
        <f>[101]Source!AW2697</f>
        <v>1</v>
      </c>
      <c r="J74" s="697">
        <f>ROUND((ROUND(([101]Source!AC2697*[101]Source!AW2697*[101]Source!I2697),2)),2)</f>
        <v>1964.34</v>
      </c>
      <c r="K74" s="694">
        <f>IF([101]Source!BC2697&lt;&gt; 0, [101]Source!BC2697, 1)</f>
        <v>2.44</v>
      </c>
      <c r="L74" s="697">
        <f>[101]Source!P2697</f>
        <v>4792.99</v>
      </c>
      <c r="Q74" s="718">
        <f>ROUND(([101]Source!DN2697/100)*ROUND((ROUND(([101]Source!AF2697*[101]Source!AV2697*[101]Source!I2697),2)),2), 2)</f>
        <v>0</v>
      </c>
      <c r="R74" s="718">
        <f>[101]Source!X2697</f>
        <v>0</v>
      </c>
      <c r="S74" s="718">
        <f>ROUND(([101]Source!DO2697/100)*ROUND((ROUND(([101]Source!AF2697*[101]Source!AV2697*[101]Source!I2697),2)),2), 2)</f>
        <v>0</v>
      </c>
      <c r="T74" s="718">
        <f>[101]Source!Y2697</f>
        <v>0</v>
      </c>
      <c r="U74" s="718">
        <f>ROUND((175/100)*ROUND((ROUND(([101]Source!AE2697*[101]Source!AV2697*[101]Source!I2697),2)),2), 2)</f>
        <v>0</v>
      </c>
      <c r="V74" s="718">
        <f>ROUND((157/100)*ROUND(ROUND((ROUND(([101]Source!AE2697*[101]Source!AV2697*[101]Source!I2697),2)*[101]Source!BS2697),2), 2), 2)</f>
        <v>0</v>
      </c>
    </row>
    <row r="75" spans="1:27" ht="14.25" x14ac:dyDescent="0.2">
      <c r="A75" s="737"/>
      <c r="B75" s="737"/>
      <c r="C75" s="737"/>
      <c r="D75" s="737"/>
      <c r="E75" s="737"/>
      <c r="F75" s="737"/>
      <c r="G75" s="737"/>
      <c r="H75" s="737"/>
      <c r="I75" s="1067">
        <f>J74</f>
        <v>1964.34</v>
      </c>
      <c r="J75" s="1067"/>
      <c r="K75" s="1067">
        <f>L74</f>
        <v>4792.99</v>
      </c>
      <c r="L75" s="1067"/>
      <c r="O75" s="736">
        <f>J74</f>
        <v>1964.34</v>
      </c>
      <c r="P75" s="736">
        <f>L74</f>
        <v>4792.99</v>
      </c>
      <c r="X75" s="718">
        <f>IF([101]Source!BI2697&lt;=1,J74-0, 0)</f>
        <v>1964.34</v>
      </c>
      <c r="Y75" s="718">
        <f>IF([101]Source!BI2697=2,J74-0, 0)</f>
        <v>0</v>
      </c>
      <c r="Z75" s="718">
        <f>IF([101]Source!BI2697=3,J74-0, 0)</f>
        <v>0</v>
      </c>
      <c r="AA75" s="718">
        <f>IF([101]Source!BI2697=4,J74,0)</f>
        <v>0</v>
      </c>
    </row>
    <row r="76" spans="1:27" ht="60" x14ac:dyDescent="0.25">
      <c r="A76" s="691">
        <v>11</v>
      </c>
      <c r="B76" s="691" t="str">
        <f>[101]Source!E2701</f>
        <v>430</v>
      </c>
      <c r="C76" s="692" t="str">
        <f>[101]Source!F2701</f>
        <v>1.19-10-10</v>
      </c>
      <c r="D76" s="692" t="s">
        <v>507</v>
      </c>
      <c r="E76" s="693" t="str">
        <f>[101]Source!H2701</f>
        <v>шт.</v>
      </c>
      <c r="F76" s="694">
        <f>[101]Source!I2701</f>
        <v>2</v>
      </c>
      <c r="G76" s="695">
        <f>[101]Source!AL2701</f>
        <v>1051.44</v>
      </c>
      <c r="H76" s="696" t="str">
        <f>[101]Source!DD2701</f>
        <v/>
      </c>
      <c r="I76" s="694">
        <f>[101]Source!AW2701</f>
        <v>1</v>
      </c>
      <c r="J76" s="697">
        <f>ROUND((ROUND(([101]Source!AC2701*[101]Source!AW2701*[101]Source!I2701),2)),2)</f>
        <v>2102.88</v>
      </c>
      <c r="K76" s="694">
        <f>IF([101]Source!BC2701&lt;&gt; 0, [101]Source!BC2701, 1)</f>
        <v>2.94</v>
      </c>
      <c r="L76" s="697">
        <f>[101]Source!P2701</f>
        <v>6182.47</v>
      </c>
      <c r="Q76" s="718">
        <f>ROUND(([101]Source!DN2701/100)*ROUND((ROUND(([101]Source!AF2701*[101]Source!AV2701*[101]Source!I2701),2)),2), 2)</f>
        <v>0</v>
      </c>
      <c r="R76" s="718">
        <f>[101]Source!X2701</f>
        <v>0</v>
      </c>
      <c r="S76" s="718">
        <f>ROUND(([101]Source!DO2701/100)*ROUND((ROUND(([101]Source!AF2701*[101]Source!AV2701*[101]Source!I2701),2)),2), 2)</f>
        <v>0</v>
      </c>
      <c r="T76" s="718">
        <f>[101]Source!Y2701</f>
        <v>0</v>
      </c>
      <c r="U76" s="718">
        <f>ROUND((175/100)*ROUND((ROUND(([101]Source!AE2701*[101]Source!AV2701*[101]Source!I2701),2)),2), 2)</f>
        <v>0</v>
      </c>
      <c r="V76" s="718">
        <f>ROUND((157/100)*ROUND(ROUND((ROUND(([101]Source!AE2701*[101]Source!AV2701*[101]Source!I2701),2)*[101]Source!BS2701),2), 2), 2)</f>
        <v>0</v>
      </c>
    </row>
    <row r="77" spans="1:27" ht="14.25" x14ac:dyDescent="0.2">
      <c r="A77" s="737"/>
      <c r="B77" s="737"/>
      <c r="C77" s="737"/>
      <c r="D77" s="737"/>
      <c r="E77" s="737"/>
      <c r="F77" s="737"/>
      <c r="G77" s="737"/>
      <c r="H77" s="737"/>
      <c r="I77" s="1067">
        <f>J76</f>
        <v>2102.88</v>
      </c>
      <c r="J77" s="1067"/>
      <c r="K77" s="1067">
        <f>L76</f>
        <v>6182.47</v>
      </c>
      <c r="L77" s="1067"/>
      <c r="O77" s="736">
        <f>J76</f>
        <v>2102.88</v>
      </c>
      <c r="P77" s="736">
        <f>L76</f>
        <v>6182.47</v>
      </c>
      <c r="X77" s="718">
        <f>IF([101]Source!BI2701&lt;=1,J76-0, 0)</f>
        <v>2102.88</v>
      </c>
      <c r="Y77" s="718">
        <f>IF([101]Source!BI2701=2,J76-0, 0)</f>
        <v>0</v>
      </c>
      <c r="Z77" s="718">
        <f>IF([101]Source!BI2701=3,J76-0, 0)</f>
        <v>0</v>
      </c>
      <c r="AA77" s="718">
        <f>IF([101]Source!BI2701=4,J76,0)</f>
        <v>0</v>
      </c>
    </row>
    <row r="78" spans="1:27" ht="75" x14ac:dyDescent="0.25">
      <c r="A78" s="691">
        <v>12</v>
      </c>
      <c r="B78" s="691" t="str">
        <f>[101]Source!E2711</f>
        <v>433</v>
      </c>
      <c r="C78" s="692" t="str">
        <f>[101]Source!F2711</f>
        <v>3.20-1-2</v>
      </c>
      <c r="D78" s="692" t="s">
        <v>466</v>
      </c>
      <c r="E78" s="693" t="str">
        <f>[101]Source!H2711</f>
        <v>100 м2 поверхности воздуховодов</v>
      </c>
      <c r="F78" s="694">
        <f>[101]Source!I2711</f>
        <v>8.0600000000000005E-2</v>
      </c>
      <c r="G78" s="695"/>
      <c r="H78" s="696"/>
      <c r="I78" s="694"/>
      <c r="J78" s="697"/>
      <c r="K78" s="694"/>
      <c r="L78" s="697"/>
      <c r="Q78" s="718">
        <f>ROUND(([101]Source!DN2711/100)*ROUND((ROUND(([101]Source!AF2711*[101]Source!AV2711*[101]Source!I2711),2)),2), 2)</f>
        <v>312.95999999999998</v>
      </c>
      <c r="R78" s="718">
        <f>[101]Source!X2711</f>
        <v>6066.47</v>
      </c>
      <c r="S78" s="718">
        <f>ROUND(([101]Source!DO2711/100)*ROUND((ROUND(([101]Source!AF2711*[101]Source!AV2711*[101]Source!I2711),2)),2), 2)</f>
        <v>235.35</v>
      </c>
      <c r="T78" s="718">
        <f>[101]Source!Y2711</f>
        <v>2729.91</v>
      </c>
      <c r="U78" s="718">
        <f>ROUND((175/100)*ROUND((ROUND(([101]Source!AE2711*[101]Source!AV2711*[101]Source!I2711),2)),2), 2)</f>
        <v>4.92</v>
      </c>
      <c r="V78" s="718">
        <f>ROUND((157/100)*ROUND(ROUND((ROUND(([101]Source!AE2711*[101]Source!AV2711*[101]Source!I2711),2)*[101]Source!BS2711),2), 2), 2)</f>
        <v>106.9</v>
      </c>
    </row>
    <row r="79" spans="1:27" ht="15" x14ac:dyDescent="0.25">
      <c r="A79" s="691"/>
      <c r="B79" s="691"/>
      <c r="C79" s="692"/>
      <c r="D79" s="692" t="s">
        <v>84</v>
      </c>
      <c r="E79" s="693"/>
      <c r="F79" s="694"/>
      <c r="G79" s="695">
        <f>[101]Source!AO2711</f>
        <v>1743.28</v>
      </c>
      <c r="H79" s="696" t="str">
        <f>[101]Source!DG2711</f>
        <v>)*1,67</v>
      </c>
      <c r="I79" s="694">
        <f>[101]Source!AV2711</f>
        <v>1.0669999999999999</v>
      </c>
      <c r="J79" s="697">
        <f>ROUND((ROUND(([101]Source!AF2711*[101]Source!AV2711*[101]Source!I2711),2)),2)</f>
        <v>250.37</v>
      </c>
      <c r="K79" s="694">
        <f>IF([101]Source!BA2711&lt;&gt; 0, [101]Source!BA2711, 1)</f>
        <v>24.23</v>
      </c>
      <c r="L79" s="697">
        <f>[101]Source!S2711</f>
        <v>6066.47</v>
      </c>
      <c r="W79" s="718">
        <f>J79</f>
        <v>250.37</v>
      </c>
    </row>
    <row r="80" spans="1:27" ht="15" x14ac:dyDescent="0.25">
      <c r="A80" s="691"/>
      <c r="B80" s="691"/>
      <c r="C80" s="692"/>
      <c r="D80" s="692" t="s">
        <v>85</v>
      </c>
      <c r="E80" s="693"/>
      <c r="F80" s="694"/>
      <c r="G80" s="695">
        <f>[101]Source!AM2711</f>
        <v>158.18</v>
      </c>
      <c r="H80" s="696" t="str">
        <f>[101]Source!DE2711</f>
        <v/>
      </c>
      <c r="I80" s="694">
        <f>[101]Source!AV2711</f>
        <v>1.0669999999999999</v>
      </c>
      <c r="J80" s="697">
        <f>(ROUND((ROUND((([101]Source!ET2711)*[101]Source!AV2711*[101]Source!I2711),2)),2)+ROUND((ROUND((([101]Source!AE2711-([101]Source!EU2711))*[101]Source!AV2711*[101]Source!I2711),2)),2))-J90</f>
        <v>13.6</v>
      </c>
      <c r="K80" s="694">
        <f>IF([101]Source!BB2711&lt;&gt; 0, [101]Source!BB2711, 1)</f>
        <v>8.6</v>
      </c>
      <c r="L80" s="697">
        <f>[101]Source!Q2711-L90</f>
        <v>117</v>
      </c>
    </row>
    <row r="81" spans="1:27" ht="15" x14ac:dyDescent="0.25">
      <c r="A81" s="691"/>
      <c r="B81" s="691"/>
      <c r="C81" s="692"/>
      <c r="D81" s="692" t="s">
        <v>86</v>
      </c>
      <c r="E81" s="693"/>
      <c r="F81" s="694"/>
      <c r="G81" s="695">
        <f>[101]Source!AN2711</f>
        <v>19.579999999999998</v>
      </c>
      <c r="H81" s="696" t="str">
        <f>[101]Source!DE2711</f>
        <v/>
      </c>
      <c r="I81" s="694">
        <f>[101]Source!AV2711</f>
        <v>1.0669999999999999</v>
      </c>
      <c r="J81" s="700">
        <f>ROUND((ROUND(([101]Source!AE2711*[101]Source!AV2711*[101]Source!I2711),2)),2)-J91</f>
        <v>1.68</v>
      </c>
      <c r="K81" s="694">
        <f>IF([101]Source!BS2711&lt;&gt; 0, [101]Source!BS2711, 1)</f>
        <v>24.23</v>
      </c>
      <c r="L81" s="700">
        <f>[101]Source!R2711-L91</f>
        <v>40.75</v>
      </c>
      <c r="W81" s="718">
        <f>J81</f>
        <v>1.68</v>
      </c>
    </row>
    <row r="82" spans="1:27" ht="15" x14ac:dyDescent="0.25">
      <c r="A82" s="691"/>
      <c r="B82" s="691"/>
      <c r="C82" s="692"/>
      <c r="D82" s="692" t="s">
        <v>87</v>
      </c>
      <c r="E82" s="693"/>
      <c r="F82" s="694"/>
      <c r="G82" s="695">
        <f>[101]Source!AL2711</f>
        <v>499.52</v>
      </c>
      <c r="H82" s="696" t="str">
        <f>[101]Source!DD2711</f>
        <v/>
      </c>
      <c r="I82" s="694">
        <f>[101]Source!AW2711</f>
        <v>1</v>
      </c>
      <c r="J82" s="697">
        <f>ROUND((ROUND(([101]Source!AC2711*[101]Source!AW2711*[101]Source!I2711),2)),2)</f>
        <v>40.26</v>
      </c>
      <c r="K82" s="694">
        <f>IF([101]Source!BC2711&lt;&gt; 0, [101]Source!BC2711, 1)</f>
        <v>3.66</v>
      </c>
      <c r="L82" s="697">
        <f>[101]Source!P2711</f>
        <v>147.35</v>
      </c>
    </row>
    <row r="83" spans="1:27" ht="45" x14ac:dyDescent="0.25">
      <c r="A83" s="691">
        <v>13</v>
      </c>
      <c r="B83" s="691" t="str">
        <f>[101]Source!E2713</f>
        <v>433,1</v>
      </c>
      <c r="C83" s="692" t="str">
        <f>[101]Source!F2713</f>
        <v>1.19-3-12</v>
      </c>
      <c r="D83" s="692" t="s">
        <v>467</v>
      </c>
      <c r="E83" s="693" t="str">
        <f>[101]Source!H2713</f>
        <v>м2</v>
      </c>
      <c r="F83" s="694">
        <f>[101]Source!I2713</f>
        <v>8.06</v>
      </c>
      <c r="G83" s="695">
        <f>[101]Source!AK2713</f>
        <v>125.64</v>
      </c>
      <c r="H83" s="734" t="s">
        <v>42</v>
      </c>
      <c r="I83" s="694">
        <f>[101]Source!AW2713</f>
        <v>1</v>
      </c>
      <c r="J83" s="697">
        <f>ROUND((ROUND(([101]Source!AC2713*[101]Source!AW2713*[101]Source!I2713),2)),2)+(ROUND((ROUND((([101]Source!ET2713)*[101]Source!AV2713*[101]Source!I2713),2)),2)+ROUND((ROUND((([101]Source!AE2713-([101]Source!EU2713))*[101]Source!AV2713*[101]Source!I2713),2)),2))+ROUND((ROUND(([101]Source!AF2713*[101]Source!AV2713*[101]Source!I2713),2)),2)</f>
        <v>1012.66</v>
      </c>
      <c r="K83" s="694">
        <f>IF([101]Source!BC2713&lt;&gt; 0, [101]Source!BC2713, 1)</f>
        <v>3.84</v>
      </c>
      <c r="L83" s="697">
        <f>[101]Source!O2713</f>
        <v>3888.61</v>
      </c>
      <c r="Q83" s="718">
        <f>ROUND(([101]Source!DN2713/100)*ROUND((ROUND(([101]Source!AF2713*[101]Source!AV2713*[101]Source!I2713),2)),2), 2)</f>
        <v>0</v>
      </c>
      <c r="R83" s="718">
        <f>[101]Source!X2713</f>
        <v>0</v>
      </c>
      <c r="S83" s="718">
        <f>ROUND(([101]Source!DO2713/100)*ROUND((ROUND(([101]Source!AF2713*[101]Source!AV2713*[101]Source!I2713),2)),2), 2)</f>
        <v>0</v>
      </c>
      <c r="T83" s="718">
        <f>[101]Source!Y2713</f>
        <v>0</v>
      </c>
      <c r="U83" s="718">
        <f>ROUND((175/100)*ROUND((ROUND(([101]Source!AE2713*[101]Source!AV2713*[101]Source!I2713),2)),2), 2)</f>
        <v>0</v>
      </c>
      <c r="V83" s="718">
        <f>ROUND((157/100)*ROUND(ROUND((ROUND(([101]Source!AE2713*[101]Source!AV2713*[101]Source!I2713),2)*[101]Source!BS2713),2), 2), 2)</f>
        <v>0</v>
      </c>
      <c r="X83" s="718">
        <f>IF([101]Source!BI2713&lt;=1,J83, 0)</f>
        <v>1012.66</v>
      </c>
      <c r="Y83" s="718">
        <f>IF([101]Source!BI2713=2,J83, 0)</f>
        <v>0</v>
      </c>
      <c r="Z83" s="718">
        <f>IF([101]Source!BI2713=3,J83, 0)</f>
        <v>0</v>
      </c>
      <c r="AA83" s="718">
        <f>IF([101]Source!BI2713=4,J83, 0)</f>
        <v>0</v>
      </c>
    </row>
    <row r="84" spans="1:27" ht="15" x14ac:dyDescent="0.25">
      <c r="A84" s="691"/>
      <c r="B84" s="691"/>
      <c r="C84" s="692"/>
      <c r="D84" s="692" t="s">
        <v>88</v>
      </c>
      <c r="E84" s="693" t="s">
        <v>89</v>
      </c>
      <c r="F84" s="694">
        <f>[101]Source!DN2711</f>
        <v>125</v>
      </c>
      <c r="G84" s="695"/>
      <c r="H84" s="696"/>
      <c r="I84" s="694"/>
      <c r="J84" s="697">
        <f>SUM(Q78:Q83)</f>
        <v>312.95999999999998</v>
      </c>
      <c r="K84" s="694">
        <f>[101]Source!BZ2711</f>
        <v>100</v>
      </c>
      <c r="L84" s="697">
        <f>SUM(R78:R83)</f>
        <v>6066.47</v>
      </c>
    </row>
    <row r="85" spans="1:27" ht="15" x14ac:dyDescent="0.25">
      <c r="A85" s="691"/>
      <c r="B85" s="691"/>
      <c r="C85" s="692"/>
      <c r="D85" s="692" t="s">
        <v>90</v>
      </c>
      <c r="E85" s="693" t="s">
        <v>89</v>
      </c>
      <c r="F85" s="694">
        <f>[101]Source!DO2711</f>
        <v>94</v>
      </c>
      <c r="G85" s="695"/>
      <c r="H85" s="696"/>
      <c r="I85" s="694"/>
      <c r="J85" s="697">
        <f>SUM(S78:S84)</f>
        <v>235.35</v>
      </c>
      <c r="K85" s="694">
        <f>[101]Source!CA2711</f>
        <v>45</v>
      </c>
      <c r="L85" s="697">
        <f>SUM(T78:T84)</f>
        <v>2729.91</v>
      </c>
    </row>
    <row r="86" spans="1:27" ht="15" x14ac:dyDescent="0.25">
      <c r="A86" s="691"/>
      <c r="B86" s="691"/>
      <c r="C86" s="692"/>
      <c r="D86" s="692" t="s">
        <v>91</v>
      </c>
      <c r="E86" s="693" t="s">
        <v>89</v>
      </c>
      <c r="F86" s="694">
        <f>175</f>
        <v>175</v>
      </c>
      <c r="G86" s="695"/>
      <c r="H86" s="696"/>
      <c r="I86" s="694"/>
      <c r="J86" s="697">
        <f>SUM(U78:U85)-J92</f>
        <v>2.94</v>
      </c>
      <c r="K86" s="694">
        <f>157</f>
        <v>157</v>
      </c>
      <c r="L86" s="697">
        <f>SUM(V78:V85)-L92</f>
        <v>63.98</v>
      </c>
    </row>
    <row r="87" spans="1:27" ht="15" x14ac:dyDescent="0.25">
      <c r="A87" s="691"/>
      <c r="B87" s="691"/>
      <c r="C87" s="692"/>
      <c r="D87" s="692" t="s">
        <v>92</v>
      </c>
      <c r="E87" s="693" t="s">
        <v>93</v>
      </c>
      <c r="F87" s="694">
        <f>[101]Source!AQ2711</f>
        <v>154</v>
      </c>
      <c r="G87" s="695"/>
      <c r="H87" s="696" t="str">
        <f>[101]Source!DI2711</f>
        <v/>
      </c>
      <c r="I87" s="694">
        <f>[101]Source!AV2711</f>
        <v>1.0669999999999999</v>
      </c>
      <c r="J87" s="697">
        <f>[101]Source!U2711</f>
        <v>13.24</v>
      </c>
      <c r="K87" s="694"/>
      <c r="L87" s="697"/>
    </row>
    <row r="88" spans="1:27" ht="14.25" x14ac:dyDescent="0.2">
      <c r="I88" s="1067">
        <f>J79+J80+J82+J84+J85+J86+SUM(J83:J83)</f>
        <v>1868.14</v>
      </c>
      <c r="J88" s="1067"/>
      <c r="K88" s="1067">
        <f>L79+L80+L82+L84+L85+L86+SUM(L83:L83)</f>
        <v>19079.79</v>
      </c>
      <c r="L88" s="1067"/>
      <c r="O88" s="736">
        <f>J79+J80+J82+J84+J85+J86+SUM(J83:J83)</f>
        <v>1868.14</v>
      </c>
      <c r="P88" s="736">
        <f>L79+L80+L82+L84+L85+L86+SUM(L83:L83)</f>
        <v>19079.79</v>
      </c>
      <c r="X88" s="718">
        <f>IF([101]Source!BI2711&lt;=1,J79+J80+J82+J84+J85+J86-0, 0)</f>
        <v>855.48</v>
      </c>
      <c r="Y88" s="718">
        <f>IF([101]Source!BI2711=2,J79+J80+J82+J84+J85+J86-0, 0)</f>
        <v>0</v>
      </c>
      <c r="Z88" s="718">
        <f>IF([101]Source!BI2711=3,J79+J80+J82+J84+J85+J86-0, 0)</f>
        <v>0</v>
      </c>
      <c r="AA88" s="718">
        <f>IF([101]Source!BI2711=4,J79+J80+J82+J84+J85+J86,0)</f>
        <v>0</v>
      </c>
    </row>
    <row r="89" spans="1:27" ht="30" x14ac:dyDescent="0.25">
      <c r="A89" s="701"/>
      <c r="B89" s="701"/>
      <c r="C89" s="702"/>
      <c r="D89" s="702" t="s">
        <v>94</v>
      </c>
      <c r="E89" s="693"/>
      <c r="F89" s="703"/>
      <c r="G89" s="704"/>
      <c r="H89" s="693"/>
      <c r="I89" s="703"/>
      <c r="J89" s="700"/>
      <c r="K89" s="703"/>
      <c r="L89" s="700"/>
    </row>
    <row r="90" spans="1:27" ht="15" x14ac:dyDescent="0.25">
      <c r="A90" s="701"/>
      <c r="B90" s="701"/>
      <c r="C90" s="702"/>
      <c r="D90" s="702" t="s">
        <v>85</v>
      </c>
      <c r="E90" s="693"/>
      <c r="F90" s="703"/>
      <c r="G90" s="704">
        <f t="shared" ref="G90:L90" si="2">G91</f>
        <v>19.579999999999998</v>
      </c>
      <c r="H90" s="705" t="str">
        <f t="shared" si="2"/>
        <v>)*(1.67-1)</v>
      </c>
      <c r="I90" s="703">
        <f t="shared" si="2"/>
        <v>1.0669999999999999</v>
      </c>
      <c r="J90" s="700">
        <f t="shared" si="2"/>
        <v>1.1299999999999999</v>
      </c>
      <c r="K90" s="703">
        <f t="shared" si="2"/>
        <v>24.23</v>
      </c>
      <c r="L90" s="700">
        <f t="shared" si="2"/>
        <v>27.34</v>
      </c>
    </row>
    <row r="91" spans="1:27" ht="15" x14ac:dyDescent="0.25">
      <c r="A91" s="701"/>
      <c r="B91" s="701"/>
      <c r="C91" s="702"/>
      <c r="D91" s="702" t="s">
        <v>86</v>
      </c>
      <c r="E91" s="693"/>
      <c r="F91" s="703"/>
      <c r="G91" s="704">
        <f>[101]Source!AN2711</f>
        <v>19.579999999999998</v>
      </c>
      <c r="H91" s="705" t="s">
        <v>95</v>
      </c>
      <c r="I91" s="703">
        <f>[101]Source!AV2711</f>
        <v>1.0669999999999999</v>
      </c>
      <c r="J91" s="700">
        <f>ROUND(F78*G91*I91*(1.67-1), 2)</f>
        <v>1.1299999999999999</v>
      </c>
      <c r="K91" s="703">
        <f>IF([101]Source!BS2711&lt;&gt; 0, [101]Source!BS2711, 1)</f>
        <v>24.23</v>
      </c>
      <c r="L91" s="700">
        <f>ROUND(F78*G91*I91*(1.67-1)*K91, 2)</f>
        <v>27.34</v>
      </c>
      <c r="W91" s="718">
        <f>J91</f>
        <v>1.1299999999999999</v>
      </c>
    </row>
    <row r="92" spans="1:27" ht="15" x14ac:dyDescent="0.25">
      <c r="A92" s="701"/>
      <c r="B92" s="701"/>
      <c r="C92" s="702"/>
      <c r="D92" s="702" t="s">
        <v>91</v>
      </c>
      <c r="E92" s="693" t="s">
        <v>89</v>
      </c>
      <c r="F92" s="703">
        <f>175</f>
        <v>175</v>
      </c>
      <c r="G92" s="704"/>
      <c r="H92" s="693"/>
      <c r="I92" s="703"/>
      <c r="J92" s="700">
        <f>ROUND(J91*(F92/100), 2)</f>
        <v>1.98</v>
      </c>
      <c r="K92" s="703">
        <f>157</f>
        <v>157</v>
      </c>
      <c r="L92" s="700">
        <f>ROUND(L91*(K92/100), 2)</f>
        <v>42.92</v>
      </c>
    </row>
    <row r="93" spans="1:27" ht="14.25" x14ac:dyDescent="0.2">
      <c r="I93" s="1067">
        <f>J92+J91</f>
        <v>3.11</v>
      </c>
      <c r="J93" s="1067"/>
      <c r="K93" s="1067">
        <f>L92+L91</f>
        <v>70.260000000000005</v>
      </c>
      <c r="L93" s="1067"/>
      <c r="O93" s="736">
        <f>I93</f>
        <v>3.11</v>
      </c>
      <c r="P93" s="736">
        <f>K93</f>
        <v>70.260000000000005</v>
      </c>
      <c r="X93" s="718">
        <f>IF([101]Source!BI2711&lt;=1,I93, 0)</f>
        <v>3.11</v>
      </c>
      <c r="Y93" s="718">
        <f>IF([101]Source!BI2711=2,I93, 0)</f>
        <v>0</v>
      </c>
      <c r="Z93" s="718">
        <f>IF([101]Source!BI2711=3,I93, 0)</f>
        <v>0</v>
      </c>
      <c r="AA93" s="718">
        <f>IF([101]Source!BI2711=4,I93, 0)</f>
        <v>0</v>
      </c>
    </row>
    <row r="95" spans="1:27" ht="15" x14ac:dyDescent="0.25">
      <c r="A95" s="706"/>
      <c r="B95" s="706"/>
      <c r="C95" s="707"/>
      <c r="D95" s="707" t="s">
        <v>96</v>
      </c>
      <c r="E95" s="708"/>
      <c r="F95" s="709"/>
      <c r="G95" s="710"/>
      <c r="H95" s="711"/>
      <c r="I95" s="1067">
        <f>I88+I93</f>
        <v>1871.25</v>
      </c>
      <c r="J95" s="1067"/>
      <c r="K95" s="1067">
        <f>K88+K93</f>
        <v>19150.05</v>
      </c>
      <c r="L95" s="1067"/>
    </row>
    <row r="96" spans="1:27" ht="75" x14ac:dyDescent="0.25">
      <c r="A96" s="691">
        <v>14</v>
      </c>
      <c r="B96" s="691" t="str">
        <f>[101]Source!E2715</f>
        <v>434</v>
      </c>
      <c r="C96" s="692" t="str">
        <f>[101]Source!F2715</f>
        <v>3.20-1-3</v>
      </c>
      <c r="D96" s="692" t="s">
        <v>510</v>
      </c>
      <c r="E96" s="693" t="str">
        <f>[101]Source!H2715</f>
        <v>100 м2 поверхности воздуховодов</v>
      </c>
      <c r="F96" s="694">
        <f>[101]Source!I2715</f>
        <v>7.3899999999999993E-2</v>
      </c>
      <c r="G96" s="695"/>
      <c r="H96" s="696"/>
      <c r="I96" s="694"/>
      <c r="J96" s="697"/>
      <c r="K96" s="694"/>
      <c r="L96" s="697"/>
      <c r="Q96" s="718">
        <f>ROUND(([101]Source!DN2715/100)*ROUND((ROUND(([101]Source!AF2715*[101]Source!AV2715*[101]Source!I2715),2)),2), 2)</f>
        <v>262.73</v>
      </c>
      <c r="R96" s="718">
        <f>[101]Source!X2715</f>
        <v>5092.66</v>
      </c>
      <c r="S96" s="718">
        <f>ROUND(([101]Source!DO2715/100)*ROUND((ROUND(([101]Source!AF2715*[101]Source!AV2715*[101]Source!I2715),2)),2), 2)</f>
        <v>197.57</v>
      </c>
      <c r="T96" s="718">
        <f>[101]Source!Y2715</f>
        <v>2291.6999999999998</v>
      </c>
      <c r="U96" s="718">
        <f>ROUND((175/100)*ROUND((ROUND(([101]Source!AE2715*[101]Source!AV2715*[101]Source!I2715),2)),2), 2)</f>
        <v>3.55</v>
      </c>
      <c r="V96" s="718">
        <f>ROUND((157/100)*ROUND(ROUND((ROUND(([101]Source!AE2715*[101]Source!AV2715*[101]Source!I2715),2)*[101]Source!BS2715),2), 2), 2)</f>
        <v>77.23</v>
      </c>
    </row>
    <row r="97" spans="1:27" ht="15" x14ac:dyDescent="0.25">
      <c r="A97" s="691"/>
      <c r="B97" s="691"/>
      <c r="C97" s="692"/>
      <c r="D97" s="692" t="s">
        <v>84</v>
      </c>
      <c r="E97" s="693"/>
      <c r="F97" s="694"/>
      <c r="G97" s="695">
        <f>[101]Source!AO2715</f>
        <v>1596.12</v>
      </c>
      <c r="H97" s="696" t="str">
        <f>[101]Source!DG2715</f>
        <v>)*1,67</v>
      </c>
      <c r="I97" s="694">
        <f>[101]Source!AV2715</f>
        <v>1.0669999999999999</v>
      </c>
      <c r="J97" s="697">
        <f>ROUND((ROUND(([101]Source!AF2715*[101]Source!AV2715*[101]Source!I2715),2)),2)</f>
        <v>210.18</v>
      </c>
      <c r="K97" s="694">
        <f>IF([101]Source!BA2715&lt;&gt; 0, [101]Source!BA2715, 1)</f>
        <v>24.23</v>
      </c>
      <c r="L97" s="697">
        <f>[101]Source!S2715</f>
        <v>5092.66</v>
      </c>
      <c r="W97" s="718">
        <f>J97</f>
        <v>210.18</v>
      </c>
    </row>
    <row r="98" spans="1:27" ht="15" x14ac:dyDescent="0.25">
      <c r="A98" s="691"/>
      <c r="B98" s="691"/>
      <c r="C98" s="692"/>
      <c r="D98" s="692" t="s">
        <v>85</v>
      </c>
      <c r="E98" s="693"/>
      <c r="F98" s="694"/>
      <c r="G98" s="695">
        <f>[101]Source!AM2715</f>
        <v>125.93</v>
      </c>
      <c r="H98" s="696" t="str">
        <f>[101]Source!DE2715</f>
        <v/>
      </c>
      <c r="I98" s="694">
        <f>[101]Source!AV2715</f>
        <v>1.0669999999999999</v>
      </c>
      <c r="J98" s="697">
        <f>(ROUND((ROUND((([101]Source!ET2715)*[101]Source!AV2715*[101]Source!I2715),2)),2)+ROUND((ROUND((([101]Source!AE2715-([101]Source!EU2715))*[101]Source!AV2715*[101]Source!I2715),2)),2))-J108</f>
        <v>9.93</v>
      </c>
      <c r="K98" s="694">
        <f>IF([101]Source!BB2715&lt;&gt; 0, [101]Source!BB2715, 1)</f>
        <v>8.59</v>
      </c>
      <c r="L98" s="697">
        <f>[101]Source!Q2715-L108</f>
        <v>85.42</v>
      </c>
    </row>
    <row r="99" spans="1:27" ht="15" x14ac:dyDescent="0.25">
      <c r="A99" s="691"/>
      <c r="B99" s="691"/>
      <c r="C99" s="692"/>
      <c r="D99" s="692" t="s">
        <v>86</v>
      </c>
      <c r="E99" s="693"/>
      <c r="F99" s="694"/>
      <c r="G99" s="695">
        <f>[101]Source!AN2715</f>
        <v>15.43</v>
      </c>
      <c r="H99" s="696" t="str">
        <f>[101]Source!DE2715</f>
        <v/>
      </c>
      <c r="I99" s="694">
        <f>[101]Source!AV2715</f>
        <v>1.0669999999999999</v>
      </c>
      <c r="J99" s="700">
        <f>ROUND((ROUND(([101]Source!AE2715*[101]Source!AV2715*[101]Source!I2715),2)),2)-J109</f>
        <v>1.21</v>
      </c>
      <c r="K99" s="694">
        <f>IF([101]Source!BS2715&lt;&gt; 0, [101]Source!BS2715, 1)</f>
        <v>24.23</v>
      </c>
      <c r="L99" s="700">
        <f>[101]Source!R2715-L109</f>
        <v>29.44</v>
      </c>
      <c r="W99" s="718">
        <f>J99</f>
        <v>1.21</v>
      </c>
    </row>
    <row r="100" spans="1:27" ht="15" x14ac:dyDescent="0.25">
      <c r="A100" s="691"/>
      <c r="B100" s="691"/>
      <c r="C100" s="692"/>
      <c r="D100" s="692" t="s">
        <v>87</v>
      </c>
      <c r="E100" s="693"/>
      <c r="F100" s="694"/>
      <c r="G100" s="695">
        <f>[101]Source!AL2715</f>
        <v>499.17</v>
      </c>
      <c r="H100" s="696" t="str">
        <f>[101]Source!DD2715</f>
        <v/>
      </c>
      <c r="I100" s="694">
        <f>[101]Source!AW2715</f>
        <v>1</v>
      </c>
      <c r="J100" s="697">
        <f>ROUND((ROUND(([101]Source!AC2715*[101]Source!AW2715*[101]Source!I2715),2)),2)</f>
        <v>36.89</v>
      </c>
      <c r="K100" s="694">
        <f>IF([101]Source!BC2715&lt;&gt; 0, [101]Source!BC2715, 1)</f>
        <v>3.65</v>
      </c>
      <c r="L100" s="697">
        <f>[101]Source!P2715</f>
        <v>134.65</v>
      </c>
    </row>
    <row r="101" spans="1:27" ht="45" x14ac:dyDescent="0.25">
      <c r="A101" s="691">
        <v>15</v>
      </c>
      <c r="B101" s="691" t="str">
        <f>[101]Source!E2717</f>
        <v>434,1</v>
      </c>
      <c r="C101" s="692" t="str">
        <f>[101]Source!F2717</f>
        <v>1.19-3-12</v>
      </c>
      <c r="D101" s="692" t="s">
        <v>467</v>
      </c>
      <c r="E101" s="693" t="str">
        <f>[101]Source!H2717</f>
        <v>м2</v>
      </c>
      <c r="F101" s="694">
        <f>[101]Source!I2717</f>
        <v>7.39</v>
      </c>
      <c r="G101" s="695">
        <f>[101]Source!AK2717</f>
        <v>125.64</v>
      </c>
      <c r="H101" s="734" t="s">
        <v>42</v>
      </c>
      <c r="I101" s="694">
        <f>[101]Source!AW2717</f>
        <v>1</v>
      </c>
      <c r="J101" s="697">
        <f>ROUND((ROUND(([101]Source!AC2717*[101]Source!AW2717*[101]Source!I2717),2)),2)+(ROUND((ROUND((([101]Source!ET2717)*[101]Source!AV2717*[101]Source!I2717),2)),2)+ROUND((ROUND((([101]Source!AE2717-([101]Source!EU2717))*[101]Source!AV2717*[101]Source!I2717),2)),2))+ROUND((ROUND(([101]Source!AF2717*[101]Source!AV2717*[101]Source!I2717),2)),2)</f>
        <v>928.48</v>
      </c>
      <c r="K101" s="694">
        <f>IF([101]Source!BC2717&lt;&gt; 0, [101]Source!BC2717, 1)</f>
        <v>3.84</v>
      </c>
      <c r="L101" s="697">
        <f>[101]Source!O2717</f>
        <v>3565.36</v>
      </c>
      <c r="Q101" s="718">
        <f>ROUND(([101]Source!DN2717/100)*ROUND((ROUND(([101]Source!AF2717*[101]Source!AV2717*[101]Source!I2717),2)),2), 2)</f>
        <v>0</v>
      </c>
      <c r="R101" s="718">
        <f>[101]Source!X2717</f>
        <v>0</v>
      </c>
      <c r="S101" s="718">
        <f>ROUND(([101]Source!DO2717/100)*ROUND((ROUND(([101]Source!AF2717*[101]Source!AV2717*[101]Source!I2717),2)),2), 2)</f>
        <v>0</v>
      </c>
      <c r="T101" s="718">
        <f>[101]Source!Y2717</f>
        <v>0</v>
      </c>
      <c r="U101" s="718">
        <f>ROUND((175/100)*ROUND((ROUND(([101]Source!AE2717*[101]Source!AV2717*[101]Source!I2717),2)),2), 2)</f>
        <v>0</v>
      </c>
      <c r="V101" s="718">
        <f>ROUND((157/100)*ROUND(ROUND((ROUND(([101]Source!AE2717*[101]Source!AV2717*[101]Source!I2717),2)*[101]Source!BS2717),2), 2), 2)</f>
        <v>0</v>
      </c>
      <c r="X101" s="718">
        <f>IF([101]Source!BI2717&lt;=1,J101, 0)</f>
        <v>928.48</v>
      </c>
      <c r="Y101" s="718">
        <f>IF([101]Source!BI2717=2,J101, 0)</f>
        <v>0</v>
      </c>
      <c r="Z101" s="718">
        <f>IF([101]Source!BI2717=3,J101, 0)</f>
        <v>0</v>
      </c>
      <c r="AA101" s="718">
        <f>IF([101]Source!BI2717=4,J101, 0)</f>
        <v>0</v>
      </c>
    </row>
    <row r="102" spans="1:27" ht="15" x14ac:dyDescent="0.25">
      <c r="A102" s="691"/>
      <c r="B102" s="691"/>
      <c r="C102" s="692"/>
      <c r="D102" s="692" t="s">
        <v>88</v>
      </c>
      <c r="E102" s="693" t="s">
        <v>89</v>
      </c>
      <c r="F102" s="694">
        <f>[101]Source!DN2715</f>
        <v>125</v>
      </c>
      <c r="G102" s="695"/>
      <c r="H102" s="696"/>
      <c r="I102" s="694"/>
      <c r="J102" s="697">
        <f>SUM(Q96:Q101)</f>
        <v>262.73</v>
      </c>
      <c r="K102" s="694">
        <f>[101]Source!BZ2715</f>
        <v>100</v>
      </c>
      <c r="L102" s="697">
        <f>SUM(R96:R101)</f>
        <v>5092.66</v>
      </c>
    </row>
    <row r="103" spans="1:27" ht="15" x14ac:dyDescent="0.25">
      <c r="A103" s="691"/>
      <c r="B103" s="691"/>
      <c r="C103" s="692"/>
      <c r="D103" s="692" t="s">
        <v>90</v>
      </c>
      <c r="E103" s="693" t="s">
        <v>89</v>
      </c>
      <c r="F103" s="694">
        <f>[101]Source!DO2715</f>
        <v>94</v>
      </c>
      <c r="G103" s="695"/>
      <c r="H103" s="696"/>
      <c r="I103" s="694"/>
      <c r="J103" s="697">
        <f>SUM(S96:S102)</f>
        <v>197.57</v>
      </c>
      <c r="K103" s="694">
        <f>[101]Source!CA2715</f>
        <v>45</v>
      </c>
      <c r="L103" s="697">
        <f>SUM(T96:T102)</f>
        <v>2291.6999999999998</v>
      </c>
    </row>
    <row r="104" spans="1:27" ht="15" x14ac:dyDescent="0.25">
      <c r="A104" s="691"/>
      <c r="B104" s="691"/>
      <c r="C104" s="692"/>
      <c r="D104" s="692" t="s">
        <v>91</v>
      </c>
      <c r="E104" s="693" t="s">
        <v>89</v>
      </c>
      <c r="F104" s="694">
        <f>175</f>
        <v>175</v>
      </c>
      <c r="G104" s="695"/>
      <c r="H104" s="696"/>
      <c r="I104" s="694"/>
      <c r="J104" s="697">
        <f>SUM(U96:U103)-J110</f>
        <v>2.11</v>
      </c>
      <c r="K104" s="694">
        <f>157</f>
        <v>157</v>
      </c>
      <c r="L104" s="697">
        <f>SUM(V96:V103)-L110</f>
        <v>46.22</v>
      </c>
    </row>
    <row r="105" spans="1:27" ht="15" x14ac:dyDescent="0.25">
      <c r="A105" s="691"/>
      <c r="B105" s="691"/>
      <c r="C105" s="692"/>
      <c r="D105" s="692" t="s">
        <v>92</v>
      </c>
      <c r="E105" s="693" t="s">
        <v>93</v>
      </c>
      <c r="F105" s="694">
        <f>[101]Source!AQ2715</f>
        <v>141</v>
      </c>
      <c r="G105" s="695"/>
      <c r="H105" s="696" t="str">
        <f>[101]Source!DI2715</f>
        <v/>
      </c>
      <c r="I105" s="694">
        <f>[101]Source!AV2715</f>
        <v>1.0669999999999999</v>
      </c>
      <c r="J105" s="697">
        <f>[101]Source!U2715</f>
        <v>11.12</v>
      </c>
      <c r="K105" s="694"/>
      <c r="L105" s="697"/>
    </row>
    <row r="106" spans="1:27" ht="14.25" x14ac:dyDescent="0.2">
      <c r="I106" s="1067">
        <f>J97+J98+J100+J102+J103+J104+SUM(J101:J101)</f>
        <v>1647.89</v>
      </c>
      <c r="J106" s="1067"/>
      <c r="K106" s="1067">
        <f>L97+L98+L100+L102+L103+L104+SUM(L101:L101)</f>
        <v>16308.67</v>
      </c>
      <c r="L106" s="1067"/>
      <c r="O106" s="736">
        <f>J97+J98+J100+J102+J103+J104+SUM(J101:J101)</f>
        <v>1647.89</v>
      </c>
      <c r="P106" s="736">
        <f>L97+L98+L100+L102+L103+L104+SUM(L101:L101)</f>
        <v>16308.67</v>
      </c>
      <c r="X106" s="718">
        <f>IF([101]Source!BI2715&lt;=1,J97+J98+J100+J102+J103+J104-0, 0)</f>
        <v>719.41</v>
      </c>
      <c r="Y106" s="718">
        <f>IF([101]Source!BI2715=2,J97+J98+J100+J102+J103+J104-0, 0)</f>
        <v>0</v>
      </c>
      <c r="Z106" s="718">
        <f>IF([101]Source!BI2715=3,J97+J98+J100+J102+J103+J104-0, 0)</f>
        <v>0</v>
      </c>
      <c r="AA106" s="718">
        <f>IF([101]Source!BI2715=4,J97+J98+J100+J102+J103+J104,0)</f>
        <v>0</v>
      </c>
    </row>
    <row r="107" spans="1:27" ht="30" x14ac:dyDescent="0.25">
      <c r="A107" s="701"/>
      <c r="B107" s="701"/>
      <c r="C107" s="702"/>
      <c r="D107" s="702" t="s">
        <v>94</v>
      </c>
      <c r="E107" s="693"/>
      <c r="F107" s="703"/>
      <c r="G107" s="704"/>
      <c r="H107" s="693"/>
      <c r="I107" s="703"/>
      <c r="J107" s="700"/>
      <c r="K107" s="703"/>
      <c r="L107" s="700"/>
    </row>
    <row r="108" spans="1:27" ht="15" x14ac:dyDescent="0.25">
      <c r="A108" s="701"/>
      <c r="B108" s="701"/>
      <c r="C108" s="702"/>
      <c r="D108" s="702" t="s">
        <v>85</v>
      </c>
      <c r="E108" s="693"/>
      <c r="F108" s="703"/>
      <c r="G108" s="704">
        <f t="shared" ref="G108:L108" si="3">G109</f>
        <v>15.43</v>
      </c>
      <c r="H108" s="705" t="str">
        <f t="shared" si="3"/>
        <v>)*(1.67-1)</v>
      </c>
      <c r="I108" s="703">
        <f t="shared" si="3"/>
        <v>1.0669999999999999</v>
      </c>
      <c r="J108" s="700">
        <f t="shared" si="3"/>
        <v>0.82</v>
      </c>
      <c r="K108" s="703">
        <f t="shared" si="3"/>
        <v>24.23</v>
      </c>
      <c r="L108" s="700">
        <f t="shared" si="3"/>
        <v>19.75</v>
      </c>
    </row>
    <row r="109" spans="1:27" ht="15" x14ac:dyDescent="0.25">
      <c r="A109" s="701"/>
      <c r="B109" s="701"/>
      <c r="C109" s="702"/>
      <c r="D109" s="702" t="s">
        <v>86</v>
      </c>
      <c r="E109" s="693"/>
      <c r="F109" s="703"/>
      <c r="G109" s="704">
        <f>[101]Source!AN2715</f>
        <v>15.43</v>
      </c>
      <c r="H109" s="705" t="s">
        <v>95</v>
      </c>
      <c r="I109" s="703">
        <f>[101]Source!AV2715</f>
        <v>1.0669999999999999</v>
      </c>
      <c r="J109" s="700">
        <f>ROUND(F96*G109*I109*(1.67-1), 2)</f>
        <v>0.82</v>
      </c>
      <c r="K109" s="703">
        <f>IF([101]Source!BS2715&lt;&gt; 0, [101]Source!BS2715, 1)</f>
        <v>24.23</v>
      </c>
      <c r="L109" s="700">
        <f>ROUND(F96*G109*I109*(1.67-1)*K109, 2)</f>
        <v>19.75</v>
      </c>
      <c r="W109" s="718">
        <f>J109</f>
        <v>0.82</v>
      </c>
    </row>
    <row r="110" spans="1:27" ht="15" x14ac:dyDescent="0.25">
      <c r="A110" s="701"/>
      <c r="B110" s="701"/>
      <c r="C110" s="702"/>
      <c r="D110" s="702" t="s">
        <v>91</v>
      </c>
      <c r="E110" s="693" t="s">
        <v>89</v>
      </c>
      <c r="F110" s="703">
        <f>175</f>
        <v>175</v>
      </c>
      <c r="G110" s="704"/>
      <c r="H110" s="693"/>
      <c r="I110" s="703"/>
      <c r="J110" s="700">
        <f>ROUND(J109*(F110/100), 2)</f>
        <v>1.44</v>
      </c>
      <c r="K110" s="703">
        <f>157</f>
        <v>157</v>
      </c>
      <c r="L110" s="700">
        <f>ROUND(L109*(K110/100), 2)</f>
        <v>31.01</v>
      </c>
    </row>
    <row r="111" spans="1:27" ht="14.25" x14ac:dyDescent="0.2">
      <c r="I111" s="1067">
        <f>J110+J109</f>
        <v>2.2599999999999998</v>
      </c>
      <c r="J111" s="1067"/>
      <c r="K111" s="1067">
        <f>L110+L109</f>
        <v>50.76</v>
      </c>
      <c r="L111" s="1067"/>
      <c r="O111" s="736">
        <f>I111</f>
        <v>2.2599999999999998</v>
      </c>
      <c r="P111" s="736">
        <f>K111</f>
        <v>50.76</v>
      </c>
      <c r="X111" s="718">
        <f>IF([101]Source!BI2715&lt;=1,I111, 0)</f>
        <v>2.2599999999999998</v>
      </c>
      <c r="Y111" s="718">
        <f>IF([101]Source!BI2715=2,I111, 0)</f>
        <v>0</v>
      </c>
      <c r="Z111" s="718">
        <f>IF([101]Source!BI2715=3,I111, 0)</f>
        <v>0</v>
      </c>
      <c r="AA111" s="718">
        <f>IF([101]Source!BI2715=4,I111, 0)</f>
        <v>0</v>
      </c>
    </row>
    <row r="113" spans="1:27" ht="15" x14ac:dyDescent="0.25">
      <c r="A113" s="706"/>
      <c r="B113" s="706"/>
      <c r="C113" s="707"/>
      <c r="D113" s="707" t="s">
        <v>96</v>
      </c>
      <c r="E113" s="708"/>
      <c r="F113" s="709"/>
      <c r="G113" s="710"/>
      <c r="H113" s="711"/>
      <c r="I113" s="1067">
        <f>I106+I111</f>
        <v>1650.15</v>
      </c>
      <c r="J113" s="1067"/>
      <c r="K113" s="1067">
        <f>K106+K111</f>
        <v>16359.43</v>
      </c>
      <c r="L113" s="1067"/>
    </row>
    <row r="114" spans="1:27" ht="75" x14ac:dyDescent="0.25">
      <c r="A114" s="691">
        <v>16</v>
      </c>
      <c r="B114" s="691" t="str">
        <f>[101]Source!E2735</f>
        <v>439</v>
      </c>
      <c r="C114" s="692" t="str">
        <f>[101]Source!F2735</f>
        <v>3.20-1-10</v>
      </c>
      <c r="D114" s="692" t="s">
        <v>468</v>
      </c>
      <c r="E114" s="693" t="str">
        <f>[101]Source!H2735</f>
        <v>100 м2 поверхности воздуховодов</v>
      </c>
      <c r="F114" s="694">
        <f>[101]Source!I2735</f>
        <v>0.13109999999999999</v>
      </c>
      <c r="G114" s="695"/>
      <c r="H114" s="696"/>
      <c r="I114" s="694"/>
      <c r="J114" s="697"/>
      <c r="K114" s="694"/>
      <c r="L114" s="697"/>
      <c r="Q114" s="718">
        <f>ROUND(([101]Source!DN2735/100)*ROUND((ROUND(([101]Source!AF2735*[101]Source!AV2735*[101]Source!I2735),2)),2), 2)</f>
        <v>403.28</v>
      </c>
      <c r="R114" s="718">
        <f>[101]Source!X2735</f>
        <v>7817.08</v>
      </c>
      <c r="S114" s="718">
        <f>ROUND(([101]Source!DO2735/100)*ROUND((ROUND(([101]Source!AF2735*[101]Source!AV2735*[101]Source!I2735),2)),2), 2)</f>
        <v>303.26</v>
      </c>
      <c r="T114" s="718">
        <f>[101]Source!Y2735</f>
        <v>3517.69</v>
      </c>
      <c r="U114" s="718">
        <f>ROUND((175/100)*ROUND((ROUND(([101]Source!AE2735*[101]Source!AV2735*[101]Source!I2735),2)),2), 2)</f>
        <v>5.85</v>
      </c>
      <c r="V114" s="718">
        <f>ROUND((157/100)*ROUND(ROUND((ROUND(([101]Source!AE2735*[101]Source!AV2735*[101]Source!I2735),2)*[101]Source!BS2735),2), 2), 2)</f>
        <v>127.06</v>
      </c>
    </row>
    <row r="115" spans="1:27" ht="15" x14ac:dyDescent="0.25">
      <c r="A115" s="691"/>
      <c r="B115" s="691"/>
      <c r="C115" s="692"/>
      <c r="D115" s="692" t="s">
        <v>84</v>
      </c>
      <c r="E115" s="693"/>
      <c r="F115" s="694"/>
      <c r="G115" s="695">
        <f>[101]Source!AO2735</f>
        <v>1381.04</v>
      </c>
      <c r="H115" s="696" t="str">
        <f>[101]Source!DG2735</f>
        <v>)*1,67</v>
      </c>
      <c r="I115" s="694">
        <f>[101]Source!AV2735</f>
        <v>1.0669999999999999</v>
      </c>
      <c r="J115" s="697">
        <f>ROUND((ROUND(([101]Source!AF2735*[101]Source!AV2735*[101]Source!I2735),2)),2)</f>
        <v>322.62</v>
      </c>
      <c r="K115" s="694">
        <f>IF([101]Source!BA2735&lt;&gt; 0, [101]Source!BA2735, 1)</f>
        <v>24.23</v>
      </c>
      <c r="L115" s="697">
        <f>[101]Source!S2735</f>
        <v>7817.08</v>
      </c>
      <c r="W115" s="718">
        <f>J115</f>
        <v>322.62</v>
      </c>
    </row>
    <row r="116" spans="1:27" ht="15" x14ac:dyDescent="0.25">
      <c r="A116" s="691"/>
      <c r="B116" s="691"/>
      <c r="C116" s="692"/>
      <c r="D116" s="692" t="s">
        <v>85</v>
      </c>
      <c r="E116" s="693"/>
      <c r="F116" s="694"/>
      <c r="G116" s="695">
        <f>[101]Source!AM2735</f>
        <v>116.7</v>
      </c>
      <c r="H116" s="696" t="str">
        <f>[101]Source!DE2735</f>
        <v/>
      </c>
      <c r="I116" s="694">
        <f>[101]Source!AV2735</f>
        <v>1.0669999999999999</v>
      </c>
      <c r="J116" s="697">
        <f>(ROUND((ROUND((([101]Source!ET2735)*[101]Source!AV2735*[101]Source!I2735),2)),2)+ROUND((ROUND((([101]Source!AE2735-([101]Source!EU2735))*[101]Source!AV2735*[101]Source!I2735),2)),2))-J125</f>
        <v>16.32</v>
      </c>
      <c r="K116" s="694">
        <f>IF([101]Source!BB2735&lt;&gt; 0, [101]Source!BB2735, 1)</f>
        <v>8.59</v>
      </c>
      <c r="L116" s="697">
        <f>[101]Source!Q2735-L125</f>
        <v>140.21</v>
      </c>
    </row>
    <row r="117" spans="1:27" ht="15" x14ac:dyDescent="0.25">
      <c r="A117" s="691"/>
      <c r="B117" s="691"/>
      <c r="C117" s="692"/>
      <c r="D117" s="692" t="s">
        <v>86</v>
      </c>
      <c r="E117" s="693"/>
      <c r="F117" s="694"/>
      <c r="G117" s="695">
        <f>[101]Source!AN2735</f>
        <v>14.29</v>
      </c>
      <c r="H117" s="696" t="str">
        <f>[101]Source!DE2735</f>
        <v/>
      </c>
      <c r="I117" s="694">
        <f>[101]Source!AV2735</f>
        <v>1.0669999999999999</v>
      </c>
      <c r="J117" s="700">
        <f>ROUND((ROUND(([101]Source!AE2735*[101]Source!AV2735*[101]Source!I2735),2)),2)-J126</f>
        <v>2</v>
      </c>
      <c r="K117" s="694">
        <f>IF([101]Source!BS2735&lt;&gt; 0, [101]Source!BS2735, 1)</f>
        <v>24.23</v>
      </c>
      <c r="L117" s="700">
        <f>[101]Source!R2735-L126</f>
        <v>48.48</v>
      </c>
      <c r="W117" s="718">
        <f>J117</f>
        <v>2</v>
      </c>
    </row>
    <row r="118" spans="1:27" ht="15" x14ac:dyDescent="0.25">
      <c r="A118" s="691"/>
      <c r="B118" s="691"/>
      <c r="C118" s="692"/>
      <c r="D118" s="692" t="s">
        <v>87</v>
      </c>
      <c r="E118" s="693"/>
      <c r="F118" s="694"/>
      <c r="G118" s="695">
        <f>[101]Source!AL2735</f>
        <v>599.72</v>
      </c>
      <c r="H118" s="696" t="str">
        <f>[101]Source!DD2735</f>
        <v/>
      </c>
      <c r="I118" s="694">
        <f>[101]Source!AW2735</f>
        <v>1</v>
      </c>
      <c r="J118" s="697">
        <f>ROUND((ROUND(([101]Source!AC2735*[101]Source!AW2735*[101]Source!I2735),2)),2)</f>
        <v>78.62</v>
      </c>
      <c r="K118" s="694">
        <f>IF([101]Source!BC2735&lt;&gt; 0, [101]Source!BC2735, 1)</f>
        <v>4.18</v>
      </c>
      <c r="L118" s="697">
        <f>[101]Source!P2735</f>
        <v>328.63</v>
      </c>
    </row>
    <row r="119" spans="1:27" ht="15" x14ac:dyDescent="0.25">
      <c r="A119" s="691"/>
      <c r="B119" s="691"/>
      <c r="C119" s="692"/>
      <c r="D119" s="692" t="s">
        <v>88</v>
      </c>
      <c r="E119" s="693" t="s">
        <v>89</v>
      </c>
      <c r="F119" s="694">
        <f>[101]Source!DN2735</f>
        <v>125</v>
      </c>
      <c r="G119" s="695"/>
      <c r="H119" s="696"/>
      <c r="I119" s="694"/>
      <c r="J119" s="697">
        <f>SUM(Q114:Q118)</f>
        <v>403.28</v>
      </c>
      <c r="K119" s="694">
        <f>[101]Source!BZ2735</f>
        <v>100</v>
      </c>
      <c r="L119" s="697">
        <f>SUM(R114:R118)</f>
        <v>7817.08</v>
      </c>
    </row>
    <row r="120" spans="1:27" ht="15" x14ac:dyDescent="0.25">
      <c r="A120" s="691"/>
      <c r="B120" s="691"/>
      <c r="C120" s="692"/>
      <c r="D120" s="692" t="s">
        <v>90</v>
      </c>
      <c r="E120" s="693" t="s">
        <v>89</v>
      </c>
      <c r="F120" s="694">
        <f>[101]Source!DO2735</f>
        <v>94</v>
      </c>
      <c r="G120" s="695"/>
      <c r="H120" s="696"/>
      <c r="I120" s="694"/>
      <c r="J120" s="697">
        <f>SUM(S114:S119)</f>
        <v>303.26</v>
      </c>
      <c r="K120" s="694">
        <f>[101]Source!CA2735</f>
        <v>45</v>
      </c>
      <c r="L120" s="697">
        <f>SUM(T114:T119)</f>
        <v>3517.69</v>
      </c>
    </row>
    <row r="121" spans="1:27" ht="15" x14ac:dyDescent="0.25">
      <c r="A121" s="691"/>
      <c r="B121" s="691"/>
      <c r="C121" s="692"/>
      <c r="D121" s="692" t="s">
        <v>91</v>
      </c>
      <c r="E121" s="693" t="s">
        <v>89</v>
      </c>
      <c r="F121" s="694">
        <f>175</f>
        <v>175</v>
      </c>
      <c r="G121" s="695"/>
      <c r="H121" s="696"/>
      <c r="I121" s="694"/>
      <c r="J121" s="697">
        <f>SUM(U114:U120)-J127</f>
        <v>3.5</v>
      </c>
      <c r="K121" s="694">
        <f>157</f>
        <v>157</v>
      </c>
      <c r="L121" s="697">
        <f>SUM(V114:V120)-L127</f>
        <v>76.11</v>
      </c>
    </row>
    <row r="122" spans="1:27" ht="15" x14ac:dyDescent="0.25">
      <c r="A122" s="691"/>
      <c r="B122" s="691"/>
      <c r="C122" s="692"/>
      <c r="D122" s="692" t="s">
        <v>92</v>
      </c>
      <c r="E122" s="693" t="s">
        <v>93</v>
      </c>
      <c r="F122" s="694">
        <f>[101]Source!AQ2735</f>
        <v>122</v>
      </c>
      <c r="G122" s="695"/>
      <c r="H122" s="696" t="str">
        <f>[101]Source!DI2735</f>
        <v/>
      </c>
      <c r="I122" s="694">
        <f>[101]Source!AV2735</f>
        <v>1.0669999999999999</v>
      </c>
      <c r="J122" s="697">
        <f>[101]Source!U2735</f>
        <v>17.07</v>
      </c>
      <c r="K122" s="694"/>
      <c r="L122" s="697"/>
    </row>
    <row r="123" spans="1:27" ht="14.25" x14ac:dyDescent="0.2">
      <c r="I123" s="1067">
        <f>J115+J116+J118+J119+J120+J121</f>
        <v>1127.5999999999999</v>
      </c>
      <c r="J123" s="1067"/>
      <c r="K123" s="1067">
        <f>L115+L116+L118+L119+L120+L121</f>
        <v>19696.8</v>
      </c>
      <c r="L123" s="1067"/>
      <c r="O123" s="736">
        <f>J115+J116+J118+J119+J120+J121</f>
        <v>1127.5999999999999</v>
      </c>
      <c r="P123" s="736">
        <f>L115+L116+L118+L119+L120+L121</f>
        <v>19696.8</v>
      </c>
      <c r="X123" s="718">
        <f>IF([101]Source!BI2735&lt;=1,J115+J116+J118+J119+J120+J121-0, 0)</f>
        <v>1127.5999999999999</v>
      </c>
      <c r="Y123" s="718">
        <f>IF([101]Source!BI2735=2,J115+J116+J118+J119+J120+J121-0, 0)</f>
        <v>0</v>
      </c>
      <c r="Z123" s="718">
        <f>IF([101]Source!BI2735=3,J115+J116+J118+J119+J120+J121-0, 0)</f>
        <v>0</v>
      </c>
      <c r="AA123" s="718">
        <f>IF([101]Source!BI2735=4,J115+J116+J118+J119+J120+J121,0)</f>
        <v>0</v>
      </c>
    </row>
    <row r="124" spans="1:27" ht="30" x14ac:dyDescent="0.25">
      <c r="A124" s="701"/>
      <c r="B124" s="701"/>
      <c r="C124" s="702"/>
      <c r="D124" s="702" t="s">
        <v>94</v>
      </c>
      <c r="E124" s="693"/>
      <c r="F124" s="703"/>
      <c r="G124" s="704"/>
      <c r="H124" s="693"/>
      <c r="I124" s="703"/>
      <c r="J124" s="700"/>
      <c r="K124" s="703"/>
      <c r="L124" s="700"/>
    </row>
    <row r="125" spans="1:27" ht="15" x14ac:dyDescent="0.25">
      <c r="A125" s="701"/>
      <c r="B125" s="701"/>
      <c r="C125" s="702"/>
      <c r="D125" s="702" t="s">
        <v>85</v>
      </c>
      <c r="E125" s="693"/>
      <c r="F125" s="703"/>
      <c r="G125" s="704">
        <f t="shared" ref="G125:L125" si="4">G126</f>
        <v>14.29</v>
      </c>
      <c r="H125" s="705" t="str">
        <f t="shared" si="4"/>
        <v>)*(1.67-1)</v>
      </c>
      <c r="I125" s="703">
        <f t="shared" si="4"/>
        <v>1.0669999999999999</v>
      </c>
      <c r="J125" s="700">
        <f t="shared" si="4"/>
        <v>1.34</v>
      </c>
      <c r="K125" s="703">
        <f t="shared" si="4"/>
        <v>24.23</v>
      </c>
      <c r="L125" s="700">
        <f t="shared" si="4"/>
        <v>32.450000000000003</v>
      </c>
    </row>
    <row r="126" spans="1:27" ht="15" x14ac:dyDescent="0.25">
      <c r="A126" s="701"/>
      <c r="B126" s="701"/>
      <c r="C126" s="702"/>
      <c r="D126" s="702" t="s">
        <v>86</v>
      </c>
      <c r="E126" s="693"/>
      <c r="F126" s="703"/>
      <c r="G126" s="704">
        <f>[101]Source!AN2735</f>
        <v>14.29</v>
      </c>
      <c r="H126" s="705" t="s">
        <v>95</v>
      </c>
      <c r="I126" s="703">
        <f>[101]Source!AV2735</f>
        <v>1.0669999999999999</v>
      </c>
      <c r="J126" s="700">
        <f>ROUND(F114*G126*I126*(1.67-1), 2)</f>
        <v>1.34</v>
      </c>
      <c r="K126" s="703">
        <f>IF([101]Source!BS2735&lt;&gt; 0, [101]Source!BS2735, 1)</f>
        <v>24.23</v>
      </c>
      <c r="L126" s="700">
        <f>ROUND(F114*G126*I126*(1.67-1)*K126, 2)</f>
        <v>32.450000000000003</v>
      </c>
      <c r="W126" s="718">
        <f>J126</f>
        <v>1.34</v>
      </c>
    </row>
    <row r="127" spans="1:27" ht="15" x14ac:dyDescent="0.25">
      <c r="A127" s="701"/>
      <c r="B127" s="701"/>
      <c r="C127" s="702"/>
      <c r="D127" s="702" t="s">
        <v>91</v>
      </c>
      <c r="E127" s="693" t="s">
        <v>89</v>
      </c>
      <c r="F127" s="703">
        <f>175</f>
        <v>175</v>
      </c>
      <c r="G127" s="704"/>
      <c r="H127" s="693"/>
      <c r="I127" s="703"/>
      <c r="J127" s="700">
        <f>ROUND(J126*(F127/100), 2)</f>
        <v>2.35</v>
      </c>
      <c r="K127" s="703">
        <f>157</f>
        <v>157</v>
      </c>
      <c r="L127" s="700">
        <f>ROUND(L126*(K127/100), 2)</f>
        <v>50.95</v>
      </c>
    </row>
    <row r="128" spans="1:27" ht="14.25" x14ac:dyDescent="0.2">
      <c r="I128" s="1067">
        <f>J127+J126</f>
        <v>3.69</v>
      </c>
      <c r="J128" s="1067"/>
      <c r="K128" s="1067">
        <f>L127+L126</f>
        <v>83.4</v>
      </c>
      <c r="L128" s="1067"/>
      <c r="O128" s="736">
        <f>I128</f>
        <v>3.69</v>
      </c>
      <c r="P128" s="736">
        <f>K128</f>
        <v>83.4</v>
      </c>
      <c r="X128" s="718">
        <f>IF([101]Source!BI2735&lt;=1,I128, 0)</f>
        <v>3.69</v>
      </c>
      <c r="Y128" s="718">
        <f>IF([101]Source!BI2735=2,I128, 0)</f>
        <v>0</v>
      </c>
      <c r="Z128" s="718">
        <f>IF([101]Source!BI2735=3,I128, 0)</f>
        <v>0</v>
      </c>
      <c r="AA128" s="718">
        <f>IF([101]Source!BI2735=4,I128, 0)</f>
        <v>0</v>
      </c>
    </row>
    <row r="130" spans="1:27" ht="15" x14ac:dyDescent="0.25">
      <c r="A130" s="706"/>
      <c r="B130" s="706"/>
      <c r="C130" s="707"/>
      <c r="D130" s="707" t="s">
        <v>96</v>
      </c>
      <c r="E130" s="708"/>
      <c r="F130" s="709"/>
      <c r="G130" s="710"/>
      <c r="H130" s="711"/>
      <c r="I130" s="1067">
        <f>I123+I128</f>
        <v>1131.29</v>
      </c>
      <c r="J130" s="1067"/>
      <c r="K130" s="1067">
        <f>K123+K128</f>
        <v>19780.2</v>
      </c>
      <c r="L130" s="1067"/>
    </row>
    <row r="131" spans="1:27" ht="45" x14ac:dyDescent="0.25">
      <c r="A131" s="691">
        <v>17</v>
      </c>
      <c r="B131" s="691" t="str">
        <f>[101]Source!E2737</f>
        <v>440</v>
      </c>
      <c r="C131" s="692" t="str">
        <f>[101]Source!F2737</f>
        <v>1.19-3-12</v>
      </c>
      <c r="D131" s="692" t="s">
        <v>467</v>
      </c>
      <c r="E131" s="693" t="str">
        <f>[101]Source!H2737</f>
        <v>м2</v>
      </c>
      <c r="F131" s="694">
        <f>[101]Source!I2737</f>
        <v>4.01</v>
      </c>
      <c r="G131" s="695">
        <f>[101]Source!AL2737</f>
        <v>125.64</v>
      </c>
      <c r="H131" s="696" t="str">
        <f>[101]Source!DD2737</f>
        <v/>
      </c>
      <c r="I131" s="694">
        <f>[101]Source!AW2737</f>
        <v>1</v>
      </c>
      <c r="J131" s="697">
        <f>ROUND((ROUND(([101]Source!AC2737*[101]Source!AW2737*[101]Source!I2737),2)),2)</f>
        <v>503.82</v>
      </c>
      <c r="K131" s="694">
        <f>IF([101]Source!BC2737&lt;&gt; 0, [101]Source!BC2737, 1)</f>
        <v>3.84</v>
      </c>
      <c r="L131" s="697">
        <f>[101]Source!P2737</f>
        <v>1934.67</v>
      </c>
      <c r="Q131" s="718">
        <f>ROUND(([101]Source!DN2737/100)*ROUND((ROUND(([101]Source!AF2737*[101]Source!AV2737*[101]Source!I2737),2)),2), 2)</f>
        <v>0</v>
      </c>
      <c r="R131" s="718">
        <f>[101]Source!X2737</f>
        <v>0</v>
      </c>
      <c r="S131" s="718">
        <f>ROUND(([101]Source!DO2737/100)*ROUND((ROUND(([101]Source!AF2737*[101]Source!AV2737*[101]Source!I2737),2)),2), 2)</f>
        <v>0</v>
      </c>
      <c r="T131" s="718">
        <f>[101]Source!Y2737</f>
        <v>0</v>
      </c>
      <c r="U131" s="718">
        <f>ROUND((175/100)*ROUND((ROUND(([101]Source!AE2737*[101]Source!AV2737*[101]Source!I2737),2)),2), 2)</f>
        <v>0</v>
      </c>
      <c r="V131" s="718">
        <f>ROUND((157/100)*ROUND(ROUND((ROUND(([101]Source!AE2737*[101]Source!AV2737*[101]Source!I2737),2)*[101]Source!BS2737),2), 2), 2)</f>
        <v>0</v>
      </c>
    </row>
    <row r="132" spans="1:27" ht="14.25" x14ac:dyDescent="0.2">
      <c r="A132" s="737"/>
      <c r="B132" s="737"/>
      <c r="C132" s="737"/>
      <c r="D132" s="737"/>
      <c r="E132" s="737"/>
      <c r="F132" s="737"/>
      <c r="G132" s="737"/>
      <c r="H132" s="737"/>
      <c r="I132" s="1067">
        <f>J131</f>
        <v>503.82</v>
      </c>
      <c r="J132" s="1067"/>
      <c r="K132" s="1067">
        <f>L131</f>
        <v>1934.67</v>
      </c>
      <c r="L132" s="1067"/>
      <c r="O132" s="736">
        <f>J131</f>
        <v>503.82</v>
      </c>
      <c r="P132" s="736">
        <f>L131</f>
        <v>1934.67</v>
      </c>
      <c r="X132" s="718">
        <f>IF([101]Source!BI2737&lt;=1,J131-0, 0)</f>
        <v>503.82</v>
      </c>
      <c r="Y132" s="718">
        <f>IF([101]Source!BI2737=2,J131-0, 0)</f>
        <v>0</v>
      </c>
      <c r="Z132" s="718">
        <f>IF([101]Source!BI2737=3,J131-0, 0)</f>
        <v>0</v>
      </c>
      <c r="AA132" s="718">
        <f>IF([101]Source!BI2737=4,J131,0)</f>
        <v>0</v>
      </c>
    </row>
    <row r="133" spans="1:27" ht="45" x14ac:dyDescent="0.25">
      <c r="A133" s="691">
        <v>18</v>
      </c>
      <c r="B133" s="691" t="str">
        <f>[101]Source!E2739</f>
        <v>441</v>
      </c>
      <c r="C133" s="692" t="str">
        <f>[101]Source!F2739</f>
        <v>1.19-3-13</v>
      </c>
      <c r="D133" s="692" t="s">
        <v>469</v>
      </c>
      <c r="E133" s="693" t="str">
        <f>[101]Source!H2739</f>
        <v>м2</v>
      </c>
      <c r="F133" s="694">
        <f>[101]Source!I2739</f>
        <v>9.1</v>
      </c>
      <c r="G133" s="695">
        <f>[101]Source!AL2739</f>
        <v>157.54</v>
      </c>
      <c r="H133" s="696" t="str">
        <f>[101]Source!DD2739</f>
        <v/>
      </c>
      <c r="I133" s="694">
        <f>[101]Source!AW2739</f>
        <v>1</v>
      </c>
      <c r="J133" s="697">
        <f>ROUND((ROUND(([101]Source!AC2739*[101]Source!AW2739*[101]Source!I2739),2)),2)</f>
        <v>1433.61</v>
      </c>
      <c r="K133" s="694">
        <f>IF([101]Source!BC2739&lt;&gt; 0, [101]Source!BC2739, 1)</f>
        <v>3.07</v>
      </c>
      <c r="L133" s="697">
        <f>[101]Source!P2739</f>
        <v>4401.18</v>
      </c>
      <c r="Q133" s="718">
        <f>ROUND(([101]Source!DN2739/100)*ROUND((ROUND(([101]Source!AF2739*[101]Source!AV2739*[101]Source!I2739),2)),2), 2)</f>
        <v>0</v>
      </c>
      <c r="R133" s="718">
        <f>[101]Source!X2739</f>
        <v>0</v>
      </c>
      <c r="S133" s="718">
        <f>ROUND(([101]Source!DO2739/100)*ROUND((ROUND(([101]Source!AF2739*[101]Source!AV2739*[101]Source!I2739),2)),2), 2)</f>
        <v>0</v>
      </c>
      <c r="T133" s="718">
        <f>[101]Source!Y2739</f>
        <v>0</v>
      </c>
      <c r="U133" s="718">
        <f>ROUND((175/100)*ROUND((ROUND(([101]Source!AE2739*[101]Source!AV2739*[101]Source!I2739),2)),2), 2)</f>
        <v>0</v>
      </c>
      <c r="V133" s="718">
        <f>ROUND((157/100)*ROUND(ROUND((ROUND(([101]Source!AE2739*[101]Source!AV2739*[101]Source!I2739),2)*[101]Source!BS2739),2), 2), 2)</f>
        <v>0</v>
      </c>
    </row>
    <row r="134" spans="1:27" ht="14.25" x14ac:dyDescent="0.2">
      <c r="A134" s="737"/>
      <c r="B134" s="737"/>
      <c r="C134" s="737"/>
      <c r="D134" s="737"/>
      <c r="E134" s="737"/>
      <c r="F134" s="737"/>
      <c r="G134" s="737"/>
      <c r="H134" s="737"/>
      <c r="I134" s="1067">
        <f>J133</f>
        <v>1433.61</v>
      </c>
      <c r="J134" s="1067"/>
      <c r="K134" s="1067">
        <f>L133</f>
        <v>4401.18</v>
      </c>
      <c r="L134" s="1067"/>
      <c r="O134" s="736">
        <f>J133</f>
        <v>1433.61</v>
      </c>
      <c r="P134" s="736">
        <f>L133</f>
        <v>4401.18</v>
      </c>
      <c r="X134" s="718">
        <f>IF([101]Source!BI2739&lt;=1,J133-0, 0)</f>
        <v>1433.61</v>
      </c>
      <c r="Y134" s="718">
        <f>IF([101]Source!BI2739=2,J133-0, 0)</f>
        <v>0</v>
      </c>
      <c r="Z134" s="718">
        <f>IF([101]Source!BI2739=3,J133-0, 0)</f>
        <v>0</v>
      </c>
      <c r="AA134" s="718">
        <f>IF([101]Source!BI2739=4,J133,0)</f>
        <v>0</v>
      </c>
    </row>
    <row r="135" spans="1:27" ht="75" x14ac:dyDescent="0.25">
      <c r="A135" s="691">
        <v>19</v>
      </c>
      <c r="B135" s="691" t="str">
        <f>[101]Source!E2741</f>
        <v>442</v>
      </c>
      <c r="C135" s="692" t="str">
        <f>[101]Source!F2741</f>
        <v>3.20-1-11</v>
      </c>
      <c r="D135" s="692" t="s">
        <v>470</v>
      </c>
      <c r="E135" s="693" t="str">
        <f>[101]Source!H2741</f>
        <v>100 м2 поверхности воздуховодов</v>
      </c>
      <c r="F135" s="694">
        <f>[101]Source!I2741</f>
        <v>3.9199999999999999E-2</v>
      </c>
      <c r="G135" s="695"/>
      <c r="H135" s="696"/>
      <c r="I135" s="694"/>
      <c r="J135" s="697"/>
      <c r="K135" s="694"/>
      <c r="L135" s="697"/>
      <c r="Q135" s="718">
        <f>ROUND(([101]Source!DN2741/100)*ROUND((ROUND(([101]Source!AF2741*[101]Source!AV2741*[101]Source!I2741),2)),2), 2)</f>
        <v>90.74</v>
      </c>
      <c r="R135" s="718">
        <f>[101]Source!X2741</f>
        <v>1758.86</v>
      </c>
      <c r="S135" s="718">
        <f>ROUND(([101]Source!DO2741/100)*ROUND((ROUND(([101]Source!AF2741*[101]Source!AV2741*[101]Source!I2741),2)),2), 2)</f>
        <v>68.23</v>
      </c>
      <c r="T135" s="718">
        <f>[101]Source!Y2741</f>
        <v>791.49</v>
      </c>
      <c r="U135" s="718">
        <f>ROUND((175/100)*ROUND((ROUND(([101]Source!AE2741*[101]Source!AV2741*[101]Source!I2741),2)),2), 2)</f>
        <v>1.31</v>
      </c>
      <c r="V135" s="718">
        <f>ROUND((157/100)*ROUND(ROUND((ROUND(([101]Source!AE2741*[101]Source!AV2741*[101]Source!I2741),2)*[101]Source!BS2741),2), 2), 2)</f>
        <v>28.53</v>
      </c>
    </row>
    <row r="136" spans="1:27" ht="15" x14ac:dyDescent="0.25">
      <c r="A136" s="691"/>
      <c r="B136" s="691"/>
      <c r="C136" s="692"/>
      <c r="D136" s="692" t="s">
        <v>84</v>
      </c>
      <c r="E136" s="693"/>
      <c r="F136" s="694"/>
      <c r="G136" s="695">
        <f>[101]Source!AO2741</f>
        <v>1039.18</v>
      </c>
      <c r="H136" s="696" t="str">
        <f>[101]Source!DG2741</f>
        <v>)*1,67</v>
      </c>
      <c r="I136" s="694">
        <f>[101]Source!AV2741</f>
        <v>1.0669999999999999</v>
      </c>
      <c r="J136" s="697">
        <f>ROUND((ROUND(([101]Source!AF2741*[101]Source!AV2741*[101]Source!I2741),2)),2)</f>
        <v>72.59</v>
      </c>
      <c r="K136" s="694">
        <f>IF([101]Source!BA2741&lt;&gt; 0, [101]Source!BA2741, 1)</f>
        <v>24.23</v>
      </c>
      <c r="L136" s="697">
        <f>[101]Source!S2741</f>
        <v>1758.86</v>
      </c>
      <c r="W136" s="718">
        <f>J136</f>
        <v>72.59</v>
      </c>
    </row>
    <row r="137" spans="1:27" ht="15" x14ac:dyDescent="0.25">
      <c r="A137" s="691"/>
      <c r="B137" s="691"/>
      <c r="C137" s="692"/>
      <c r="D137" s="692" t="s">
        <v>85</v>
      </c>
      <c r="E137" s="693"/>
      <c r="F137" s="694"/>
      <c r="G137" s="695">
        <f>[101]Source!AM2741</f>
        <v>87.46</v>
      </c>
      <c r="H137" s="696" t="str">
        <f>[101]Source!DE2741</f>
        <v/>
      </c>
      <c r="I137" s="694">
        <f>[101]Source!AV2741</f>
        <v>1.0669999999999999</v>
      </c>
      <c r="J137" s="697">
        <f>(ROUND((ROUND((([101]Source!ET2741)*[101]Source!AV2741*[101]Source!I2741),2)),2)+ROUND((ROUND((([101]Source!AE2741-([101]Source!EU2741))*[101]Source!AV2741*[101]Source!I2741),2)),2))-J147</f>
        <v>3.66</v>
      </c>
      <c r="K137" s="694">
        <f>IF([101]Source!BB2741&lt;&gt; 0, [101]Source!BB2741, 1)</f>
        <v>8.6</v>
      </c>
      <c r="L137" s="697">
        <f>[101]Source!Q2741-L147</f>
        <v>31.49</v>
      </c>
    </row>
    <row r="138" spans="1:27" ht="15" x14ac:dyDescent="0.25">
      <c r="A138" s="691"/>
      <c r="B138" s="691"/>
      <c r="C138" s="692"/>
      <c r="D138" s="692" t="s">
        <v>86</v>
      </c>
      <c r="E138" s="693"/>
      <c r="F138" s="694"/>
      <c r="G138" s="695">
        <f>[101]Source!AN2741</f>
        <v>10.69</v>
      </c>
      <c r="H138" s="696" t="str">
        <f>[101]Source!DE2741</f>
        <v/>
      </c>
      <c r="I138" s="694">
        <f>[101]Source!AV2741</f>
        <v>1.0669999999999999</v>
      </c>
      <c r="J138" s="700">
        <f>ROUND((ROUND(([101]Source!AE2741*[101]Source!AV2741*[101]Source!I2741),2)),2)-J148</f>
        <v>0.45</v>
      </c>
      <c r="K138" s="694">
        <f>IF([101]Source!BS2741&lt;&gt; 0, [101]Source!BS2741, 1)</f>
        <v>24.23</v>
      </c>
      <c r="L138" s="700">
        <f>[101]Source!R2741-L148</f>
        <v>10.91</v>
      </c>
      <c r="W138" s="718">
        <f>J138</f>
        <v>0.45</v>
      </c>
    </row>
    <row r="139" spans="1:27" ht="15" x14ac:dyDescent="0.25">
      <c r="A139" s="691"/>
      <c r="B139" s="691"/>
      <c r="C139" s="692"/>
      <c r="D139" s="692" t="s">
        <v>87</v>
      </c>
      <c r="E139" s="693"/>
      <c r="F139" s="694"/>
      <c r="G139" s="695">
        <f>[101]Source!AL2741</f>
        <v>409.71</v>
      </c>
      <c r="H139" s="696" t="str">
        <f>[101]Source!DD2741</f>
        <v/>
      </c>
      <c r="I139" s="694">
        <f>[101]Source!AW2741</f>
        <v>1</v>
      </c>
      <c r="J139" s="697">
        <f>ROUND((ROUND(([101]Source!AC2741*[101]Source!AW2741*[101]Source!I2741),2)),2)</f>
        <v>16.059999999999999</v>
      </c>
      <c r="K139" s="694">
        <f>IF([101]Source!BC2741&lt;&gt; 0, [101]Source!BC2741, 1)</f>
        <v>3.31</v>
      </c>
      <c r="L139" s="697">
        <f>[101]Source!P2741</f>
        <v>53.16</v>
      </c>
    </row>
    <row r="140" spans="1:27" ht="45" x14ac:dyDescent="0.25">
      <c r="A140" s="691">
        <v>20</v>
      </c>
      <c r="B140" s="691" t="str">
        <f>[101]Source!E2743</f>
        <v>442,1</v>
      </c>
      <c r="C140" s="692" t="str">
        <f>[101]Source!F2743</f>
        <v>1.19-3-13</v>
      </c>
      <c r="D140" s="692" t="s">
        <v>469</v>
      </c>
      <c r="E140" s="693" t="str">
        <f>[101]Source!H2743</f>
        <v>м2</v>
      </c>
      <c r="F140" s="694">
        <f>[101]Source!I2743</f>
        <v>3.92</v>
      </c>
      <c r="G140" s="695">
        <f>[101]Source!AK2743</f>
        <v>157.54</v>
      </c>
      <c r="H140" s="734" t="s">
        <v>42</v>
      </c>
      <c r="I140" s="694">
        <f>[101]Source!AW2743</f>
        <v>1</v>
      </c>
      <c r="J140" s="697">
        <f>ROUND((ROUND(([101]Source!AC2743*[101]Source!AW2743*[101]Source!I2743),2)),2)+(ROUND((ROUND((([101]Source!ET2743)*[101]Source!AV2743*[101]Source!I2743),2)),2)+ROUND((ROUND((([101]Source!AE2743-([101]Source!EU2743))*[101]Source!AV2743*[101]Source!I2743),2)),2))+ROUND((ROUND(([101]Source!AF2743*[101]Source!AV2743*[101]Source!I2743),2)),2)</f>
        <v>617.55999999999995</v>
      </c>
      <c r="K140" s="694">
        <f>IF([101]Source!BC2743&lt;&gt; 0, [101]Source!BC2743, 1)</f>
        <v>3.07</v>
      </c>
      <c r="L140" s="697">
        <f>[101]Source!O2743</f>
        <v>1895.91</v>
      </c>
      <c r="Q140" s="718">
        <f>ROUND(([101]Source!DN2743/100)*ROUND((ROUND(([101]Source!AF2743*[101]Source!AV2743*[101]Source!I2743),2)),2), 2)</f>
        <v>0</v>
      </c>
      <c r="R140" s="718">
        <f>[101]Source!X2743</f>
        <v>0</v>
      </c>
      <c r="S140" s="718">
        <f>ROUND(([101]Source!DO2743/100)*ROUND((ROUND(([101]Source!AF2743*[101]Source!AV2743*[101]Source!I2743),2)),2), 2)</f>
        <v>0</v>
      </c>
      <c r="T140" s="718">
        <f>[101]Source!Y2743</f>
        <v>0</v>
      </c>
      <c r="U140" s="718">
        <f>ROUND((175/100)*ROUND((ROUND(([101]Source!AE2743*[101]Source!AV2743*[101]Source!I2743),2)),2), 2)</f>
        <v>0</v>
      </c>
      <c r="V140" s="718">
        <f>ROUND((157/100)*ROUND(ROUND((ROUND(([101]Source!AE2743*[101]Source!AV2743*[101]Source!I2743),2)*[101]Source!BS2743),2), 2), 2)</f>
        <v>0</v>
      </c>
      <c r="X140" s="718">
        <f>IF([101]Source!BI2743&lt;=1,J140, 0)</f>
        <v>617.55999999999995</v>
      </c>
      <c r="Y140" s="718">
        <f>IF([101]Source!BI2743=2,J140, 0)</f>
        <v>0</v>
      </c>
      <c r="Z140" s="718">
        <f>IF([101]Source!BI2743=3,J140, 0)</f>
        <v>0</v>
      </c>
      <c r="AA140" s="718">
        <f>IF([101]Source!BI2743=4,J140, 0)</f>
        <v>0</v>
      </c>
    </row>
    <row r="141" spans="1:27" ht="15" x14ac:dyDescent="0.25">
      <c r="A141" s="691"/>
      <c r="B141" s="691"/>
      <c r="C141" s="692"/>
      <c r="D141" s="692" t="s">
        <v>88</v>
      </c>
      <c r="E141" s="693" t="s">
        <v>89</v>
      </c>
      <c r="F141" s="694">
        <f>[101]Source!DN2741</f>
        <v>125</v>
      </c>
      <c r="G141" s="695"/>
      <c r="H141" s="696"/>
      <c r="I141" s="694"/>
      <c r="J141" s="697">
        <f>SUM(Q135:Q140)</f>
        <v>90.74</v>
      </c>
      <c r="K141" s="694">
        <f>[101]Source!BZ2741</f>
        <v>100</v>
      </c>
      <c r="L141" s="697">
        <f>SUM(R135:R140)</f>
        <v>1758.86</v>
      </c>
    </row>
    <row r="142" spans="1:27" ht="15" x14ac:dyDescent="0.25">
      <c r="A142" s="691"/>
      <c r="B142" s="691"/>
      <c r="C142" s="692"/>
      <c r="D142" s="692" t="s">
        <v>90</v>
      </c>
      <c r="E142" s="693" t="s">
        <v>89</v>
      </c>
      <c r="F142" s="694">
        <f>[101]Source!DO2741</f>
        <v>94</v>
      </c>
      <c r="G142" s="695"/>
      <c r="H142" s="696"/>
      <c r="I142" s="694"/>
      <c r="J142" s="697">
        <f>SUM(S135:S141)</f>
        <v>68.23</v>
      </c>
      <c r="K142" s="694">
        <f>[101]Source!CA2741</f>
        <v>45</v>
      </c>
      <c r="L142" s="697">
        <f>SUM(T135:T141)</f>
        <v>791.49</v>
      </c>
    </row>
    <row r="143" spans="1:27" ht="15" x14ac:dyDescent="0.25">
      <c r="A143" s="691"/>
      <c r="B143" s="691"/>
      <c r="C143" s="692"/>
      <c r="D143" s="692" t="s">
        <v>91</v>
      </c>
      <c r="E143" s="693" t="s">
        <v>89</v>
      </c>
      <c r="F143" s="694">
        <f>175</f>
        <v>175</v>
      </c>
      <c r="G143" s="695"/>
      <c r="H143" s="696"/>
      <c r="I143" s="694"/>
      <c r="J143" s="697">
        <f>SUM(U135:U142)-J149</f>
        <v>0.78</v>
      </c>
      <c r="K143" s="694">
        <f>157</f>
        <v>157</v>
      </c>
      <c r="L143" s="697">
        <f>SUM(V135:V142)-L149</f>
        <v>17.13</v>
      </c>
    </row>
    <row r="144" spans="1:27" ht="15" x14ac:dyDescent="0.25">
      <c r="A144" s="691"/>
      <c r="B144" s="691"/>
      <c r="C144" s="692"/>
      <c r="D144" s="692" t="s">
        <v>92</v>
      </c>
      <c r="E144" s="693" t="s">
        <v>93</v>
      </c>
      <c r="F144" s="694">
        <f>[101]Source!AQ2741</f>
        <v>91.8</v>
      </c>
      <c r="G144" s="695"/>
      <c r="H144" s="696" t="str">
        <f>[101]Source!DI2741</f>
        <v/>
      </c>
      <c r="I144" s="694">
        <f>[101]Source!AV2741</f>
        <v>1.0669999999999999</v>
      </c>
      <c r="J144" s="697">
        <f>[101]Source!U2741</f>
        <v>3.84</v>
      </c>
      <c r="K144" s="694"/>
      <c r="L144" s="697"/>
    </row>
    <row r="145" spans="1:27" ht="14.25" x14ac:dyDescent="0.2">
      <c r="I145" s="1067">
        <f>J136+J137+J139+J141+J142+J143+SUM(J140:J140)</f>
        <v>869.62</v>
      </c>
      <c r="J145" s="1067"/>
      <c r="K145" s="1067">
        <f>L136+L137+L139+L141+L142+L143+SUM(L140:L140)</f>
        <v>6306.9</v>
      </c>
      <c r="L145" s="1067"/>
      <c r="O145" s="736">
        <f>J136+J137+J139+J141+J142+J143+SUM(J140:J140)</f>
        <v>869.62</v>
      </c>
      <c r="P145" s="736">
        <f>L136+L137+L139+L141+L142+L143+SUM(L140:L140)</f>
        <v>6306.9</v>
      </c>
      <c r="X145" s="718">
        <f>IF([101]Source!BI2741&lt;=1,J136+J137+J139+J141+J142+J143-0, 0)</f>
        <v>252.06</v>
      </c>
      <c r="Y145" s="718">
        <f>IF([101]Source!BI2741=2,J136+J137+J139+J141+J142+J143-0, 0)</f>
        <v>0</v>
      </c>
      <c r="Z145" s="718">
        <f>IF([101]Source!BI2741=3,J136+J137+J139+J141+J142+J143-0, 0)</f>
        <v>0</v>
      </c>
      <c r="AA145" s="718">
        <f>IF([101]Source!BI2741=4,J136+J137+J139+J141+J142+J143,0)</f>
        <v>0</v>
      </c>
    </row>
    <row r="146" spans="1:27" ht="30" x14ac:dyDescent="0.25">
      <c r="A146" s="701"/>
      <c r="B146" s="701"/>
      <c r="C146" s="702"/>
      <c r="D146" s="702" t="s">
        <v>94</v>
      </c>
      <c r="E146" s="693"/>
      <c r="F146" s="703"/>
      <c r="G146" s="704"/>
      <c r="H146" s="693"/>
      <c r="I146" s="703"/>
      <c r="J146" s="700"/>
      <c r="K146" s="703"/>
      <c r="L146" s="700"/>
    </row>
    <row r="147" spans="1:27" ht="15" x14ac:dyDescent="0.25">
      <c r="A147" s="701"/>
      <c r="B147" s="701"/>
      <c r="C147" s="702"/>
      <c r="D147" s="702" t="s">
        <v>85</v>
      </c>
      <c r="E147" s="693"/>
      <c r="F147" s="703"/>
      <c r="G147" s="704">
        <f t="shared" ref="G147:L147" si="5">G148</f>
        <v>10.69</v>
      </c>
      <c r="H147" s="705" t="str">
        <f t="shared" si="5"/>
        <v>)*(1.67-1)</v>
      </c>
      <c r="I147" s="703">
        <f t="shared" si="5"/>
        <v>1.0669999999999999</v>
      </c>
      <c r="J147" s="700">
        <f t="shared" si="5"/>
        <v>0.3</v>
      </c>
      <c r="K147" s="703">
        <f t="shared" si="5"/>
        <v>24.23</v>
      </c>
      <c r="L147" s="700">
        <f t="shared" si="5"/>
        <v>7.26</v>
      </c>
    </row>
    <row r="148" spans="1:27" ht="15" x14ac:dyDescent="0.25">
      <c r="A148" s="701"/>
      <c r="B148" s="701"/>
      <c r="C148" s="702"/>
      <c r="D148" s="702" t="s">
        <v>86</v>
      </c>
      <c r="E148" s="693"/>
      <c r="F148" s="703"/>
      <c r="G148" s="704">
        <f>[101]Source!AN2741</f>
        <v>10.69</v>
      </c>
      <c r="H148" s="705" t="s">
        <v>95</v>
      </c>
      <c r="I148" s="703">
        <f>[101]Source!AV2741</f>
        <v>1.0669999999999999</v>
      </c>
      <c r="J148" s="700">
        <f>ROUND(F135*G148*I148*(1.67-1), 2)</f>
        <v>0.3</v>
      </c>
      <c r="K148" s="703">
        <f>IF([101]Source!BS2741&lt;&gt; 0, [101]Source!BS2741, 1)</f>
        <v>24.23</v>
      </c>
      <c r="L148" s="700">
        <f>ROUND(F135*G148*I148*(1.67-1)*K148, 2)</f>
        <v>7.26</v>
      </c>
      <c r="W148" s="718">
        <f>J148</f>
        <v>0.3</v>
      </c>
    </row>
    <row r="149" spans="1:27" ht="15" x14ac:dyDescent="0.25">
      <c r="A149" s="701"/>
      <c r="B149" s="701"/>
      <c r="C149" s="702"/>
      <c r="D149" s="702" t="s">
        <v>91</v>
      </c>
      <c r="E149" s="693" t="s">
        <v>89</v>
      </c>
      <c r="F149" s="703">
        <f>175</f>
        <v>175</v>
      </c>
      <c r="G149" s="704"/>
      <c r="H149" s="693"/>
      <c r="I149" s="703"/>
      <c r="J149" s="700">
        <f>ROUND(J148*(F149/100), 2)</f>
        <v>0.53</v>
      </c>
      <c r="K149" s="703">
        <f>157</f>
        <v>157</v>
      </c>
      <c r="L149" s="700">
        <f>ROUND(L148*(K149/100), 2)</f>
        <v>11.4</v>
      </c>
    </row>
    <row r="150" spans="1:27" ht="14.25" x14ac:dyDescent="0.2">
      <c r="I150" s="1067">
        <f>J149+J148</f>
        <v>0.83</v>
      </c>
      <c r="J150" s="1067"/>
      <c r="K150" s="1067">
        <f>L149+L148</f>
        <v>18.66</v>
      </c>
      <c r="L150" s="1067"/>
      <c r="O150" s="736">
        <f>I150</f>
        <v>0.83</v>
      </c>
      <c r="P150" s="736">
        <f>K150</f>
        <v>18.66</v>
      </c>
      <c r="X150" s="718">
        <f>IF([101]Source!BI2741&lt;=1,I150, 0)</f>
        <v>0.83</v>
      </c>
      <c r="Y150" s="718">
        <f>IF([101]Source!BI2741=2,I150, 0)</f>
        <v>0</v>
      </c>
      <c r="Z150" s="718">
        <f>IF([101]Source!BI2741=3,I150, 0)</f>
        <v>0</v>
      </c>
      <c r="AA150" s="718">
        <f>IF([101]Source!BI2741=4,I150, 0)</f>
        <v>0</v>
      </c>
    </row>
    <row r="152" spans="1:27" ht="15" x14ac:dyDescent="0.25">
      <c r="A152" s="706"/>
      <c r="B152" s="706"/>
      <c r="C152" s="707"/>
      <c r="D152" s="707" t="s">
        <v>96</v>
      </c>
      <c r="E152" s="708"/>
      <c r="F152" s="709"/>
      <c r="G152" s="710"/>
      <c r="H152" s="711"/>
      <c r="I152" s="1067">
        <f>I145+I150</f>
        <v>870.45</v>
      </c>
      <c r="J152" s="1067"/>
      <c r="K152" s="1067">
        <f>K145+K150</f>
        <v>6325.56</v>
      </c>
      <c r="L152" s="1067"/>
    </row>
    <row r="153" spans="1:27" ht="75" x14ac:dyDescent="0.25">
      <c r="A153" s="691">
        <v>21</v>
      </c>
      <c r="B153" s="691" t="str">
        <f>[101]Source!E2765</f>
        <v>448</v>
      </c>
      <c r="C153" s="692" t="str">
        <f>[101]Source!F2765</f>
        <v>3.20-1-10</v>
      </c>
      <c r="D153" s="692" t="s">
        <v>468</v>
      </c>
      <c r="E153" s="693" t="str">
        <f>[101]Source!H2765</f>
        <v>100 м2 поверхности воздуховодов</v>
      </c>
      <c r="F153" s="694">
        <f>[101]Source!I2765</f>
        <v>0.21199999999999999</v>
      </c>
      <c r="G153" s="695"/>
      <c r="H153" s="696"/>
      <c r="I153" s="694"/>
      <c r="J153" s="697"/>
      <c r="K153" s="694"/>
      <c r="L153" s="697"/>
      <c r="Q153" s="718">
        <f>ROUND(([101]Source!DN2765/100)*ROUND((ROUND(([101]Source!AF2765*[101]Source!AV2765*[101]Source!I2765),2)),2), 2)</f>
        <v>652.13</v>
      </c>
      <c r="R153" s="718">
        <f>[101]Source!X2765</f>
        <v>12640.79</v>
      </c>
      <c r="S153" s="718">
        <f>ROUND(([101]Source!DO2765/100)*ROUND((ROUND(([101]Source!AF2765*[101]Source!AV2765*[101]Source!I2765),2)),2), 2)</f>
        <v>490.4</v>
      </c>
      <c r="T153" s="718">
        <f>[101]Source!Y2765</f>
        <v>5688.36</v>
      </c>
      <c r="U153" s="718">
        <f>ROUND((175/100)*ROUND((ROUND(([101]Source!AE2765*[101]Source!AV2765*[101]Source!I2765),2)),2), 2)</f>
        <v>9.4499999999999993</v>
      </c>
      <c r="V153" s="718">
        <f>ROUND((157/100)*ROUND(ROUND((ROUND(([101]Source!AE2765*[101]Source!AV2765*[101]Source!I2765),2)*[101]Source!BS2765),2), 2), 2)</f>
        <v>205.42</v>
      </c>
    </row>
    <row r="154" spans="1:27" ht="15" x14ac:dyDescent="0.25">
      <c r="A154" s="691"/>
      <c r="B154" s="691"/>
      <c r="C154" s="692"/>
      <c r="D154" s="692" t="s">
        <v>84</v>
      </c>
      <c r="E154" s="693"/>
      <c r="F154" s="694"/>
      <c r="G154" s="695">
        <f>[101]Source!AO2765</f>
        <v>1381.04</v>
      </c>
      <c r="H154" s="696" t="str">
        <f>[101]Source!DG2765</f>
        <v>)*1,67</v>
      </c>
      <c r="I154" s="694">
        <f>[101]Source!AV2765</f>
        <v>1.0669999999999999</v>
      </c>
      <c r="J154" s="697">
        <f>ROUND((ROUND(([101]Source!AF2765*[101]Source!AV2765*[101]Source!I2765),2)),2)</f>
        <v>521.70000000000005</v>
      </c>
      <c r="K154" s="694">
        <f>IF([101]Source!BA2765&lt;&gt; 0, [101]Source!BA2765, 1)</f>
        <v>24.23</v>
      </c>
      <c r="L154" s="697">
        <f>[101]Source!S2765</f>
        <v>12640.79</v>
      </c>
      <c r="W154" s="718">
        <f>J154</f>
        <v>521.70000000000005</v>
      </c>
    </row>
    <row r="155" spans="1:27" ht="15" x14ac:dyDescent="0.25">
      <c r="A155" s="691"/>
      <c r="B155" s="691"/>
      <c r="C155" s="692"/>
      <c r="D155" s="692" t="s">
        <v>85</v>
      </c>
      <c r="E155" s="693"/>
      <c r="F155" s="694"/>
      <c r="G155" s="695">
        <f>[101]Source!AM2765</f>
        <v>116.7</v>
      </c>
      <c r="H155" s="696" t="str">
        <f>[101]Source!DE2765</f>
        <v/>
      </c>
      <c r="I155" s="694">
        <f>[101]Source!AV2765</f>
        <v>1.0669999999999999</v>
      </c>
      <c r="J155" s="697">
        <f>(ROUND((ROUND((([101]Source!ET2765)*[101]Source!AV2765*[101]Source!I2765),2)),2)+ROUND((ROUND((([101]Source!AE2765-([101]Source!EU2765))*[101]Source!AV2765*[101]Source!I2765),2)),2))-J164</f>
        <v>26.4</v>
      </c>
      <c r="K155" s="694">
        <f>IF([101]Source!BB2765&lt;&gt; 0, [101]Source!BB2765, 1)</f>
        <v>8.59</v>
      </c>
      <c r="L155" s="697">
        <f>[101]Source!Q2765-L164</f>
        <v>226.88</v>
      </c>
    </row>
    <row r="156" spans="1:27" ht="15" x14ac:dyDescent="0.25">
      <c r="A156" s="691"/>
      <c r="B156" s="691"/>
      <c r="C156" s="692"/>
      <c r="D156" s="692" t="s">
        <v>86</v>
      </c>
      <c r="E156" s="693"/>
      <c r="F156" s="694"/>
      <c r="G156" s="695">
        <f>[101]Source!AN2765</f>
        <v>14.29</v>
      </c>
      <c r="H156" s="696" t="str">
        <f>[101]Source!DE2765</f>
        <v/>
      </c>
      <c r="I156" s="694">
        <f>[101]Source!AV2765</f>
        <v>1.0669999999999999</v>
      </c>
      <c r="J156" s="700">
        <f>ROUND((ROUND(([101]Source!AE2765*[101]Source!AV2765*[101]Source!I2765),2)),2)-J165</f>
        <v>3.23</v>
      </c>
      <c r="K156" s="694">
        <f>IF([101]Source!BS2765&lt;&gt; 0, [101]Source!BS2765, 1)</f>
        <v>24.23</v>
      </c>
      <c r="L156" s="700">
        <f>[101]Source!R2765-L165</f>
        <v>78.36</v>
      </c>
      <c r="W156" s="718">
        <f>J156</f>
        <v>3.23</v>
      </c>
    </row>
    <row r="157" spans="1:27" ht="15" x14ac:dyDescent="0.25">
      <c r="A157" s="691"/>
      <c r="B157" s="691"/>
      <c r="C157" s="692"/>
      <c r="D157" s="692" t="s">
        <v>87</v>
      </c>
      <c r="E157" s="693"/>
      <c r="F157" s="694"/>
      <c r="G157" s="695">
        <f>[101]Source!AL2765</f>
        <v>599.72</v>
      </c>
      <c r="H157" s="696" t="str">
        <f>[101]Source!DD2765</f>
        <v/>
      </c>
      <c r="I157" s="694">
        <f>[101]Source!AW2765</f>
        <v>1</v>
      </c>
      <c r="J157" s="697">
        <f>ROUND((ROUND(([101]Source!AC2765*[101]Source!AW2765*[101]Source!I2765),2)),2)</f>
        <v>127.14</v>
      </c>
      <c r="K157" s="694">
        <f>IF([101]Source!BC2765&lt;&gt; 0, [101]Source!BC2765, 1)</f>
        <v>4.18</v>
      </c>
      <c r="L157" s="697">
        <f>[101]Source!P2765</f>
        <v>531.45000000000005</v>
      </c>
    </row>
    <row r="158" spans="1:27" ht="15" x14ac:dyDescent="0.25">
      <c r="A158" s="691"/>
      <c r="B158" s="691"/>
      <c r="C158" s="692"/>
      <c r="D158" s="692" t="s">
        <v>88</v>
      </c>
      <c r="E158" s="693" t="s">
        <v>89</v>
      </c>
      <c r="F158" s="694">
        <f>[101]Source!DN2765</f>
        <v>125</v>
      </c>
      <c r="G158" s="695"/>
      <c r="H158" s="696"/>
      <c r="I158" s="694"/>
      <c r="J158" s="697">
        <f>SUM(Q153:Q157)</f>
        <v>652.13</v>
      </c>
      <c r="K158" s="694">
        <f>[101]Source!BZ2765</f>
        <v>100</v>
      </c>
      <c r="L158" s="697">
        <f>SUM(R153:R157)</f>
        <v>12640.79</v>
      </c>
    </row>
    <row r="159" spans="1:27" ht="15" x14ac:dyDescent="0.25">
      <c r="A159" s="691"/>
      <c r="B159" s="691"/>
      <c r="C159" s="692"/>
      <c r="D159" s="692" t="s">
        <v>90</v>
      </c>
      <c r="E159" s="693" t="s">
        <v>89</v>
      </c>
      <c r="F159" s="694">
        <f>[101]Source!DO2765</f>
        <v>94</v>
      </c>
      <c r="G159" s="695"/>
      <c r="H159" s="696"/>
      <c r="I159" s="694"/>
      <c r="J159" s="697">
        <f>SUM(S153:S158)</f>
        <v>490.4</v>
      </c>
      <c r="K159" s="694">
        <f>[101]Source!CA2765</f>
        <v>45</v>
      </c>
      <c r="L159" s="697">
        <f>SUM(T153:T158)</f>
        <v>5688.36</v>
      </c>
    </row>
    <row r="160" spans="1:27" ht="15" x14ac:dyDescent="0.25">
      <c r="A160" s="691"/>
      <c r="B160" s="691"/>
      <c r="C160" s="692"/>
      <c r="D160" s="692" t="s">
        <v>91</v>
      </c>
      <c r="E160" s="693" t="s">
        <v>89</v>
      </c>
      <c r="F160" s="694">
        <f>175</f>
        <v>175</v>
      </c>
      <c r="G160" s="695"/>
      <c r="H160" s="696"/>
      <c r="I160" s="694"/>
      <c r="J160" s="697">
        <f>SUM(U153:U159)-J166</f>
        <v>5.65</v>
      </c>
      <c r="K160" s="694">
        <f>157</f>
        <v>157</v>
      </c>
      <c r="L160" s="697">
        <f>SUM(V153:V159)-L166</f>
        <v>123.03</v>
      </c>
    </row>
    <row r="161" spans="1:27" ht="15" x14ac:dyDescent="0.25">
      <c r="A161" s="691"/>
      <c r="B161" s="691"/>
      <c r="C161" s="692"/>
      <c r="D161" s="692" t="s">
        <v>92</v>
      </c>
      <c r="E161" s="693" t="s">
        <v>93</v>
      </c>
      <c r="F161" s="694">
        <f>[101]Source!AQ2765</f>
        <v>122</v>
      </c>
      <c r="G161" s="695"/>
      <c r="H161" s="696" t="str">
        <f>[101]Source!DI2765</f>
        <v/>
      </c>
      <c r="I161" s="694">
        <f>[101]Source!AV2765</f>
        <v>1.0669999999999999</v>
      </c>
      <c r="J161" s="697">
        <f>[101]Source!U2765</f>
        <v>27.6</v>
      </c>
      <c r="K161" s="694"/>
      <c r="L161" s="697"/>
    </row>
    <row r="162" spans="1:27" ht="14.25" x14ac:dyDescent="0.2">
      <c r="I162" s="1067">
        <f>J154+J155+J157+J158+J159+J160</f>
        <v>1823.42</v>
      </c>
      <c r="J162" s="1067"/>
      <c r="K162" s="1067">
        <f>L154+L155+L157+L158+L159+L160</f>
        <v>31851.3</v>
      </c>
      <c r="L162" s="1067"/>
      <c r="O162" s="736">
        <f>J154+J155+J157+J158+J159+J160</f>
        <v>1823.42</v>
      </c>
      <c r="P162" s="736">
        <f>L154+L155+L157+L158+L159+L160</f>
        <v>31851.3</v>
      </c>
      <c r="X162" s="718">
        <f>IF([101]Source!BI2765&lt;=1,J154+J155+J157+J158+J159+J160-0, 0)</f>
        <v>1823.42</v>
      </c>
      <c r="Y162" s="718">
        <f>IF([101]Source!BI2765=2,J154+J155+J157+J158+J159+J160-0, 0)</f>
        <v>0</v>
      </c>
      <c r="Z162" s="718">
        <f>IF([101]Source!BI2765=3,J154+J155+J157+J158+J159+J160-0, 0)</f>
        <v>0</v>
      </c>
      <c r="AA162" s="718">
        <f>IF([101]Source!BI2765=4,J154+J155+J157+J158+J159+J160,0)</f>
        <v>0</v>
      </c>
    </row>
    <row r="163" spans="1:27" ht="30" x14ac:dyDescent="0.25">
      <c r="A163" s="701"/>
      <c r="B163" s="701"/>
      <c r="C163" s="702"/>
      <c r="D163" s="702" t="s">
        <v>94</v>
      </c>
      <c r="E163" s="693"/>
      <c r="F163" s="703"/>
      <c r="G163" s="704"/>
      <c r="H163" s="693"/>
      <c r="I163" s="703"/>
      <c r="J163" s="700"/>
      <c r="K163" s="703"/>
      <c r="L163" s="700"/>
    </row>
    <row r="164" spans="1:27" ht="15" x14ac:dyDescent="0.25">
      <c r="A164" s="701"/>
      <c r="B164" s="701"/>
      <c r="C164" s="702"/>
      <c r="D164" s="702" t="s">
        <v>85</v>
      </c>
      <c r="E164" s="693"/>
      <c r="F164" s="703"/>
      <c r="G164" s="704">
        <f t="shared" ref="G164:L164" si="6">G165</f>
        <v>14.29</v>
      </c>
      <c r="H164" s="705" t="str">
        <f t="shared" si="6"/>
        <v>)*(1.67-1)</v>
      </c>
      <c r="I164" s="703">
        <f t="shared" si="6"/>
        <v>1.0669999999999999</v>
      </c>
      <c r="J164" s="700">
        <f t="shared" si="6"/>
        <v>2.17</v>
      </c>
      <c r="K164" s="703">
        <f t="shared" si="6"/>
        <v>24.23</v>
      </c>
      <c r="L164" s="700">
        <f t="shared" si="6"/>
        <v>52.48</v>
      </c>
    </row>
    <row r="165" spans="1:27" ht="15" x14ac:dyDescent="0.25">
      <c r="A165" s="701"/>
      <c r="B165" s="701"/>
      <c r="C165" s="702"/>
      <c r="D165" s="702" t="s">
        <v>86</v>
      </c>
      <c r="E165" s="693"/>
      <c r="F165" s="703"/>
      <c r="G165" s="704">
        <f>[101]Source!AN2765</f>
        <v>14.29</v>
      </c>
      <c r="H165" s="705" t="s">
        <v>95</v>
      </c>
      <c r="I165" s="703">
        <f>[101]Source!AV2765</f>
        <v>1.0669999999999999</v>
      </c>
      <c r="J165" s="700">
        <f>ROUND(F153*G165*I165*(1.67-1), 2)</f>
        <v>2.17</v>
      </c>
      <c r="K165" s="703">
        <f>IF([101]Source!BS2765&lt;&gt; 0, [101]Source!BS2765, 1)</f>
        <v>24.23</v>
      </c>
      <c r="L165" s="700">
        <f>ROUND(F153*G165*I165*(1.67-1)*K165, 2)</f>
        <v>52.48</v>
      </c>
      <c r="W165" s="718">
        <f>J165</f>
        <v>2.17</v>
      </c>
    </row>
    <row r="166" spans="1:27" ht="15" x14ac:dyDescent="0.25">
      <c r="A166" s="701"/>
      <c r="B166" s="701"/>
      <c r="C166" s="702"/>
      <c r="D166" s="702" t="s">
        <v>91</v>
      </c>
      <c r="E166" s="693" t="s">
        <v>89</v>
      </c>
      <c r="F166" s="703">
        <f>175</f>
        <v>175</v>
      </c>
      <c r="G166" s="704"/>
      <c r="H166" s="693"/>
      <c r="I166" s="703"/>
      <c r="J166" s="700">
        <f>ROUND(J165*(F166/100), 2)</f>
        <v>3.8</v>
      </c>
      <c r="K166" s="703">
        <f>157</f>
        <v>157</v>
      </c>
      <c r="L166" s="700">
        <f>ROUND(L165*(K166/100), 2)</f>
        <v>82.39</v>
      </c>
    </row>
    <row r="167" spans="1:27" ht="14.25" x14ac:dyDescent="0.2">
      <c r="I167" s="1067">
        <f>J166+J165</f>
        <v>5.97</v>
      </c>
      <c r="J167" s="1067"/>
      <c r="K167" s="1067">
        <f>L166+L165</f>
        <v>134.87</v>
      </c>
      <c r="L167" s="1067"/>
      <c r="O167" s="736">
        <f>I167</f>
        <v>5.97</v>
      </c>
      <c r="P167" s="736">
        <f>K167</f>
        <v>134.87</v>
      </c>
      <c r="X167" s="718">
        <f>IF([101]Source!BI2765&lt;=1,I167, 0)</f>
        <v>5.97</v>
      </c>
      <c r="Y167" s="718">
        <f>IF([101]Source!BI2765=2,I167, 0)</f>
        <v>0</v>
      </c>
      <c r="Z167" s="718">
        <f>IF([101]Source!BI2765=3,I167, 0)</f>
        <v>0</v>
      </c>
      <c r="AA167" s="718">
        <f>IF([101]Source!BI2765=4,I167, 0)</f>
        <v>0</v>
      </c>
    </row>
    <row r="169" spans="1:27" ht="15" x14ac:dyDescent="0.25">
      <c r="A169" s="706"/>
      <c r="B169" s="706"/>
      <c r="C169" s="707"/>
      <c r="D169" s="707" t="s">
        <v>96</v>
      </c>
      <c r="E169" s="708"/>
      <c r="F169" s="709"/>
      <c r="G169" s="710"/>
      <c r="H169" s="711"/>
      <c r="I169" s="1067">
        <f>I162+I167</f>
        <v>1829.39</v>
      </c>
      <c r="J169" s="1067"/>
      <c r="K169" s="1067">
        <f>K162+K167</f>
        <v>31986.17</v>
      </c>
      <c r="L169" s="1067"/>
    </row>
    <row r="170" spans="1:27" ht="45" x14ac:dyDescent="0.25">
      <c r="A170" s="691">
        <v>22</v>
      </c>
      <c r="B170" s="691" t="str">
        <f>[101]Source!E2767</f>
        <v>449</v>
      </c>
      <c r="C170" s="692" t="str">
        <f>[101]Source!F2767</f>
        <v>1.19-3-12</v>
      </c>
      <c r="D170" s="692" t="s">
        <v>467</v>
      </c>
      <c r="E170" s="693" t="str">
        <f>[101]Source!H2767</f>
        <v>м2</v>
      </c>
      <c r="F170" s="694">
        <f>[101]Source!I2767</f>
        <v>16.95</v>
      </c>
      <c r="G170" s="695">
        <f>[101]Source!AL2767</f>
        <v>125.64</v>
      </c>
      <c r="H170" s="696" t="str">
        <f>[101]Source!DD2767</f>
        <v/>
      </c>
      <c r="I170" s="694">
        <f>[101]Source!AW2767</f>
        <v>1</v>
      </c>
      <c r="J170" s="697">
        <f>ROUND((ROUND(([101]Source!AC2767*[101]Source!AW2767*[101]Source!I2767),2)),2)</f>
        <v>2129.6</v>
      </c>
      <c r="K170" s="694">
        <f>IF([101]Source!BC2767&lt;&gt; 0, [101]Source!BC2767, 1)</f>
        <v>3.84</v>
      </c>
      <c r="L170" s="697">
        <f>[101]Source!P2767</f>
        <v>8177.66</v>
      </c>
      <c r="Q170" s="718">
        <f>ROUND(([101]Source!DN2767/100)*ROUND((ROUND(([101]Source!AF2767*[101]Source!AV2767*[101]Source!I2767),2)),2), 2)</f>
        <v>0</v>
      </c>
      <c r="R170" s="718">
        <f>[101]Source!X2767</f>
        <v>0</v>
      </c>
      <c r="S170" s="718">
        <f>ROUND(([101]Source!DO2767/100)*ROUND((ROUND(([101]Source!AF2767*[101]Source!AV2767*[101]Source!I2767),2)),2), 2)</f>
        <v>0</v>
      </c>
      <c r="T170" s="718">
        <f>[101]Source!Y2767</f>
        <v>0</v>
      </c>
      <c r="U170" s="718">
        <f>ROUND((175/100)*ROUND((ROUND(([101]Source!AE2767*[101]Source!AV2767*[101]Source!I2767),2)),2), 2)</f>
        <v>0</v>
      </c>
      <c r="V170" s="718">
        <f>ROUND((157/100)*ROUND(ROUND((ROUND(([101]Source!AE2767*[101]Source!AV2767*[101]Source!I2767),2)*[101]Source!BS2767),2), 2), 2)</f>
        <v>0</v>
      </c>
    </row>
    <row r="171" spans="1:27" ht="14.25" x14ac:dyDescent="0.2">
      <c r="A171" s="737"/>
      <c r="B171" s="737"/>
      <c r="C171" s="737"/>
      <c r="D171" s="737"/>
      <c r="E171" s="737"/>
      <c r="F171" s="737"/>
      <c r="G171" s="737"/>
      <c r="H171" s="737"/>
      <c r="I171" s="1067">
        <f>J170</f>
        <v>2129.6</v>
      </c>
      <c r="J171" s="1067"/>
      <c r="K171" s="1067">
        <f>L170</f>
        <v>8177.66</v>
      </c>
      <c r="L171" s="1067"/>
      <c r="O171" s="736">
        <f>J170</f>
        <v>2129.6</v>
      </c>
      <c r="P171" s="736">
        <f>L170</f>
        <v>8177.66</v>
      </c>
      <c r="X171" s="718">
        <f>IF([101]Source!BI2767&lt;=1,J170-0, 0)</f>
        <v>2129.6</v>
      </c>
      <c r="Y171" s="718">
        <f>IF([101]Source!BI2767=2,J170-0, 0)</f>
        <v>0</v>
      </c>
      <c r="Z171" s="718">
        <f>IF([101]Source!BI2767=3,J170-0, 0)</f>
        <v>0</v>
      </c>
      <c r="AA171" s="718">
        <f>IF([101]Source!BI2767=4,J170,0)</f>
        <v>0</v>
      </c>
    </row>
    <row r="172" spans="1:27" ht="45" x14ac:dyDescent="0.25">
      <c r="A172" s="691">
        <v>23</v>
      </c>
      <c r="B172" s="691" t="str">
        <f>[101]Source!E2769</f>
        <v>450</v>
      </c>
      <c r="C172" s="692" t="str">
        <f>[101]Source!F2769</f>
        <v>1.19-3-13</v>
      </c>
      <c r="D172" s="692" t="s">
        <v>469</v>
      </c>
      <c r="E172" s="693" t="str">
        <f>[101]Source!H2769</f>
        <v>м2</v>
      </c>
      <c r="F172" s="694">
        <f>[101]Source!I2769</f>
        <v>4.25</v>
      </c>
      <c r="G172" s="695">
        <f>[101]Source!AL2769</f>
        <v>157.54</v>
      </c>
      <c r="H172" s="696" t="str">
        <f>[101]Source!DD2769</f>
        <v/>
      </c>
      <c r="I172" s="694">
        <f>[101]Source!AW2769</f>
        <v>1</v>
      </c>
      <c r="J172" s="697">
        <f>ROUND((ROUND(([101]Source!AC2769*[101]Source!AW2769*[101]Source!I2769),2)),2)</f>
        <v>669.55</v>
      </c>
      <c r="K172" s="694">
        <f>IF([101]Source!BC2769&lt;&gt; 0, [101]Source!BC2769, 1)</f>
        <v>3.07</v>
      </c>
      <c r="L172" s="697">
        <f>[101]Source!P2769</f>
        <v>2055.52</v>
      </c>
      <c r="Q172" s="718">
        <f>ROUND(([101]Source!DN2769/100)*ROUND((ROUND(([101]Source!AF2769*[101]Source!AV2769*[101]Source!I2769),2)),2), 2)</f>
        <v>0</v>
      </c>
      <c r="R172" s="718">
        <f>[101]Source!X2769</f>
        <v>0</v>
      </c>
      <c r="S172" s="718">
        <f>ROUND(([101]Source!DO2769/100)*ROUND((ROUND(([101]Source!AF2769*[101]Source!AV2769*[101]Source!I2769),2)),2), 2)</f>
        <v>0</v>
      </c>
      <c r="T172" s="718">
        <f>[101]Source!Y2769</f>
        <v>0</v>
      </c>
      <c r="U172" s="718">
        <f>ROUND((175/100)*ROUND((ROUND(([101]Source!AE2769*[101]Source!AV2769*[101]Source!I2769),2)),2), 2)</f>
        <v>0</v>
      </c>
      <c r="V172" s="718">
        <f>ROUND((157/100)*ROUND(ROUND((ROUND(([101]Source!AE2769*[101]Source!AV2769*[101]Source!I2769),2)*[101]Source!BS2769),2), 2), 2)</f>
        <v>0</v>
      </c>
    </row>
    <row r="173" spans="1:27" ht="14.25" x14ac:dyDescent="0.2">
      <c r="A173" s="737"/>
      <c r="B173" s="737"/>
      <c r="C173" s="737"/>
      <c r="D173" s="737"/>
      <c r="E173" s="737"/>
      <c r="F173" s="737"/>
      <c r="G173" s="737"/>
      <c r="H173" s="737"/>
      <c r="I173" s="1067">
        <f>J172</f>
        <v>669.55</v>
      </c>
      <c r="J173" s="1067"/>
      <c r="K173" s="1067">
        <f>L172</f>
        <v>2055.52</v>
      </c>
      <c r="L173" s="1067"/>
      <c r="O173" s="736">
        <f>J172</f>
        <v>669.55</v>
      </c>
      <c r="P173" s="736">
        <f>L172</f>
        <v>2055.52</v>
      </c>
      <c r="X173" s="718">
        <f>IF([101]Source!BI2769&lt;=1,J172-0, 0)</f>
        <v>669.55</v>
      </c>
      <c r="Y173" s="718">
        <f>IF([101]Source!BI2769=2,J172-0, 0)</f>
        <v>0</v>
      </c>
      <c r="Z173" s="718">
        <f>IF([101]Source!BI2769=3,J172-0, 0)</f>
        <v>0</v>
      </c>
      <c r="AA173" s="718">
        <f>IF([101]Source!BI2769=4,J172,0)</f>
        <v>0</v>
      </c>
    </row>
    <row r="174" spans="1:27" ht="45" x14ac:dyDescent="0.25">
      <c r="A174" s="691">
        <v>24</v>
      </c>
      <c r="B174" s="691" t="str">
        <f>[101]Source!E2839</f>
        <v>475</v>
      </c>
      <c r="C174" s="692" t="str">
        <f>[101]Source!F2839</f>
        <v>3.26-38-1</v>
      </c>
      <c r="D174" s="692" t="s">
        <v>512</v>
      </c>
      <c r="E174" s="693" t="str">
        <f>[101]Source!H2839</f>
        <v>1 м2 поверхности</v>
      </c>
      <c r="F174" s="694">
        <f>[101]Source!I2839</f>
        <v>24</v>
      </c>
      <c r="G174" s="695"/>
      <c r="H174" s="696"/>
      <c r="I174" s="694"/>
      <c r="J174" s="697"/>
      <c r="K174" s="694"/>
      <c r="L174" s="697"/>
      <c r="Q174" s="718">
        <f>ROUND(([101]Source!DN2839/100)*ROUND((ROUND(([101]Source!AF2839*[101]Source!AV2839*[101]Source!I2839),2)),2), 2)</f>
        <v>235.23</v>
      </c>
      <c r="R174" s="718">
        <f>[101]Source!X2839</f>
        <v>4594.58</v>
      </c>
      <c r="S174" s="718">
        <f>ROUND(([101]Source!DO2839/100)*ROUND((ROUND(([101]Source!AF2839*[101]Source!AV2839*[101]Source!I2839),2)),2), 2)</f>
        <v>175.22</v>
      </c>
      <c r="T174" s="718">
        <f>[101]Source!Y2839</f>
        <v>2384.5300000000002</v>
      </c>
      <c r="U174" s="718">
        <f>ROUND((175/100)*ROUND((ROUND(([101]Source!AE2839*[101]Source!AV2839*[101]Source!I2839),2)),2), 2)</f>
        <v>6.62</v>
      </c>
      <c r="V174" s="718">
        <f>ROUND((157/100)*ROUND(ROUND((ROUND(([101]Source!AE2839*[101]Source!AV2839*[101]Source!I2839),2)*[101]Source!BS2839),2), 2), 2)</f>
        <v>143.80000000000001</v>
      </c>
    </row>
    <row r="175" spans="1:27" ht="15" x14ac:dyDescent="0.25">
      <c r="A175" s="691"/>
      <c r="B175" s="691"/>
      <c r="C175" s="692"/>
      <c r="D175" s="692" t="s">
        <v>84</v>
      </c>
      <c r="E175" s="693"/>
      <c r="F175" s="694"/>
      <c r="G175" s="695">
        <f>[101]Source!AO2839</f>
        <v>5.72</v>
      </c>
      <c r="H175" s="696" t="str">
        <f>[101]Source!DG2839</f>
        <v>)*1,67</v>
      </c>
      <c r="I175" s="694">
        <f>[101]Source!AV2839</f>
        <v>1.0469999999999999</v>
      </c>
      <c r="J175" s="697">
        <f>ROUND((ROUND(([101]Source!AF2839*[101]Source!AV2839*[101]Source!I2839),2)),2)</f>
        <v>240.03</v>
      </c>
      <c r="K175" s="694">
        <f>IF([101]Source!BA2839&lt;&gt; 0, [101]Source!BA2839, 1)</f>
        <v>24.23</v>
      </c>
      <c r="L175" s="697">
        <f>[101]Source!S2839</f>
        <v>5815.93</v>
      </c>
      <c r="W175" s="718">
        <f>J175</f>
        <v>240.03</v>
      </c>
    </row>
    <row r="176" spans="1:27" ht="15" x14ac:dyDescent="0.25">
      <c r="A176" s="691"/>
      <c r="B176" s="691"/>
      <c r="C176" s="692"/>
      <c r="D176" s="692" t="s">
        <v>85</v>
      </c>
      <c r="E176" s="693"/>
      <c r="F176" s="694"/>
      <c r="G176" s="695">
        <f>[101]Source!AM2839</f>
        <v>0.46</v>
      </c>
      <c r="H176" s="696" t="str">
        <f>[101]Source!DE2839</f>
        <v/>
      </c>
      <c r="I176" s="694">
        <f>[101]Source!AV2839</f>
        <v>1.0469999999999999</v>
      </c>
      <c r="J176" s="697">
        <f>(ROUND((ROUND((([101]Source!ET2839)*[101]Source!AV2839*[101]Source!I2839),2)),2)+ROUND((ROUND((([101]Source!AE2839-([101]Source!EU2839))*[101]Source!AV2839*[101]Source!I2839),2)),2))-J185</f>
        <v>11.56</v>
      </c>
      <c r="K176" s="694">
        <f>IF([101]Source!BB2839&lt;&gt; 0, [101]Source!BB2839, 1)</f>
        <v>9.2200000000000006</v>
      </c>
      <c r="L176" s="697">
        <f>[101]Source!Q2839-L185</f>
        <v>106.7</v>
      </c>
    </row>
    <row r="177" spans="1:27" ht="15" x14ac:dyDescent="0.25">
      <c r="A177" s="691"/>
      <c r="B177" s="691"/>
      <c r="C177" s="692"/>
      <c r="D177" s="692" t="s">
        <v>86</v>
      </c>
      <c r="E177" s="693"/>
      <c r="F177" s="694"/>
      <c r="G177" s="695">
        <f>[101]Source!AN2839</f>
        <v>0.09</v>
      </c>
      <c r="H177" s="696" t="str">
        <f>[101]Source!DE2839</f>
        <v/>
      </c>
      <c r="I177" s="694">
        <f>[101]Source!AV2839</f>
        <v>1.0469999999999999</v>
      </c>
      <c r="J177" s="700">
        <f>ROUND((ROUND(([101]Source!AE2839*[101]Source!AV2839*[101]Source!I2839),2)),2)-J186</f>
        <v>2.2599999999999998</v>
      </c>
      <c r="K177" s="694">
        <f>IF([101]Source!BS2839&lt;&gt; 0, [101]Source!BS2839, 1)</f>
        <v>24.23</v>
      </c>
      <c r="L177" s="700">
        <f>[101]Source!R2839-L186</f>
        <v>54.88</v>
      </c>
      <c r="W177" s="718">
        <f>J177</f>
        <v>2.2599999999999998</v>
      </c>
    </row>
    <row r="178" spans="1:27" ht="15" x14ac:dyDescent="0.25">
      <c r="A178" s="691"/>
      <c r="B178" s="691"/>
      <c r="C178" s="692"/>
      <c r="D178" s="692" t="s">
        <v>87</v>
      </c>
      <c r="E178" s="693"/>
      <c r="F178" s="694"/>
      <c r="G178" s="695">
        <f>[101]Source!AL2839</f>
        <v>0.12</v>
      </c>
      <c r="H178" s="696" t="str">
        <f>[101]Source!DD2839</f>
        <v/>
      </c>
      <c r="I178" s="694">
        <f>[101]Source!AW2839</f>
        <v>1.0189999999999999</v>
      </c>
      <c r="J178" s="697">
        <f>ROUND((ROUND(([101]Source!AC2839*[101]Source!AW2839*[101]Source!I2839),2)),2)</f>
        <v>2.93</v>
      </c>
      <c r="K178" s="694">
        <f>IF([101]Source!BC2839&lt;&gt; 0, [101]Source!BC2839, 1)</f>
        <v>5.58</v>
      </c>
      <c r="L178" s="697">
        <f>[101]Source!P2839</f>
        <v>16.350000000000001</v>
      </c>
    </row>
    <row r="179" spans="1:27" ht="15" x14ac:dyDescent="0.25">
      <c r="A179" s="691"/>
      <c r="B179" s="691"/>
      <c r="C179" s="692"/>
      <c r="D179" s="692" t="s">
        <v>88</v>
      </c>
      <c r="E179" s="693" t="s">
        <v>89</v>
      </c>
      <c r="F179" s="694">
        <f>[101]Source!DN2839</f>
        <v>98</v>
      </c>
      <c r="G179" s="695"/>
      <c r="H179" s="696"/>
      <c r="I179" s="694"/>
      <c r="J179" s="697">
        <f>SUM(Q174:Q178)</f>
        <v>235.23</v>
      </c>
      <c r="K179" s="694">
        <f>[101]Source!BZ2839</f>
        <v>79</v>
      </c>
      <c r="L179" s="697">
        <f>SUM(R174:R178)</f>
        <v>4594.58</v>
      </c>
    </row>
    <row r="180" spans="1:27" ht="15" x14ac:dyDescent="0.25">
      <c r="A180" s="691"/>
      <c r="B180" s="691"/>
      <c r="C180" s="692"/>
      <c r="D180" s="692" t="s">
        <v>90</v>
      </c>
      <c r="E180" s="693" t="s">
        <v>89</v>
      </c>
      <c r="F180" s="694">
        <f>[101]Source!DO2839</f>
        <v>73</v>
      </c>
      <c r="G180" s="695"/>
      <c r="H180" s="696"/>
      <c r="I180" s="694"/>
      <c r="J180" s="697">
        <f>SUM(S174:S179)</f>
        <v>175.22</v>
      </c>
      <c r="K180" s="694">
        <f>[101]Source!CA2839</f>
        <v>41</v>
      </c>
      <c r="L180" s="697">
        <f>SUM(T174:T179)</f>
        <v>2384.5300000000002</v>
      </c>
    </row>
    <row r="181" spans="1:27" ht="15" x14ac:dyDescent="0.25">
      <c r="A181" s="691"/>
      <c r="B181" s="691"/>
      <c r="C181" s="692"/>
      <c r="D181" s="692" t="s">
        <v>91</v>
      </c>
      <c r="E181" s="693" t="s">
        <v>89</v>
      </c>
      <c r="F181" s="694">
        <f>175</f>
        <v>175</v>
      </c>
      <c r="G181" s="695"/>
      <c r="H181" s="696"/>
      <c r="I181" s="694"/>
      <c r="J181" s="697">
        <f>SUM(U174:U180)-J187</f>
        <v>3.96</v>
      </c>
      <c r="K181" s="694">
        <f>157</f>
        <v>157</v>
      </c>
      <c r="L181" s="697">
        <f>SUM(V174:V180)-L187</f>
        <v>86.17</v>
      </c>
    </row>
    <row r="182" spans="1:27" ht="15" x14ac:dyDescent="0.25">
      <c r="A182" s="691"/>
      <c r="B182" s="691"/>
      <c r="C182" s="692"/>
      <c r="D182" s="692" t="s">
        <v>92</v>
      </c>
      <c r="E182" s="693" t="s">
        <v>93</v>
      </c>
      <c r="F182" s="694">
        <f>[101]Source!AQ2839</f>
        <v>0.44</v>
      </c>
      <c r="G182" s="695"/>
      <c r="H182" s="696" t="str">
        <f>[101]Source!DI2839</f>
        <v/>
      </c>
      <c r="I182" s="694">
        <f>[101]Source!AV2839</f>
        <v>1.0469999999999999</v>
      </c>
      <c r="J182" s="697">
        <f>[101]Source!U2839</f>
        <v>11.06</v>
      </c>
      <c r="K182" s="694"/>
      <c r="L182" s="697"/>
    </row>
    <row r="183" spans="1:27" ht="14.25" x14ac:dyDescent="0.2">
      <c r="I183" s="1067">
        <f>J175+J176+J178+J179+J180+J181</f>
        <v>668.93</v>
      </c>
      <c r="J183" s="1067"/>
      <c r="K183" s="1067">
        <f>L175+L176+L178+L179+L180+L181</f>
        <v>13004.26</v>
      </c>
      <c r="L183" s="1067"/>
      <c r="O183" s="736">
        <f>J175+J176+J178+J179+J180+J181</f>
        <v>668.93</v>
      </c>
      <c r="P183" s="736">
        <f>L175+L176+L178+L179+L180+L181</f>
        <v>13004.26</v>
      </c>
      <c r="X183" s="718">
        <f>IF([101]Source!BI2839&lt;=1,J175+J176+J178+J179+J180+J181-0, 0)</f>
        <v>668.93</v>
      </c>
      <c r="Y183" s="718">
        <f>IF([101]Source!BI2839=2,J175+J176+J178+J179+J180+J181-0, 0)</f>
        <v>0</v>
      </c>
      <c r="Z183" s="718">
        <f>IF([101]Source!BI2839=3,J175+J176+J178+J179+J180+J181-0, 0)</f>
        <v>0</v>
      </c>
      <c r="AA183" s="718">
        <f>IF([101]Source!BI2839=4,J175+J176+J178+J179+J180+J181,0)</f>
        <v>0</v>
      </c>
    </row>
    <row r="184" spans="1:27" ht="30" x14ac:dyDescent="0.25">
      <c r="A184" s="701"/>
      <c r="B184" s="701"/>
      <c r="C184" s="702"/>
      <c r="D184" s="702" t="s">
        <v>94</v>
      </c>
      <c r="E184" s="693"/>
      <c r="F184" s="703"/>
      <c r="G184" s="704"/>
      <c r="H184" s="693"/>
      <c r="I184" s="703"/>
      <c r="J184" s="700"/>
      <c r="K184" s="703"/>
      <c r="L184" s="700"/>
    </row>
    <row r="185" spans="1:27" ht="15" x14ac:dyDescent="0.25">
      <c r="A185" s="701"/>
      <c r="B185" s="701"/>
      <c r="C185" s="702"/>
      <c r="D185" s="702" t="s">
        <v>85</v>
      </c>
      <c r="E185" s="693"/>
      <c r="F185" s="703"/>
      <c r="G185" s="704">
        <f t="shared" ref="G185:L185" si="7">G186</f>
        <v>0.09</v>
      </c>
      <c r="H185" s="705" t="str">
        <f t="shared" si="7"/>
        <v>)*(1.67-1)</v>
      </c>
      <c r="I185" s="703">
        <f t="shared" si="7"/>
        <v>1.0469999999999999</v>
      </c>
      <c r="J185" s="700">
        <f t="shared" si="7"/>
        <v>1.52</v>
      </c>
      <c r="K185" s="703">
        <f t="shared" si="7"/>
        <v>24.23</v>
      </c>
      <c r="L185" s="700">
        <f t="shared" si="7"/>
        <v>36.71</v>
      </c>
    </row>
    <row r="186" spans="1:27" ht="15" x14ac:dyDescent="0.25">
      <c r="A186" s="701"/>
      <c r="B186" s="701"/>
      <c r="C186" s="702"/>
      <c r="D186" s="702" t="s">
        <v>86</v>
      </c>
      <c r="E186" s="693"/>
      <c r="F186" s="703"/>
      <c r="G186" s="704">
        <f>[101]Source!AN2839</f>
        <v>0.09</v>
      </c>
      <c r="H186" s="705" t="s">
        <v>95</v>
      </c>
      <c r="I186" s="703">
        <f>[101]Source!AV2839</f>
        <v>1.0469999999999999</v>
      </c>
      <c r="J186" s="700">
        <f>ROUND(F174*G186*I186*(1.67-1), 2)</f>
        <v>1.52</v>
      </c>
      <c r="K186" s="703">
        <f>IF([101]Source!BS2839&lt;&gt; 0, [101]Source!BS2839, 1)</f>
        <v>24.23</v>
      </c>
      <c r="L186" s="700">
        <f>ROUND(F174*G186*I186*(1.67-1)*K186, 2)</f>
        <v>36.71</v>
      </c>
      <c r="W186" s="718">
        <f>J186</f>
        <v>1.52</v>
      </c>
    </row>
    <row r="187" spans="1:27" ht="15" x14ac:dyDescent="0.25">
      <c r="A187" s="701"/>
      <c r="B187" s="701"/>
      <c r="C187" s="702"/>
      <c r="D187" s="702" t="s">
        <v>91</v>
      </c>
      <c r="E187" s="693" t="s">
        <v>89</v>
      </c>
      <c r="F187" s="703">
        <f>175</f>
        <v>175</v>
      </c>
      <c r="G187" s="704"/>
      <c r="H187" s="693"/>
      <c r="I187" s="703"/>
      <c r="J187" s="700">
        <f>ROUND(J186*(F187/100), 2)</f>
        <v>2.66</v>
      </c>
      <c r="K187" s="703">
        <f>157</f>
        <v>157</v>
      </c>
      <c r="L187" s="700">
        <f>ROUND(L186*(K187/100), 2)</f>
        <v>57.63</v>
      </c>
    </row>
    <row r="188" spans="1:27" ht="14.25" x14ac:dyDescent="0.2">
      <c r="I188" s="1067">
        <f>J187+J186</f>
        <v>4.18</v>
      </c>
      <c r="J188" s="1067"/>
      <c r="K188" s="1067">
        <f>L187+L186</f>
        <v>94.34</v>
      </c>
      <c r="L188" s="1067"/>
      <c r="O188" s="736">
        <f>I188</f>
        <v>4.18</v>
      </c>
      <c r="P188" s="736">
        <f>K188</f>
        <v>94.34</v>
      </c>
      <c r="X188" s="718">
        <f>IF([101]Source!BI2839&lt;=1,I188, 0)</f>
        <v>4.18</v>
      </c>
      <c r="Y188" s="718">
        <f>IF([101]Source!BI2839=2,I188, 0)</f>
        <v>0</v>
      </c>
      <c r="Z188" s="718">
        <f>IF([101]Source!BI2839=3,I188, 0)</f>
        <v>0</v>
      </c>
      <c r="AA188" s="718">
        <f>IF([101]Source!BI2839=4,I188, 0)</f>
        <v>0</v>
      </c>
    </row>
    <row r="190" spans="1:27" ht="15" x14ac:dyDescent="0.25">
      <c r="A190" s="706"/>
      <c r="B190" s="706"/>
      <c r="C190" s="707"/>
      <c r="D190" s="707" t="s">
        <v>96</v>
      </c>
      <c r="E190" s="708"/>
      <c r="F190" s="709"/>
      <c r="G190" s="710"/>
      <c r="H190" s="711"/>
      <c r="I190" s="1067">
        <f>I183+I188</f>
        <v>673.11</v>
      </c>
      <c r="J190" s="1067"/>
      <c r="K190" s="1067">
        <f>K183+K188</f>
        <v>13098.6</v>
      </c>
      <c r="L190" s="1067"/>
    </row>
    <row r="191" spans="1:27" ht="105" x14ac:dyDescent="0.25">
      <c r="A191" s="691">
        <v>25</v>
      </c>
      <c r="B191" s="691" t="str">
        <f>[101]Source!E2841</f>
        <v>476</v>
      </c>
      <c r="C191" s="692" t="str">
        <f>[101]Source!F2841</f>
        <v>МКЭ-33-90/7-1 от 03.02.2017г.</v>
      </c>
      <c r="D191" s="692" t="s">
        <v>573</v>
      </c>
      <c r="E191" s="693" t="str">
        <f>[101]Source!H2841</f>
        <v>м2</v>
      </c>
      <c r="F191" s="694">
        <v>24</v>
      </c>
      <c r="G191" s="697">
        <v>33.81</v>
      </c>
      <c r="H191" s="696"/>
      <c r="I191" s="694">
        <v>1</v>
      </c>
      <c r="J191" s="697">
        <v>811.53</v>
      </c>
      <c r="K191" s="694">
        <v>5.58</v>
      </c>
      <c r="L191" s="697">
        <v>4528.3100000000004</v>
      </c>
      <c r="Q191" s="718">
        <f>ROUND(([101]Source!DN2841/100)*ROUND((ROUND(([101]Source!AF2841*[101]Source!AV2841*[101]Source!I2841),2)),2), 2)</f>
        <v>0</v>
      </c>
      <c r="R191" s="718">
        <f>[101]Source!X2841</f>
        <v>0</v>
      </c>
      <c r="S191" s="718">
        <f>ROUND(([101]Source!DO2841/100)*ROUND((ROUND(([101]Source!AF2841*[101]Source!AV2841*[101]Source!I2841),2)),2), 2)</f>
        <v>0</v>
      </c>
      <c r="T191" s="718">
        <f>[101]Source!Y2841</f>
        <v>0</v>
      </c>
      <c r="U191" s="718">
        <f>ROUND((175/100)*ROUND((ROUND(([101]Source!AE2841*[101]Source!AV2841*[101]Source!I2841),2)),2), 2)</f>
        <v>0</v>
      </c>
      <c r="V191" s="718">
        <f>ROUND((157/100)*ROUND(ROUND((ROUND(([101]Source!AE2841*[101]Source!AV2841*[101]Source!I2841),2)*[101]Source!BS2841),2), 2), 2)</f>
        <v>0</v>
      </c>
    </row>
    <row r="192" spans="1:27" ht="14.25" x14ac:dyDescent="0.2">
      <c r="A192" s="737"/>
      <c r="B192" s="737"/>
      <c r="C192" s="737"/>
      <c r="D192" s="737"/>
      <c r="E192" s="737"/>
      <c r="F192" s="737"/>
      <c r="G192" s="737"/>
      <c r="H192" s="737"/>
      <c r="I192" s="1067">
        <f>J191</f>
        <v>811.53</v>
      </c>
      <c r="J192" s="1067"/>
      <c r="K192" s="1067">
        <f>L191</f>
        <v>4528.3100000000004</v>
      </c>
      <c r="L192" s="1067"/>
      <c r="O192" s="736">
        <f>J191</f>
        <v>811.53</v>
      </c>
      <c r="P192" s="736">
        <f>L191</f>
        <v>4528.3100000000004</v>
      </c>
      <c r="X192" s="718">
        <f>IF([101]Source!BI2841&lt;=1,J191-0, 0)</f>
        <v>811.53</v>
      </c>
      <c r="Y192" s="718">
        <f>IF([101]Source!BI2841=2,J191-0, 0)</f>
        <v>0</v>
      </c>
      <c r="Z192" s="718">
        <f>IF([101]Source!BI2841=3,J191-0, 0)</f>
        <v>0</v>
      </c>
      <c r="AA192" s="718">
        <f>IF([101]Source!BI2841=4,J191,0)</f>
        <v>0</v>
      </c>
    </row>
    <row r="194" spans="1:12" ht="14.25" x14ac:dyDescent="0.2">
      <c r="A194" s="1068" t="str">
        <f>CONCATENATE("Итого по подразделу: ",IF([101]Source!G2891&lt;&gt;"Новый подраздел", [101]Source!G2891, ""))</f>
        <v>Итого по подразделу: Дополнительные материалы и оборудование</v>
      </c>
      <c r="B194" s="1068"/>
      <c r="C194" s="1068"/>
      <c r="D194" s="1068"/>
      <c r="E194" s="1068"/>
      <c r="F194" s="1068"/>
      <c r="G194" s="1068"/>
      <c r="H194" s="1068"/>
      <c r="I194" s="1069">
        <f>SUM(O44:O193)</f>
        <v>48423.75</v>
      </c>
      <c r="J194" s="1070"/>
      <c r="K194" s="1069">
        <f>SUM(P44:P193)</f>
        <v>332057.09000000003</v>
      </c>
      <c r="L194" s="1070"/>
    </row>
    <row r="195" spans="1:12" hidden="1" x14ac:dyDescent="0.2">
      <c r="A195" s="718" t="s">
        <v>139</v>
      </c>
      <c r="I195" s="718">
        <f>SUM(AC44:AC194)</f>
        <v>0</v>
      </c>
      <c r="K195" s="718">
        <f>SUM(AD44:AD194)</f>
        <v>0</v>
      </c>
    </row>
    <row r="196" spans="1:12" hidden="1" x14ac:dyDescent="0.2">
      <c r="A196" s="718" t="s">
        <v>140</v>
      </c>
      <c r="I196" s="718">
        <f>SUM(AE44:AE195)</f>
        <v>0</v>
      </c>
      <c r="K196" s="718">
        <f>SUM(AF44:AF195)</f>
        <v>0</v>
      </c>
    </row>
    <row r="198" spans="1:12" ht="15" customHeight="1" x14ac:dyDescent="0.2">
      <c r="A198" s="1068" t="s">
        <v>705</v>
      </c>
      <c r="B198" s="1068"/>
      <c r="C198" s="1068"/>
      <c r="D198" s="1068"/>
      <c r="E198" s="1068"/>
      <c r="F198" s="1068"/>
      <c r="G198" s="1068"/>
      <c r="H198" s="1068"/>
      <c r="I198" s="1069">
        <f>SUM(O1:O197)</f>
        <v>49580.7</v>
      </c>
      <c r="J198" s="1070"/>
      <c r="K198" s="1069">
        <f>SUM(P1:P197)</f>
        <v>335989.69</v>
      </c>
      <c r="L198" s="1070"/>
    </row>
    <row r="199" spans="1:12" hidden="1" x14ac:dyDescent="0.2">
      <c r="A199" s="718" t="s">
        <v>139</v>
      </c>
      <c r="I199" s="718">
        <f>SUM(AC1:AC198)</f>
        <v>0</v>
      </c>
      <c r="K199" s="718">
        <f>SUM(AD1:AD198)</f>
        <v>0</v>
      </c>
    </row>
    <row r="200" spans="1:12" hidden="1" x14ac:dyDescent="0.2">
      <c r="A200" s="718" t="s">
        <v>140</v>
      </c>
      <c r="I200" s="718">
        <f>SUM(AE1:AE199)</f>
        <v>0</v>
      </c>
      <c r="K200" s="718">
        <f>SUM(AF1:AF199)</f>
        <v>0</v>
      </c>
    </row>
    <row r="202" spans="1:12" ht="15" x14ac:dyDescent="0.25">
      <c r="D202" s="714" t="s">
        <v>114</v>
      </c>
      <c r="I202" s="1079">
        <f>SUMIF(D18:D192,"МР",J18:J192)+J191+J172+J170+J140+J133+J131+J101+J83+J76+J74+J72+J70+J68+J66+J64+J62+J23</f>
        <v>41774.31</v>
      </c>
      <c r="J202" s="1080"/>
      <c r="K202" s="1079">
        <f>SUMIF(D18:D192,"МР",L18:L192)+L191+L172+L170+L140+L133+L131+L101+L83+L76+L74+L72+L70+L68+L66+L64+L62+L23</f>
        <v>190791.34</v>
      </c>
      <c r="L202" s="1080"/>
    </row>
    <row r="203" spans="1:12" ht="15" x14ac:dyDescent="0.25">
      <c r="D203" s="714" t="s">
        <v>115</v>
      </c>
      <c r="I203" s="1079">
        <f>SUMIF(D18:D192,"в т.ч. ЗПМ",J18:J192)</f>
        <v>24.62</v>
      </c>
      <c r="J203" s="1080"/>
      <c r="K203" s="1079">
        <f>SUMIF(D18:D192,"в т.ч. ЗПМ",L18:L192)</f>
        <v>596.54</v>
      </c>
      <c r="L203" s="1080"/>
    </row>
    <row r="204" spans="1:12" ht="15" x14ac:dyDescent="0.25">
      <c r="D204" s="714" t="s">
        <v>116</v>
      </c>
      <c r="I204" s="1079">
        <f>SUMIF(D18:D192,"ЗП",J18:J192)</f>
        <v>2435.9</v>
      </c>
      <c r="J204" s="1080"/>
      <c r="K204" s="1079">
        <f>SUMIF(D18:D192,"ЗП",L18:L192)</f>
        <v>59021.86</v>
      </c>
      <c r="L204" s="1080"/>
    </row>
    <row r="205" spans="1:12" ht="14.25" x14ac:dyDescent="0.2">
      <c r="D205" s="712"/>
      <c r="E205" s="712"/>
      <c r="F205" s="712"/>
      <c r="G205" s="712"/>
      <c r="H205" s="712"/>
      <c r="I205" s="715"/>
      <c r="J205" s="715"/>
      <c r="K205" s="716"/>
      <c r="L205" s="716"/>
    </row>
    <row r="206" spans="1:12" ht="15" x14ac:dyDescent="0.25">
      <c r="D206" s="712" t="s">
        <v>268</v>
      </c>
      <c r="J206" s="719">
        <f>I198</f>
        <v>49580.7</v>
      </c>
      <c r="K206" s="719"/>
      <c r="L206" s="719">
        <f>K198</f>
        <v>335989.69</v>
      </c>
    </row>
    <row r="207" spans="1:12" ht="15" x14ac:dyDescent="0.25">
      <c r="D207" s="717" t="s">
        <v>3</v>
      </c>
      <c r="J207" s="719">
        <f>J206</f>
        <v>49580.7</v>
      </c>
      <c r="K207" s="719"/>
      <c r="L207" s="719">
        <f>L206</f>
        <v>335989.69</v>
      </c>
    </row>
    <row r="208" spans="1:12" ht="15" x14ac:dyDescent="0.25">
      <c r="D208" s="717" t="s">
        <v>269</v>
      </c>
      <c r="J208" s="719">
        <f>I204+I203</f>
        <v>2460.52</v>
      </c>
      <c r="K208" s="719"/>
      <c r="L208" s="719">
        <f>K204+K203</f>
        <v>59618.400000000001</v>
      </c>
    </row>
    <row r="209" spans="1:256" ht="15" x14ac:dyDescent="0.25">
      <c r="D209" s="717" t="s">
        <v>270</v>
      </c>
      <c r="J209" s="719">
        <f>I202</f>
        <v>41774.31</v>
      </c>
      <c r="K209" s="719"/>
      <c r="L209" s="719">
        <f>K202</f>
        <v>190791.34</v>
      </c>
    </row>
    <row r="210" spans="1:256" ht="15" hidden="1" x14ac:dyDescent="0.25">
      <c r="D210" s="717" t="s">
        <v>271</v>
      </c>
      <c r="J210" s="743">
        <v>0</v>
      </c>
      <c r="K210" s="743"/>
      <c r="L210" s="743">
        <v>0</v>
      </c>
    </row>
    <row r="211" spans="1:256" ht="15" hidden="1" x14ac:dyDescent="0.25">
      <c r="D211" s="1074" t="s">
        <v>583</v>
      </c>
      <c r="E211" s="1074"/>
      <c r="F211" s="1074"/>
      <c r="G211" s="1074"/>
      <c r="H211" s="1074"/>
      <c r="I211" s="720"/>
      <c r="J211" s="720">
        <v>0</v>
      </c>
      <c r="K211" s="720"/>
      <c r="L211" s="720">
        <v>0</v>
      </c>
    </row>
    <row r="212" spans="1:256" ht="15" x14ac:dyDescent="0.25">
      <c r="D212" s="1074" t="s">
        <v>323</v>
      </c>
      <c r="E212" s="1074"/>
      <c r="F212" s="1074"/>
      <c r="G212" s="1074"/>
      <c r="H212" s="1074"/>
      <c r="I212" s="671"/>
      <c r="J212" s="721">
        <v>0</v>
      </c>
      <c r="K212" s="721"/>
      <c r="L212" s="721">
        <v>0</v>
      </c>
    </row>
    <row r="213" spans="1:256" ht="15" x14ac:dyDescent="0.25">
      <c r="D213" s="1076" t="s">
        <v>584</v>
      </c>
      <c r="E213" s="1076"/>
      <c r="F213" s="1076"/>
      <c r="G213" s="1076"/>
      <c r="H213" s="1076"/>
      <c r="I213" s="671"/>
      <c r="J213" s="721">
        <f>J208*0.15</f>
        <v>369.08</v>
      </c>
      <c r="K213" s="721"/>
      <c r="L213" s="721">
        <f>L208*0.15</f>
        <v>8942.76</v>
      </c>
    </row>
    <row r="214" spans="1:256" ht="14.25" x14ac:dyDescent="0.2">
      <c r="D214" s="1068" t="s">
        <v>688</v>
      </c>
      <c r="E214" s="1068"/>
      <c r="F214" s="1068"/>
      <c r="G214" s="1068"/>
      <c r="H214" s="1068"/>
      <c r="I214" s="671"/>
      <c r="J214" s="650">
        <f>J207+J213</f>
        <v>49949.78</v>
      </c>
      <c r="K214" s="650"/>
      <c r="L214" s="650">
        <f>L207+L213</f>
        <v>344932.45</v>
      </c>
    </row>
    <row r="215" spans="1:256" s="671" customFormat="1" ht="15" x14ac:dyDescent="0.25">
      <c r="D215" s="1074"/>
      <c r="E215" s="1074"/>
      <c r="F215" s="1074"/>
      <c r="G215" s="1074"/>
      <c r="H215" s="1074"/>
      <c r="I215" s="1075"/>
      <c r="J215" s="1075"/>
      <c r="K215" s="1075"/>
      <c r="L215" s="1075"/>
    </row>
    <row r="216" spans="1:256" s="675" customFormat="1" ht="15" x14ac:dyDescent="0.25">
      <c r="A216" s="398"/>
      <c r="B216" s="398"/>
      <c r="C216" s="398"/>
      <c r="D216" s="651" t="s">
        <v>596</v>
      </c>
      <c r="E216" s="652"/>
      <c r="F216" s="652"/>
      <c r="G216" s="652"/>
      <c r="H216" s="652"/>
      <c r="I216" s="652"/>
      <c r="J216" s="653"/>
      <c r="K216" s="653"/>
      <c r="L216" s="653">
        <f>L206*0.925</f>
        <v>310790.46000000002</v>
      </c>
      <c r="M216" s="399"/>
      <c r="N216" s="400"/>
      <c r="O216" s="400"/>
      <c r="P216" s="400"/>
      <c r="Q216" s="400"/>
      <c r="R216" s="400"/>
      <c r="S216" s="400"/>
      <c r="T216" s="400"/>
      <c r="U216" s="400"/>
      <c r="V216" s="400"/>
      <c r="W216" s="400"/>
      <c r="X216" s="400"/>
      <c r="Y216" s="400"/>
      <c r="Z216" s="400"/>
      <c r="AA216" s="400"/>
      <c r="AB216" s="400"/>
      <c r="AC216" s="400"/>
      <c r="AD216" s="400"/>
      <c r="AE216" s="400"/>
      <c r="AF216" s="400"/>
      <c r="AG216" s="400"/>
      <c r="AH216" s="400"/>
      <c r="AI216" s="400"/>
      <c r="AJ216" s="400"/>
      <c r="AK216" s="400"/>
      <c r="AL216" s="400"/>
      <c r="AM216" s="400"/>
      <c r="AN216" s="400"/>
      <c r="AO216" s="400"/>
      <c r="AP216" s="400"/>
      <c r="AQ216" s="400"/>
      <c r="AR216" s="400"/>
      <c r="AS216" s="400"/>
      <c r="AT216" s="400"/>
      <c r="AU216" s="400"/>
      <c r="AV216" s="400"/>
      <c r="AW216" s="400"/>
      <c r="AX216" s="400"/>
      <c r="AY216" s="400"/>
      <c r="AZ216" s="400"/>
      <c r="BA216" s="400"/>
      <c r="BB216" s="400"/>
      <c r="BC216" s="400"/>
      <c r="BD216" s="400"/>
      <c r="BE216" s="400"/>
      <c r="BF216" s="400"/>
      <c r="BG216" s="400"/>
      <c r="BH216" s="400"/>
      <c r="BI216" s="400"/>
      <c r="BJ216" s="400"/>
      <c r="BK216" s="400"/>
      <c r="BL216" s="400"/>
      <c r="BM216" s="400"/>
      <c r="BN216" s="400"/>
      <c r="BO216" s="400"/>
      <c r="BP216" s="400"/>
      <c r="BQ216" s="400"/>
      <c r="BR216" s="400"/>
      <c r="BS216" s="400"/>
      <c r="BT216" s="400"/>
      <c r="BU216" s="400"/>
      <c r="BV216" s="400"/>
      <c r="BW216" s="400"/>
      <c r="BX216" s="400"/>
      <c r="BY216" s="400"/>
      <c r="BZ216" s="400"/>
      <c r="CA216" s="400"/>
      <c r="CB216" s="400"/>
      <c r="CC216" s="400"/>
      <c r="CD216" s="400"/>
      <c r="CE216" s="400"/>
      <c r="CF216" s="400"/>
      <c r="CG216" s="400"/>
      <c r="CH216" s="400"/>
      <c r="CI216" s="400"/>
      <c r="CJ216" s="400"/>
      <c r="CK216" s="400"/>
      <c r="CL216" s="400"/>
      <c r="CM216" s="400"/>
      <c r="CN216" s="400"/>
      <c r="CO216" s="400"/>
      <c r="CP216" s="400"/>
      <c r="CQ216" s="400"/>
      <c r="CR216" s="400"/>
      <c r="CS216" s="400"/>
      <c r="CT216" s="400"/>
      <c r="CU216" s="400"/>
      <c r="CV216" s="400"/>
      <c r="CW216" s="400"/>
      <c r="CX216" s="400"/>
      <c r="CY216" s="400"/>
      <c r="CZ216" s="400"/>
      <c r="DA216" s="400"/>
      <c r="DB216" s="400"/>
      <c r="DC216" s="400"/>
      <c r="DD216" s="400"/>
      <c r="DE216" s="400"/>
      <c r="DF216" s="400"/>
      <c r="DG216" s="400"/>
      <c r="DH216" s="400"/>
      <c r="DI216" s="400"/>
      <c r="DJ216" s="400"/>
      <c r="DK216" s="400"/>
      <c r="DL216" s="400"/>
      <c r="DM216" s="400"/>
      <c r="DN216" s="400"/>
      <c r="DO216" s="400"/>
      <c r="DP216" s="400"/>
      <c r="DQ216" s="400"/>
      <c r="DR216" s="400"/>
      <c r="DS216" s="400"/>
      <c r="DT216" s="400"/>
      <c r="DU216" s="400"/>
      <c r="DV216" s="400"/>
      <c r="DW216" s="400"/>
      <c r="DX216" s="400"/>
      <c r="DY216" s="400"/>
      <c r="DZ216" s="400"/>
      <c r="EA216" s="400"/>
      <c r="EB216" s="400"/>
      <c r="EC216" s="400"/>
      <c r="ED216" s="400"/>
      <c r="EE216" s="400"/>
      <c r="EF216" s="400"/>
      <c r="EG216" s="400"/>
      <c r="EH216" s="400"/>
      <c r="EI216" s="400"/>
      <c r="EJ216" s="400"/>
      <c r="EK216" s="400"/>
      <c r="EL216" s="400"/>
      <c r="EM216" s="400"/>
      <c r="EN216" s="400"/>
      <c r="EO216" s="400"/>
      <c r="EP216" s="400"/>
      <c r="EQ216" s="400"/>
      <c r="ER216" s="400"/>
      <c r="ES216" s="400"/>
      <c r="ET216" s="400"/>
      <c r="EU216" s="400"/>
      <c r="EV216" s="400"/>
      <c r="EW216" s="400"/>
      <c r="EX216" s="400"/>
      <c r="EY216" s="400"/>
      <c r="EZ216" s="400"/>
      <c r="FA216" s="400"/>
      <c r="FB216" s="400"/>
      <c r="FC216" s="400"/>
      <c r="FD216" s="400"/>
      <c r="FE216" s="400"/>
      <c r="FF216" s="400"/>
      <c r="FG216" s="400"/>
      <c r="FH216" s="400"/>
      <c r="FI216" s="400"/>
      <c r="FJ216" s="400"/>
      <c r="FK216" s="400"/>
      <c r="FL216" s="400"/>
      <c r="FM216" s="400"/>
      <c r="FN216" s="400"/>
      <c r="FO216" s="400"/>
      <c r="FP216" s="400"/>
      <c r="FQ216" s="400"/>
      <c r="FR216" s="400"/>
      <c r="FS216" s="400"/>
      <c r="FT216" s="400"/>
      <c r="FU216" s="400"/>
      <c r="FV216" s="400"/>
      <c r="FW216" s="400"/>
      <c r="FX216" s="400"/>
      <c r="FY216" s="400"/>
      <c r="FZ216" s="400"/>
      <c r="GA216" s="400"/>
      <c r="GB216" s="400"/>
      <c r="GC216" s="400"/>
      <c r="GD216" s="400"/>
      <c r="GE216" s="400"/>
      <c r="GF216" s="400"/>
      <c r="GG216" s="400"/>
      <c r="GH216" s="400"/>
      <c r="GI216" s="400"/>
      <c r="GJ216" s="400"/>
      <c r="GK216" s="400"/>
      <c r="GL216" s="400"/>
      <c r="GM216" s="400"/>
      <c r="GN216" s="400"/>
      <c r="GO216" s="400"/>
      <c r="GP216" s="400"/>
      <c r="GQ216" s="400"/>
      <c r="GR216" s="400"/>
      <c r="GS216" s="400"/>
      <c r="GT216" s="400"/>
      <c r="GU216" s="400"/>
      <c r="GV216" s="400"/>
      <c r="GW216" s="400"/>
      <c r="GX216" s="400"/>
      <c r="GY216" s="400"/>
      <c r="GZ216" s="400"/>
      <c r="HA216" s="400"/>
      <c r="HB216" s="400"/>
      <c r="HC216" s="400"/>
      <c r="HD216" s="400"/>
      <c r="HE216" s="400"/>
      <c r="HF216" s="400"/>
      <c r="HG216" s="400"/>
      <c r="HH216" s="400"/>
      <c r="HI216" s="400"/>
      <c r="HJ216" s="400"/>
      <c r="HK216" s="400"/>
      <c r="HL216" s="400"/>
      <c r="HM216" s="400"/>
      <c r="HN216" s="400"/>
      <c r="HO216" s="400"/>
      <c r="HP216" s="400"/>
      <c r="HQ216" s="400"/>
      <c r="HR216" s="400"/>
      <c r="HS216" s="400"/>
      <c r="HT216" s="400"/>
      <c r="HU216" s="400"/>
      <c r="HV216" s="400"/>
      <c r="HW216" s="400"/>
      <c r="HX216" s="400"/>
      <c r="HY216" s="400"/>
      <c r="HZ216" s="400"/>
      <c r="IA216" s="400"/>
      <c r="IB216" s="400"/>
      <c r="IC216" s="400"/>
      <c r="ID216" s="400"/>
      <c r="IE216" s="400"/>
      <c r="IF216" s="400"/>
      <c r="IG216" s="400"/>
      <c r="IH216" s="400"/>
      <c r="II216" s="400"/>
      <c r="IJ216" s="400"/>
      <c r="IK216" s="400"/>
      <c r="IL216" s="400"/>
      <c r="IM216" s="400"/>
      <c r="IN216" s="400"/>
      <c r="IO216" s="400"/>
      <c r="IP216" s="400"/>
      <c r="IQ216" s="400"/>
      <c r="IR216" s="400"/>
      <c r="IS216" s="400"/>
      <c r="IT216" s="400"/>
      <c r="IU216" s="400"/>
      <c r="IV216" s="400"/>
    </row>
    <row r="217" spans="1:256" s="675" customFormat="1" ht="15" x14ac:dyDescent="0.25">
      <c r="A217" s="398"/>
      <c r="B217" s="398"/>
      <c r="C217" s="398"/>
      <c r="D217" s="652" t="s">
        <v>3</v>
      </c>
      <c r="E217" s="652"/>
      <c r="F217" s="652"/>
      <c r="G217" s="652"/>
      <c r="H217" s="652"/>
      <c r="I217" s="652"/>
      <c r="J217" s="654"/>
      <c r="K217" s="654"/>
      <c r="L217" s="654">
        <f>L216</f>
        <v>310790.46000000002</v>
      </c>
      <c r="M217" s="399"/>
      <c r="N217" s="400"/>
      <c r="O217" s="400"/>
      <c r="P217" s="400"/>
      <c r="Q217" s="400"/>
      <c r="R217" s="400"/>
      <c r="S217" s="400"/>
      <c r="T217" s="400"/>
      <c r="U217" s="400"/>
      <c r="V217" s="400"/>
      <c r="W217" s="400"/>
      <c r="X217" s="400"/>
      <c r="Y217" s="400"/>
      <c r="Z217" s="400"/>
      <c r="AA217" s="400"/>
      <c r="AB217" s="400"/>
      <c r="AC217" s="400"/>
      <c r="AD217" s="400"/>
      <c r="AE217" s="400"/>
      <c r="AF217" s="400"/>
      <c r="AG217" s="400"/>
      <c r="AH217" s="400"/>
      <c r="AI217" s="400"/>
      <c r="AJ217" s="400"/>
      <c r="AK217" s="400"/>
      <c r="AL217" s="400"/>
      <c r="AM217" s="400"/>
      <c r="AN217" s="400"/>
      <c r="AO217" s="400"/>
      <c r="AP217" s="400"/>
      <c r="AQ217" s="400"/>
      <c r="AR217" s="400"/>
      <c r="AS217" s="400"/>
      <c r="AT217" s="400"/>
      <c r="AU217" s="400"/>
      <c r="AV217" s="400"/>
      <c r="AW217" s="400"/>
      <c r="AX217" s="400"/>
      <c r="AY217" s="400"/>
      <c r="AZ217" s="400"/>
      <c r="BA217" s="400"/>
      <c r="BB217" s="400"/>
      <c r="BC217" s="400"/>
      <c r="BD217" s="400"/>
      <c r="BE217" s="400"/>
      <c r="BF217" s="400"/>
      <c r="BG217" s="400"/>
      <c r="BH217" s="400"/>
      <c r="BI217" s="400"/>
      <c r="BJ217" s="400"/>
      <c r="BK217" s="400"/>
      <c r="BL217" s="400"/>
      <c r="BM217" s="400"/>
      <c r="BN217" s="400"/>
      <c r="BO217" s="400"/>
      <c r="BP217" s="400"/>
      <c r="BQ217" s="400"/>
      <c r="BR217" s="400"/>
      <c r="BS217" s="400"/>
      <c r="BT217" s="400"/>
      <c r="BU217" s="400"/>
      <c r="BV217" s="400"/>
      <c r="BW217" s="400"/>
      <c r="BX217" s="400"/>
      <c r="BY217" s="400"/>
      <c r="BZ217" s="400"/>
      <c r="CA217" s="400"/>
      <c r="CB217" s="400"/>
      <c r="CC217" s="400"/>
      <c r="CD217" s="400"/>
      <c r="CE217" s="400"/>
      <c r="CF217" s="400"/>
      <c r="CG217" s="400"/>
      <c r="CH217" s="400"/>
      <c r="CI217" s="400"/>
      <c r="CJ217" s="400"/>
      <c r="CK217" s="400"/>
      <c r="CL217" s="400"/>
      <c r="CM217" s="400"/>
      <c r="CN217" s="400"/>
      <c r="CO217" s="400"/>
      <c r="CP217" s="400"/>
      <c r="CQ217" s="400"/>
      <c r="CR217" s="400"/>
      <c r="CS217" s="400"/>
      <c r="CT217" s="400"/>
      <c r="CU217" s="400"/>
      <c r="CV217" s="400"/>
      <c r="CW217" s="400"/>
      <c r="CX217" s="400"/>
      <c r="CY217" s="400"/>
      <c r="CZ217" s="400"/>
      <c r="DA217" s="400"/>
      <c r="DB217" s="400"/>
      <c r="DC217" s="400"/>
      <c r="DD217" s="400"/>
      <c r="DE217" s="400"/>
      <c r="DF217" s="400"/>
      <c r="DG217" s="400"/>
      <c r="DH217" s="400"/>
      <c r="DI217" s="400"/>
      <c r="DJ217" s="400"/>
      <c r="DK217" s="400"/>
      <c r="DL217" s="400"/>
      <c r="DM217" s="400"/>
      <c r="DN217" s="400"/>
      <c r="DO217" s="400"/>
      <c r="DP217" s="400"/>
      <c r="DQ217" s="400"/>
      <c r="DR217" s="400"/>
      <c r="DS217" s="400"/>
      <c r="DT217" s="400"/>
      <c r="DU217" s="400"/>
      <c r="DV217" s="400"/>
      <c r="DW217" s="400"/>
      <c r="DX217" s="400"/>
      <c r="DY217" s="400"/>
      <c r="DZ217" s="400"/>
      <c r="EA217" s="400"/>
      <c r="EB217" s="400"/>
      <c r="EC217" s="400"/>
      <c r="ED217" s="400"/>
      <c r="EE217" s="400"/>
      <c r="EF217" s="400"/>
      <c r="EG217" s="400"/>
      <c r="EH217" s="400"/>
      <c r="EI217" s="400"/>
      <c r="EJ217" s="400"/>
      <c r="EK217" s="400"/>
      <c r="EL217" s="400"/>
      <c r="EM217" s="400"/>
      <c r="EN217" s="400"/>
      <c r="EO217" s="400"/>
      <c r="EP217" s="400"/>
      <c r="EQ217" s="400"/>
      <c r="ER217" s="400"/>
      <c r="ES217" s="400"/>
      <c r="ET217" s="400"/>
      <c r="EU217" s="400"/>
      <c r="EV217" s="400"/>
      <c r="EW217" s="400"/>
      <c r="EX217" s="400"/>
      <c r="EY217" s="400"/>
      <c r="EZ217" s="400"/>
      <c r="FA217" s="400"/>
      <c r="FB217" s="400"/>
      <c r="FC217" s="400"/>
      <c r="FD217" s="400"/>
      <c r="FE217" s="400"/>
      <c r="FF217" s="400"/>
      <c r="FG217" s="400"/>
      <c r="FH217" s="400"/>
      <c r="FI217" s="400"/>
      <c r="FJ217" s="400"/>
      <c r="FK217" s="400"/>
      <c r="FL217" s="400"/>
      <c r="FM217" s="400"/>
      <c r="FN217" s="400"/>
      <c r="FO217" s="400"/>
      <c r="FP217" s="400"/>
      <c r="FQ217" s="400"/>
      <c r="FR217" s="400"/>
      <c r="FS217" s="400"/>
      <c r="FT217" s="400"/>
      <c r="FU217" s="400"/>
      <c r="FV217" s="400"/>
      <c r="FW217" s="400"/>
      <c r="FX217" s="400"/>
      <c r="FY217" s="400"/>
      <c r="FZ217" s="400"/>
      <c r="GA217" s="400"/>
      <c r="GB217" s="400"/>
      <c r="GC217" s="400"/>
      <c r="GD217" s="400"/>
      <c r="GE217" s="400"/>
      <c r="GF217" s="400"/>
      <c r="GG217" s="400"/>
      <c r="GH217" s="400"/>
      <c r="GI217" s="400"/>
      <c r="GJ217" s="400"/>
      <c r="GK217" s="400"/>
      <c r="GL217" s="400"/>
      <c r="GM217" s="400"/>
      <c r="GN217" s="400"/>
      <c r="GO217" s="400"/>
      <c r="GP217" s="400"/>
      <c r="GQ217" s="400"/>
      <c r="GR217" s="400"/>
      <c r="GS217" s="400"/>
      <c r="GT217" s="400"/>
      <c r="GU217" s="400"/>
      <c r="GV217" s="400"/>
      <c r="GW217" s="400"/>
      <c r="GX217" s="400"/>
      <c r="GY217" s="400"/>
      <c r="GZ217" s="400"/>
      <c r="HA217" s="400"/>
      <c r="HB217" s="400"/>
      <c r="HC217" s="400"/>
      <c r="HD217" s="400"/>
      <c r="HE217" s="400"/>
      <c r="HF217" s="400"/>
      <c r="HG217" s="400"/>
      <c r="HH217" s="400"/>
      <c r="HI217" s="400"/>
      <c r="HJ217" s="400"/>
      <c r="HK217" s="400"/>
      <c r="HL217" s="400"/>
      <c r="HM217" s="400"/>
      <c r="HN217" s="400"/>
      <c r="HO217" s="400"/>
      <c r="HP217" s="400"/>
      <c r="HQ217" s="400"/>
      <c r="HR217" s="400"/>
      <c r="HS217" s="400"/>
      <c r="HT217" s="400"/>
      <c r="HU217" s="400"/>
      <c r="HV217" s="400"/>
      <c r="HW217" s="400"/>
      <c r="HX217" s="400"/>
      <c r="HY217" s="400"/>
      <c r="HZ217" s="400"/>
      <c r="IA217" s="400"/>
      <c r="IB217" s="400"/>
      <c r="IC217" s="400"/>
      <c r="ID217" s="400"/>
      <c r="IE217" s="400"/>
      <c r="IF217" s="400"/>
      <c r="IG217" s="400"/>
      <c r="IH217" s="400"/>
      <c r="II217" s="400"/>
      <c r="IJ217" s="400"/>
      <c r="IK217" s="400"/>
      <c r="IL217" s="400"/>
      <c r="IM217" s="400"/>
      <c r="IN217" s="400"/>
      <c r="IO217" s="400"/>
      <c r="IP217" s="400"/>
      <c r="IQ217" s="400"/>
      <c r="IR217" s="400"/>
      <c r="IS217" s="400"/>
      <c r="IT217" s="400"/>
      <c r="IU217" s="400"/>
      <c r="IV217" s="400"/>
    </row>
    <row r="218" spans="1:256" s="675" customFormat="1" ht="15" x14ac:dyDescent="0.25">
      <c r="A218" s="398"/>
      <c r="B218" s="398"/>
      <c r="C218" s="398"/>
      <c r="D218" s="652" t="s">
        <v>269</v>
      </c>
      <c r="E218" s="652"/>
      <c r="F218" s="652"/>
      <c r="G218" s="652"/>
      <c r="H218" s="652"/>
      <c r="I218" s="652"/>
      <c r="J218" s="654"/>
      <c r="K218" s="654"/>
      <c r="L218" s="654">
        <f>L208*0.925</f>
        <v>55147.02</v>
      </c>
      <c r="M218" s="399"/>
      <c r="N218" s="400"/>
      <c r="O218" s="400"/>
      <c r="P218" s="400"/>
      <c r="Q218" s="400"/>
      <c r="R218" s="400"/>
      <c r="S218" s="400"/>
      <c r="T218" s="400"/>
      <c r="U218" s="400"/>
      <c r="V218" s="400"/>
      <c r="W218" s="400"/>
      <c r="X218" s="400"/>
      <c r="Y218" s="400"/>
      <c r="Z218" s="400"/>
      <c r="AA218" s="400"/>
      <c r="AB218" s="400"/>
      <c r="AC218" s="400"/>
      <c r="AD218" s="400"/>
      <c r="AE218" s="400"/>
      <c r="AF218" s="400"/>
      <c r="AG218" s="400"/>
      <c r="AH218" s="400"/>
      <c r="AI218" s="400"/>
      <c r="AJ218" s="400"/>
      <c r="AK218" s="400"/>
      <c r="AL218" s="400"/>
      <c r="AM218" s="400"/>
      <c r="AN218" s="400"/>
      <c r="AO218" s="400"/>
      <c r="AP218" s="400"/>
      <c r="AQ218" s="400"/>
      <c r="AR218" s="400"/>
      <c r="AS218" s="400"/>
      <c r="AT218" s="400"/>
      <c r="AU218" s="400"/>
      <c r="AV218" s="400"/>
      <c r="AW218" s="400"/>
      <c r="AX218" s="400"/>
      <c r="AY218" s="400"/>
      <c r="AZ218" s="400"/>
      <c r="BA218" s="400"/>
      <c r="BB218" s="400"/>
      <c r="BC218" s="400"/>
      <c r="BD218" s="400"/>
      <c r="BE218" s="400"/>
      <c r="BF218" s="400"/>
      <c r="BG218" s="400"/>
      <c r="BH218" s="400"/>
      <c r="BI218" s="400"/>
      <c r="BJ218" s="400"/>
      <c r="BK218" s="400"/>
      <c r="BL218" s="400"/>
      <c r="BM218" s="400"/>
      <c r="BN218" s="400"/>
      <c r="BO218" s="400"/>
      <c r="BP218" s="400"/>
      <c r="BQ218" s="400"/>
      <c r="BR218" s="400"/>
      <c r="BS218" s="400"/>
      <c r="BT218" s="400"/>
      <c r="BU218" s="400"/>
      <c r="BV218" s="400"/>
      <c r="BW218" s="400"/>
      <c r="BX218" s="400"/>
      <c r="BY218" s="400"/>
      <c r="BZ218" s="400"/>
      <c r="CA218" s="400"/>
      <c r="CB218" s="400"/>
      <c r="CC218" s="400"/>
      <c r="CD218" s="400"/>
      <c r="CE218" s="400"/>
      <c r="CF218" s="400"/>
      <c r="CG218" s="400"/>
      <c r="CH218" s="400"/>
      <c r="CI218" s="400"/>
      <c r="CJ218" s="400"/>
      <c r="CK218" s="400"/>
      <c r="CL218" s="400"/>
      <c r="CM218" s="400"/>
      <c r="CN218" s="400"/>
      <c r="CO218" s="400"/>
      <c r="CP218" s="400"/>
      <c r="CQ218" s="400"/>
      <c r="CR218" s="400"/>
      <c r="CS218" s="400"/>
      <c r="CT218" s="400"/>
      <c r="CU218" s="400"/>
      <c r="CV218" s="400"/>
      <c r="CW218" s="400"/>
      <c r="CX218" s="400"/>
      <c r="CY218" s="400"/>
      <c r="CZ218" s="400"/>
      <c r="DA218" s="400"/>
      <c r="DB218" s="400"/>
      <c r="DC218" s="400"/>
      <c r="DD218" s="400"/>
      <c r="DE218" s="400"/>
      <c r="DF218" s="400"/>
      <c r="DG218" s="400"/>
      <c r="DH218" s="400"/>
      <c r="DI218" s="400"/>
      <c r="DJ218" s="400"/>
      <c r="DK218" s="400"/>
      <c r="DL218" s="400"/>
      <c r="DM218" s="400"/>
      <c r="DN218" s="400"/>
      <c r="DO218" s="400"/>
      <c r="DP218" s="400"/>
      <c r="DQ218" s="400"/>
      <c r="DR218" s="400"/>
      <c r="DS218" s="400"/>
      <c r="DT218" s="400"/>
      <c r="DU218" s="400"/>
      <c r="DV218" s="400"/>
      <c r="DW218" s="400"/>
      <c r="DX218" s="400"/>
      <c r="DY218" s="400"/>
      <c r="DZ218" s="400"/>
      <c r="EA218" s="400"/>
      <c r="EB218" s="400"/>
      <c r="EC218" s="400"/>
      <c r="ED218" s="400"/>
      <c r="EE218" s="400"/>
      <c r="EF218" s="400"/>
      <c r="EG218" s="400"/>
      <c r="EH218" s="400"/>
      <c r="EI218" s="400"/>
      <c r="EJ218" s="400"/>
      <c r="EK218" s="400"/>
      <c r="EL218" s="400"/>
      <c r="EM218" s="400"/>
      <c r="EN218" s="400"/>
      <c r="EO218" s="400"/>
      <c r="EP218" s="400"/>
      <c r="EQ218" s="400"/>
      <c r="ER218" s="400"/>
      <c r="ES218" s="400"/>
      <c r="ET218" s="400"/>
      <c r="EU218" s="400"/>
      <c r="EV218" s="400"/>
      <c r="EW218" s="400"/>
      <c r="EX218" s="400"/>
      <c r="EY218" s="400"/>
      <c r="EZ218" s="400"/>
      <c r="FA218" s="400"/>
      <c r="FB218" s="400"/>
      <c r="FC218" s="400"/>
      <c r="FD218" s="400"/>
      <c r="FE218" s="400"/>
      <c r="FF218" s="400"/>
      <c r="FG218" s="400"/>
      <c r="FH218" s="400"/>
      <c r="FI218" s="400"/>
      <c r="FJ218" s="400"/>
      <c r="FK218" s="400"/>
      <c r="FL218" s="400"/>
      <c r="FM218" s="400"/>
      <c r="FN218" s="400"/>
      <c r="FO218" s="400"/>
      <c r="FP218" s="400"/>
      <c r="FQ218" s="400"/>
      <c r="FR218" s="400"/>
      <c r="FS218" s="400"/>
      <c r="FT218" s="400"/>
      <c r="FU218" s="400"/>
      <c r="FV218" s="400"/>
      <c r="FW218" s="400"/>
      <c r="FX218" s="400"/>
      <c r="FY218" s="400"/>
      <c r="FZ218" s="400"/>
      <c r="GA218" s="400"/>
      <c r="GB218" s="400"/>
      <c r="GC218" s="400"/>
      <c r="GD218" s="400"/>
      <c r="GE218" s="400"/>
      <c r="GF218" s="400"/>
      <c r="GG218" s="400"/>
      <c r="GH218" s="400"/>
      <c r="GI218" s="400"/>
      <c r="GJ218" s="400"/>
      <c r="GK218" s="400"/>
      <c r="GL218" s="400"/>
      <c r="GM218" s="400"/>
      <c r="GN218" s="400"/>
      <c r="GO218" s="400"/>
      <c r="GP218" s="400"/>
      <c r="GQ218" s="400"/>
      <c r="GR218" s="400"/>
      <c r="GS218" s="400"/>
      <c r="GT218" s="400"/>
      <c r="GU218" s="400"/>
      <c r="GV218" s="400"/>
      <c r="GW218" s="400"/>
      <c r="GX218" s="400"/>
      <c r="GY218" s="400"/>
      <c r="GZ218" s="400"/>
      <c r="HA218" s="400"/>
      <c r="HB218" s="400"/>
      <c r="HC218" s="400"/>
      <c r="HD218" s="400"/>
      <c r="HE218" s="400"/>
      <c r="HF218" s="400"/>
      <c r="HG218" s="400"/>
      <c r="HH218" s="400"/>
      <c r="HI218" s="400"/>
      <c r="HJ218" s="400"/>
      <c r="HK218" s="400"/>
      <c r="HL218" s="400"/>
      <c r="HM218" s="400"/>
      <c r="HN218" s="400"/>
      <c r="HO218" s="400"/>
      <c r="HP218" s="400"/>
      <c r="HQ218" s="400"/>
      <c r="HR218" s="400"/>
      <c r="HS218" s="400"/>
      <c r="HT218" s="400"/>
      <c r="HU218" s="400"/>
      <c r="HV218" s="400"/>
      <c r="HW218" s="400"/>
      <c r="HX218" s="400"/>
      <c r="HY218" s="400"/>
      <c r="HZ218" s="400"/>
      <c r="IA218" s="400"/>
      <c r="IB218" s="400"/>
      <c r="IC218" s="400"/>
      <c r="ID218" s="400"/>
      <c r="IE218" s="400"/>
      <c r="IF218" s="400"/>
      <c r="IG218" s="400"/>
      <c r="IH218" s="400"/>
      <c r="II218" s="400"/>
      <c r="IJ218" s="400"/>
      <c r="IK218" s="400"/>
      <c r="IL218" s="400"/>
      <c r="IM218" s="400"/>
      <c r="IN218" s="400"/>
      <c r="IO218" s="400"/>
      <c r="IP218" s="400"/>
      <c r="IQ218" s="400"/>
      <c r="IR218" s="400"/>
      <c r="IS218" s="400"/>
      <c r="IT218" s="400"/>
      <c r="IU218" s="400"/>
      <c r="IV218" s="400"/>
    </row>
    <row r="219" spans="1:256" s="675" customFormat="1" ht="15" x14ac:dyDescent="0.25">
      <c r="A219" s="398"/>
      <c r="B219" s="398"/>
      <c r="C219" s="398"/>
      <c r="D219" s="652" t="s">
        <v>597</v>
      </c>
      <c r="E219" s="652"/>
      <c r="F219" s="652"/>
      <c r="G219" s="652"/>
      <c r="H219" s="652"/>
      <c r="I219" s="652"/>
      <c r="J219" s="654"/>
      <c r="K219" s="654"/>
      <c r="L219" s="654">
        <f>L209*0.925</f>
        <v>176481.99</v>
      </c>
      <c r="M219" s="399"/>
    </row>
    <row r="220" spans="1:256" s="675" customFormat="1" ht="15" x14ac:dyDescent="0.25">
      <c r="A220" s="398"/>
      <c r="B220" s="398"/>
      <c r="C220" s="398"/>
      <c r="D220" s="655" t="s">
        <v>323</v>
      </c>
      <c r="E220" s="652"/>
      <c r="F220" s="652"/>
      <c r="G220" s="652"/>
      <c r="H220" s="652"/>
      <c r="I220" s="652"/>
      <c r="J220" s="656"/>
      <c r="K220" s="654"/>
      <c r="L220" s="656">
        <v>0</v>
      </c>
      <c r="M220" s="399"/>
    </row>
    <row r="221" spans="1:256" s="675" customFormat="1" ht="15" x14ac:dyDescent="0.25">
      <c r="A221" s="398"/>
      <c r="B221" s="398"/>
      <c r="C221" s="398"/>
      <c r="D221" s="652" t="s">
        <v>598</v>
      </c>
      <c r="E221" s="652"/>
      <c r="F221" s="652"/>
      <c r="G221" s="652"/>
      <c r="H221" s="652"/>
      <c r="I221" s="652"/>
      <c r="J221" s="654"/>
      <c r="K221" s="654"/>
      <c r="L221" s="654">
        <f>L218*0.15</f>
        <v>8272.0499999999993</v>
      </c>
      <c r="M221" s="399"/>
    </row>
    <row r="222" spans="1:256" s="675" customFormat="1" ht="14.25" x14ac:dyDescent="0.2">
      <c r="A222" s="398"/>
      <c r="B222" s="398"/>
      <c r="C222" s="398"/>
      <c r="D222" s="651" t="s">
        <v>599</v>
      </c>
      <c r="E222" s="657"/>
      <c r="F222" s="657"/>
      <c r="G222" s="657"/>
      <c r="H222" s="657"/>
      <c r="I222" s="657"/>
      <c r="J222" s="653"/>
      <c r="K222" s="657"/>
      <c r="L222" s="653">
        <f>L221+L216</f>
        <v>319062.51</v>
      </c>
      <c r="M222" s="399"/>
    </row>
    <row r="223" spans="1:256" s="675" customFormat="1" ht="15" x14ac:dyDescent="0.25">
      <c r="A223" s="398"/>
      <c r="B223" s="398"/>
      <c r="C223" s="398"/>
      <c r="D223" s="658"/>
      <c r="E223" s="658"/>
      <c r="F223" s="658"/>
      <c r="G223" s="658"/>
      <c r="H223" s="658"/>
      <c r="I223" s="658"/>
      <c r="J223" s="658"/>
      <c r="K223" s="658"/>
      <c r="L223" s="658"/>
      <c r="M223" s="399"/>
    </row>
    <row r="224" spans="1:256" s="675" customFormat="1" ht="15" x14ac:dyDescent="0.25">
      <c r="A224" s="398"/>
      <c r="B224" s="398"/>
      <c r="C224" s="398"/>
      <c r="D224" s="658"/>
      <c r="E224" s="658"/>
      <c r="F224" s="658"/>
      <c r="G224" s="658"/>
      <c r="H224" s="658"/>
      <c r="I224" s="658"/>
      <c r="J224" s="658"/>
      <c r="K224" s="658"/>
      <c r="L224" s="658"/>
      <c r="M224" s="399"/>
    </row>
    <row r="225" spans="1:13" s="675" customFormat="1" ht="14.25" x14ac:dyDescent="0.2">
      <c r="A225" s="398"/>
      <c r="B225" s="398"/>
      <c r="C225" s="398"/>
      <c r="D225" s="659"/>
      <c r="E225" s="660"/>
      <c r="F225" s="660"/>
      <c r="G225" s="660"/>
      <c r="H225" s="660"/>
      <c r="I225" s="661"/>
      <c r="J225" s="662"/>
      <c r="K225" s="663"/>
      <c r="L225" s="662"/>
      <c r="M225" s="399"/>
    </row>
    <row r="226" spans="1:13" s="675" customFormat="1" ht="15" x14ac:dyDescent="0.25">
      <c r="A226" s="398"/>
      <c r="B226" s="398"/>
      <c r="C226" s="398"/>
      <c r="D226" s="664"/>
      <c r="E226" s="665"/>
      <c r="F226" s="665"/>
      <c r="G226" s="665"/>
      <c r="H226" s="665"/>
      <c r="I226" s="666"/>
      <c r="J226" s="667"/>
      <c r="K226" s="668"/>
      <c r="L226" s="667"/>
      <c r="M226" s="399"/>
    </row>
    <row r="227" spans="1:13" s="675" customFormat="1" ht="15" x14ac:dyDescent="0.25">
      <c r="A227" s="398"/>
      <c r="B227" s="398"/>
      <c r="C227" s="398"/>
      <c r="D227" s="664"/>
      <c r="E227" s="665"/>
      <c r="F227" s="665"/>
      <c r="G227" s="665"/>
      <c r="H227" s="665"/>
      <c r="I227" s="666"/>
      <c r="J227" s="667"/>
      <c r="K227" s="669"/>
      <c r="L227" s="667"/>
      <c r="M227" s="399"/>
    </row>
    <row r="228" spans="1:13" s="675" customFormat="1" ht="15" x14ac:dyDescent="0.25">
      <c r="A228" s="398"/>
      <c r="B228" s="398"/>
      <c r="C228" s="398"/>
      <c r="D228" s="664"/>
      <c r="E228" s="665"/>
      <c r="F228" s="665"/>
      <c r="G228" s="665"/>
      <c r="H228" s="665"/>
      <c r="I228" s="666"/>
      <c r="J228" s="667"/>
      <c r="K228" s="667"/>
      <c r="L228" s="667"/>
      <c r="M228" s="399"/>
    </row>
    <row r="229" spans="1:13" s="675" customFormat="1" ht="15" x14ac:dyDescent="0.25">
      <c r="A229" s="398"/>
      <c r="B229" s="398"/>
      <c r="C229" s="398"/>
      <c r="D229" s="664"/>
      <c r="E229" s="665"/>
      <c r="F229" s="665"/>
      <c r="G229" s="665"/>
      <c r="H229" s="665"/>
      <c r="I229" s="666"/>
      <c r="J229" s="670"/>
      <c r="K229" s="670"/>
      <c r="L229" s="670"/>
      <c r="M229" s="399"/>
    </row>
  </sheetData>
  <mergeCells count="115">
    <mergeCell ref="I215:J215"/>
    <mergeCell ref="K215:L215"/>
    <mergeCell ref="I204:J204"/>
    <mergeCell ref="K204:L204"/>
    <mergeCell ref="A198:H198"/>
    <mergeCell ref="I198:J198"/>
    <mergeCell ref="K198:L198"/>
    <mergeCell ref="I188:J188"/>
    <mergeCell ref="K188:L188"/>
    <mergeCell ref="I190:J190"/>
    <mergeCell ref="K190:L190"/>
    <mergeCell ref="I192:J192"/>
    <mergeCell ref="K192:L192"/>
    <mergeCell ref="I202:J202"/>
    <mergeCell ref="K202:L202"/>
    <mergeCell ref="A194:H194"/>
    <mergeCell ref="I194:J194"/>
    <mergeCell ref="K194:L194"/>
    <mergeCell ref="D211:H211"/>
    <mergeCell ref="D212:H212"/>
    <mergeCell ref="D213:H213"/>
    <mergeCell ref="D214:H214"/>
    <mergeCell ref="D215:H215"/>
    <mergeCell ref="C6:E6"/>
    <mergeCell ref="A1:L1"/>
    <mergeCell ref="A2:L2"/>
    <mergeCell ref="I203:J203"/>
    <mergeCell ref="K203:L203"/>
    <mergeCell ref="I171:J171"/>
    <mergeCell ref="K171:L171"/>
    <mergeCell ref="I173:J173"/>
    <mergeCell ref="K173:L173"/>
    <mergeCell ref="I183:J183"/>
    <mergeCell ref="K183:L183"/>
    <mergeCell ref="I162:J162"/>
    <mergeCell ref="K162:L162"/>
    <mergeCell ref="I167:J167"/>
    <mergeCell ref="K167:L167"/>
    <mergeCell ref="I169:J169"/>
    <mergeCell ref="K169:L169"/>
    <mergeCell ref="I145:J145"/>
    <mergeCell ref="K145:L145"/>
    <mergeCell ref="I150:J150"/>
    <mergeCell ref="K150:L150"/>
    <mergeCell ref="I152:J152"/>
    <mergeCell ref="K152:L152"/>
    <mergeCell ref="I130:J130"/>
    <mergeCell ref="K130:L130"/>
    <mergeCell ref="I132:J132"/>
    <mergeCell ref="K132:L132"/>
    <mergeCell ref="I134:J134"/>
    <mergeCell ref="K134:L134"/>
    <mergeCell ref="I113:J113"/>
    <mergeCell ref="K113:L113"/>
    <mergeCell ref="I123:J123"/>
    <mergeCell ref="K123:L123"/>
    <mergeCell ref="I128:J128"/>
    <mergeCell ref="K128:L128"/>
    <mergeCell ref="I95:J95"/>
    <mergeCell ref="K95:L95"/>
    <mergeCell ref="I106:J106"/>
    <mergeCell ref="K106:L106"/>
    <mergeCell ref="I111:J111"/>
    <mergeCell ref="K111:L111"/>
    <mergeCell ref="I77:J77"/>
    <mergeCell ref="K77:L77"/>
    <mergeCell ref="I88:J88"/>
    <mergeCell ref="K88:L88"/>
    <mergeCell ref="I93:J93"/>
    <mergeCell ref="K93:L93"/>
    <mergeCell ref="I71:J71"/>
    <mergeCell ref="K71:L71"/>
    <mergeCell ref="I73:J73"/>
    <mergeCell ref="K73:L73"/>
    <mergeCell ref="I75:J75"/>
    <mergeCell ref="K75:L75"/>
    <mergeCell ref="I65:J65"/>
    <mergeCell ref="K65:L65"/>
    <mergeCell ref="I67:J67"/>
    <mergeCell ref="K67:L67"/>
    <mergeCell ref="I69:J69"/>
    <mergeCell ref="K69:L69"/>
    <mergeCell ref="I59:J59"/>
    <mergeCell ref="K59:L59"/>
    <mergeCell ref="I61:J61"/>
    <mergeCell ref="K61:L61"/>
    <mergeCell ref="I63:J63"/>
    <mergeCell ref="K63:L63"/>
    <mergeCell ref="A37:H37"/>
    <mergeCell ref="I37:J37"/>
    <mergeCell ref="K37:L37"/>
    <mergeCell ref="A44:L44"/>
    <mergeCell ref="I54:J54"/>
    <mergeCell ref="K54:L54"/>
    <mergeCell ref="I28:J28"/>
    <mergeCell ref="K28:L28"/>
    <mergeCell ref="I33:J33"/>
    <mergeCell ref="K33:L33"/>
    <mergeCell ref="I35:J35"/>
    <mergeCell ref="K35:L35"/>
    <mergeCell ref="I9:I14"/>
    <mergeCell ref="J9:J14"/>
    <mergeCell ref="K9:K14"/>
    <mergeCell ref="L9:L14"/>
    <mergeCell ref="A8:L8"/>
    <mergeCell ref="A9:B9"/>
    <mergeCell ref="C9:C14"/>
    <mergeCell ref="D9:D14"/>
    <mergeCell ref="E9:E14"/>
    <mergeCell ref="F9:F14"/>
    <mergeCell ref="G9:G14"/>
    <mergeCell ref="H9:H14"/>
    <mergeCell ref="A17:L17"/>
    <mergeCell ref="A10:A14"/>
    <mergeCell ref="B10:B14"/>
  </mergeCells>
  <pageMargins left="0.78740157480314965" right="0" top="0.39370078740157483" bottom="0.39370078740157483" header="0.31496062992125984" footer="0.31496062992125984"/>
  <pageSetup paperSize="9" scale="62" firstPageNumber="36" fitToHeight="0" orientation="portrait" blackAndWhite="1" useFirstPageNumber="1" r:id="rId1"/>
  <headerFooter>
    <oddFooter>&amp;R&amp;P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IV149"/>
  <sheetViews>
    <sheetView view="pageBreakPreview" zoomScale="60" zoomScaleNormal="100" workbookViewId="0">
      <selection activeCell="D24" sqref="D24"/>
    </sheetView>
  </sheetViews>
  <sheetFormatPr defaultRowHeight="11.25" x14ac:dyDescent="0.2"/>
  <cols>
    <col min="1" max="2" width="6.6640625" style="647" customWidth="1"/>
    <col min="3" max="3" width="16.5" style="647" customWidth="1"/>
    <col min="4" max="4" width="47.5" style="647" customWidth="1"/>
    <col min="5" max="5" width="13.6640625" style="647" customWidth="1"/>
    <col min="6" max="6" width="14.33203125" style="647" bestFit="1" customWidth="1"/>
    <col min="7" max="7" width="11.83203125" style="647" bestFit="1" customWidth="1"/>
    <col min="8" max="8" width="13.1640625" style="647" bestFit="1" customWidth="1"/>
    <col min="9" max="9" width="12.6640625" style="647" bestFit="1" customWidth="1"/>
    <col min="10" max="10" width="14.5" style="647" customWidth="1"/>
    <col min="11" max="11" width="10.6640625" style="647" bestFit="1" customWidth="1"/>
    <col min="12" max="12" width="18.1640625" style="647" customWidth="1"/>
    <col min="13" max="13" width="9.33203125" style="647"/>
    <col min="14" max="35" width="0" style="647" hidden="1" customWidth="1"/>
    <col min="36" max="36" width="106.1640625" style="647" hidden="1" customWidth="1"/>
    <col min="37" max="37" width="157.1640625" style="647" hidden="1" customWidth="1"/>
    <col min="38" max="38" width="117.83203125" style="647" hidden="1" customWidth="1"/>
    <col min="39" max="39" width="0" style="647" hidden="1" customWidth="1"/>
    <col min="40" max="40" width="113" style="647" hidden="1" customWidth="1"/>
    <col min="41" max="42" width="0" style="647" hidden="1" customWidth="1"/>
    <col min="43" max="16384" width="9.33203125" style="647"/>
  </cols>
  <sheetData>
    <row r="1" spans="1:37" ht="18.75" x14ac:dyDescent="0.3">
      <c r="A1" s="1098" t="s">
        <v>706</v>
      </c>
      <c r="B1" s="1098"/>
      <c r="C1" s="1098"/>
      <c r="D1" s="1098"/>
      <c r="E1" s="1098"/>
      <c r="F1" s="1098"/>
      <c r="G1" s="1098"/>
      <c r="H1" s="1098"/>
      <c r="I1" s="1098"/>
      <c r="J1" s="1098"/>
      <c r="K1" s="1098"/>
      <c r="L1" s="1098"/>
    </row>
    <row r="2" spans="1:37" ht="15.75" x14ac:dyDescent="0.25">
      <c r="A2" s="1099" t="s">
        <v>452</v>
      </c>
      <c r="B2" s="1099"/>
      <c r="C2" s="1099"/>
      <c r="D2" s="1099"/>
      <c r="E2" s="1099"/>
      <c r="F2" s="1099"/>
      <c r="G2" s="1099"/>
      <c r="H2" s="1099"/>
      <c r="I2" s="1099"/>
      <c r="J2" s="1099"/>
      <c r="K2" s="1099"/>
      <c r="L2" s="1099"/>
    </row>
    <row r="3" spans="1:37" ht="15.75" x14ac:dyDescent="0.25">
      <c r="A3" s="763"/>
      <c r="B3" s="763"/>
      <c r="C3" s="763"/>
      <c r="D3" s="763"/>
      <c r="E3" s="763"/>
      <c r="F3" s="763"/>
      <c r="G3" s="763"/>
      <c r="H3" s="763"/>
      <c r="I3" s="763"/>
      <c r="J3" s="763"/>
      <c r="K3" s="763"/>
      <c r="L3" s="763"/>
    </row>
    <row r="4" spans="1:37" ht="15.75" x14ac:dyDescent="0.25">
      <c r="A4" s="763"/>
      <c r="B4" s="752" t="s">
        <v>518</v>
      </c>
      <c r="C4" s="764"/>
      <c r="D4" s="764"/>
      <c r="E4" s="764"/>
      <c r="F4" s="764"/>
      <c r="G4" s="763"/>
      <c r="H4" s="763"/>
      <c r="I4" s="763"/>
      <c r="J4" s="763"/>
      <c r="K4" s="763"/>
      <c r="L4" s="763"/>
    </row>
    <row r="5" spans="1:37" ht="15.75" customHeight="1" x14ac:dyDescent="0.25">
      <c r="A5" s="763"/>
      <c r="B5" s="765" t="s">
        <v>563</v>
      </c>
      <c r="C5" s="764"/>
      <c r="D5" s="764"/>
      <c r="E5" s="764"/>
      <c r="F5" s="764"/>
      <c r="G5" s="763"/>
      <c r="H5" s="763"/>
      <c r="I5" s="763"/>
      <c r="J5" s="763"/>
      <c r="K5" s="763"/>
      <c r="L5" s="763"/>
    </row>
    <row r="6" spans="1:37" ht="66.75" customHeight="1" x14ac:dyDescent="0.25">
      <c r="A6" s="763"/>
      <c r="B6" s="1100" t="s">
        <v>564</v>
      </c>
      <c r="C6" s="1100"/>
      <c r="D6" s="1100"/>
      <c r="E6" s="1100"/>
      <c r="F6" s="1100"/>
      <c r="G6" s="763"/>
      <c r="H6" s="763"/>
      <c r="I6" s="763"/>
      <c r="J6" s="763"/>
      <c r="K6" s="763"/>
      <c r="L6" s="763"/>
    </row>
    <row r="7" spans="1:37" ht="15" x14ac:dyDescent="0.25">
      <c r="A7" s="722"/>
      <c r="B7" s="722"/>
      <c r="C7" s="722"/>
      <c r="D7" s="722"/>
      <c r="E7" s="722"/>
      <c r="F7" s="722"/>
      <c r="G7" s="722"/>
      <c r="H7" s="722"/>
      <c r="I7" s="722"/>
      <c r="J7" s="722"/>
      <c r="K7" s="722"/>
      <c r="L7" s="722"/>
    </row>
    <row r="8" spans="1:37" ht="28.5" customHeight="1" x14ac:dyDescent="0.25">
      <c r="A8" s="1088" t="s">
        <v>526</v>
      </c>
      <c r="B8" s="1088"/>
      <c r="C8" s="1088"/>
      <c r="D8" s="1088"/>
      <c r="E8" s="1088"/>
      <c r="F8" s="1088"/>
      <c r="G8" s="1088"/>
      <c r="H8" s="1088"/>
      <c r="I8" s="1088"/>
      <c r="J8" s="1088"/>
      <c r="K8" s="1088"/>
      <c r="L8" s="1088"/>
      <c r="AK8" s="623" t="s">
        <v>526</v>
      </c>
    </row>
    <row r="9" spans="1:37" ht="15" x14ac:dyDescent="0.2">
      <c r="A9" s="1089" t="s">
        <v>67</v>
      </c>
      <c r="B9" s="1089"/>
      <c r="C9" s="1089" t="s">
        <v>68</v>
      </c>
      <c r="D9" s="1089" t="s">
        <v>69</v>
      </c>
      <c r="E9" s="1089" t="s">
        <v>70</v>
      </c>
      <c r="F9" s="1089" t="s">
        <v>457</v>
      </c>
      <c r="G9" s="1089" t="s">
        <v>458</v>
      </c>
      <c r="H9" s="1090" t="s">
        <v>459</v>
      </c>
      <c r="I9" s="1090" t="s">
        <v>460</v>
      </c>
      <c r="J9" s="1089" t="s">
        <v>461</v>
      </c>
      <c r="K9" s="1089" t="s">
        <v>462</v>
      </c>
      <c r="L9" s="1089" t="s">
        <v>463</v>
      </c>
    </row>
    <row r="10" spans="1:37" x14ac:dyDescent="0.2">
      <c r="A10" s="1090" t="s">
        <v>78</v>
      </c>
      <c r="B10" s="1090" t="s">
        <v>79</v>
      </c>
      <c r="C10" s="1089"/>
      <c r="D10" s="1089"/>
      <c r="E10" s="1089"/>
      <c r="F10" s="1089"/>
      <c r="G10" s="1089"/>
      <c r="H10" s="1091"/>
      <c r="I10" s="1091"/>
      <c r="J10" s="1089"/>
      <c r="K10" s="1089"/>
      <c r="L10" s="1089"/>
    </row>
    <row r="11" spans="1:37" x14ac:dyDescent="0.2">
      <c r="A11" s="1091"/>
      <c r="B11" s="1091"/>
      <c r="C11" s="1089"/>
      <c r="D11" s="1089"/>
      <c r="E11" s="1089"/>
      <c r="F11" s="1089"/>
      <c r="G11" s="1089"/>
      <c r="H11" s="1091"/>
      <c r="I11" s="1091"/>
      <c r="J11" s="1089"/>
      <c r="K11" s="1089"/>
      <c r="L11" s="1089"/>
    </row>
    <row r="12" spans="1:37" x14ac:dyDescent="0.2">
      <c r="A12" s="1091"/>
      <c r="B12" s="1091"/>
      <c r="C12" s="1089"/>
      <c r="D12" s="1089"/>
      <c r="E12" s="1089"/>
      <c r="F12" s="1089"/>
      <c r="G12" s="1089"/>
      <c r="H12" s="1091"/>
      <c r="I12" s="1091"/>
      <c r="J12" s="1089"/>
      <c r="K12" s="1089"/>
      <c r="L12" s="1089"/>
    </row>
    <row r="13" spans="1:37" x14ac:dyDescent="0.2">
      <c r="A13" s="1091"/>
      <c r="B13" s="1091"/>
      <c r="C13" s="1089"/>
      <c r="D13" s="1089"/>
      <c r="E13" s="1089"/>
      <c r="F13" s="1089"/>
      <c r="G13" s="1089"/>
      <c r="H13" s="1091"/>
      <c r="I13" s="1091"/>
      <c r="J13" s="1089"/>
      <c r="K13" s="1089"/>
      <c r="L13" s="1089"/>
    </row>
    <row r="14" spans="1:37" x14ac:dyDescent="0.2">
      <c r="A14" s="1092"/>
      <c r="B14" s="1092"/>
      <c r="C14" s="1089"/>
      <c r="D14" s="1089"/>
      <c r="E14" s="1089"/>
      <c r="F14" s="1089"/>
      <c r="G14" s="1089"/>
      <c r="H14" s="1092"/>
      <c r="I14" s="1092"/>
      <c r="J14" s="1089"/>
      <c r="K14" s="1089"/>
      <c r="L14" s="1089"/>
    </row>
    <row r="15" spans="1:37" ht="15" x14ac:dyDescent="0.2">
      <c r="A15" s="624">
        <v>1</v>
      </c>
      <c r="B15" s="624">
        <v>2</v>
      </c>
      <c r="C15" s="624">
        <v>3</v>
      </c>
      <c r="D15" s="624">
        <v>4</v>
      </c>
      <c r="E15" s="624">
        <v>5</v>
      </c>
      <c r="F15" s="624">
        <v>6</v>
      </c>
      <c r="G15" s="624">
        <v>7</v>
      </c>
      <c r="H15" s="624">
        <v>8</v>
      </c>
      <c r="I15" s="624">
        <v>9</v>
      </c>
      <c r="J15" s="624">
        <v>10</v>
      </c>
      <c r="K15" s="624">
        <v>11</v>
      </c>
      <c r="L15" s="624">
        <v>12</v>
      </c>
    </row>
    <row r="17" spans="1:27" ht="16.5" x14ac:dyDescent="0.25">
      <c r="A17" s="1093" t="str">
        <f>CONCATENATE("Подраздел: ",IF([102]Source!G404&lt;&gt;"Новый подраздел", [102]Source!G404, ""))</f>
        <v>Подраздел: К2-6, К2-7р</v>
      </c>
      <c r="B17" s="1093"/>
      <c r="C17" s="1093"/>
      <c r="D17" s="1093"/>
      <c r="E17" s="1093"/>
      <c r="F17" s="1093"/>
      <c r="G17" s="1093"/>
      <c r="H17" s="1093"/>
      <c r="I17" s="1093"/>
      <c r="J17" s="1093"/>
      <c r="K17" s="1093"/>
      <c r="L17" s="1093"/>
    </row>
    <row r="18" spans="1:27" ht="59.25" customHeight="1" x14ac:dyDescent="0.25">
      <c r="A18" s="625">
        <v>1</v>
      </c>
      <c r="B18" s="625" t="str">
        <f>[102]Source!E423</f>
        <v>87</v>
      </c>
      <c r="C18" s="626" t="str">
        <f>[102]Source!F423</f>
        <v>МКЭ-28-1837/5-1 от 12.01.2016</v>
      </c>
      <c r="D18" s="626" t="s">
        <v>763</v>
      </c>
      <c r="E18" s="627" t="str">
        <f>[102]Source!H423</f>
        <v>шт.</v>
      </c>
      <c r="F18" s="628">
        <f>[102]Source!I423</f>
        <v>2</v>
      </c>
      <c r="G18" s="631">
        <f>J18/F18</f>
        <v>1346.97</v>
      </c>
      <c r="H18" s="630"/>
      <c r="I18" s="628">
        <v>1</v>
      </c>
      <c r="J18" s="631">
        <f>L18/K18</f>
        <v>2693.93</v>
      </c>
      <c r="K18" s="694">
        <v>5.58</v>
      </c>
      <c r="L18" s="631">
        <f>7368.69*1.02*F18</f>
        <v>15032.13</v>
      </c>
      <c r="Q18" s="647">
        <f>ROUND(([102]Source!DN423/100)*ROUND((ROUND(([102]Source!AF423*[102]Source!AV423*[102]Source!I423),2)),2), 2)</f>
        <v>0</v>
      </c>
      <c r="R18" s="647">
        <f>[102]Source!X423</f>
        <v>0</v>
      </c>
      <c r="S18" s="647">
        <f>ROUND(([102]Source!DO423/100)*ROUND((ROUND(([102]Source!AF423*[102]Source!AV423*[102]Source!I423),2)),2), 2)</f>
        <v>0</v>
      </c>
      <c r="T18" s="647">
        <f>[102]Source!Y423</f>
        <v>0</v>
      </c>
      <c r="U18" s="647">
        <f>ROUND((175/100)*ROUND((ROUND(([102]Source!AE423*[102]Source!AV423*[102]Source!I423),2)),2), 2)</f>
        <v>0</v>
      </c>
      <c r="V18" s="647">
        <f>ROUND((157/100)*ROUND(ROUND((ROUND(([102]Source!AE423*[102]Source!AV423*[102]Source!I423),2)*[102]Source!BS423),2), 2), 2)</f>
        <v>0</v>
      </c>
    </row>
    <row r="19" spans="1:27" ht="14.25" x14ac:dyDescent="0.2">
      <c r="A19" s="725"/>
      <c r="B19" s="725"/>
      <c r="C19" s="725"/>
      <c r="D19" s="725"/>
      <c r="E19" s="725"/>
      <c r="F19" s="725"/>
      <c r="G19" s="725"/>
      <c r="H19" s="725"/>
      <c r="I19" s="1094">
        <f>J18</f>
        <v>2693.93</v>
      </c>
      <c r="J19" s="1094"/>
      <c r="K19" s="1094">
        <f>L18</f>
        <v>15032.13</v>
      </c>
      <c r="L19" s="1094"/>
      <c r="O19" s="724">
        <f>J18</f>
        <v>2693.93</v>
      </c>
      <c r="P19" s="724">
        <f>L18</f>
        <v>15032.13</v>
      </c>
      <c r="X19" s="647">
        <f>IF([102]Source!BI423&lt;=1,J18-0, 0)</f>
        <v>2693.93</v>
      </c>
      <c r="Y19" s="647">
        <f>IF([102]Source!BI423=2,J18-0, 0)</f>
        <v>0</v>
      </c>
      <c r="Z19" s="647">
        <f>IF([102]Source!BI423=3,J18-0, 0)</f>
        <v>0</v>
      </c>
      <c r="AA19" s="647">
        <f>IF([102]Source!BI423=4,J18,0)</f>
        <v>0</v>
      </c>
    </row>
    <row r="20" spans="1:27" ht="30" x14ac:dyDescent="0.25">
      <c r="A20" s="625">
        <v>2</v>
      </c>
      <c r="B20" s="625" t="str">
        <f>[102]Source!E435</f>
        <v>92</v>
      </c>
      <c r="C20" s="626" t="str">
        <f>[102]Source!F435</f>
        <v>3.29-1939-2</v>
      </c>
      <c r="D20" s="626" t="s">
        <v>541</v>
      </c>
      <c r="E20" s="627" t="str">
        <f>[102]Source!H435</f>
        <v>1 М</v>
      </c>
      <c r="F20" s="628">
        <f>[102]Source!I435</f>
        <v>53.64</v>
      </c>
      <c r="G20" s="629"/>
      <c r="H20" s="630"/>
      <c r="I20" s="628"/>
      <c r="J20" s="631"/>
      <c r="K20" s="628"/>
      <c r="L20" s="631"/>
      <c r="Q20" s="647">
        <f>ROUND(([102]Source!DN435/100)*ROUND((ROUND(([102]Source!AF435*[102]Source!AV435*[102]Source!I435),2)),2), 2)</f>
        <v>644.85</v>
      </c>
      <c r="R20" s="647">
        <f>[102]Source!X435</f>
        <v>13449.03</v>
      </c>
      <c r="S20" s="647">
        <f>ROUND(([102]Source!DO435/100)*ROUND((ROUND(([102]Source!AF435*[102]Source!AV435*[102]Source!I435),2)),2), 2)</f>
        <v>571.38</v>
      </c>
      <c r="T20" s="647">
        <f>[102]Source!Y435</f>
        <v>8504.5300000000007</v>
      </c>
      <c r="U20" s="647">
        <f>ROUND((175/100)*ROUND((ROUND(([102]Source!AE435*[102]Source!AV435*[102]Source!I435),2)),2), 2)</f>
        <v>0</v>
      </c>
      <c r="V20" s="647">
        <f>ROUND((157/100)*ROUND(ROUND((ROUND(([102]Source!AE435*[102]Source!AV435*[102]Source!I435),2)*[102]Source!BS435),2), 2), 2)</f>
        <v>0</v>
      </c>
    </row>
    <row r="21" spans="1:27" ht="15" x14ac:dyDescent="0.25">
      <c r="A21" s="625"/>
      <c r="B21" s="625"/>
      <c r="C21" s="626"/>
      <c r="D21" s="626" t="s">
        <v>84</v>
      </c>
      <c r="E21" s="627"/>
      <c r="F21" s="628"/>
      <c r="G21" s="629">
        <f>[102]Source!AO435</f>
        <v>8.5399999999999991</v>
      </c>
      <c r="H21" s="630" t="str">
        <f>[102]Source!DG435</f>
        <v>)*1,67</v>
      </c>
      <c r="I21" s="628">
        <f>[102]Source!AV435</f>
        <v>1.0669999999999999</v>
      </c>
      <c r="J21" s="631">
        <f>ROUND((ROUND(([102]Source!AF435*[102]Source!AV435*[102]Source!I435),2)),2)</f>
        <v>816.26</v>
      </c>
      <c r="K21" s="628">
        <f>IF([102]Source!BA435&lt;&gt; 0, [102]Source!BA435, 1)</f>
        <v>24.23</v>
      </c>
      <c r="L21" s="631">
        <f>[102]Source!S435</f>
        <v>19777.98</v>
      </c>
      <c r="W21" s="647">
        <f>J21</f>
        <v>816.26</v>
      </c>
    </row>
    <row r="22" spans="1:27" ht="15" x14ac:dyDescent="0.25">
      <c r="A22" s="625"/>
      <c r="B22" s="625"/>
      <c r="C22" s="626"/>
      <c r="D22" s="626" t="s">
        <v>85</v>
      </c>
      <c r="E22" s="627"/>
      <c r="F22" s="628"/>
      <c r="G22" s="629">
        <f>[102]Source!AM435</f>
        <v>7.0000000000000007E-2</v>
      </c>
      <c r="H22" s="630" t="str">
        <f>[102]Source!DE435</f>
        <v/>
      </c>
      <c r="I22" s="628">
        <f>[102]Source!AV435</f>
        <v>1.0669999999999999</v>
      </c>
      <c r="J22" s="631">
        <f>(ROUND((ROUND((([102]Source!ET435)*[102]Source!AV435*[102]Source!I435),2)),2)+ROUND((ROUND((([102]Source!AE435-([102]Source!EU435))*[102]Source!AV435*[102]Source!I435),2)),2))</f>
        <v>4.01</v>
      </c>
      <c r="K22" s="628">
        <f>IF([102]Source!BB435&lt;&gt; 0, [102]Source!BB435, 1)</f>
        <v>3.71</v>
      </c>
      <c r="L22" s="631">
        <f>[102]Source!Q435</f>
        <v>14.88</v>
      </c>
    </row>
    <row r="23" spans="1:27" ht="15" x14ac:dyDescent="0.25">
      <c r="A23" s="625"/>
      <c r="B23" s="625"/>
      <c r="C23" s="626"/>
      <c r="D23" s="626" t="s">
        <v>87</v>
      </c>
      <c r="E23" s="627"/>
      <c r="F23" s="628"/>
      <c r="G23" s="629">
        <f>[102]Source!AL435</f>
        <v>15.11</v>
      </c>
      <c r="H23" s="630" t="str">
        <f>[102]Source!DD435</f>
        <v/>
      </c>
      <c r="I23" s="628">
        <f>[102]Source!AW435</f>
        <v>1.028</v>
      </c>
      <c r="J23" s="631">
        <f>ROUND((ROUND(([102]Source!AC435*[102]Source!AW435*[102]Source!I435),2)),2)</f>
        <v>833.19</v>
      </c>
      <c r="K23" s="628">
        <f>IF([102]Source!BC435&lt;&gt; 0, [102]Source!BC435, 1)</f>
        <v>2.52</v>
      </c>
      <c r="L23" s="631">
        <f>[102]Source!P435</f>
        <v>2099.64</v>
      </c>
    </row>
    <row r="24" spans="1:27" ht="45" x14ac:dyDescent="0.25">
      <c r="A24" s="625">
        <v>3</v>
      </c>
      <c r="B24" s="625" t="str">
        <f>[102]Source!E437</f>
        <v>92,1</v>
      </c>
      <c r="C24" s="626" t="str">
        <f>[102]Source!F437</f>
        <v>1.12-7-187</v>
      </c>
      <c r="D24" s="626" t="s">
        <v>542</v>
      </c>
      <c r="E24" s="627" t="str">
        <f>[102]Source!H437</f>
        <v>м</v>
      </c>
      <c r="F24" s="628">
        <f>[102]Source!I437</f>
        <v>53.64</v>
      </c>
      <c r="G24" s="629">
        <f>[102]Source!AK437</f>
        <v>7.73</v>
      </c>
      <c r="H24" s="723" t="s">
        <v>42</v>
      </c>
      <c r="I24" s="628">
        <f>[102]Source!AW437</f>
        <v>1.028</v>
      </c>
      <c r="J24" s="631">
        <f>ROUND((ROUND(([102]Source!AC437*[102]Source!AW437*[102]Source!I437),2)),2)+(ROUND((ROUND((([102]Source!ET437)*[102]Source!AV437*[102]Source!I437),2)),2)+ROUND((ROUND((([102]Source!AE437-([102]Source!EU437))*[102]Source!AV437*[102]Source!I437),2)),2))+ROUND((ROUND(([102]Source!AF437*[102]Source!AV437*[102]Source!I437),2)),2)</f>
        <v>426.25</v>
      </c>
      <c r="K24" s="628">
        <f>IF([102]Source!BC437&lt;&gt; 0, [102]Source!BC437, 1)</f>
        <v>13.82</v>
      </c>
      <c r="L24" s="631">
        <f>[102]Source!O437</f>
        <v>5890.78</v>
      </c>
      <c r="Q24" s="647">
        <f>ROUND(([102]Source!DN437/100)*ROUND((ROUND(([102]Source!AF437*[102]Source!AV437*[102]Source!I437),2)),2), 2)</f>
        <v>0</v>
      </c>
      <c r="R24" s="647">
        <f>[102]Source!X437</f>
        <v>0</v>
      </c>
      <c r="S24" s="647">
        <f>ROUND(([102]Source!DO437/100)*ROUND((ROUND(([102]Source!AF437*[102]Source!AV437*[102]Source!I437),2)),2), 2)</f>
        <v>0</v>
      </c>
      <c r="T24" s="647">
        <f>[102]Source!Y437</f>
        <v>0</v>
      </c>
      <c r="U24" s="647">
        <f>ROUND((175/100)*ROUND((ROUND(([102]Source!AE437*[102]Source!AV437*[102]Source!I437),2)),2), 2)</f>
        <v>0</v>
      </c>
      <c r="V24" s="647">
        <f>ROUND((157/100)*ROUND(ROUND((ROUND(([102]Source!AE437*[102]Source!AV437*[102]Source!I437),2)*[102]Source!BS437),2), 2), 2)</f>
        <v>0</v>
      </c>
      <c r="X24" s="647">
        <f>IF([102]Source!BI437&lt;=1,J24, 0)</f>
        <v>426.25</v>
      </c>
      <c r="Y24" s="647">
        <f>IF([102]Source!BI437=2,J24, 0)</f>
        <v>0</v>
      </c>
      <c r="Z24" s="647">
        <f>IF([102]Source!BI437=3,J24, 0)</f>
        <v>0</v>
      </c>
      <c r="AA24" s="647">
        <f>IF([102]Source!BI437=4,J24, 0)</f>
        <v>0</v>
      </c>
    </row>
    <row r="25" spans="1:27" ht="15" x14ac:dyDescent="0.25">
      <c r="A25" s="625"/>
      <c r="B25" s="625"/>
      <c r="C25" s="626"/>
      <c r="D25" s="626" t="s">
        <v>88</v>
      </c>
      <c r="E25" s="627" t="s">
        <v>89</v>
      </c>
      <c r="F25" s="628">
        <f>[102]Source!DN435</f>
        <v>79</v>
      </c>
      <c r="G25" s="629"/>
      <c r="H25" s="630"/>
      <c r="I25" s="628"/>
      <c r="J25" s="631">
        <f>SUM(Q20:Q24)</f>
        <v>644.85</v>
      </c>
      <c r="K25" s="628">
        <f>[102]Source!BZ435</f>
        <v>68</v>
      </c>
      <c r="L25" s="631">
        <f>SUM(R20:R24)</f>
        <v>13449.03</v>
      </c>
    </row>
    <row r="26" spans="1:27" ht="15" x14ac:dyDescent="0.25">
      <c r="A26" s="625"/>
      <c r="B26" s="625"/>
      <c r="C26" s="626"/>
      <c r="D26" s="626" t="s">
        <v>90</v>
      </c>
      <c r="E26" s="627" t="s">
        <v>89</v>
      </c>
      <c r="F26" s="628">
        <f>[102]Source!DO435</f>
        <v>70</v>
      </c>
      <c r="G26" s="629"/>
      <c r="H26" s="630"/>
      <c r="I26" s="628"/>
      <c r="J26" s="631">
        <f>SUM(S20:S25)</f>
        <v>571.38</v>
      </c>
      <c r="K26" s="628">
        <f>[102]Source!CA435</f>
        <v>43</v>
      </c>
      <c r="L26" s="631">
        <f>SUM(T20:T25)</f>
        <v>8504.5300000000007</v>
      </c>
    </row>
    <row r="27" spans="1:27" ht="15" x14ac:dyDescent="0.25">
      <c r="A27" s="625"/>
      <c r="B27" s="625"/>
      <c r="C27" s="626"/>
      <c r="D27" s="626" t="s">
        <v>92</v>
      </c>
      <c r="E27" s="627" t="s">
        <v>93</v>
      </c>
      <c r="F27" s="628">
        <f>[102]Source!AQ435</f>
        <v>0.7</v>
      </c>
      <c r="G27" s="629"/>
      <c r="H27" s="630" t="str">
        <f>[102]Source!DI435</f>
        <v/>
      </c>
      <c r="I27" s="628">
        <f>[102]Source!AV435</f>
        <v>1.0669999999999999</v>
      </c>
      <c r="J27" s="631">
        <f>[102]Source!U435</f>
        <v>40.06</v>
      </c>
      <c r="K27" s="628"/>
      <c r="L27" s="631"/>
    </row>
    <row r="28" spans="1:27" ht="14.25" x14ac:dyDescent="0.2">
      <c r="A28" s="725"/>
      <c r="B28" s="725"/>
      <c r="C28" s="725"/>
      <c r="D28" s="725"/>
      <c r="E28" s="725"/>
      <c r="F28" s="725"/>
      <c r="G28" s="725"/>
      <c r="H28" s="725"/>
      <c r="I28" s="1094">
        <f>J21+J22+J23+J25+J26+SUM(J24:J24)</f>
        <v>3295.94</v>
      </c>
      <c r="J28" s="1094"/>
      <c r="K28" s="1094">
        <f>L21+L22+L23+L25+L26+SUM(L24:L24)</f>
        <v>49736.84</v>
      </c>
      <c r="L28" s="1094"/>
      <c r="O28" s="724">
        <f>J21+J22+J23+J25+J26+SUM(J24:J24)</f>
        <v>3295.94</v>
      </c>
      <c r="P28" s="724">
        <f>L21+L22+L23+L25+L26+SUM(L24:L24)</f>
        <v>49736.84</v>
      </c>
      <c r="X28" s="647">
        <f>IF([102]Source!BI435&lt;=1,J21+J22+J23+J25+J26-0, 0)</f>
        <v>2869.69</v>
      </c>
      <c r="Y28" s="647">
        <f>IF([102]Source!BI435=2,J21+J22+J23+J25+J26-0, 0)</f>
        <v>0</v>
      </c>
      <c r="Z28" s="647">
        <f>IF([102]Source!BI435=3,J21+J22+J23+J25+J26-0, 0)</f>
        <v>0</v>
      </c>
      <c r="AA28" s="647">
        <f>IF([102]Source!BI435=4,J21+J22+J23+J25+J26,0)</f>
        <v>0</v>
      </c>
    </row>
    <row r="29" spans="1:27" ht="30" x14ac:dyDescent="0.25">
      <c r="A29" s="625">
        <v>4</v>
      </c>
      <c r="B29" s="625" t="str">
        <f>[102]Source!E443</f>
        <v>94</v>
      </c>
      <c r="C29" s="626" t="str">
        <f>[102]Source!F443</f>
        <v>3.29-1939-4</v>
      </c>
      <c r="D29" s="626" t="s">
        <v>545</v>
      </c>
      <c r="E29" s="627" t="str">
        <f>[102]Source!H443</f>
        <v>1 М</v>
      </c>
      <c r="F29" s="628">
        <f>[102]Source!I443</f>
        <v>21.7</v>
      </c>
      <c r="G29" s="629"/>
      <c r="H29" s="630"/>
      <c r="I29" s="628"/>
      <c r="J29" s="631"/>
      <c r="K29" s="628"/>
      <c r="L29" s="631"/>
      <c r="Q29" s="647">
        <f>ROUND(([102]Source!DN443/100)*ROUND((ROUND(([102]Source!AF443*[102]Source!AV443*[102]Source!I443),2)),2), 2)</f>
        <v>272.17</v>
      </c>
      <c r="R29" s="647">
        <f>[102]Source!X443</f>
        <v>5676.45</v>
      </c>
      <c r="S29" s="647">
        <f>ROUND(([102]Source!DO443/100)*ROUND((ROUND(([102]Source!AF443*[102]Source!AV443*[102]Source!I443),2)),2), 2)</f>
        <v>241.16</v>
      </c>
      <c r="T29" s="647">
        <f>[102]Source!Y443</f>
        <v>3589.52</v>
      </c>
      <c r="U29" s="647">
        <f>ROUND((175/100)*ROUND((ROUND(([102]Source!AE443*[102]Source!AV443*[102]Source!I443),2)),2), 2)</f>
        <v>0</v>
      </c>
      <c r="V29" s="647">
        <f>ROUND((157/100)*ROUND(ROUND((ROUND(([102]Source!AE443*[102]Source!AV443*[102]Source!I443),2)*[102]Source!BS443),2), 2), 2)</f>
        <v>0</v>
      </c>
    </row>
    <row r="30" spans="1:27" ht="15" x14ac:dyDescent="0.25">
      <c r="A30" s="625"/>
      <c r="B30" s="625"/>
      <c r="C30" s="626"/>
      <c r="D30" s="626" t="s">
        <v>84</v>
      </c>
      <c r="E30" s="627"/>
      <c r="F30" s="628"/>
      <c r="G30" s="629">
        <f>[102]Source!AO443</f>
        <v>8.91</v>
      </c>
      <c r="H30" s="630" t="str">
        <f>[102]Source!DG443</f>
        <v>)*1,67</v>
      </c>
      <c r="I30" s="628">
        <f>[102]Source!AV443</f>
        <v>1.0669999999999999</v>
      </c>
      <c r="J30" s="631">
        <f>ROUND((ROUND(([102]Source!AF443*[102]Source!AV443*[102]Source!I443),2)),2)</f>
        <v>344.52</v>
      </c>
      <c r="K30" s="628">
        <f>IF([102]Source!BA443&lt;&gt; 0, [102]Source!BA443, 1)</f>
        <v>24.23</v>
      </c>
      <c r="L30" s="631">
        <f>[102]Source!S443</f>
        <v>8347.7199999999993</v>
      </c>
      <c r="W30" s="647">
        <f>J30</f>
        <v>344.52</v>
      </c>
    </row>
    <row r="31" spans="1:27" ht="15" x14ac:dyDescent="0.25">
      <c r="A31" s="625"/>
      <c r="B31" s="625"/>
      <c r="C31" s="626"/>
      <c r="D31" s="626" t="s">
        <v>85</v>
      </c>
      <c r="E31" s="627"/>
      <c r="F31" s="628"/>
      <c r="G31" s="629">
        <f>[102]Source!AM443</f>
        <v>7.0000000000000007E-2</v>
      </c>
      <c r="H31" s="630" t="str">
        <f>[102]Source!DE443</f>
        <v/>
      </c>
      <c r="I31" s="628">
        <f>[102]Source!AV443</f>
        <v>1.0669999999999999</v>
      </c>
      <c r="J31" s="631">
        <f>(ROUND((ROUND((([102]Source!ET443)*[102]Source!AV443*[102]Source!I443),2)),2)+ROUND((ROUND((([102]Source!AE443-([102]Source!EU443))*[102]Source!AV443*[102]Source!I443),2)),2))</f>
        <v>1.62</v>
      </c>
      <c r="K31" s="628">
        <f>IF([102]Source!BB443&lt;&gt; 0, [102]Source!BB443, 1)</f>
        <v>3.71</v>
      </c>
      <c r="L31" s="631">
        <f>[102]Source!Q443</f>
        <v>6.01</v>
      </c>
    </row>
    <row r="32" spans="1:27" ht="15" x14ac:dyDescent="0.25">
      <c r="A32" s="625"/>
      <c r="B32" s="625"/>
      <c r="C32" s="626"/>
      <c r="D32" s="626" t="s">
        <v>87</v>
      </c>
      <c r="E32" s="627"/>
      <c r="F32" s="628"/>
      <c r="G32" s="629">
        <f>[102]Source!AL443</f>
        <v>15.33</v>
      </c>
      <c r="H32" s="630" t="str">
        <f>[102]Source!DD443</f>
        <v/>
      </c>
      <c r="I32" s="628">
        <f>[102]Source!AW443</f>
        <v>1.028</v>
      </c>
      <c r="J32" s="631">
        <f>ROUND((ROUND(([102]Source!AC443*[102]Source!AW443*[102]Source!I443),2)),2)</f>
        <v>341.98</v>
      </c>
      <c r="K32" s="628">
        <f>IF([102]Source!BC443&lt;&gt; 0, [102]Source!BC443, 1)</f>
        <v>2.5299999999999998</v>
      </c>
      <c r="L32" s="631">
        <f>[102]Source!P443</f>
        <v>865.21</v>
      </c>
    </row>
    <row r="33" spans="1:27" ht="45" x14ac:dyDescent="0.25">
      <c r="A33" s="625">
        <v>5</v>
      </c>
      <c r="B33" s="625" t="str">
        <f>[102]Source!E445</f>
        <v>94,1</v>
      </c>
      <c r="C33" s="626" t="str">
        <f>[102]Source!F445</f>
        <v>1.12-7-192</v>
      </c>
      <c r="D33" s="626" t="s">
        <v>546</v>
      </c>
      <c r="E33" s="627" t="str">
        <f>[102]Source!H445</f>
        <v>м</v>
      </c>
      <c r="F33" s="628">
        <f>[102]Source!I445</f>
        <v>21.7</v>
      </c>
      <c r="G33" s="629">
        <f>[102]Source!AK445</f>
        <v>15.1</v>
      </c>
      <c r="H33" s="723" t="s">
        <v>42</v>
      </c>
      <c r="I33" s="628">
        <f>[102]Source!AW445</f>
        <v>1.028</v>
      </c>
      <c r="J33" s="631">
        <f>ROUND((ROUND(([102]Source!AC445*[102]Source!AW445*[102]Source!I445),2)),2)+(ROUND((ROUND((([102]Source!ET445)*[102]Source!AV445*[102]Source!I445),2)),2)+ROUND((ROUND((([102]Source!AE445-([102]Source!EU445))*[102]Source!AV445*[102]Source!I445),2)),2))+ROUND((ROUND(([102]Source!AF445*[102]Source!AV445*[102]Source!I445),2)),2)</f>
        <v>336.84</v>
      </c>
      <c r="K33" s="628">
        <f>IF([102]Source!BC445&lt;&gt; 0, [102]Source!BC445, 1)</f>
        <v>15.9</v>
      </c>
      <c r="L33" s="631">
        <f>[102]Source!O445</f>
        <v>5355.76</v>
      </c>
      <c r="Q33" s="647">
        <f>ROUND(([102]Source!DN445/100)*ROUND((ROUND(([102]Source!AF445*[102]Source!AV445*[102]Source!I445),2)),2), 2)</f>
        <v>0</v>
      </c>
      <c r="R33" s="647">
        <f>[102]Source!X445</f>
        <v>0</v>
      </c>
      <c r="S33" s="647">
        <f>ROUND(([102]Source!DO445/100)*ROUND((ROUND(([102]Source!AF445*[102]Source!AV445*[102]Source!I445),2)),2), 2)</f>
        <v>0</v>
      </c>
      <c r="T33" s="647">
        <f>[102]Source!Y445</f>
        <v>0</v>
      </c>
      <c r="U33" s="647">
        <f>ROUND((175/100)*ROUND((ROUND(([102]Source!AE445*[102]Source!AV445*[102]Source!I445),2)),2), 2)</f>
        <v>0</v>
      </c>
      <c r="V33" s="647">
        <f>ROUND((157/100)*ROUND(ROUND((ROUND(([102]Source!AE445*[102]Source!AV445*[102]Source!I445),2)*[102]Source!BS445),2), 2), 2)</f>
        <v>0</v>
      </c>
      <c r="X33" s="647">
        <f>IF([102]Source!BI445&lt;=1,J33, 0)</f>
        <v>336.84</v>
      </c>
      <c r="Y33" s="647">
        <f>IF([102]Source!BI445=2,J33, 0)</f>
        <v>0</v>
      </c>
      <c r="Z33" s="647">
        <f>IF([102]Source!BI445=3,J33, 0)</f>
        <v>0</v>
      </c>
      <c r="AA33" s="647">
        <f>IF([102]Source!BI445=4,J33, 0)</f>
        <v>0</v>
      </c>
    </row>
    <row r="34" spans="1:27" ht="15" x14ac:dyDescent="0.25">
      <c r="A34" s="625"/>
      <c r="B34" s="625"/>
      <c r="C34" s="626"/>
      <c r="D34" s="626" t="s">
        <v>88</v>
      </c>
      <c r="E34" s="627" t="s">
        <v>89</v>
      </c>
      <c r="F34" s="628">
        <f>[102]Source!DN443</f>
        <v>79</v>
      </c>
      <c r="G34" s="629"/>
      <c r="H34" s="630"/>
      <c r="I34" s="628"/>
      <c r="J34" s="631">
        <f>SUM(Q29:Q33)</f>
        <v>272.17</v>
      </c>
      <c r="K34" s="628">
        <f>[102]Source!BZ443</f>
        <v>68</v>
      </c>
      <c r="L34" s="631">
        <f>SUM(R29:R33)</f>
        <v>5676.45</v>
      </c>
    </row>
    <row r="35" spans="1:27" ht="15" x14ac:dyDescent="0.25">
      <c r="A35" s="625"/>
      <c r="B35" s="625"/>
      <c r="C35" s="626"/>
      <c r="D35" s="626" t="s">
        <v>90</v>
      </c>
      <c r="E35" s="627" t="s">
        <v>89</v>
      </c>
      <c r="F35" s="628">
        <f>[102]Source!DO443</f>
        <v>70</v>
      </c>
      <c r="G35" s="629"/>
      <c r="H35" s="630"/>
      <c r="I35" s="628"/>
      <c r="J35" s="631">
        <f>SUM(S29:S34)</f>
        <v>241.16</v>
      </c>
      <c r="K35" s="628">
        <f>[102]Source!CA443</f>
        <v>43</v>
      </c>
      <c r="L35" s="631">
        <f>SUM(T29:T34)</f>
        <v>3589.52</v>
      </c>
    </row>
    <row r="36" spans="1:27" ht="15" x14ac:dyDescent="0.25">
      <c r="A36" s="625"/>
      <c r="B36" s="625"/>
      <c r="C36" s="626"/>
      <c r="D36" s="626" t="s">
        <v>92</v>
      </c>
      <c r="E36" s="627" t="s">
        <v>93</v>
      </c>
      <c r="F36" s="628">
        <f>[102]Source!AQ443</f>
        <v>0.73</v>
      </c>
      <c r="G36" s="629"/>
      <c r="H36" s="630" t="str">
        <f>[102]Source!DI443</f>
        <v/>
      </c>
      <c r="I36" s="628">
        <f>[102]Source!AV443</f>
        <v>1.0669999999999999</v>
      </c>
      <c r="J36" s="631">
        <f>[102]Source!U443</f>
        <v>16.899999999999999</v>
      </c>
      <c r="K36" s="628"/>
      <c r="L36" s="631"/>
    </row>
    <row r="37" spans="1:27" ht="14.25" x14ac:dyDescent="0.2">
      <c r="A37" s="725"/>
      <c r="B37" s="725"/>
      <c r="C37" s="725"/>
      <c r="D37" s="725"/>
      <c r="E37" s="725"/>
      <c r="F37" s="725"/>
      <c r="G37" s="725"/>
      <c r="H37" s="725"/>
      <c r="I37" s="1094">
        <f>J30+J31+J32+J34+J35+SUM(J33:J33)</f>
        <v>1538.29</v>
      </c>
      <c r="J37" s="1094"/>
      <c r="K37" s="1094">
        <f>L30+L31+L32+L34+L35+SUM(L33:L33)</f>
        <v>23840.67</v>
      </c>
      <c r="L37" s="1094"/>
      <c r="O37" s="724">
        <f>J30+J31+J32+J34+J35+SUM(J33:J33)</f>
        <v>1538.29</v>
      </c>
      <c r="P37" s="724">
        <f>L30+L31+L32+L34+L35+SUM(L33:L33)</f>
        <v>23840.67</v>
      </c>
      <c r="X37" s="647">
        <f>IF([102]Source!BI443&lt;=1,J30+J31+J32+J34+J35-0, 0)</f>
        <v>1201.45</v>
      </c>
      <c r="Y37" s="647">
        <f>IF([102]Source!BI443=2,J30+J31+J32+J34+J35-0, 0)</f>
        <v>0</v>
      </c>
      <c r="Z37" s="647">
        <f>IF([102]Source!BI443=3,J30+J31+J32+J34+J35-0, 0)</f>
        <v>0</v>
      </c>
      <c r="AA37" s="647">
        <f>IF([102]Source!BI443=4,J30+J31+J32+J34+J35,0)</f>
        <v>0</v>
      </c>
    </row>
    <row r="38" spans="1:27" ht="30" x14ac:dyDescent="0.25">
      <c r="A38" s="625">
        <v>6</v>
      </c>
      <c r="B38" s="625" t="str">
        <f>[102]Source!E447</f>
        <v>95</v>
      </c>
      <c r="C38" s="626" t="str">
        <f>[102]Source!F447</f>
        <v>3.29-1939-5</v>
      </c>
      <c r="D38" s="626" t="s">
        <v>547</v>
      </c>
      <c r="E38" s="627" t="str">
        <f>[102]Source!H447</f>
        <v>1 М</v>
      </c>
      <c r="F38" s="628">
        <f>[102]Source!I447</f>
        <v>31.94</v>
      </c>
      <c r="G38" s="629"/>
      <c r="H38" s="630"/>
      <c r="I38" s="628"/>
      <c r="J38" s="631"/>
      <c r="K38" s="628"/>
      <c r="L38" s="631"/>
      <c r="Q38" s="647">
        <f>ROUND(([102]Source!DN447/100)*ROUND((ROUND(([102]Source!AF447*[102]Source!AV447*[102]Source!I447),2)),2), 2)</f>
        <v>447.82</v>
      </c>
      <c r="R38" s="647">
        <f>[102]Source!X447</f>
        <v>9339.81</v>
      </c>
      <c r="S38" s="647">
        <f>ROUND(([102]Source!DO447/100)*ROUND((ROUND(([102]Source!AF447*[102]Source!AV447*[102]Source!I447),2)),2), 2)</f>
        <v>396.8</v>
      </c>
      <c r="T38" s="647">
        <f>[102]Source!Y447</f>
        <v>5906.06</v>
      </c>
      <c r="U38" s="647">
        <f>ROUND((175/100)*ROUND((ROUND(([102]Source!AE447*[102]Source!AV447*[102]Source!I447),2)),2), 2)</f>
        <v>0</v>
      </c>
      <c r="V38" s="647">
        <f>ROUND((157/100)*ROUND(ROUND((ROUND(([102]Source!AE447*[102]Source!AV447*[102]Source!I447),2)*[102]Source!BS447),2), 2), 2)</f>
        <v>0</v>
      </c>
    </row>
    <row r="39" spans="1:27" ht="15" x14ac:dyDescent="0.25">
      <c r="A39" s="625"/>
      <c r="B39" s="625"/>
      <c r="C39" s="626"/>
      <c r="D39" s="626" t="s">
        <v>84</v>
      </c>
      <c r="E39" s="627"/>
      <c r="F39" s="628"/>
      <c r="G39" s="629">
        <f>[102]Source!AO447</f>
        <v>9.9600000000000009</v>
      </c>
      <c r="H39" s="630" t="str">
        <f>[102]Source!DG447</f>
        <v>)*1,67</v>
      </c>
      <c r="I39" s="628">
        <f>[102]Source!AV447</f>
        <v>1.0669999999999999</v>
      </c>
      <c r="J39" s="631">
        <f>ROUND((ROUND(([102]Source!AF447*[102]Source!AV447*[102]Source!I447),2)),2)</f>
        <v>566.86</v>
      </c>
      <c r="K39" s="628">
        <f>IF([102]Source!BA447&lt;&gt; 0, [102]Source!BA447, 1)</f>
        <v>24.23</v>
      </c>
      <c r="L39" s="631">
        <f>[102]Source!S447</f>
        <v>13735.02</v>
      </c>
      <c r="W39" s="647">
        <f>J39</f>
        <v>566.86</v>
      </c>
    </row>
    <row r="40" spans="1:27" ht="15" x14ac:dyDescent="0.25">
      <c r="A40" s="625"/>
      <c r="B40" s="625"/>
      <c r="C40" s="626"/>
      <c r="D40" s="626" t="s">
        <v>85</v>
      </c>
      <c r="E40" s="627"/>
      <c r="F40" s="628"/>
      <c r="G40" s="629">
        <f>[102]Source!AM447</f>
        <v>0.12</v>
      </c>
      <c r="H40" s="630" t="str">
        <f>[102]Source!DE447</f>
        <v/>
      </c>
      <c r="I40" s="628">
        <f>[102]Source!AV447</f>
        <v>1.0669999999999999</v>
      </c>
      <c r="J40" s="631">
        <f>(ROUND((ROUND((([102]Source!ET447)*[102]Source!AV447*[102]Source!I447),2)),2)+ROUND((ROUND((([102]Source!AE447-([102]Source!EU447))*[102]Source!AV447*[102]Source!I447),2)),2))</f>
        <v>4.09</v>
      </c>
      <c r="K40" s="628">
        <f>IF([102]Source!BB447&lt;&gt; 0, [102]Source!BB447, 1)</f>
        <v>3.58</v>
      </c>
      <c r="L40" s="631">
        <f>[102]Source!Q447</f>
        <v>14.64</v>
      </c>
    </row>
    <row r="41" spans="1:27" ht="15" x14ac:dyDescent="0.25">
      <c r="A41" s="625"/>
      <c r="B41" s="625"/>
      <c r="C41" s="626"/>
      <c r="D41" s="626" t="s">
        <v>87</v>
      </c>
      <c r="E41" s="627"/>
      <c r="F41" s="628"/>
      <c r="G41" s="629">
        <f>[102]Source!AL447</f>
        <v>14.55</v>
      </c>
      <c r="H41" s="630" t="str">
        <f>[102]Source!DD447</f>
        <v/>
      </c>
      <c r="I41" s="628">
        <f>[102]Source!AW447</f>
        <v>1.028</v>
      </c>
      <c r="J41" s="631">
        <f>ROUND((ROUND(([102]Source!AC447*[102]Source!AW447*[102]Source!I447),2)),2)</f>
        <v>477.74</v>
      </c>
      <c r="K41" s="628">
        <f>IF([102]Source!BC447&lt;&gt; 0, [102]Source!BC447, 1)</f>
        <v>2.5499999999999998</v>
      </c>
      <c r="L41" s="631">
        <f>[102]Source!P447</f>
        <v>1218.24</v>
      </c>
    </row>
    <row r="42" spans="1:27" ht="45" x14ac:dyDescent="0.25">
      <c r="A42" s="625">
        <v>7</v>
      </c>
      <c r="B42" s="625" t="str">
        <f>[102]Source!E449</f>
        <v>95,1</v>
      </c>
      <c r="C42" s="626" t="str">
        <f>[102]Source!F449</f>
        <v>1.12-7-189</v>
      </c>
      <c r="D42" s="626" t="s">
        <v>548</v>
      </c>
      <c r="E42" s="627" t="str">
        <f>[102]Source!H449</f>
        <v>м</v>
      </c>
      <c r="F42" s="628">
        <f>[102]Source!I449</f>
        <v>31.94</v>
      </c>
      <c r="G42" s="629">
        <f>[102]Source!AK449</f>
        <v>17.55</v>
      </c>
      <c r="H42" s="723" t="s">
        <v>42</v>
      </c>
      <c r="I42" s="628">
        <f>[102]Source!AW449</f>
        <v>1.028</v>
      </c>
      <c r="J42" s="631">
        <f>ROUND((ROUND(([102]Source!AC449*[102]Source!AW449*[102]Source!I449),2)),2)+(ROUND((ROUND((([102]Source!ET449)*[102]Source!AV449*[102]Source!I449),2)),2)+ROUND((ROUND((([102]Source!AE449-([102]Source!EU449))*[102]Source!AV449*[102]Source!I449),2)),2))+ROUND((ROUND(([102]Source!AF449*[102]Source!AV449*[102]Source!I449),2)),2)</f>
        <v>576.24</v>
      </c>
      <c r="K42" s="628">
        <f>IF([102]Source!BC449&lt;&gt; 0, [102]Source!BC449, 1)</f>
        <v>15.02</v>
      </c>
      <c r="L42" s="631">
        <f>[102]Source!O449</f>
        <v>8655.1200000000008</v>
      </c>
      <c r="Q42" s="647">
        <f>ROUND(([102]Source!DN449/100)*ROUND((ROUND(([102]Source!AF449*[102]Source!AV449*[102]Source!I449),2)),2), 2)</f>
        <v>0</v>
      </c>
      <c r="R42" s="647">
        <f>[102]Source!X449</f>
        <v>0</v>
      </c>
      <c r="S42" s="647">
        <f>ROUND(([102]Source!DO449/100)*ROUND((ROUND(([102]Source!AF449*[102]Source!AV449*[102]Source!I449),2)),2), 2)</f>
        <v>0</v>
      </c>
      <c r="T42" s="647">
        <f>[102]Source!Y449</f>
        <v>0</v>
      </c>
      <c r="U42" s="647">
        <f>ROUND((175/100)*ROUND((ROUND(([102]Source!AE449*[102]Source!AV449*[102]Source!I449),2)),2), 2)</f>
        <v>0</v>
      </c>
      <c r="V42" s="647">
        <f>ROUND((157/100)*ROUND(ROUND((ROUND(([102]Source!AE449*[102]Source!AV449*[102]Source!I449),2)*[102]Source!BS449),2), 2), 2)</f>
        <v>0</v>
      </c>
      <c r="X42" s="647">
        <f>IF([102]Source!BI449&lt;=1,J42, 0)</f>
        <v>576.24</v>
      </c>
      <c r="Y42" s="647">
        <f>IF([102]Source!BI449=2,J42, 0)</f>
        <v>0</v>
      </c>
      <c r="Z42" s="647">
        <f>IF([102]Source!BI449=3,J42, 0)</f>
        <v>0</v>
      </c>
      <c r="AA42" s="647">
        <f>IF([102]Source!BI449=4,J42, 0)</f>
        <v>0</v>
      </c>
    </row>
    <row r="43" spans="1:27" ht="15" x14ac:dyDescent="0.25">
      <c r="A43" s="625"/>
      <c r="B43" s="625"/>
      <c r="C43" s="626"/>
      <c r="D43" s="626" t="s">
        <v>88</v>
      </c>
      <c r="E43" s="627" t="s">
        <v>89</v>
      </c>
      <c r="F43" s="628">
        <f>[102]Source!DN447</f>
        <v>79</v>
      </c>
      <c r="G43" s="629"/>
      <c r="H43" s="630"/>
      <c r="I43" s="628"/>
      <c r="J43" s="631">
        <f>SUM(Q38:Q42)</f>
        <v>447.82</v>
      </c>
      <c r="K43" s="628">
        <f>[102]Source!BZ447</f>
        <v>68</v>
      </c>
      <c r="L43" s="631">
        <f>SUM(R38:R42)</f>
        <v>9339.81</v>
      </c>
    </row>
    <row r="44" spans="1:27" ht="15" x14ac:dyDescent="0.25">
      <c r="A44" s="625"/>
      <c r="B44" s="625"/>
      <c r="C44" s="626"/>
      <c r="D44" s="626" t="s">
        <v>90</v>
      </c>
      <c r="E44" s="627" t="s">
        <v>89</v>
      </c>
      <c r="F44" s="628">
        <f>[102]Source!DO447</f>
        <v>70</v>
      </c>
      <c r="G44" s="629"/>
      <c r="H44" s="630"/>
      <c r="I44" s="628"/>
      <c r="J44" s="631">
        <f>SUM(S38:S43)</f>
        <v>396.8</v>
      </c>
      <c r="K44" s="628">
        <f>[102]Source!CA447</f>
        <v>43</v>
      </c>
      <c r="L44" s="631">
        <f>SUM(T38:T43)</f>
        <v>5906.06</v>
      </c>
    </row>
    <row r="45" spans="1:27" ht="15" x14ac:dyDescent="0.25">
      <c r="A45" s="625"/>
      <c r="B45" s="625"/>
      <c r="C45" s="626"/>
      <c r="D45" s="626" t="s">
        <v>92</v>
      </c>
      <c r="E45" s="627" t="s">
        <v>93</v>
      </c>
      <c r="F45" s="628">
        <f>[102]Source!AQ447</f>
        <v>0.82</v>
      </c>
      <c r="G45" s="629"/>
      <c r="H45" s="630" t="str">
        <f>[102]Source!DI447</f>
        <v/>
      </c>
      <c r="I45" s="628">
        <f>[102]Source!AV447</f>
        <v>1.0669999999999999</v>
      </c>
      <c r="J45" s="631">
        <f>[102]Source!U447</f>
        <v>27.95</v>
      </c>
      <c r="K45" s="628"/>
      <c r="L45" s="631"/>
    </row>
    <row r="46" spans="1:27" ht="14.25" x14ac:dyDescent="0.2">
      <c r="A46" s="725"/>
      <c r="B46" s="725"/>
      <c r="C46" s="725"/>
      <c r="D46" s="725"/>
      <c r="E46" s="725"/>
      <c r="F46" s="725"/>
      <c r="G46" s="725"/>
      <c r="H46" s="725"/>
      <c r="I46" s="1094">
        <f>J39+J40+J41+J43+J44+SUM(J42:J42)</f>
        <v>2469.5500000000002</v>
      </c>
      <c r="J46" s="1094"/>
      <c r="K46" s="1094">
        <f>L39+L40+L41+L43+L44+SUM(L42:L42)</f>
        <v>38868.89</v>
      </c>
      <c r="L46" s="1094"/>
      <c r="O46" s="724">
        <f>J39+J40+J41+J43+J44+SUM(J42:J42)</f>
        <v>2469.5500000000002</v>
      </c>
      <c r="P46" s="724">
        <f>L39+L40+L41+L43+L44+SUM(L42:L42)</f>
        <v>38868.89</v>
      </c>
      <c r="X46" s="647">
        <f>IF([102]Source!BI447&lt;=1,J39+J40+J41+J43+J44-0, 0)</f>
        <v>1893.31</v>
      </c>
      <c r="Y46" s="647">
        <f>IF([102]Source!BI447=2,J39+J40+J41+J43+J44-0, 0)</f>
        <v>0</v>
      </c>
      <c r="Z46" s="647">
        <f>IF([102]Source!BI447=3,J39+J40+J41+J43+J44-0, 0)</f>
        <v>0</v>
      </c>
      <c r="AA46" s="647">
        <f>IF([102]Source!BI447=4,J39+J40+J41+J43+J44,0)</f>
        <v>0</v>
      </c>
    </row>
    <row r="47" spans="1:27" ht="45" x14ac:dyDescent="0.25">
      <c r="A47" s="625">
        <v>8</v>
      </c>
      <c r="B47" s="625" t="str">
        <f>[102]Source!E451</f>
        <v>96</v>
      </c>
      <c r="C47" s="626" t="str">
        <f>[102]Source!F451</f>
        <v>3.26-16-1</v>
      </c>
      <c r="D47" s="626" t="s">
        <v>553</v>
      </c>
      <c r="E47" s="627" t="str">
        <f>[102]Source!H451</f>
        <v>10 м изоляции</v>
      </c>
      <c r="F47" s="628">
        <f>[102]Source!I451</f>
        <v>10.728</v>
      </c>
      <c r="G47" s="629"/>
      <c r="H47" s="630"/>
      <c r="I47" s="628"/>
      <c r="J47" s="631"/>
      <c r="K47" s="628"/>
      <c r="L47" s="631"/>
      <c r="Q47" s="647">
        <f>ROUND(([102]Source!DN451/100)*ROUND((ROUND(([102]Source!AF451*[102]Source!AV451*[102]Source!I451),2)),2), 2)</f>
        <v>525.74</v>
      </c>
      <c r="R47" s="647">
        <f>[102]Source!X451</f>
        <v>10268.950000000001</v>
      </c>
      <c r="S47" s="647">
        <f>ROUND(([102]Source!DO451/100)*ROUND((ROUND(([102]Source!AF451*[102]Source!AV451*[102]Source!I451),2)),2), 2)</f>
        <v>391.62</v>
      </c>
      <c r="T47" s="647">
        <f>[102]Source!Y451</f>
        <v>5329.45</v>
      </c>
      <c r="U47" s="647">
        <f>ROUND((175/100)*ROUND((ROUND(([102]Source!AE451*[102]Source!AV451*[102]Source!I451),2)),2), 2)</f>
        <v>86.66</v>
      </c>
      <c r="V47" s="647">
        <f>ROUND((157/100)*ROUND(ROUND((ROUND(([102]Source!AE451*[102]Source!AV451*[102]Source!I451),2)*[102]Source!BS451),2), 2), 2)</f>
        <v>1883.8</v>
      </c>
    </row>
    <row r="48" spans="1:27" ht="15" x14ac:dyDescent="0.25">
      <c r="A48" s="625"/>
      <c r="B48" s="625"/>
      <c r="C48" s="626"/>
      <c r="D48" s="626" t="s">
        <v>84</v>
      </c>
      <c r="E48" s="627"/>
      <c r="F48" s="628"/>
      <c r="G48" s="629">
        <f>[102]Source!AO451</f>
        <v>28.6</v>
      </c>
      <c r="H48" s="630" t="str">
        <f>[102]Source!DG451</f>
        <v>)*1,67</v>
      </c>
      <c r="I48" s="628">
        <f>[102]Source!AV451</f>
        <v>1.0469999999999999</v>
      </c>
      <c r="J48" s="631">
        <f>ROUND((ROUND(([102]Source!AF451*[102]Source!AV451*[102]Source!I451),2)),2)</f>
        <v>536.47</v>
      </c>
      <c r="K48" s="628">
        <f>IF([102]Source!BA451&lt;&gt; 0, [102]Source!BA451, 1)</f>
        <v>24.23</v>
      </c>
      <c r="L48" s="631">
        <f>[102]Source!S451</f>
        <v>12998.67</v>
      </c>
      <c r="W48" s="647">
        <f>J48</f>
        <v>536.47</v>
      </c>
    </row>
    <row r="49" spans="1:27" ht="15" x14ac:dyDescent="0.25">
      <c r="A49" s="625"/>
      <c r="B49" s="625"/>
      <c r="C49" s="626"/>
      <c r="D49" s="626" t="s">
        <v>85</v>
      </c>
      <c r="E49" s="627"/>
      <c r="F49" s="628"/>
      <c r="G49" s="629">
        <f>[102]Source!AM451</f>
        <v>13.2</v>
      </c>
      <c r="H49" s="630" t="str">
        <f>[102]Source!DE451</f>
        <v/>
      </c>
      <c r="I49" s="628">
        <f>[102]Source!AV451</f>
        <v>1.0469999999999999</v>
      </c>
      <c r="J49" s="631">
        <f>(ROUND((ROUND((([102]Source!ET451)*[102]Source!AV451*[102]Source!I451),2)),2)+ROUND((ROUND((([102]Source!AE451-([102]Source!EU451))*[102]Source!AV451*[102]Source!I451),2)),2))-J59</f>
        <v>148.27000000000001</v>
      </c>
      <c r="K49" s="628">
        <f>IF([102]Source!BB451&lt;&gt; 0, [102]Source!BB451, 1)</f>
        <v>9.2899999999999991</v>
      </c>
      <c r="L49" s="631">
        <f>[102]Source!Q451-L59</f>
        <v>1377.49</v>
      </c>
    </row>
    <row r="50" spans="1:27" ht="15" x14ac:dyDescent="0.25">
      <c r="A50" s="625"/>
      <c r="B50" s="625"/>
      <c r="C50" s="626"/>
      <c r="D50" s="626" t="s">
        <v>86</v>
      </c>
      <c r="E50" s="627"/>
      <c r="F50" s="628"/>
      <c r="G50" s="629">
        <f>[102]Source!AN451</f>
        <v>2.64</v>
      </c>
      <c r="H50" s="630" t="str">
        <f>[102]Source!DE451</f>
        <v/>
      </c>
      <c r="I50" s="628">
        <f>[102]Source!AV451</f>
        <v>1.0469999999999999</v>
      </c>
      <c r="J50" s="632">
        <f>ROUND((ROUND(([102]Source!AE451*[102]Source!AV451*[102]Source!I451),2)),2)-J60</f>
        <v>29.65</v>
      </c>
      <c r="K50" s="628">
        <f>IF([102]Source!BS451&lt;&gt; 0, [102]Source!BS451, 1)</f>
        <v>24.23</v>
      </c>
      <c r="L50" s="632">
        <f>[102]Source!R451-L60</f>
        <v>718.48</v>
      </c>
      <c r="W50" s="647">
        <f>J50</f>
        <v>29.65</v>
      </c>
    </row>
    <row r="51" spans="1:27" ht="15" x14ac:dyDescent="0.25">
      <c r="A51" s="625"/>
      <c r="B51" s="625"/>
      <c r="C51" s="626"/>
      <c r="D51" s="626" t="s">
        <v>87</v>
      </c>
      <c r="E51" s="627"/>
      <c r="F51" s="628"/>
      <c r="G51" s="629">
        <f>[102]Source!AL451</f>
        <v>59.82</v>
      </c>
      <c r="H51" s="630" t="str">
        <f>[102]Source!DD451</f>
        <v/>
      </c>
      <c r="I51" s="628">
        <f>[102]Source!AW451</f>
        <v>1.0189999999999999</v>
      </c>
      <c r="J51" s="631">
        <f>ROUND((ROUND(([102]Source!AC451*[102]Source!AW451*[102]Source!I451),2)),2)</f>
        <v>653.94000000000005</v>
      </c>
      <c r="K51" s="628">
        <f>IF([102]Source!BC451&lt;&gt; 0, [102]Source!BC451, 1)</f>
        <v>19.850000000000001</v>
      </c>
      <c r="L51" s="631">
        <f>[102]Source!P451</f>
        <v>12980.71</v>
      </c>
    </row>
    <row r="52" spans="1:27" ht="120" hidden="1" x14ac:dyDescent="0.25">
      <c r="A52" s="625">
        <v>9</v>
      </c>
      <c r="B52" s="625" t="str">
        <f>[102]Source!E453</f>
        <v>96,1</v>
      </c>
      <c r="C52" s="626" t="str">
        <f>[102]Source!F453</f>
        <v>1.1-1-1282</v>
      </c>
      <c r="D52" s="626" t="s">
        <v>575</v>
      </c>
      <c r="E52" s="627" t="str">
        <f>[102]Source!H453</f>
        <v>м</v>
      </c>
      <c r="F52" s="628">
        <v>0</v>
      </c>
      <c r="G52" s="629">
        <f>[102]Source!AK453</f>
        <v>15.4</v>
      </c>
      <c r="H52" s="723" t="s">
        <v>42</v>
      </c>
      <c r="I52" s="628">
        <f>[102]Source!AW453</f>
        <v>1.0189999999999999</v>
      </c>
      <c r="J52" s="631">
        <v>0</v>
      </c>
      <c r="K52" s="628">
        <f>IF([102]Source!BC453&lt;&gt; 0, [102]Source!BC453, 1)</f>
        <v>11.24</v>
      </c>
      <c r="L52" s="631">
        <v>0</v>
      </c>
      <c r="Q52" s="647">
        <f>ROUND(([102]Source!DN453/100)*ROUND((ROUND(([102]Source!AF453*[102]Source!AV453*[102]Source!I453),2)),2), 2)</f>
        <v>0</v>
      </c>
      <c r="R52" s="647">
        <f>[102]Source!X453</f>
        <v>0</v>
      </c>
      <c r="S52" s="647">
        <f>ROUND(([102]Source!DO453/100)*ROUND((ROUND(([102]Source!AF453*[102]Source!AV453*[102]Source!I453),2)),2), 2)</f>
        <v>0</v>
      </c>
      <c r="T52" s="647">
        <f>[102]Source!Y453</f>
        <v>0</v>
      </c>
      <c r="U52" s="647">
        <f>ROUND((175/100)*ROUND((ROUND(([102]Source!AE453*[102]Source!AV453*[102]Source!I453),2)),2), 2)</f>
        <v>0</v>
      </c>
      <c r="V52" s="647">
        <f>ROUND((157/100)*ROUND(ROUND((ROUND(([102]Source!AE453*[102]Source!AV453*[102]Source!I453),2)*[102]Source!BS453),2), 2), 2)</f>
        <v>0</v>
      </c>
      <c r="X52" s="647">
        <f>IF([102]Source!BI453&lt;=1,J52, 0)</f>
        <v>0</v>
      </c>
      <c r="Y52" s="647">
        <f>IF([102]Source!BI453=2,J52, 0)</f>
        <v>0</v>
      </c>
      <c r="Z52" s="647">
        <f>IF([102]Source!BI453=3,J52, 0)</f>
        <v>0</v>
      </c>
      <c r="AA52" s="647">
        <f>IF([102]Source!BI453=4,J52, 0)</f>
        <v>0</v>
      </c>
    </row>
    <row r="53" spans="1:27" ht="15" x14ac:dyDescent="0.25">
      <c r="A53" s="625"/>
      <c r="B53" s="625"/>
      <c r="C53" s="626"/>
      <c r="D53" s="626" t="s">
        <v>88</v>
      </c>
      <c r="E53" s="627" t="s">
        <v>89</v>
      </c>
      <c r="F53" s="628">
        <f>[102]Source!DN451</f>
        <v>98</v>
      </c>
      <c r="G53" s="629"/>
      <c r="H53" s="630"/>
      <c r="I53" s="628"/>
      <c r="J53" s="631">
        <f>SUM(Q47:Q52)</f>
        <v>525.74</v>
      </c>
      <c r="K53" s="628">
        <f>[102]Source!BZ451</f>
        <v>79</v>
      </c>
      <c r="L53" s="631">
        <f>SUM(R47:R52)</f>
        <v>10268.950000000001</v>
      </c>
    </row>
    <row r="54" spans="1:27" ht="15" x14ac:dyDescent="0.25">
      <c r="A54" s="625"/>
      <c r="B54" s="625"/>
      <c r="C54" s="626"/>
      <c r="D54" s="626" t="s">
        <v>90</v>
      </c>
      <c r="E54" s="627" t="s">
        <v>89</v>
      </c>
      <c r="F54" s="628">
        <f>[102]Source!DO451</f>
        <v>73</v>
      </c>
      <c r="G54" s="629"/>
      <c r="H54" s="630"/>
      <c r="I54" s="628"/>
      <c r="J54" s="631">
        <f>SUM(S47:S53)</f>
        <v>391.62</v>
      </c>
      <c r="K54" s="628">
        <f>[102]Source!CA451</f>
        <v>41</v>
      </c>
      <c r="L54" s="631">
        <f>SUM(T47:T53)</f>
        <v>5329.45</v>
      </c>
    </row>
    <row r="55" spans="1:27" ht="15" x14ac:dyDescent="0.25">
      <c r="A55" s="625"/>
      <c r="B55" s="625"/>
      <c r="C55" s="626"/>
      <c r="D55" s="626" t="s">
        <v>91</v>
      </c>
      <c r="E55" s="627" t="s">
        <v>89</v>
      </c>
      <c r="F55" s="628">
        <f>175</f>
        <v>175</v>
      </c>
      <c r="G55" s="629"/>
      <c r="H55" s="630"/>
      <c r="I55" s="628"/>
      <c r="J55" s="631">
        <f>SUM(U47:U54)-J61</f>
        <v>51.89</v>
      </c>
      <c r="K55" s="628">
        <f>157</f>
        <v>157</v>
      </c>
      <c r="L55" s="631">
        <f>SUM(V47:V54)-L61</f>
        <v>1128.02</v>
      </c>
    </row>
    <row r="56" spans="1:27" ht="15" x14ac:dyDescent="0.25">
      <c r="A56" s="625"/>
      <c r="B56" s="625"/>
      <c r="C56" s="626"/>
      <c r="D56" s="626" t="s">
        <v>92</v>
      </c>
      <c r="E56" s="627" t="s">
        <v>93</v>
      </c>
      <c r="F56" s="628">
        <f>[102]Source!AQ451</f>
        <v>2.2000000000000002</v>
      </c>
      <c r="G56" s="629"/>
      <c r="H56" s="630" t="str">
        <f>[102]Source!DI451</f>
        <v/>
      </c>
      <c r="I56" s="628">
        <f>[102]Source!AV451</f>
        <v>1.0469999999999999</v>
      </c>
      <c r="J56" s="631">
        <f>[102]Source!U451</f>
        <v>24.71</v>
      </c>
      <c r="K56" s="628"/>
      <c r="L56" s="631"/>
    </row>
    <row r="57" spans="1:27" ht="14.25" x14ac:dyDescent="0.2">
      <c r="I57" s="1094">
        <f>J48+J49+J51+J53+J54+J55+SUM(J52:J52)</f>
        <v>2307.9299999999998</v>
      </c>
      <c r="J57" s="1094"/>
      <c r="K57" s="1094">
        <f>L48+L49+L51+L53+L54+L55+SUM(L52:L52)</f>
        <v>44083.29</v>
      </c>
      <c r="L57" s="1094"/>
      <c r="O57" s="724">
        <f>J48+J49+J51+J53+J54+J55+SUM(J52:J52)</f>
        <v>2307.9299999999998</v>
      </c>
      <c r="P57" s="724">
        <f>L48+L49+L51+L53+L54+L55+SUM(L52:L52)</f>
        <v>44083.29</v>
      </c>
      <c r="X57" s="647">
        <f>IF([102]Source!BI451&lt;=1,J48+J49+J51+J53+J54+J55-0, 0)</f>
        <v>2307.9299999999998</v>
      </c>
      <c r="Y57" s="647">
        <f>IF([102]Source!BI451=2,J48+J49+J51+J53+J54+J55-0, 0)</f>
        <v>0</v>
      </c>
      <c r="Z57" s="647">
        <f>IF([102]Source!BI451=3,J48+J49+J51+J53+J54+J55-0, 0)</f>
        <v>0</v>
      </c>
      <c r="AA57" s="647">
        <f>IF([102]Source!BI451=4,J48+J49+J51+J53+J54+J55,0)</f>
        <v>0</v>
      </c>
    </row>
    <row r="58" spans="1:27" ht="30" x14ac:dyDescent="0.25">
      <c r="A58" s="633"/>
      <c r="B58" s="633"/>
      <c r="C58" s="634"/>
      <c r="D58" s="634" t="s">
        <v>94</v>
      </c>
      <c r="E58" s="627"/>
      <c r="F58" s="635"/>
      <c r="G58" s="636"/>
      <c r="H58" s="627"/>
      <c r="I58" s="635"/>
      <c r="J58" s="632"/>
      <c r="K58" s="635"/>
      <c r="L58" s="632"/>
    </row>
    <row r="59" spans="1:27" ht="15" x14ac:dyDescent="0.25">
      <c r="A59" s="633"/>
      <c r="B59" s="633"/>
      <c r="C59" s="634"/>
      <c r="D59" s="634" t="s">
        <v>85</v>
      </c>
      <c r="E59" s="627"/>
      <c r="F59" s="635"/>
      <c r="G59" s="636">
        <f t="shared" ref="G59:L59" si="0">G60</f>
        <v>2.64</v>
      </c>
      <c r="H59" s="637" t="str">
        <f t="shared" si="0"/>
        <v>)*(1.67-1)</v>
      </c>
      <c r="I59" s="635">
        <f t="shared" si="0"/>
        <v>1.0469999999999999</v>
      </c>
      <c r="J59" s="632">
        <f t="shared" si="0"/>
        <v>19.87</v>
      </c>
      <c r="K59" s="635">
        <f t="shared" si="0"/>
        <v>24.23</v>
      </c>
      <c r="L59" s="632">
        <f t="shared" si="0"/>
        <v>481.39</v>
      </c>
    </row>
    <row r="60" spans="1:27" ht="15" x14ac:dyDescent="0.25">
      <c r="A60" s="633"/>
      <c r="B60" s="633"/>
      <c r="C60" s="634"/>
      <c r="D60" s="634" t="s">
        <v>86</v>
      </c>
      <c r="E60" s="627"/>
      <c r="F60" s="635"/>
      <c r="G60" s="636">
        <f>[102]Source!AN451</f>
        <v>2.64</v>
      </c>
      <c r="H60" s="637" t="s">
        <v>95</v>
      </c>
      <c r="I60" s="635">
        <f>[102]Source!AV451</f>
        <v>1.0469999999999999</v>
      </c>
      <c r="J60" s="632">
        <f>ROUND(F47*G60*I60*(1.67-1), 2)</f>
        <v>19.87</v>
      </c>
      <c r="K60" s="635">
        <f>IF([102]Source!BS451&lt;&gt; 0, [102]Source!BS451, 1)</f>
        <v>24.23</v>
      </c>
      <c r="L60" s="632">
        <f>ROUND(F47*G60*I60*(1.67-1)*K60, 2)</f>
        <v>481.39</v>
      </c>
      <c r="W60" s="647">
        <f>J60</f>
        <v>19.87</v>
      </c>
    </row>
    <row r="61" spans="1:27" ht="15" x14ac:dyDescent="0.25">
      <c r="A61" s="633"/>
      <c r="B61" s="633"/>
      <c r="C61" s="634"/>
      <c r="D61" s="634" t="s">
        <v>91</v>
      </c>
      <c r="E61" s="627" t="s">
        <v>89</v>
      </c>
      <c r="F61" s="635">
        <f>175</f>
        <v>175</v>
      </c>
      <c r="G61" s="636"/>
      <c r="H61" s="627"/>
      <c r="I61" s="635"/>
      <c r="J61" s="632">
        <f>ROUND(J60*(F61/100), 2)</f>
        <v>34.770000000000003</v>
      </c>
      <c r="K61" s="635">
        <f>157</f>
        <v>157</v>
      </c>
      <c r="L61" s="632">
        <f>ROUND(L60*(K61/100), 2)</f>
        <v>755.78</v>
      </c>
    </row>
    <row r="62" spans="1:27" ht="14.25" x14ac:dyDescent="0.2">
      <c r="I62" s="1094">
        <f>J61+J60</f>
        <v>54.64</v>
      </c>
      <c r="J62" s="1094"/>
      <c r="K62" s="1094">
        <f>L61+L60</f>
        <v>1237.17</v>
      </c>
      <c r="L62" s="1094"/>
      <c r="O62" s="724">
        <f>I62</f>
        <v>54.64</v>
      </c>
      <c r="P62" s="724">
        <f>K62</f>
        <v>1237.17</v>
      </c>
      <c r="X62" s="647">
        <f>IF([102]Source!BI451&lt;=1,I62, 0)</f>
        <v>54.64</v>
      </c>
      <c r="Y62" s="647">
        <f>IF([102]Source!BI451=2,I62, 0)</f>
        <v>0</v>
      </c>
      <c r="Z62" s="647">
        <f>IF([102]Source!BI451=3,I62, 0)</f>
        <v>0</v>
      </c>
      <c r="AA62" s="647">
        <f>IF([102]Source!BI451=4,I62, 0)</f>
        <v>0</v>
      </c>
    </row>
    <row r="64" spans="1:27" ht="15" x14ac:dyDescent="0.25">
      <c r="A64" s="638"/>
      <c r="B64" s="638"/>
      <c r="C64" s="639"/>
      <c r="D64" s="639" t="s">
        <v>96</v>
      </c>
      <c r="E64" s="640"/>
      <c r="F64" s="641"/>
      <c r="G64" s="642"/>
      <c r="H64" s="643"/>
      <c r="I64" s="1094">
        <f>I57+I62</f>
        <v>2362.5700000000002</v>
      </c>
      <c r="J64" s="1094"/>
      <c r="K64" s="1094">
        <f>K57+K62</f>
        <v>45320.46</v>
      </c>
      <c r="L64" s="1094"/>
    </row>
    <row r="65" spans="1:27" ht="120" x14ac:dyDescent="0.25">
      <c r="A65" s="625">
        <v>10</v>
      </c>
      <c r="B65" s="625" t="str">
        <f>[102]Source!E455</f>
        <v>97</v>
      </c>
      <c r="C65" s="626" t="str">
        <f>[102]Source!F455</f>
        <v>1.1-1-1289</v>
      </c>
      <c r="D65" s="626" t="s">
        <v>554</v>
      </c>
      <c r="E65" s="627" t="str">
        <f>[102]Source!H455</f>
        <v>м</v>
      </c>
      <c r="F65" s="628">
        <f>[102]Source!I455</f>
        <v>75.34</v>
      </c>
      <c r="G65" s="629">
        <f>[102]Source!AL455</f>
        <v>5.85</v>
      </c>
      <c r="H65" s="630" t="str">
        <f>[102]Source!DD455</f>
        <v/>
      </c>
      <c r="I65" s="628">
        <f>[102]Source!AW455</f>
        <v>1.0189999999999999</v>
      </c>
      <c r="J65" s="631">
        <f>I65*G65*F65</f>
        <v>449.11</v>
      </c>
      <c r="K65" s="628">
        <v>7.96</v>
      </c>
      <c r="L65" s="631">
        <f>K65*J65</f>
        <v>3574.92</v>
      </c>
      <c r="Q65" s="647">
        <f>ROUND(([102]Source!DN455/100)*ROUND((ROUND(([102]Source!AF455*[102]Source!AV455*[102]Source!I455),2)),2), 2)</f>
        <v>0</v>
      </c>
      <c r="R65" s="647">
        <f>[102]Source!X455</f>
        <v>0</v>
      </c>
      <c r="S65" s="647">
        <f>ROUND(([102]Source!DO455/100)*ROUND((ROUND(([102]Source!AF455*[102]Source!AV455*[102]Source!I455),2)),2), 2)</f>
        <v>0</v>
      </c>
      <c r="T65" s="647">
        <f>[102]Source!Y455</f>
        <v>0</v>
      </c>
      <c r="U65" s="647">
        <f>ROUND((175/100)*ROUND((ROUND(([102]Source!AE455*[102]Source!AV455*[102]Source!I455),2)),2), 2)</f>
        <v>0</v>
      </c>
      <c r="V65" s="647">
        <f>ROUND((157/100)*ROUND(ROUND((ROUND(([102]Source!AE455*[102]Source!AV455*[102]Source!I455),2)*[102]Source!BS455),2), 2), 2)</f>
        <v>0</v>
      </c>
    </row>
    <row r="66" spans="1:27" ht="14.25" x14ac:dyDescent="0.2">
      <c r="A66" s="725"/>
      <c r="B66" s="725"/>
      <c r="C66" s="725"/>
      <c r="D66" s="725"/>
      <c r="E66" s="725"/>
      <c r="F66" s="725"/>
      <c r="G66" s="725"/>
      <c r="H66" s="725"/>
      <c r="I66" s="1094">
        <f>J65</f>
        <v>449.11</v>
      </c>
      <c r="J66" s="1094"/>
      <c r="K66" s="1094">
        <f>L65</f>
        <v>3574.92</v>
      </c>
      <c r="L66" s="1094"/>
      <c r="O66" s="724">
        <f>J65</f>
        <v>449.11</v>
      </c>
      <c r="P66" s="724">
        <f>L65</f>
        <v>3574.92</v>
      </c>
      <c r="X66" s="647">
        <f>IF([102]Source!BI455&lt;=1,J65-0, 0)</f>
        <v>449.11</v>
      </c>
      <c r="Y66" s="647">
        <f>IF([102]Source!BI455=2,J65-0, 0)</f>
        <v>0</v>
      </c>
      <c r="Z66" s="647">
        <f>IF([102]Source!BI455=3,J65-0, 0)</f>
        <v>0</v>
      </c>
      <c r="AA66" s="647">
        <f>IF([102]Source!BI455=4,J65,0)</f>
        <v>0</v>
      </c>
    </row>
    <row r="67" spans="1:27" ht="120" x14ac:dyDescent="0.25">
      <c r="A67" s="625">
        <v>11</v>
      </c>
      <c r="B67" s="625" t="str">
        <f>[102]Source!E457</f>
        <v>98</v>
      </c>
      <c r="C67" s="626" t="str">
        <f>[102]Source!F457</f>
        <v>1.1-1-1273</v>
      </c>
      <c r="D67" s="626" t="s">
        <v>555</v>
      </c>
      <c r="E67" s="627" t="str">
        <f>[102]Source!H457</f>
        <v>м</v>
      </c>
      <c r="F67" s="628">
        <f>[102]Source!I457</f>
        <v>31.94</v>
      </c>
      <c r="G67" s="629">
        <f>[102]Source!AL457</f>
        <v>10.38</v>
      </c>
      <c r="H67" s="630" t="str">
        <f>[102]Source!DD457</f>
        <v/>
      </c>
      <c r="I67" s="628">
        <f>[102]Source!AW457</f>
        <v>1.0189999999999999</v>
      </c>
      <c r="J67" s="631">
        <f>I67*G67*F67</f>
        <v>337.84</v>
      </c>
      <c r="K67" s="628">
        <v>6.93</v>
      </c>
      <c r="L67" s="631">
        <f>K67*J67</f>
        <v>2341.23</v>
      </c>
      <c r="Q67" s="647">
        <f>ROUND(([102]Source!DN457/100)*ROUND((ROUND(([102]Source!AF457*[102]Source!AV457*[102]Source!I457),2)),2), 2)</f>
        <v>0</v>
      </c>
      <c r="R67" s="647">
        <f>[102]Source!X457</f>
        <v>0</v>
      </c>
      <c r="S67" s="647">
        <f>ROUND(([102]Source!DO457/100)*ROUND((ROUND(([102]Source!AF457*[102]Source!AV457*[102]Source!I457),2)),2), 2)</f>
        <v>0</v>
      </c>
      <c r="T67" s="647">
        <f>[102]Source!Y457</f>
        <v>0</v>
      </c>
      <c r="U67" s="647">
        <f>ROUND((175/100)*ROUND((ROUND(([102]Source!AE457*[102]Source!AV457*[102]Source!I457),2)),2), 2)</f>
        <v>0</v>
      </c>
      <c r="V67" s="647">
        <f>ROUND((157/100)*ROUND(ROUND((ROUND(([102]Source!AE457*[102]Source!AV457*[102]Source!I457),2)*[102]Source!BS457),2), 2), 2)</f>
        <v>0</v>
      </c>
    </row>
    <row r="68" spans="1:27" ht="14.25" x14ac:dyDescent="0.2">
      <c r="A68" s="725"/>
      <c r="B68" s="725"/>
      <c r="C68" s="725"/>
      <c r="D68" s="725"/>
      <c r="E68" s="725"/>
      <c r="F68" s="725"/>
      <c r="G68" s="725"/>
      <c r="H68" s="725"/>
      <c r="I68" s="1094">
        <f>J67</f>
        <v>337.84</v>
      </c>
      <c r="J68" s="1094"/>
      <c r="K68" s="1094">
        <f>L67</f>
        <v>2341.23</v>
      </c>
      <c r="L68" s="1094"/>
      <c r="O68" s="724">
        <f>J67</f>
        <v>337.84</v>
      </c>
      <c r="P68" s="724">
        <f>L67</f>
        <v>2341.23</v>
      </c>
      <c r="X68" s="647">
        <f>IF([102]Source!BI457&lt;=1,J67-0, 0)</f>
        <v>337.84</v>
      </c>
      <c r="Y68" s="647">
        <f>IF([102]Source!BI457=2,J67-0, 0)</f>
        <v>0</v>
      </c>
      <c r="Z68" s="647">
        <f>IF([102]Source!BI457=3,J67-0, 0)</f>
        <v>0</v>
      </c>
      <c r="AA68" s="647">
        <f>IF([102]Source!BI457=4,J67,0)</f>
        <v>0</v>
      </c>
    </row>
    <row r="70" spans="1:27" ht="14.25" x14ac:dyDescent="0.2">
      <c r="A70" s="1095" t="str">
        <f>CONCATENATE("Итого по подразделу: ",IF([102]Source!G471&lt;&gt;"Новый подраздел", [102]Source!G471, ""))</f>
        <v>Итого по подразделу: К2-6, К2-7р</v>
      </c>
      <c r="B70" s="1095"/>
      <c r="C70" s="1095"/>
      <c r="D70" s="1095"/>
      <c r="E70" s="1095"/>
      <c r="F70" s="1095"/>
      <c r="G70" s="1095"/>
      <c r="H70" s="1095"/>
      <c r="I70" s="1096">
        <f>SUM(O17:O69)</f>
        <v>13147.23</v>
      </c>
      <c r="J70" s="1097"/>
      <c r="K70" s="1096">
        <f>SUM(P17:P69)</f>
        <v>178715.14</v>
      </c>
      <c r="L70" s="1097"/>
    </row>
    <row r="71" spans="1:27" hidden="1" x14ac:dyDescent="0.2">
      <c r="A71" s="647" t="s">
        <v>139</v>
      </c>
      <c r="I71" s="647">
        <f>SUM(AC17:AC70)</f>
        <v>0</v>
      </c>
      <c r="K71" s="647">
        <f>SUM(AD17:AD70)</f>
        <v>0</v>
      </c>
    </row>
    <row r="72" spans="1:27" hidden="1" x14ac:dyDescent="0.2">
      <c r="A72" s="647" t="s">
        <v>140</v>
      </c>
      <c r="I72" s="647">
        <f>SUM(AE17:AE71)</f>
        <v>0</v>
      </c>
      <c r="K72" s="647">
        <f>SUM(AF17:AF71)</f>
        <v>0</v>
      </c>
    </row>
    <row r="74" spans="1:27" ht="16.5" x14ac:dyDescent="0.25">
      <c r="A74" s="1093" t="str">
        <f>CONCATENATE("Подраздел: ",IF([102]Source!G728&lt;&gt;"Новый подраздел", [102]Source!G728, ""))</f>
        <v>Подраздел: К2-21</v>
      </c>
      <c r="B74" s="1093"/>
      <c r="C74" s="1093"/>
      <c r="D74" s="1093"/>
      <c r="E74" s="1093"/>
      <c r="F74" s="1093"/>
      <c r="G74" s="1093"/>
      <c r="H74" s="1093"/>
      <c r="I74" s="1093"/>
      <c r="J74" s="1093"/>
      <c r="K74" s="1093"/>
      <c r="L74" s="1093"/>
    </row>
    <row r="75" spans="1:27" ht="45" x14ac:dyDescent="0.25">
      <c r="A75" s="625">
        <v>12</v>
      </c>
      <c r="B75" s="625" t="str">
        <f>[102]Source!E813</f>
        <v>175</v>
      </c>
      <c r="C75" s="626" t="str">
        <f>[102]Source!F813</f>
        <v>4.8-158-1</v>
      </c>
      <c r="D75" s="626" t="s">
        <v>559</v>
      </c>
      <c r="E75" s="627" t="str">
        <f>[102]Source!H813</f>
        <v>1 Т</v>
      </c>
      <c r="F75" s="628">
        <f>[102]Source!I813</f>
        <v>4.1300000000000003E-2</v>
      </c>
      <c r="G75" s="629"/>
      <c r="H75" s="630"/>
      <c r="I75" s="628"/>
      <c r="J75" s="631"/>
      <c r="K75" s="628"/>
      <c r="L75" s="631"/>
      <c r="Q75" s="647">
        <f>ROUND(([102]Source!DN813/100)*ROUND((ROUND(([102]Source!AF813*[102]Source!AV813*[102]Source!I813),2)),2), 2)</f>
        <v>58.54</v>
      </c>
      <c r="R75" s="647">
        <f>[102]Source!X813</f>
        <v>1139.8499999999999</v>
      </c>
      <c r="S75" s="647">
        <f>ROUND(([102]Source!DO813/100)*ROUND((ROUND(([102]Source!AF813*[102]Source!AV813*[102]Source!I813),2)),2), 2)</f>
        <v>36.590000000000003</v>
      </c>
      <c r="T75" s="647">
        <f>[102]Source!Y813</f>
        <v>544.6</v>
      </c>
      <c r="U75" s="647">
        <f>ROUND((175/100)*ROUND((ROUND(([102]Source!AE813*[102]Source!AV813*[102]Source!I813),2)),2), 2)</f>
        <v>7.39</v>
      </c>
      <c r="V75" s="647">
        <f>ROUND((157/100)*ROUND(ROUND((ROUND(([102]Source!AE813*[102]Source!AV813*[102]Source!I813),2)*[102]Source!BS813),2), 2), 2)</f>
        <v>160.53</v>
      </c>
    </row>
    <row r="76" spans="1:27" ht="15" x14ac:dyDescent="0.25">
      <c r="A76" s="625"/>
      <c r="B76" s="625"/>
      <c r="C76" s="626"/>
      <c r="D76" s="626" t="s">
        <v>84</v>
      </c>
      <c r="E76" s="627"/>
      <c r="F76" s="628"/>
      <c r="G76" s="629">
        <f>[102]Source!AO813</f>
        <v>723.77</v>
      </c>
      <c r="H76" s="630" t="str">
        <f>[102]Source!DG813</f>
        <v>)*1,67</v>
      </c>
      <c r="I76" s="628">
        <f>[102]Source!AV813</f>
        <v>1.0469999999999999</v>
      </c>
      <c r="J76" s="631">
        <f>ROUND((ROUND(([102]Source!AF813*[102]Source!AV813*[102]Source!I813),2)),2)</f>
        <v>52.27</v>
      </c>
      <c r="K76" s="628">
        <f>IF([102]Source!BA813&lt;&gt; 0, [102]Source!BA813, 1)</f>
        <v>24.23</v>
      </c>
      <c r="L76" s="631">
        <f>[102]Source!S813</f>
        <v>1266.5</v>
      </c>
      <c r="W76" s="647">
        <f>J76</f>
        <v>52.27</v>
      </c>
    </row>
    <row r="77" spans="1:27" ht="15" x14ac:dyDescent="0.25">
      <c r="A77" s="625"/>
      <c r="B77" s="625"/>
      <c r="C77" s="626"/>
      <c r="D77" s="626" t="s">
        <v>85</v>
      </c>
      <c r="E77" s="627"/>
      <c r="F77" s="628"/>
      <c r="G77" s="629">
        <f>[102]Source!AM813</f>
        <v>611.48</v>
      </c>
      <c r="H77" s="630" t="str">
        <f>[102]Source!DE813</f>
        <v/>
      </c>
      <c r="I77" s="628">
        <f>[102]Source!AV813</f>
        <v>1.0469999999999999</v>
      </c>
      <c r="J77" s="631">
        <f>(ROUND((ROUND((([102]Source!ET813)*[102]Source!AV813*[102]Source!I813),2)),2)+ROUND((ROUND((([102]Source!AE813-([102]Source!EU813))*[102]Source!AV813*[102]Source!I813),2)),2))-J86</f>
        <v>26.44</v>
      </c>
      <c r="K77" s="628">
        <f>IF([102]Source!BB813&lt;&gt; 0, [102]Source!BB813, 1)</f>
        <v>7.34</v>
      </c>
      <c r="L77" s="631">
        <f>[102]Source!Q813-L86</f>
        <v>194.02</v>
      </c>
    </row>
    <row r="78" spans="1:27" ht="15" x14ac:dyDescent="0.25">
      <c r="A78" s="625"/>
      <c r="B78" s="625"/>
      <c r="C78" s="626"/>
      <c r="D78" s="626" t="s">
        <v>86</v>
      </c>
      <c r="E78" s="627"/>
      <c r="F78" s="628"/>
      <c r="G78" s="629">
        <f>[102]Source!AN813</f>
        <v>58.4</v>
      </c>
      <c r="H78" s="630" t="str">
        <f>[102]Source!DE813</f>
        <v/>
      </c>
      <c r="I78" s="628">
        <f>[102]Source!AV813</f>
        <v>1.0469999999999999</v>
      </c>
      <c r="J78" s="632">
        <f>ROUND((ROUND(([102]Source!AE813*[102]Source!AV813*[102]Source!I813),2)),2)-J87</f>
        <v>2.5299999999999998</v>
      </c>
      <c r="K78" s="628">
        <f>IF([102]Source!BS813&lt;&gt; 0, [102]Source!BS813, 1)</f>
        <v>24.23</v>
      </c>
      <c r="L78" s="632">
        <f>[102]Source!R813-L87</f>
        <v>61.25</v>
      </c>
      <c r="W78" s="647">
        <f>J78</f>
        <v>2.5299999999999998</v>
      </c>
    </row>
    <row r="79" spans="1:27" ht="15" x14ac:dyDescent="0.25">
      <c r="A79" s="625"/>
      <c r="B79" s="625"/>
      <c r="C79" s="626"/>
      <c r="D79" s="626" t="s">
        <v>87</v>
      </c>
      <c r="E79" s="627"/>
      <c r="F79" s="628"/>
      <c r="G79" s="629">
        <f>[102]Source!AL813</f>
        <v>97.3</v>
      </c>
      <c r="H79" s="630" t="str">
        <f>[102]Source!DD813</f>
        <v/>
      </c>
      <c r="I79" s="628">
        <f>[102]Source!AW813</f>
        <v>1</v>
      </c>
      <c r="J79" s="631">
        <f>ROUND((ROUND(([102]Source!AC813*[102]Source!AW813*[102]Source!I813),2)),2)</f>
        <v>4.0199999999999996</v>
      </c>
      <c r="K79" s="628">
        <f>IF([102]Source!BC813&lt;&gt; 0, [102]Source!BC813, 1)</f>
        <v>5.58</v>
      </c>
      <c r="L79" s="631">
        <f>[102]Source!P813</f>
        <v>22.43</v>
      </c>
    </row>
    <row r="80" spans="1:27" ht="15" x14ac:dyDescent="0.25">
      <c r="A80" s="625"/>
      <c r="B80" s="625"/>
      <c r="C80" s="626"/>
      <c r="D80" s="626" t="s">
        <v>88</v>
      </c>
      <c r="E80" s="627" t="s">
        <v>89</v>
      </c>
      <c r="F80" s="628">
        <f>[102]Source!DN813</f>
        <v>112</v>
      </c>
      <c r="G80" s="629"/>
      <c r="H80" s="630"/>
      <c r="I80" s="628"/>
      <c r="J80" s="631">
        <f>SUM(Q75:Q79)</f>
        <v>58.54</v>
      </c>
      <c r="K80" s="628">
        <f>[102]Source!BZ813</f>
        <v>90</v>
      </c>
      <c r="L80" s="631">
        <f>SUM(R75:R79)</f>
        <v>1139.8499999999999</v>
      </c>
    </row>
    <row r="81" spans="1:27" ht="15" x14ac:dyDescent="0.25">
      <c r="A81" s="625"/>
      <c r="B81" s="625"/>
      <c r="C81" s="626"/>
      <c r="D81" s="626" t="s">
        <v>90</v>
      </c>
      <c r="E81" s="627" t="s">
        <v>89</v>
      </c>
      <c r="F81" s="628">
        <f>[102]Source!DO813</f>
        <v>70</v>
      </c>
      <c r="G81" s="629"/>
      <c r="H81" s="630"/>
      <c r="I81" s="628"/>
      <c r="J81" s="631">
        <f>SUM(S75:S80)</f>
        <v>36.590000000000003</v>
      </c>
      <c r="K81" s="628">
        <f>[102]Source!CA813</f>
        <v>43</v>
      </c>
      <c r="L81" s="631">
        <f>SUM(T75:T80)</f>
        <v>544.6</v>
      </c>
    </row>
    <row r="82" spans="1:27" ht="15" x14ac:dyDescent="0.25">
      <c r="A82" s="625"/>
      <c r="B82" s="625"/>
      <c r="C82" s="626"/>
      <c r="D82" s="626" t="s">
        <v>91</v>
      </c>
      <c r="E82" s="627" t="s">
        <v>89</v>
      </c>
      <c r="F82" s="628">
        <f>175</f>
        <v>175</v>
      </c>
      <c r="G82" s="629"/>
      <c r="H82" s="630"/>
      <c r="I82" s="628"/>
      <c r="J82" s="631">
        <f>SUM(U75:U81)-J88</f>
        <v>4.43</v>
      </c>
      <c r="K82" s="628">
        <f>157</f>
        <v>157</v>
      </c>
      <c r="L82" s="631">
        <f>SUM(V75:V81)-L88</f>
        <v>96.16</v>
      </c>
    </row>
    <row r="83" spans="1:27" ht="15" x14ac:dyDescent="0.25">
      <c r="A83" s="625"/>
      <c r="B83" s="625"/>
      <c r="C83" s="626"/>
      <c r="D83" s="626" t="s">
        <v>92</v>
      </c>
      <c r="E83" s="627" t="s">
        <v>93</v>
      </c>
      <c r="F83" s="628">
        <f>[102]Source!AQ813</f>
        <v>58.7</v>
      </c>
      <c r="G83" s="629"/>
      <c r="H83" s="630" t="str">
        <f>[102]Source!DI813</f>
        <v/>
      </c>
      <c r="I83" s="628">
        <f>[102]Source!AV813</f>
        <v>1.0469999999999999</v>
      </c>
      <c r="J83" s="631">
        <f>[102]Source!U813</f>
        <v>2.54</v>
      </c>
      <c r="K83" s="628"/>
      <c r="L83" s="631"/>
    </row>
    <row r="84" spans="1:27" ht="14.25" x14ac:dyDescent="0.2">
      <c r="I84" s="1094">
        <f>J76+J77+J79+J80+J81+J82</f>
        <v>182.29</v>
      </c>
      <c r="J84" s="1094"/>
      <c r="K84" s="1094">
        <f>L76+L77+L79+L80+L81+L82</f>
        <v>3263.56</v>
      </c>
      <c r="L84" s="1094"/>
      <c r="O84" s="724">
        <f>J76+J77+J79+J80+J81+J82</f>
        <v>182.29</v>
      </c>
      <c r="P84" s="724">
        <f>L76+L77+L79+L80+L81+L82</f>
        <v>3263.56</v>
      </c>
      <c r="X84" s="647">
        <f>IF([102]Source!BI813&lt;=1,J76+J77+J79+J80+J81+J82-0, 0)</f>
        <v>0</v>
      </c>
      <c r="Y84" s="647">
        <f>IF([102]Source!BI813=2,J76+J77+J79+J80+J81+J82-0, 0)</f>
        <v>182.29</v>
      </c>
      <c r="Z84" s="647">
        <f>IF([102]Source!BI813=3,J76+J77+J79+J80+J81+J82-0, 0)</f>
        <v>0</v>
      </c>
      <c r="AA84" s="647">
        <f>IF([102]Source!BI813=4,J76+J77+J79+J80+J81+J82,0)</f>
        <v>0</v>
      </c>
    </row>
    <row r="85" spans="1:27" ht="30" x14ac:dyDescent="0.25">
      <c r="A85" s="633"/>
      <c r="B85" s="633"/>
      <c r="C85" s="634"/>
      <c r="D85" s="634" t="s">
        <v>94</v>
      </c>
      <c r="E85" s="627"/>
      <c r="F85" s="635"/>
      <c r="G85" s="636"/>
      <c r="H85" s="627"/>
      <c r="I85" s="635"/>
      <c r="J85" s="632"/>
      <c r="K85" s="635"/>
      <c r="L85" s="632"/>
    </row>
    <row r="86" spans="1:27" ht="15" x14ac:dyDescent="0.25">
      <c r="A86" s="633"/>
      <c r="B86" s="633"/>
      <c r="C86" s="634"/>
      <c r="D86" s="634" t="s">
        <v>85</v>
      </c>
      <c r="E86" s="627"/>
      <c r="F86" s="635"/>
      <c r="G86" s="636">
        <f t="shared" ref="G86:L86" si="1">G87</f>
        <v>58.4</v>
      </c>
      <c r="H86" s="637" t="str">
        <f t="shared" si="1"/>
        <v>)*(1.67-1)</v>
      </c>
      <c r="I86" s="635">
        <f t="shared" si="1"/>
        <v>1.0469999999999999</v>
      </c>
      <c r="J86" s="632">
        <f t="shared" si="1"/>
        <v>1.69</v>
      </c>
      <c r="K86" s="635">
        <f t="shared" si="1"/>
        <v>24.23</v>
      </c>
      <c r="L86" s="632">
        <f t="shared" si="1"/>
        <v>41</v>
      </c>
    </row>
    <row r="87" spans="1:27" ht="15" x14ac:dyDescent="0.25">
      <c r="A87" s="633"/>
      <c r="B87" s="633"/>
      <c r="C87" s="634"/>
      <c r="D87" s="634" t="s">
        <v>86</v>
      </c>
      <c r="E87" s="627"/>
      <c r="F87" s="635"/>
      <c r="G87" s="636">
        <f>[102]Source!AN813</f>
        <v>58.4</v>
      </c>
      <c r="H87" s="637" t="s">
        <v>95</v>
      </c>
      <c r="I87" s="635">
        <f>[102]Source!AV813</f>
        <v>1.0469999999999999</v>
      </c>
      <c r="J87" s="632">
        <f>ROUND(F75*G87*I87*(1.67-1), 2)</f>
        <v>1.69</v>
      </c>
      <c r="K87" s="635">
        <f>IF([102]Source!BS813&lt;&gt; 0, [102]Source!BS813, 1)</f>
        <v>24.23</v>
      </c>
      <c r="L87" s="632">
        <f>ROUND(F75*G87*I87*(1.67-1)*K87, 2)</f>
        <v>41</v>
      </c>
      <c r="W87" s="647">
        <f>J87</f>
        <v>1.69</v>
      </c>
    </row>
    <row r="88" spans="1:27" ht="15" x14ac:dyDescent="0.25">
      <c r="A88" s="633"/>
      <c r="B88" s="633"/>
      <c r="C88" s="634"/>
      <c r="D88" s="634" t="s">
        <v>91</v>
      </c>
      <c r="E88" s="627" t="s">
        <v>89</v>
      </c>
      <c r="F88" s="635">
        <f>175</f>
        <v>175</v>
      </c>
      <c r="G88" s="636"/>
      <c r="H88" s="627"/>
      <c r="I88" s="635"/>
      <c r="J88" s="632">
        <f>ROUND(J87*(F88/100), 2)</f>
        <v>2.96</v>
      </c>
      <c r="K88" s="635">
        <f>157</f>
        <v>157</v>
      </c>
      <c r="L88" s="632">
        <f>ROUND(L87*(K88/100), 2)</f>
        <v>64.37</v>
      </c>
    </row>
    <row r="89" spans="1:27" ht="14.25" x14ac:dyDescent="0.2">
      <c r="I89" s="1094">
        <f>J88+J87</f>
        <v>4.6500000000000004</v>
      </c>
      <c r="J89" s="1094"/>
      <c r="K89" s="1094">
        <f>L88+L87</f>
        <v>105.37</v>
      </c>
      <c r="L89" s="1094"/>
      <c r="O89" s="724">
        <f>I89</f>
        <v>4.6500000000000004</v>
      </c>
      <c r="P89" s="724">
        <f>K89</f>
        <v>105.37</v>
      </c>
      <c r="X89" s="647">
        <f>IF([102]Source!BI813&lt;=1,I89, 0)</f>
        <v>0</v>
      </c>
      <c r="Y89" s="647">
        <f>IF([102]Source!BI813=2,I89, 0)</f>
        <v>4.6500000000000004</v>
      </c>
      <c r="Z89" s="647">
        <f>IF([102]Source!BI813=3,I89, 0)</f>
        <v>0</v>
      </c>
      <c r="AA89" s="647">
        <f>IF([102]Source!BI813=4,I89, 0)</f>
        <v>0</v>
      </c>
    </row>
    <row r="91" spans="1:27" ht="15" x14ac:dyDescent="0.25">
      <c r="A91" s="638"/>
      <c r="B91" s="638"/>
      <c r="C91" s="639"/>
      <c r="D91" s="639" t="s">
        <v>96</v>
      </c>
      <c r="E91" s="640"/>
      <c r="F91" s="641"/>
      <c r="G91" s="642"/>
      <c r="H91" s="643"/>
      <c r="I91" s="1094">
        <f>I84+I89</f>
        <v>186.94</v>
      </c>
      <c r="J91" s="1094"/>
      <c r="K91" s="1094">
        <f>K84+K89</f>
        <v>3368.93</v>
      </c>
      <c r="L91" s="1094"/>
    </row>
    <row r="92" spans="1:27" ht="100.5" x14ac:dyDescent="0.25">
      <c r="A92" s="625">
        <v>13</v>
      </c>
      <c r="B92" s="625" t="str">
        <f>[102]Source!E815</f>
        <v>176</v>
      </c>
      <c r="C92" s="626" t="str">
        <f>[102]Source!F815</f>
        <v>МКЭ-33-1475/7-1 от 09.08.2017г.</v>
      </c>
      <c r="D92" s="626" t="s">
        <v>764</v>
      </c>
      <c r="E92" s="627" t="str">
        <f>[102]Source!H815</f>
        <v>м</v>
      </c>
      <c r="F92" s="628">
        <f>[102]Source!I815</f>
        <v>26.82</v>
      </c>
      <c r="G92" s="631">
        <f>J92/F92</f>
        <v>33.99</v>
      </c>
      <c r="H92" s="630"/>
      <c r="I92" s="628">
        <v>1</v>
      </c>
      <c r="J92" s="631">
        <f>L92/K92</f>
        <v>911.49</v>
      </c>
      <c r="K92" s="694">
        <v>5.58</v>
      </c>
      <c r="L92" s="631">
        <f>185.92*1.02*F92</f>
        <v>5086.1000000000004</v>
      </c>
      <c r="Q92" s="647">
        <f>ROUND(([102]Source!DN815/100)*ROUND((ROUND(([102]Source!AF815*[102]Source!AV815*[102]Source!I815),2)),2), 2)</f>
        <v>0</v>
      </c>
      <c r="R92" s="647">
        <f>[102]Source!X815</f>
        <v>0</v>
      </c>
      <c r="S92" s="647">
        <f>ROUND(([102]Source!DO815/100)*ROUND((ROUND(([102]Source!AF815*[102]Source!AV815*[102]Source!I815),2)),2), 2)</f>
        <v>0</v>
      </c>
      <c r="T92" s="647">
        <f>[102]Source!Y815</f>
        <v>0</v>
      </c>
      <c r="U92" s="647">
        <f>ROUND((175/100)*ROUND((ROUND(([102]Source!AE815*[102]Source!AV815*[102]Source!I815),2)),2), 2)</f>
        <v>0</v>
      </c>
      <c r="V92" s="647">
        <f>ROUND((157/100)*ROUND(ROUND((ROUND(([102]Source!AE815*[102]Source!AV815*[102]Source!I815),2)*[102]Source!BS815),2), 2), 2)</f>
        <v>0</v>
      </c>
    </row>
    <row r="93" spans="1:27" ht="14.25" x14ac:dyDescent="0.2">
      <c r="A93" s="725"/>
      <c r="B93" s="725"/>
      <c r="C93" s="725"/>
      <c r="D93" s="725"/>
      <c r="E93" s="725"/>
      <c r="F93" s="725"/>
      <c r="G93" s="725"/>
      <c r="H93" s="725"/>
      <c r="I93" s="1094">
        <f>J92</f>
        <v>911.49</v>
      </c>
      <c r="J93" s="1094"/>
      <c r="K93" s="1094">
        <f>L92</f>
        <v>5086.1000000000004</v>
      </c>
      <c r="L93" s="1094"/>
      <c r="O93" s="724">
        <f>J92</f>
        <v>911.49</v>
      </c>
      <c r="P93" s="724">
        <f>L92</f>
        <v>5086.1000000000004</v>
      </c>
      <c r="X93" s="647">
        <f>IF([102]Source!BI815&lt;=1,J92-0, 0)</f>
        <v>911.49</v>
      </c>
      <c r="Y93" s="647">
        <f>IF([102]Source!BI815=2,J92-0, 0)</f>
        <v>0</v>
      </c>
      <c r="Z93" s="647">
        <f>IF([102]Source!BI815=3,J92-0, 0)</f>
        <v>0</v>
      </c>
      <c r="AA93" s="647">
        <f>IF([102]Source!BI815=4,J92,0)</f>
        <v>0</v>
      </c>
    </row>
    <row r="94" spans="1:27" ht="45" x14ac:dyDescent="0.25">
      <c r="A94" s="625">
        <v>14</v>
      </c>
      <c r="B94" s="625" t="str">
        <f>[102]Source!E821</f>
        <v>179</v>
      </c>
      <c r="C94" s="626" t="str">
        <f>[102]Source!F821</f>
        <v>4.8-83-7</v>
      </c>
      <c r="D94" s="626" t="s">
        <v>566</v>
      </c>
      <c r="E94" s="627" t="str">
        <f>[102]Source!H821</f>
        <v>100 шт.</v>
      </c>
      <c r="F94" s="628">
        <f>[102]Source!I821</f>
        <v>0.25</v>
      </c>
      <c r="G94" s="629"/>
      <c r="H94" s="630"/>
      <c r="I94" s="628"/>
      <c r="J94" s="631"/>
      <c r="K94" s="628"/>
      <c r="L94" s="631"/>
      <c r="Q94" s="647">
        <f>ROUND(([102]Source!DN821/100)*ROUND((ROUND(([102]Source!AF821*[102]Source!AV821*[102]Source!I821),2)),2), 2)</f>
        <v>12.91</v>
      </c>
      <c r="R94" s="647">
        <f>[102]Source!X821</f>
        <v>251.43</v>
      </c>
      <c r="S94" s="647">
        <f>ROUND(([102]Source!DO821/100)*ROUND((ROUND(([102]Source!AF821*[102]Source!AV821*[102]Source!I821),2)),2), 2)</f>
        <v>8.07</v>
      </c>
      <c r="T94" s="647">
        <f>[102]Source!Y821</f>
        <v>120.13</v>
      </c>
      <c r="U94" s="647">
        <f>ROUND((175/100)*ROUND((ROUND(([102]Source!AE821*[102]Source!AV821*[102]Source!I821),2)),2), 2)</f>
        <v>1.56</v>
      </c>
      <c r="V94" s="647">
        <f>ROUND((157/100)*ROUND(ROUND((ROUND(([102]Source!AE821*[102]Source!AV821*[102]Source!I821),2)*[102]Source!BS821),2), 2), 2)</f>
        <v>33.85</v>
      </c>
    </row>
    <row r="95" spans="1:27" ht="15" x14ac:dyDescent="0.25">
      <c r="A95" s="625"/>
      <c r="B95" s="625"/>
      <c r="C95" s="626"/>
      <c r="D95" s="626" t="s">
        <v>84</v>
      </c>
      <c r="E95" s="627"/>
      <c r="F95" s="628"/>
      <c r="G95" s="629">
        <f>[102]Source!AO821</f>
        <v>25.4</v>
      </c>
      <c r="H95" s="630" t="str">
        <f>[102]Source!DG821</f>
        <v>)*1,67</v>
      </c>
      <c r="I95" s="628">
        <f>[102]Source!AV821</f>
        <v>1.087</v>
      </c>
      <c r="J95" s="631">
        <f>ROUND((ROUND(([102]Source!AF821*[102]Source!AV821*[102]Source!I821),2)),2)</f>
        <v>11.53</v>
      </c>
      <c r="K95" s="628">
        <f>IF([102]Source!BA821&lt;&gt; 0, [102]Source!BA821, 1)</f>
        <v>24.23</v>
      </c>
      <c r="L95" s="631">
        <f>[102]Source!S821</f>
        <v>279.37</v>
      </c>
      <c r="W95" s="647">
        <f>J95</f>
        <v>11.53</v>
      </c>
    </row>
    <row r="96" spans="1:27" ht="15" x14ac:dyDescent="0.25">
      <c r="A96" s="625"/>
      <c r="B96" s="625"/>
      <c r="C96" s="626"/>
      <c r="D96" s="626" t="s">
        <v>85</v>
      </c>
      <c r="E96" s="627"/>
      <c r="F96" s="628"/>
      <c r="G96" s="629">
        <f>[102]Source!AM821</f>
        <v>8.4700000000000006</v>
      </c>
      <c r="H96" s="630" t="str">
        <f>[102]Source!DE821</f>
        <v/>
      </c>
      <c r="I96" s="628">
        <f>[102]Source!AV821</f>
        <v>1.087</v>
      </c>
      <c r="J96" s="631">
        <f>(ROUND((ROUND((([102]Source!ET821)*[102]Source!AV821*[102]Source!I821),2)),2)+ROUND((ROUND((([102]Source!AE821-([102]Source!EU821))*[102]Source!AV821*[102]Source!I821),2)),2))-J105</f>
        <v>2.2999999999999998</v>
      </c>
      <c r="K96" s="628">
        <f>IF([102]Source!BB821&lt;&gt; 0, [102]Source!BB821, 1)</f>
        <v>9.9</v>
      </c>
      <c r="L96" s="631">
        <f>[102]Source!Q821-L105</f>
        <v>22.8</v>
      </c>
    </row>
    <row r="97" spans="1:27" ht="15" x14ac:dyDescent="0.25">
      <c r="A97" s="625"/>
      <c r="B97" s="625"/>
      <c r="C97" s="626"/>
      <c r="D97" s="626" t="s">
        <v>86</v>
      </c>
      <c r="E97" s="627"/>
      <c r="F97" s="628"/>
      <c r="G97" s="629">
        <f>[102]Source!AN821</f>
        <v>1.97</v>
      </c>
      <c r="H97" s="630" t="str">
        <f>[102]Source!DE821</f>
        <v/>
      </c>
      <c r="I97" s="628">
        <f>[102]Source!AV821</f>
        <v>1.087</v>
      </c>
      <c r="J97" s="632">
        <f>ROUND((ROUND(([102]Source!AE821*[102]Source!AV821*[102]Source!I821),2)),2)-J106</f>
        <v>0.53</v>
      </c>
      <c r="K97" s="628">
        <f>IF([102]Source!BS821&lt;&gt; 0, [102]Source!BS821, 1)</f>
        <v>24.23</v>
      </c>
      <c r="L97" s="632">
        <f>[102]Source!R821-L106</f>
        <v>12.87</v>
      </c>
      <c r="W97" s="647">
        <f>J97</f>
        <v>0.53</v>
      </c>
    </row>
    <row r="98" spans="1:27" ht="15" x14ac:dyDescent="0.25">
      <c r="A98" s="625"/>
      <c r="B98" s="625"/>
      <c r="C98" s="626"/>
      <c r="D98" s="626" t="s">
        <v>87</v>
      </c>
      <c r="E98" s="627"/>
      <c r="F98" s="628"/>
      <c r="G98" s="629">
        <f>[102]Source!AL821</f>
        <v>1.19</v>
      </c>
      <c r="H98" s="630" t="str">
        <f>[102]Source!DD821</f>
        <v/>
      </c>
      <c r="I98" s="628">
        <f>[102]Source!AW821</f>
        <v>1</v>
      </c>
      <c r="J98" s="631">
        <f>ROUND((ROUND(([102]Source!AC821*[102]Source!AW821*[102]Source!I821),2)),2)</f>
        <v>0.3</v>
      </c>
      <c r="K98" s="628">
        <f>IF([102]Source!BC821&lt;&gt; 0, [102]Source!BC821, 1)</f>
        <v>5.58</v>
      </c>
      <c r="L98" s="631">
        <f>[102]Source!P821</f>
        <v>1.67</v>
      </c>
    </row>
    <row r="99" spans="1:27" ht="15" x14ac:dyDescent="0.25">
      <c r="A99" s="625"/>
      <c r="B99" s="625"/>
      <c r="C99" s="626"/>
      <c r="D99" s="626" t="s">
        <v>88</v>
      </c>
      <c r="E99" s="627" t="s">
        <v>89</v>
      </c>
      <c r="F99" s="628">
        <f>[102]Source!DN821</f>
        <v>112</v>
      </c>
      <c r="G99" s="629"/>
      <c r="H99" s="630"/>
      <c r="I99" s="628"/>
      <c r="J99" s="631">
        <f>SUM(Q94:Q98)</f>
        <v>12.91</v>
      </c>
      <c r="K99" s="628">
        <f>[102]Source!BZ821</f>
        <v>90</v>
      </c>
      <c r="L99" s="631">
        <f>SUM(R94:R98)</f>
        <v>251.43</v>
      </c>
    </row>
    <row r="100" spans="1:27" ht="15" x14ac:dyDescent="0.25">
      <c r="A100" s="625"/>
      <c r="B100" s="625"/>
      <c r="C100" s="626"/>
      <c r="D100" s="626" t="s">
        <v>90</v>
      </c>
      <c r="E100" s="627" t="s">
        <v>89</v>
      </c>
      <c r="F100" s="628">
        <f>[102]Source!DO821</f>
        <v>70</v>
      </c>
      <c r="G100" s="629"/>
      <c r="H100" s="630"/>
      <c r="I100" s="628"/>
      <c r="J100" s="631">
        <f>SUM(S94:S99)</f>
        <v>8.07</v>
      </c>
      <c r="K100" s="628">
        <f>[102]Source!CA821</f>
        <v>43</v>
      </c>
      <c r="L100" s="631">
        <f>SUM(T94:T99)</f>
        <v>120.13</v>
      </c>
    </row>
    <row r="101" spans="1:27" ht="15" x14ac:dyDescent="0.25">
      <c r="A101" s="625"/>
      <c r="B101" s="625"/>
      <c r="C101" s="626"/>
      <c r="D101" s="626" t="s">
        <v>91</v>
      </c>
      <c r="E101" s="627" t="s">
        <v>89</v>
      </c>
      <c r="F101" s="628">
        <f>175</f>
        <v>175</v>
      </c>
      <c r="G101" s="629"/>
      <c r="H101" s="630"/>
      <c r="I101" s="628"/>
      <c r="J101" s="631">
        <f>SUM(U94:U100)-J107</f>
        <v>0.93</v>
      </c>
      <c r="K101" s="628">
        <f>157</f>
        <v>157</v>
      </c>
      <c r="L101" s="631">
        <f>SUM(V94:V100)-L107</f>
        <v>20.21</v>
      </c>
    </row>
    <row r="102" spans="1:27" ht="15" x14ac:dyDescent="0.25">
      <c r="A102" s="625"/>
      <c r="B102" s="625"/>
      <c r="C102" s="626"/>
      <c r="D102" s="626" t="s">
        <v>92</v>
      </c>
      <c r="E102" s="627" t="s">
        <v>93</v>
      </c>
      <c r="F102" s="628">
        <f>[102]Source!AQ821</f>
        <v>2.06</v>
      </c>
      <c r="G102" s="629"/>
      <c r="H102" s="630" t="str">
        <f>[102]Source!DI821</f>
        <v/>
      </c>
      <c r="I102" s="628">
        <f>[102]Source!AV821</f>
        <v>1.087</v>
      </c>
      <c r="J102" s="631">
        <f>[102]Source!U821</f>
        <v>0.56000000000000005</v>
      </c>
      <c r="K102" s="628"/>
      <c r="L102" s="631"/>
    </row>
    <row r="103" spans="1:27" ht="14.25" x14ac:dyDescent="0.2">
      <c r="I103" s="1094">
        <f>J95+J96+J98+J99+J100+J101</f>
        <v>36.04</v>
      </c>
      <c r="J103" s="1094"/>
      <c r="K103" s="1094">
        <f>L95+L96+L98+L99+L100+L101</f>
        <v>695.61</v>
      </c>
      <c r="L103" s="1094"/>
      <c r="O103" s="724">
        <f>J95+J96+J98+J99+J100+J101</f>
        <v>36.04</v>
      </c>
      <c r="P103" s="724">
        <f>L95+L96+L98+L99+L100+L101</f>
        <v>695.61</v>
      </c>
      <c r="X103" s="647">
        <f>IF([102]Source!BI821&lt;=1,J95+J96+J98+J99+J100+J101-0, 0)</f>
        <v>0</v>
      </c>
      <c r="Y103" s="647">
        <f>IF([102]Source!BI821=2,J95+J96+J98+J99+J100+J101-0, 0)</f>
        <v>36.04</v>
      </c>
      <c r="Z103" s="647">
        <f>IF([102]Source!BI821=3,J95+J96+J98+J99+J100+J101-0, 0)</f>
        <v>0</v>
      </c>
      <c r="AA103" s="647">
        <f>IF([102]Source!BI821=4,J95+J96+J98+J99+J100+J101,0)</f>
        <v>0</v>
      </c>
    </row>
    <row r="104" spans="1:27" ht="30" x14ac:dyDescent="0.25">
      <c r="A104" s="633"/>
      <c r="B104" s="633"/>
      <c r="C104" s="634"/>
      <c r="D104" s="634" t="s">
        <v>94</v>
      </c>
      <c r="E104" s="627"/>
      <c r="F104" s="635"/>
      <c r="G104" s="636"/>
      <c r="H104" s="627"/>
      <c r="I104" s="635"/>
      <c r="J104" s="632"/>
      <c r="K104" s="635"/>
      <c r="L104" s="632"/>
    </row>
    <row r="105" spans="1:27" ht="15" x14ac:dyDescent="0.25">
      <c r="A105" s="633"/>
      <c r="B105" s="633"/>
      <c r="C105" s="634"/>
      <c r="D105" s="634" t="s">
        <v>85</v>
      </c>
      <c r="E105" s="627"/>
      <c r="F105" s="635"/>
      <c r="G105" s="636">
        <f t="shared" ref="G105:L105" si="2">G106</f>
        <v>1.97</v>
      </c>
      <c r="H105" s="637" t="str">
        <f t="shared" si="2"/>
        <v>)*(1.67-1)</v>
      </c>
      <c r="I105" s="635">
        <f t="shared" si="2"/>
        <v>1.087</v>
      </c>
      <c r="J105" s="632">
        <f t="shared" si="2"/>
        <v>0.36</v>
      </c>
      <c r="K105" s="635">
        <f t="shared" si="2"/>
        <v>24.23</v>
      </c>
      <c r="L105" s="632">
        <f t="shared" si="2"/>
        <v>8.69</v>
      </c>
    </row>
    <row r="106" spans="1:27" ht="15" x14ac:dyDescent="0.25">
      <c r="A106" s="633"/>
      <c r="B106" s="633"/>
      <c r="C106" s="634"/>
      <c r="D106" s="634" t="s">
        <v>86</v>
      </c>
      <c r="E106" s="627"/>
      <c r="F106" s="635"/>
      <c r="G106" s="636">
        <f>[102]Source!AN821</f>
        <v>1.97</v>
      </c>
      <c r="H106" s="637" t="s">
        <v>95</v>
      </c>
      <c r="I106" s="635">
        <f>[102]Source!AV821</f>
        <v>1.087</v>
      </c>
      <c r="J106" s="632">
        <f>ROUND(F94*G106*I106*(1.67-1), 2)</f>
        <v>0.36</v>
      </c>
      <c r="K106" s="635">
        <f>IF([102]Source!BS821&lt;&gt; 0, [102]Source!BS821, 1)</f>
        <v>24.23</v>
      </c>
      <c r="L106" s="632">
        <f>ROUND(F94*G106*I106*(1.67-1)*K106, 2)</f>
        <v>8.69</v>
      </c>
      <c r="W106" s="647">
        <f>J106</f>
        <v>0.36</v>
      </c>
    </row>
    <row r="107" spans="1:27" ht="15" x14ac:dyDescent="0.25">
      <c r="A107" s="633"/>
      <c r="B107" s="633"/>
      <c r="C107" s="634"/>
      <c r="D107" s="634" t="s">
        <v>91</v>
      </c>
      <c r="E107" s="627" t="s">
        <v>89</v>
      </c>
      <c r="F107" s="635">
        <f>175</f>
        <v>175</v>
      </c>
      <c r="G107" s="636"/>
      <c r="H107" s="627"/>
      <c r="I107" s="635"/>
      <c r="J107" s="632">
        <f>ROUND(J106*(F107/100), 2)</f>
        <v>0.63</v>
      </c>
      <c r="K107" s="635">
        <f>157</f>
        <v>157</v>
      </c>
      <c r="L107" s="632">
        <f>ROUND(L106*(K107/100), 2)</f>
        <v>13.64</v>
      </c>
    </row>
    <row r="108" spans="1:27" ht="14.25" x14ac:dyDescent="0.2">
      <c r="I108" s="1094">
        <f>J107+J106</f>
        <v>0.99</v>
      </c>
      <c r="J108" s="1094"/>
      <c r="K108" s="1094">
        <f>L107+L106</f>
        <v>22.33</v>
      </c>
      <c r="L108" s="1094"/>
      <c r="O108" s="724">
        <f>I108</f>
        <v>0.99</v>
      </c>
      <c r="P108" s="724">
        <f>K108</f>
        <v>22.33</v>
      </c>
      <c r="X108" s="647">
        <f>IF([102]Source!BI821&lt;=1,I108, 0)</f>
        <v>0</v>
      </c>
      <c r="Y108" s="647">
        <f>IF([102]Source!BI821=2,I108, 0)</f>
        <v>0.99</v>
      </c>
      <c r="Z108" s="647">
        <f>IF([102]Source!BI821=3,I108, 0)</f>
        <v>0</v>
      </c>
      <c r="AA108" s="647">
        <f>IF([102]Source!BI821=4,I108, 0)</f>
        <v>0</v>
      </c>
    </row>
    <row r="110" spans="1:27" ht="15" x14ac:dyDescent="0.25">
      <c r="A110" s="638"/>
      <c r="B110" s="638"/>
      <c r="C110" s="639"/>
      <c r="D110" s="639" t="s">
        <v>96</v>
      </c>
      <c r="E110" s="640"/>
      <c r="F110" s="641"/>
      <c r="G110" s="642"/>
      <c r="H110" s="643"/>
      <c r="I110" s="1094">
        <f>I103+I108</f>
        <v>37.03</v>
      </c>
      <c r="J110" s="1094"/>
      <c r="K110" s="1094">
        <f>K103+K108</f>
        <v>717.94</v>
      </c>
      <c r="L110" s="1094"/>
    </row>
    <row r="111" spans="1:27" ht="30" x14ac:dyDescent="0.25">
      <c r="A111" s="625">
        <v>15</v>
      </c>
      <c r="B111" s="625" t="str">
        <f>[102]Source!E823</f>
        <v>180</v>
      </c>
      <c r="C111" s="626" t="str">
        <f>[102]Source!F823</f>
        <v>1.21-5-563</v>
      </c>
      <c r="D111" s="626" t="s">
        <v>567</v>
      </c>
      <c r="E111" s="627" t="str">
        <f>[102]Source!H823</f>
        <v>шт.</v>
      </c>
      <c r="F111" s="628">
        <f>[102]Source!I823</f>
        <v>25</v>
      </c>
      <c r="G111" s="629">
        <f>[102]Source!AL823</f>
        <v>69.42</v>
      </c>
      <c r="H111" s="630" t="str">
        <f>[102]Source!DD823</f>
        <v/>
      </c>
      <c r="I111" s="628">
        <f>[102]Source!AW823</f>
        <v>1</v>
      </c>
      <c r="J111" s="631">
        <f>ROUND((ROUND(([102]Source!AC823*[102]Source!AW823*[102]Source!I823),2)),2)</f>
        <v>1735.5</v>
      </c>
      <c r="K111" s="628">
        <f>IF([102]Source!BC823&lt;&gt; 0, [102]Source!BC823, 1)</f>
        <v>0.88</v>
      </c>
      <c r="L111" s="631">
        <f>[102]Source!P823</f>
        <v>1527.24</v>
      </c>
      <c r="Q111" s="647">
        <f>ROUND(([102]Source!DN823/100)*ROUND((ROUND(([102]Source!AF823*[102]Source!AV823*[102]Source!I823),2)),2), 2)</f>
        <v>0</v>
      </c>
      <c r="R111" s="647">
        <f>[102]Source!X823</f>
        <v>0</v>
      </c>
      <c r="S111" s="647">
        <f>ROUND(([102]Source!DO823/100)*ROUND((ROUND(([102]Source!AF823*[102]Source!AV823*[102]Source!I823),2)),2), 2)</f>
        <v>0</v>
      </c>
      <c r="T111" s="647">
        <f>[102]Source!Y823</f>
        <v>0</v>
      </c>
      <c r="U111" s="647">
        <f>ROUND((175/100)*ROUND((ROUND(([102]Source!AE823*[102]Source!AV823*[102]Source!I823),2)),2), 2)</f>
        <v>0</v>
      </c>
      <c r="V111" s="647">
        <f>ROUND((157/100)*ROUND(ROUND((ROUND(([102]Source!AE823*[102]Source!AV823*[102]Source!I823),2)*[102]Source!BS823),2), 2), 2)</f>
        <v>0</v>
      </c>
    </row>
    <row r="112" spans="1:27" ht="14.25" x14ac:dyDescent="0.2">
      <c r="A112" s="725"/>
      <c r="B112" s="725"/>
      <c r="C112" s="725"/>
      <c r="D112" s="725"/>
      <c r="E112" s="725"/>
      <c r="F112" s="725"/>
      <c r="G112" s="725"/>
      <c r="H112" s="725"/>
      <c r="I112" s="1094">
        <f>J111</f>
        <v>1735.5</v>
      </c>
      <c r="J112" s="1094"/>
      <c r="K112" s="1094">
        <f>L111</f>
        <v>1527.24</v>
      </c>
      <c r="L112" s="1094"/>
      <c r="O112" s="724">
        <f>J111</f>
        <v>1735.5</v>
      </c>
      <c r="P112" s="724">
        <f>L111</f>
        <v>1527.24</v>
      </c>
      <c r="X112" s="647">
        <f>IF([102]Source!BI823&lt;=1,J111-0, 0)</f>
        <v>0</v>
      </c>
      <c r="Y112" s="647">
        <f>IF([102]Source!BI823=2,J111-0, 0)</f>
        <v>1735.5</v>
      </c>
      <c r="Z112" s="647">
        <f>IF([102]Source!BI823=3,J111-0, 0)</f>
        <v>0</v>
      </c>
      <c r="AA112" s="647">
        <f>IF([102]Source!BI823=4,J111,0)</f>
        <v>0</v>
      </c>
    </row>
    <row r="114" spans="1:38" ht="14.25" x14ac:dyDescent="0.2">
      <c r="A114" s="1095" t="str">
        <f>CONCATENATE("Итого по подразделу: ",IF([102]Source!G837&lt;&gt;"Новый подраздел", [102]Source!G837, ""))</f>
        <v>Итого по подразделу: К2-21</v>
      </c>
      <c r="B114" s="1095"/>
      <c r="C114" s="1095"/>
      <c r="D114" s="1095"/>
      <c r="E114" s="1095"/>
      <c r="F114" s="1095"/>
      <c r="G114" s="1095"/>
      <c r="H114" s="1095"/>
      <c r="I114" s="1096">
        <f>SUM(O74:O113)</f>
        <v>2870.96</v>
      </c>
      <c r="J114" s="1097"/>
      <c r="K114" s="1096">
        <f>SUM(P74:P113)</f>
        <v>10700.21</v>
      </c>
      <c r="L114" s="1097"/>
    </row>
    <row r="115" spans="1:38" hidden="1" x14ac:dyDescent="0.2">
      <c r="A115" s="647" t="s">
        <v>139</v>
      </c>
      <c r="I115" s="647">
        <f>SUM(AC74:AC114)</f>
        <v>0</v>
      </c>
      <c r="K115" s="647">
        <f>SUM(AD74:AD114)</f>
        <v>0</v>
      </c>
    </row>
    <row r="116" spans="1:38" hidden="1" x14ac:dyDescent="0.2">
      <c r="A116" s="647" t="s">
        <v>140</v>
      </c>
      <c r="I116" s="647">
        <f>SUM(AE74:AE115)</f>
        <v>0</v>
      </c>
      <c r="K116" s="647">
        <f>SUM(AF74:AF115)</f>
        <v>0</v>
      </c>
    </row>
    <row r="117" spans="1:38" x14ac:dyDescent="0.2">
      <c r="I117" s="739"/>
      <c r="J117" s="739"/>
      <c r="K117" s="739"/>
      <c r="L117" s="739"/>
    </row>
    <row r="118" spans="1:38" ht="17.25" customHeight="1" x14ac:dyDescent="0.2">
      <c r="A118" s="1095" t="s">
        <v>707</v>
      </c>
      <c r="B118" s="1095"/>
      <c r="C118" s="1095"/>
      <c r="D118" s="1095"/>
      <c r="E118" s="1095"/>
      <c r="F118" s="1095"/>
      <c r="G118" s="1095"/>
      <c r="H118" s="1095"/>
      <c r="I118" s="1103">
        <f>SUM(O1:O117)</f>
        <v>16018.19</v>
      </c>
      <c r="J118" s="1104"/>
      <c r="K118" s="1103">
        <f>SUM(P1:P117)</f>
        <v>189415.35</v>
      </c>
      <c r="L118" s="1104"/>
      <c r="AL118" s="644" t="str">
        <f>CONCATENATE("Итого по акту: ",IF([102]Source!G927&lt;&gt;"Новый объект", [102]Source!G927, ""))</f>
        <v>Итого по акту: 48875-ТПК-5-0707-Р-ССР2-изм.1.1-доп.1_12-4017-Л-Р-11.4.3.1-ОВ1.2-СМ1К (взамен локальной сметы №12-4017-Л-Р-11.4.3.1-ОВ1.2-СМ1)</v>
      </c>
    </row>
    <row r="119" spans="1:38" hidden="1" x14ac:dyDescent="0.2">
      <c r="A119" s="647" t="s">
        <v>139</v>
      </c>
      <c r="I119" s="647">
        <f>SUM(AC1:AC118)</f>
        <v>0</v>
      </c>
      <c r="K119" s="647">
        <f>SUM(AD1:AD118)</f>
        <v>0</v>
      </c>
    </row>
    <row r="120" spans="1:38" hidden="1" x14ac:dyDescent="0.2">
      <c r="A120" s="647" t="s">
        <v>140</v>
      </c>
      <c r="I120" s="647">
        <f>SUM(AE1:AE119)</f>
        <v>0</v>
      </c>
      <c r="K120" s="647">
        <f>SUM(AF1:AF119)</f>
        <v>0</v>
      </c>
    </row>
    <row r="121" spans="1:38" ht="15" x14ac:dyDescent="0.25">
      <c r="D121" s="645" t="s">
        <v>114</v>
      </c>
      <c r="I121" s="1101">
        <f>SUMIF(D18:D112,"МР",J18:J112)+J111+J92+J67+J65+J42+J24+J18+J33</f>
        <v>9778.3700000000008</v>
      </c>
      <c r="J121" s="1102"/>
      <c r="K121" s="1101">
        <f>SUMIF(D18:D112,"МР",L18:L112)+L111+L92+L67+L65+L42+L24+L18+L33</f>
        <v>64651.18</v>
      </c>
      <c r="L121" s="1102"/>
    </row>
    <row r="122" spans="1:38" ht="15" x14ac:dyDescent="0.25">
      <c r="D122" s="645" t="s">
        <v>115</v>
      </c>
      <c r="I122" s="1101">
        <f>SUMIF(D18:D112,"в т.ч. ЗПМ",J18:J112)</f>
        <v>54.63</v>
      </c>
      <c r="J122" s="1102"/>
      <c r="K122" s="1101">
        <f>SUMIF(D18:D112,"в т.ч. ЗПМ",L18:L112)</f>
        <v>1323.68</v>
      </c>
      <c r="L122" s="1102"/>
    </row>
    <row r="123" spans="1:38" ht="15" x14ac:dyDescent="0.25">
      <c r="D123" s="645" t="s">
        <v>116</v>
      </c>
      <c r="I123" s="1101">
        <f>SUMIF(D18:D112,"ЗП",J18:J112)</f>
        <v>2327.91</v>
      </c>
      <c r="J123" s="1102"/>
      <c r="K123" s="1101">
        <f>SUMIF(D18:D112,"ЗП",L18:L112)</f>
        <v>56405.26</v>
      </c>
      <c r="L123" s="1102"/>
    </row>
    <row r="125" spans="1:38" ht="15" x14ac:dyDescent="0.25">
      <c r="D125" s="644" t="s">
        <v>268</v>
      </c>
      <c r="J125" s="648">
        <f>I118</f>
        <v>16018.19</v>
      </c>
      <c r="K125" s="648"/>
      <c r="L125" s="648">
        <f>K118</f>
        <v>189415.35</v>
      </c>
    </row>
    <row r="126" spans="1:38" ht="15" x14ac:dyDescent="0.25">
      <c r="D126" s="646" t="s">
        <v>3</v>
      </c>
      <c r="J126" s="648">
        <f>J125</f>
        <v>16018.19</v>
      </c>
      <c r="K126" s="648"/>
      <c r="L126" s="648">
        <f>L125</f>
        <v>189415.35</v>
      </c>
    </row>
    <row r="127" spans="1:38" ht="15" x14ac:dyDescent="0.25">
      <c r="D127" s="646" t="s">
        <v>269</v>
      </c>
      <c r="J127" s="648">
        <f>I123+I122</f>
        <v>2382.54</v>
      </c>
      <c r="K127" s="648"/>
      <c r="L127" s="648">
        <f>K123+K122</f>
        <v>57728.94</v>
      </c>
    </row>
    <row r="128" spans="1:38" ht="15" x14ac:dyDescent="0.25">
      <c r="D128" s="646" t="s">
        <v>270</v>
      </c>
      <c r="J128" s="648">
        <f>I121</f>
        <v>9778.3700000000008</v>
      </c>
      <c r="K128" s="648"/>
      <c r="L128" s="648">
        <f>K121</f>
        <v>64651.18</v>
      </c>
    </row>
    <row r="129" spans="1:256" ht="15" x14ac:dyDescent="0.25">
      <c r="D129" s="1106" t="s">
        <v>323</v>
      </c>
      <c r="E129" s="1106"/>
      <c r="F129" s="1106"/>
      <c r="G129" s="1106"/>
      <c r="H129" s="1106"/>
      <c r="I129" s="621"/>
      <c r="J129" s="649">
        <v>0</v>
      </c>
      <c r="K129" s="649"/>
      <c r="L129" s="649">
        <v>0</v>
      </c>
    </row>
    <row r="130" spans="1:256" ht="15" x14ac:dyDescent="0.25">
      <c r="D130" s="1107" t="s">
        <v>584</v>
      </c>
      <c r="E130" s="1107"/>
      <c r="F130" s="1107"/>
      <c r="G130" s="1107"/>
      <c r="H130" s="1107"/>
      <c r="I130" s="621"/>
      <c r="J130" s="649">
        <f>J127*0.15</f>
        <v>357.38</v>
      </c>
      <c r="K130" s="649"/>
      <c r="L130" s="649">
        <f>L127*0.15</f>
        <v>8659.34</v>
      </c>
    </row>
    <row r="131" spans="1:256" ht="14.25" x14ac:dyDescent="0.2">
      <c r="D131" s="1095" t="s">
        <v>688</v>
      </c>
      <c r="E131" s="1095"/>
      <c r="F131" s="1095"/>
      <c r="G131" s="1095"/>
      <c r="H131" s="1095"/>
      <c r="I131" s="621"/>
      <c r="J131" s="740">
        <f>J126+J130</f>
        <v>16375.57</v>
      </c>
      <c r="K131" s="740"/>
      <c r="L131" s="740">
        <f>L126+L130</f>
        <v>198074.69</v>
      </c>
    </row>
    <row r="132" spans="1:256" s="621" customFormat="1" ht="15" x14ac:dyDescent="0.25">
      <c r="D132" s="1106"/>
      <c r="E132" s="1106"/>
      <c r="F132" s="1106"/>
      <c r="G132" s="1106"/>
      <c r="H132" s="1106"/>
      <c r="I132" s="1105"/>
      <c r="J132" s="1105"/>
      <c r="K132" s="1105"/>
      <c r="L132" s="1105"/>
    </row>
    <row r="133" spans="1:256" s="622" customFormat="1" ht="15" x14ac:dyDescent="0.25">
      <c r="A133" s="398"/>
      <c r="B133" s="398"/>
      <c r="C133" s="398"/>
      <c r="D133" s="651" t="s">
        <v>596</v>
      </c>
      <c r="E133" s="652"/>
      <c r="F133" s="652"/>
      <c r="G133" s="652"/>
      <c r="H133" s="652"/>
      <c r="I133" s="652"/>
      <c r="J133" s="653"/>
      <c r="K133" s="653"/>
      <c r="L133" s="653">
        <f>L125*0.925</f>
        <v>175209.2</v>
      </c>
      <c r="M133" s="399"/>
      <c r="N133" s="400"/>
      <c r="O133" s="400"/>
      <c r="P133" s="400"/>
      <c r="Q133" s="400"/>
      <c r="R133" s="400"/>
      <c r="S133" s="400"/>
      <c r="T133" s="400"/>
      <c r="U133" s="400"/>
      <c r="V133" s="400"/>
      <c r="W133" s="400"/>
      <c r="X133" s="400"/>
      <c r="Y133" s="400"/>
      <c r="Z133" s="400"/>
      <c r="AA133" s="400"/>
      <c r="AB133" s="400"/>
      <c r="AC133" s="400"/>
      <c r="AD133" s="400"/>
      <c r="AE133" s="400"/>
      <c r="AF133" s="400"/>
      <c r="AG133" s="400"/>
      <c r="AH133" s="400"/>
      <c r="AI133" s="400"/>
      <c r="AJ133" s="400"/>
      <c r="AK133" s="400"/>
      <c r="AL133" s="400"/>
      <c r="AM133" s="400"/>
      <c r="AN133" s="400"/>
      <c r="AO133" s="400"/>
      <c r="AP133" s="400"/>
      <c r="AQ133" s="400"/>
      <c r="AR133" s="400"/>
      <c r="AS133" s="400"/>
      <c r="AT133" s="400"/>
      <c r="AU133" s="400"/>
      <c r="AV133" s="400"/>
      <c r="AW133" s="400"/>
      <c r="AX133" s="400"/>
      <c r="AY133" s="400"/>
      <c r="AZ133" s="400"/>
      <c r="BA133" s="400"/>
      <c r="BB133" s="400"/>
      <c r="BC133" s="400"/>
      <c r="BD133" s="400"/>
      <c r="BE133" s="400"/>
      <c r="BF133" s="400"/>
      <c r="BG133" s="400"/>
      <c r="BH133" s="400"/>
      <c r="BI133" s="400"/>
      <c r="BJ133" s="400"/>
      <c r="BK133" s="400"/>
      <c r="BL133" s="400"/>
      <c r="BM133" s="400"/>
      <c r="BN133" s="400"/>
      <c r="BO133" s="400"/>
      <c r="BP133" s="400"/>
      <c r="BQ133" s="400"/>
      <c r="BR133" s="400"/>
      <c r="BS133" s="400"/>
      <c r="BT133" s="400"/>
      <c r="BU133" s="400"/>
      <c r="BV133" s="400"/>
      <c r="BW133" s="400"/>
      <c r="BX133" s="400"/>
      <c r="BY133" s="400"/>
      <c r="BZ133" s="400"/>
      <c r="CA133" s="400"/>
      <c r="CB133" s="400"/>
      <c r="CC133" s="400"/>
      <c r="CD133" s="400"/>
      <c r="CE133" s="400"/>
      <c r="CF133" s="400"/>
      <c r="CG133" s="400"/>
      <c r="CH133" s="400"/>
      <c r="CI133" s="400"/>
      <c r="CJ133" s="400"/>
      <c r="CK133" s="400"/>
      <c r="CL133" s="400"/>
      <c r="CM133" s="400"/>
      <c r="CN133" s="400"/>
      <c r="CO133" s="400"/>
      <c r="CP133" s="400"/>
      <c r="CQ133" s="400"/>
      <c r="CR133" s="400"/>
      <c r="CS133" s="400"/>
      <c r="CT133" s="400"/>
      <c r="CU133" s="400"/>
      <c r="CV133" s="400"/>
      <c r="CW133" s="400"/>
      <c r="CX133" s="400"/>
      <c r="CY133" s="400"/>
      <c r="CZ133" s="400"/>
      <c r="DA133" s="400"/>
      <c r="DB133" s="400"/>
      <c r="DC133" s="400"/>
      <c r="DD133" s="400"/>
      <c r="DE133" s="400"/>
      <c r="DF133" s="400"/>
      <c r="DG133" s="400"/>
      <c r="DH133" s="400"/>
      <c r="DI133" s="400"/>
      <c r="DJ133" s="400"/>
      <c r="DK133" s="400"/>
      <c r="DL133" s="400"/>
      <c r="DM133" s="400"/>
      <c r="DN133" s="400"/>
      <c r="DO133" s="400"/>
      <c r="DP133" s="400"/>
      <c r="DQ133" s="400"/>
      <c r="DR133" s="400"/>
      <c r="DS133" s="400"/>
      <c r="DT133" s="400"/>
      <c r="DU133" s="400"/>
      <c r="DV133" s="400"/>
      <c r="DW133" s="400"/>
      <c r="DX133" s="400"/>
      <c r="DY133" s="400"/>
      <c r="DZ133" s="400"/>
      <c r="EA133" s="400"/>
      <c r="EB133" s="400"/>
      <c r="EC133" s="400"/>
      <c r="ED133" s="400"/>
      <c r="EE133" s="400"/>
      <c r="EF133" s="400"/>
      <c r="EG133" s="400"/>
      <c r="EH133" s="400"/>
      <c r="EI133" s="400"/>
      <c r="EJ133" s="400"/>
      <c r="EK133" s="400"/>
      <c r="EL133" s="400"/>
      <c r="EM133" s="400"/>
      <c r="EN133" s="400"/>
      <c r="EO133" s="400"/>
      <c r="EP133" s="400"/>
      <c r="EQ133" s="400"/>
      <c r="ER133" s="400"/>
      <c r="ES133" s="400"/>
      <c r="ET133" s="400"/>
      <c r="EU133" s="400"/>
      <c r="EV133" s="400"/>
      <c r="EW133" s="400"/>
      <c r="EX133" s="400"/>
      <c r="EY133" s="400"/>
      <c r="EZ133" s="400"/>
      <c r="FA133" s="400"/>
      <c r="FB133" s="400"/>
      <c r="FC133" s="400"/>
      <c r="FD133" s="400"/>
      <c r="FE133" s="400"/>
      <c r="FF133" s="400"/>
      <c r="FG133" s="400"/>
      <c r="FH133" s="400"/>
      <c r="FI133" s="400"/>
      <c r="FJ133" s="400"/>
      <c r="FK133" s="400"/>
      <c r="FL133" s="400"/>
      <c r="FM133" s="400"/>
      <c r="FN133" s="400"/>
      <c r="FO133" s="400"/>
      <c r="FP133" s="400"/>
      <c r="FQ133" s="400"/>
      <c r="FR133" s="400"/>
      <c r="FS133" s="400"/>
      <c r="FT133" s="400"/>
      <c r="FU133" s="400"/>
      <c r="FV133" s="400"/>
      <c r="FW133" s="400"/>
      <c r="FX133" s="400"/>
      <c r="FY133" s="400"/>
      <c r="FZ133" s="400"/>
      <c r="GA133" s="400"/>
      <c r="GB133" s="400"/>
      <c r="GC133" s="400"/>
      <c r="GD133" s="400"/>
      <c r="GE133" s="400"/>
      <c r="GF133" s="400"/>
      <c r="GG133" s="400"/>
      <c r="GH133" s="400"/>
      <c r="GI133" s="400"/>
      <c r="GJ133" s="400"/>
      <c r="GK133" s="400"/>
      <c r="GL133" s="400"/>
      <c r="GM133" s="400"/>
      <c r="GN133" s="400"/>
      <c r="GO133" s="400"/>
      <c r="GP133" s="400"/>
      <c r="GQ133" s="400"/>
      <c r="GR133" s="400"/>
      <c r="GS133" s="400"/>
      <c r="GT133" s="400"/>
      <c r="GU133" s="400"/>
      <c r="GV133" s="400"/>
      <c r="GW133" s="400"/>
      <c r="GX133" s="400"/>
      <c r="GY133" s="400"/>
      <c r="GZ133" s="400"/>
      <c r="HA133" s="400"/>
      <c r="HB133" s="400"/>
      <c r="HC133" s="400"/>
      <c r="HD133" s="400"/>
      <c r="HE133" s="400"/>
      <c r="HF133" s="400"/>
      <c r="HG133" s="400"/>
      <c r="HH133" s="400"/>
      <c r="HI133" s="400"/>
      <c r="HJ133" s="400"/>
      <c r="HK133" s="400"/>
      <c r="HL133" s="400"/>
      <c r="HM133" s="400"/>
      <c r="HN133" s="400"/>
      <c r="HO133" s="400"/>
      <c r="HP133" s="400"/>
      <c r="HQ133" s="400"/>
      <c r="HR133" s="400"/>
      <c r="HS133" s="400"/>
      <c r="HT133" s="400"/>
      <c r="HU133" s="400"/>
      <c r="HV133" s="400"/>
      <c r="HW133" s="400"/>
      <c r="HX133" s="400"/>
      <c r="HY133" s="400"/>
      <c r="HZ133" s="400"/>
      <c r="IA133" s="400"/>
      <c r="IB133" s="400"/>
      <c r="IC133" s="400"/>
      <c r="ID133" s="400"/>
      <c r="IE133" s="400"/>
      <c r="IF133" s="400"/>
      <c r="IG133" s="400"/>
      <c r="IH133" s="400"/>
      <c r="II133" s="400"/>
      <c r="IJ133" s="400"/>
      <c r="IK133" s="400"/>
      <c r="IL133" s="400"/>
      <c r="IM133" s="400"/>
      <c r="IN133" s="400"/>
      <c r="IO133" s="400"/>
      <c r="IP133" s="400"/>
      <c r="IQ133" s="400"/>
      <c r="IR133" s="400"/>
      <c r="IS133" s="400"/>
      <c r="IT133" s="400"/>
      <c r="IU133" s="400"/>
      <c r="IV133" s="400"/>
    </row>
    <row r="134" spans="1:256" s="622" customFormat="1" ht="15" x14ac:dyDescent="0.25">
      <c r="A134" s="398"/>
      <c r="B134" s="398"/>
      <c r="C134" s="398"/>
      <c r="D134" s="652" t="s">
        <v>3</v>
      </c>
      <c r="E134" s="652"/>
      <c r="F134" s="652"/>
      <c r="G134" s="652"/>
      <c r="H134" s="652"/>
      <c r="I134" s="652"/>
      <c r="J134" s="654"/>
      <c r="K134" s="654"/>
      <c r="L134" s="654">
        <f>L133</f>
        <v>175209.2</v>
      </c>
      <c r="M134" s="399"/>
      <c r="N134" s="400"/>
      <c r="O134" s="400"/>
      <c r="P134" s="400"/>
      <c r="Q134" s="400"/>
      <c r="R134" s="400"/>
      <c r="S134" s="400"/>
      <c r="T134" s="400"/>
      <c r="U134" s="400"/>
      <c r="V134" s="400"/>
      <c r="W134" s="400"/>
      <c r="X134" s="400"/>
      <c r="Y134" s="400"/>
      <c r="Z134" s="400"/>
      <c r="AA134" s="400"/>
      <c r="AB134" s="400"/>
      <c r="AC134" s="400"/>
      <c r="AD134" s="400"/>
      <c r="AE134" s="400"/>
      <c r="AF134" s="400"/>
      <c r="AG134" s="400"/>
      <c r="AH134" s="400"/>
      <c r="AI134" s="400"/>
      <c r="AJ134" s="400"/>
      <c r="AK134" s="400"/>
      <c r="AL134" s="400"/>
      <c r="AM134" s="400"/>
      <c r="AN134" s="400"/>
      <c r="AO134" s="400"/>
      <c r="AP134" s="400"/>
      <c r="AQ134" s="400"/>
      <c r="AR134" s="400"/>
      <c r="AS134" s="400"/>
      <c r="AT134" s="400"/>
      <c r="AU134" s="400"/>
      <c r="AV134" s="400"/>
      <c r="AW134" s="400"/>
      <c r="AX134" s="400"/>
      <c r="AY134" s="400"/>
      <c r="AZ134" s="400"/>
      <c r="BA134" s="400"/>
      <c r="BB134" s="400"/>
      <c r="BC134" s="400"/>
      <c r="BD134" s="400"/>
      <c r="BE134" s="400"/>
      <c r="BF134" s="400"/>
      <c r="BG134" s="400"/>
      <c r="BH134" s="400"/>
      <c r="BI134" s="400"/>
      <c r="BJ134" s="400"/>
      <c r="BK134" s="400"/>
      <c r="BL134" s="400"/>
      <c r="BM134" s="400"/>
      <c r="BN134" s="400"/>
      <c r="BO134" s="400"/>
      <c r="BP134" s="400"/>
      <c r="BQ134" s="400"/>
      <c r="BR134" s="400"/>
      <c r="BS134" s="400"/>
      <c r="BT134" s="400"/>
      <c r="BU134" s="400"/>
      <c r="BV134" s="400"/>
      <c r="BW134" s="400"/>
      <c r="BX134" s="400"/>
      <c r="BY134" s="400"/>
      <c r="BZ134" s="400"/>
      <c r="CA134" s="400"/>
      <c r="CB134" s="400"/>
      <c r="CC134" s="400"/>
      <c r="CD134" s="400"/>
      <c r="CE134" s="400"/>
      <c r="CF134" s="400"/>
      <c r="CG134" s="400"/>
      <c r="CH134" s="400"/>
      <c r="CI134" s="400"/>
      <c r="CJ134" s="400"/>
      <c r="CK134" s="400"/>
      <c r="CL134" s="400"/>
      <c r="CM134" s="400"/>
      <c r="CN134" s="400"/>
      <c r="CO134" s="400"/>
      <c r="CP134" s="400"/>
      <c r="CQ134" s="400"/>
      <c r="CR134" s="400"/>
      <c r="CS134" s="400"/>
      <c r="CT134" s="400"/>
      <c r="CU134" s="400"/>
      <c r="CV134" s="400"/>
      <c r="CW134" s="400"/>
      <c r="CX134" s="400"/>
      <c r="CY134" s="400"/>
      <c r="CZ134" s="400"/>
      <c r="DA134" s="400"/>
      <c r="DB134" s="400"/>
      <c r="DC134" s="400"/>
      <c r="DD134" s="400"/>
      <c r="DE134" s="400"/>
      <c r="DF134" s="400"/>
      <c r="DG134" s="400"/>
      <c r="DH134" s="400"/>
      <c r="DI134" s="400"/>
      <c r="DJ134" s="400"/>
      <c r="DK134" s="400"/>
      <c r="DL134" s="400"/>
      <c r="DM134" s="400"/>
      <c r="DN134" s="400"/>
      <c r="DO134" s="400"/>
      <c r="DP134" s="400"/>
      <c r="DQ134" s="400"/>
      <c r="DR134" s="400"/>
      <c r="DS134" s="400"/>
      <c r="DT134" s="400"/>
      <c r="DU134" s="400"/>
      <c r="DV134" s="400"/>
      <c r="DW134" s="400"/>
      <c r="DX134" s="400"/>
      <c r="DY134" s="400"/>
      <c r="DZ134" s="400"/>
      <c r="EA134" s="400"/>
      <c r="EB134" s="400"/>
      <c r="EC134" s="400"/>
      <c r="ED134" s="400"/>
      <c r="EE134" s="400"/>
      <c r="EF134" s="400"/>
      <c r="EG134" s="400"/>
      <c r="EH134" s="400"/>
      <c r="EI134" s="400"/>
      <c r="EJ134" s="400"/>
      <c r="EK134" s="400"/>
      <c r="EL134" s="400"/>
      <c r="EM134" s="400"/>
      <c r="EN134" s="400"/>
      <c r="EO134" s="400"/>
      <c r="EP134" s="400"/>
      <c r="EQ134" s="400"/>
      <c r="ER134" s="400"/>
      <c r="ES134" s="400"/>
      <c r="ET134" s="400"/>
      <c r="EU134" s="400"/>
      <c r="EV134" s="400"/>
      <c r="EW134" s="400"/>
      <c r="EX134" s="400"/>
      <c r="EY134" s="400"/>
      <c r="EZ134" s="400"/>
      <c r="FA134" s="400"/>
      <c r="FB134" s="400"/>
      <c r="FC134" s="400"/>
      <c r="FD134" s="400"/>
      <c r="FE134" s="400"/>
      <c r="FF134" s="400"/>
      <c r="FG134" s="400"/>
      <c r="FH134" s="400"/>
      <c r="FI134" s="400"/>
      <c r="FJ134" s="400"/>
      <c r="FK134" s="400"/>
      <c r="FL134" s="400"/>
      <c r="FM134" s="400"/>
      <c r="FN134" s="400"/>
      <c r="FO134" s="400"/>
      <c r="FP134" s="400"/>
      <c r="FQ134" s="400"/>
      <c r="FR134" s="400"/>
      <c r="FS134" s="400"/>
      <c r="FT134" s="400"/>
      <c r="FU134" s="400"/>
      <c r="FV134" s="400"/>
      <c r="FW134" s="400"/>
      <c r="FX134" s="400"/>
      <c r="FY134" s="400"/>
      <c r="FZ134" s="400"/>
      <c r="GA134" s="400"/>
      <c r="GB134" s="400"/>
      <c r="GC134" s="400"/>
      <c r="GD134" s="400"/>
      <c r="GE134" s="400"/>
      <c r="GF134" s="400"/>
      <c r="GG134" s="400"/>
      <c r="GH134" s="400"/>
      <c r="GI134" s="400"/>
      <c r="GJ134" s="400"/>
      <c r="GK134" s="400"/>
      <c r="GL134" s="400"/>
      <c r="GM134" s="400"/>
      <c r="GN134" s="400"/>
      <c r="GO134" s="400"/>
      <c r="GP134" s="400"/>
      <c r="GQ134" s="400"/>
      <c r="GR134" s="400"/>
      <c r="GS134" s="400"/>
      <c r="GT134" s="400"/>
      <c r="GU134" s="400"/>
      <c r="GV134" s="400"/>
      <c r="GW134" s="400"/>
      <c r="GX134" s="400"/>
      <c r="GY134" s="400"/>
      <c r="GZ134" s="400"/>
      <c r="HA134" s="400"/>
      <c r="HB134" s="400"/>
      <c r="HC134" s="400"/>
      <c r="HD134" s="400"/>
      <c r="HE134" s="400"/>
      <c r="HF134" s="400"/>
      <c r="HG134" s="400"/>
      <c r="HH134" s="400"/>
      <c r="HI134" s="400"/>
      <c r="HJ134" s="400"/>
      <c r="HK134" s="400"/>
      <c r="HL134" s="400"/>
      <c r="HM134" s="400"/>
      <c r="HN134" s="400"/>
      <c r="HO134" s="400"/>
      <c r="HP134" s="400"/>
      <c r="HQ134" s="400"/>
      <c r="HR134" s="400"/>
      <c r="HS134" s="400"/>
      <c r="HT134" s="400"/>
      <c r="HU134" s="400"/>
      <c r="HV134" s="400"/>
      <c r="HW134" s="400"/>
      <c r="HX134" s="400"/>
      <c r="HY134" s="400"/>
      <c r="HZ134" s="400"/>
      <c r="IA134" s="400"/>
      <c r="IB134" s="400"/>
      <c r="IC134" s="400"/>
      <c r="ID134" s="400"/>
      <c r="IE134" s="400"/>
      <c r="IF134" s="400"/>
      <c r="IG134" s="400"/>
      <c r="IH134" s="400"/>
      <c r="II134" s="400"/>
      <c r="IJ134" s="400"/>
      <c r="IK134" s="400"/>
      <c r="IL134" s="400"/>
      <c r="IM134" s="400"/>
      <c r="IN134" s="400"/>
      <c r="IO134" s="400"/>
      <c r="IP134" s="400"/>
      <c r="IQ134" s="400"/>
      <c r="IR134" s="400"/>
      <c r="IS134" s="400"/>
      <c r="IT134" s="400"/>
      <c r="IU134" s="400"/>
      <c r="IV134" s="400"/>
    </row>
    <row r="135" spans="1:256" s="622" customFormat="1" ht="15" x14ac:dyDescent="0.25">
      <c r="A135" s="398"/>
      <c r="B135" s="398"/>
      <c r="C135" s="398"/>
      <c r="D135" s="652" t="s">
        <v>269</v>
      </c>
      <c r="E135" s="652"/>
      <c r="F135" s="652"/>
      <c r="G135" s="652"/>
      <c r="H135" s="652"/>
      <c r="I135" s="652"/>
      <c r="J135" s="654"/>
      <c r="K135" s="654"/>
      <c r="L135" s="654">
        <f>L127*0.925</f>
        <v>53399.27</v>
      </c>
      <c r="M135" s="399"/>
      <c r="N135" s="400"/>
      <c r="O135" s="400"/>
      <c r="P135" s="400"/>
      <c r="Q135" s="400"/>
      <c r="R135" s="400"/>
      <c r="S135" s="400"/>
      <c r="T135" s="400"/>
      <c r="U135" s="400"/>
      <c r="V135" s="400"/>
      <c r="W135" s="400"/>
      <c r="X135" s="400"/>
      <c r="Y135" s="400"/>
      <c r="Z135" s="400"/>
      <c r="AA135" s="400"/>
      <c r="AB135" s="400"/>
      <c r="AC135" s="400"/>
      <c r="AD135" s="400"/>
      <c r="AE135" s="400"/>
      <c r="AF135" s="400"/>
      <c r="AG135" s="400"/>
      <c r="AH135" s="400"/>
      <c r="AI135" s="400"/>
      <c r="AJ135" s="400"/>
      <c r="AK135" s="400"/>
      <c r="AL135" s="400"/>
      <c r="AM135" s="400"/>
      <c r="AN135" s="400"/>
      <c r="AO135" s="400"/>
      <c r="AP135" s="400"/>
      <c r="AQ135" s="400"/>
      <c r="AR135" s="400"/>
      <c r="AS135" s="400"/>
      <c r="AT135" s="400"/>
      <c r="AU135" s="400"/>
      <c r="AV135" s="400"/>
      <c r="AW135" s="400"/>
      <c r="AX135" s="400"/>
      <c r="AY135" s="400"/>
      <c r="AZ135" s="400"/>
      <c r="BA135" s="400"/>
      <c r="BB135" s="400"/>
      <c r="BC135" s="400"/>
      <c r="BD135" s="400"/>
      <c r="BE135" s="400"/>
      <c r="BF135" s="400"/>
      <c r="BG135" s="400"/>
      <c r="BH135" s="400"/>
      <c r="BI135" s="400"/>
      <c r="BJ135" s="400"/>
      <c r="BK135" s="400"/>
      <c r="BL135" s="400"/>
      <c r="BM135" s="400"/>
      <c r="BN135" s="400"/>
      <c r="BO135" s="400"/>
      <c r="BP135" s="400"/>
      <c r="BQ135" s="400"/>
      <c r="BR135" s="400"/>
      <c r="BS135" s="400"/>
      <c r="BT135" s="400"/>
      <c r="BU135" s="400"/>
      <c r="BV135" s="400"/>
      <c r="BW135" s="400"/>
      <c r="BX135" s="400"/>
      <c r="BY135" s="400"/>
      <c r="BZ135" s="400"/>
      <c r="CA135" s="400"/>
      <c r="CB135" s="400"/>
      <c r="CC135" s="400"/>
      <c r="CD135" s="400"/>
      <c r="CE135" s="400"/>
      <c r="CF135" s="400"/>
      <c r="CG135" s="400"/>
      <c r="CH135" s="400"/>
      <c r="CI135" s="400"/>
      <c r="CJ135" s="400"/>
      <c r="CK135" s="400"/>
      <c r="CL135" s="400"/>
      <c r="CM135" s="400"/>
      <c r="CN135" s="400"/>
      <c r="CO135" s="400"/>
      <c r="CP135" s="400"/>
      <c r="CQ135" s="400"/>
      <c r="CR135" s="400"/>
      <c r="CS135" s="400"/>
      <c r="CT135" s="400"/>
      <c r="CU135" s="400"/>
      <c r="CV135" s="400"/>
      <c r="CW135" s="400"/>
      <c r="CX135" s="400"/>
      <c r="CY135" s="400"/>
      <c r="CZ135" s="400"/>
      <c r="DA135" s="400"/>
      <c r="DB135" s="400"/>
      <c r="DC135" s="400"/>
      <c r="DD135" s="400"/>
      <c r="DE135" s="400"/>
      <c r="DF135" s="400"/>
      <c r="DG135" s="400"/>
      <c r="DH135" s="400"/>
      <c r="DI135" s="400"/>
      <c r="DJ135" s="400"/>
      <c r="DK135" s="400"/>
      <c r="DL135" s="400"/>
      <c r="DM135" s="400"/>
      <c r="DN135" s="400"/>
      <c r="DO135" s="400"/>
      <c r="DP135" s="400"/>
      <c r="DQ135" s="400"/>
      <c r="DR135" s="400"/>
      <c r="DS135" s="400"/>
      <c r="DT135" s="400"/>
      <c r="DU135" s="400"/>
      <c r="DV135" s="400"/>
      <c r="DW135" s="400"/>
      <c r="DX135" s="400"/>
      <c r="DY135" s="400"/>
      <c r="DZ135" s="400"/>
      <c r="EA135" s="400"/>
      <c r="EB135" s="400"/>
      <c r="EC135" s="400"/>
      <c r="ED135" s="400"/>
      <c r="EE135" s="400"/>
      <c r="EF135" s="400"/>
      <c r="EG135" s="400"/>
      <c r="EH135" s="400"/>
      <c r="EI135" s="400"/>
      <c r="EJ135" s="400"/>
      <c r="EK135" s="400"/>
      <c r="EL135" s="400"/>
      <c r="EM135" s="400"/>
      <c r="EN135" s="400"/>
      <c r="EO135" s="400"/>
      <c r="EP135" s="400"/>
      <c r="EQ135" s="400"/>
      <c r="ER135" s="400"/>
      <c r="ES135" s="400"/>
      <c r="ET135" s="400"/>
      <c r="EU135" s="400"/>
      <c r="EV135" s="400"/>
      <c r="EW135" s="400"/>
      <c r="EX135" s="400"/>
      <c r="EY135" s="400"/>
      <c r="EZ135" s="400"/>
      <c r="FA135" s="400"/>
      <c r="FB135" s="400"/>
      <c r="FC135" s="400"/>
      <c r="FD135" s="400"/>
      <c r="FE135" s="400"/>
      <c r="FF135" s="400"/>
      <c r="FG135" s="400"/>
      <c r="FH135" s="400"/>
      <c r="FI135" s="400"/>
      <c r="FJ135" s="400"/>
      <c r="FK135" s="400"/>
      <c r="FL135" s="400"/>
      <c r="FM135" s="400"/>
      <c r="FN135" s="400"/>
      <c r="FO135" s="400"/>
      <c r="FP135" s="400"/>
      <c r="FQ135" s="400"/>
      <c r="FR135" s="400"/>
      <c r="FS135" s="400"/>
      <c r="FT135" s="400"/>
      <c r="FU135" s="400"/>
      <c r="FV135" s="400"/>
      <c r="FW135" s="400"/>
      <c r="FX135" s="400"/>
      <c r="FY135" s="400"/>
      <c r="FZ135" s="400"/>
      <c r="GA135" s="400"/>
      <c r="GB135" s="400"/>
      <c r="GC135" s="400"/>
      <c r="GD135" s="400"/>
      <c r="GE135" s="400"/>
      <c r="GF135" s="400"/>
      <c r="GG135" s="400"/>
      <c r="GH135" s="400"/>
      <c r="GI135" s="400"/>
      <c r="GJ135" s="400"/>
      <c r="GK135" s="400"/>
      <c r="GL135" s="400"/>
      <c r="GM135" s="400"/>
      <c r="GN135" s="400"/>
      <c r="GO135" s="400"/>
      <c r="GP135" s="400"/>
      <c r="GQ135" s="400"/>
      <c r="GR135" s="400"/>
      <c r="GS135" s="400"/>
      <c r="GT135" s="400"/>
      <c r="GU135" s="400"/>
      <c r="GV135" s="400"/>
      <c r="GW135" s="400"/>
      <c r="GX135" s="400"/>
      <c r="GY135" s="400"/>
      <c r="GZ135" s="400"/>
      <c r="HA135" s="400"/>
      <c r="HB135" s="400"/>
      <c r="HC135" s="400"/>
      <c r="HD135" s="400"/>
      <c r="HE135" s="400"/>
      <c r="HF135" s="400"/>
      <c r="HG135" s="400"/>
      <c r="HH135" s="400"/>
      <c r="HI135" s="400"/>
      <c r="HJ135" s="400"/>
      <c r="HK135" s="400"/>
      <c r="HL135" s="400"/>
      <c r="HM135" s="400"/>
      <c r="HN135" s="400"/>
      <c r="HO135" s="400"/>
      <c r="HP135" s="400"/>
      <c r="HQ135" s="400"/>
      <c r="HR135" s="400"/>
      <c r="HS135" s="400"/>
      <c r="HT135" s="400"/>
      <c r="HU135" s="400"/>
      <c r="HV135" s="400"/>
      <c r="HW135" s="400"/>
      <c r="HX135" s="400"/>
      <c r="HY135" s="400"/>
      <c r="HZ135" s="400"/>
      <c r="IA135" s="400"/>
      <c r="IB135" s="400"/>
      <c r="IC135" s="400"/>
      <c r="ID135" s="400"/>
      <c r="IE135" s="400"/>
      <c r="IF135" s="400"/>
      <c r="IG135" s="400"/>
      <c r="IH135" s="400"/>
      <c r="II135" s="400"/>
      <c r="IJ135" s="400"/>
      <c r="IK135" s="400"/>
      <c r="IL135" s="400"/>
      <c r="IM135" s="400"/>
      <c r="IN135" s="400"/>
      <c r="IO135" s="400"/>
      <c r="IP135" s="400"/>
      <c r="IQ135" s="400"/>
      <c r="IR135" s="400"/>
      <c r="IS135" s="400"/>
      <c r="IT135" s="400"/>
      <c r="IU135" s="400"/>
      <c r="IV135" s="400"/>
    </row>
    <row r="136" spans="1:256" s="622" customFormat="1" ht="15" x14ac:dyDescent="0.25">
      <c r="A136" s="398"/>
      <c r="B136" s="398"/>
      <c r="C136" s="398"/>
      <c r="D136" s="652" t="s">
        <v>597</v>
      </c>
      <c r="E136" s="652"/>
      <c r="F136" s="652"/>
      <c r="G136" s="652"/>
      <c r="H136" s="652"/>
      <c r="I136" s="652"/>
      <c r="J136" s="654"/>
      <c r="K136" s="654"/>
      <c r="L136" s="654">
        <f>L128*0.925</f>
        <v>59802.34</v>
      </c>
      <c r="M136" s="399"/>
    </row>
    <row r="137" spans="1:256" s="622" customFormat="1" ht="15" x14ac:dyDescent="0.25">
      <c r="A137" s="398"/>
      <c r="B137" s="398"/>
      <c r="C137" s="398"/>
      <c r="D137" s="655" t="s">
        <v>323</v>
      </c>
      <c r="E137" s="652"/>
      <c r="F137" s="652"/>
      <c r="G137" s="652"/>
      <c r="H137" s="652"/>
      <c r="I137" s="652"/>
      <c r="J137" s="656"/>
      <c r="K137" s="654"/>
      <c r="L137" s="656">
        <v>0</v>
      </c>
      <c r="M137" s="399"/>
    </row>
    <row r="138" spans="1:256" s="622" customFormat="1" ht="15" x14ac:dyDescent="0.25">
      <c r="A138" s="398"/>
      <c r="B138" s="398"/>
      <c r="C138" s="398"/>
      <c r="D138" s="652" t="s">
        <v>598</v>
      </c>
      <c r="E138" s="652"/>
      <c r="F138" s="652"/>
      <c r="G138" s="652"/>
      <c r="H138" s="652"/>
      <c r="I138" s="652"/>
      <c r="J138" s="654"/>
      <c r="K138" s="654"/>
      <c r="L138" s="654">
        <f>L135*0.15</f>
        <v>8009.89</v>
      </c>
      <c r="M138" s="399"/>
    </row>
    <row r="139" spans="1:256" s="622" customFormat="1" ht="14.25" x14ac:dyDescent="0.2">
      <c r="A139" s="398"/>
      <c r="B139" s="398"/>
      <c r="C139" s="398"/>
      <c r="D139" s="651" t="s">
        <v>599</v>
      </c>
      <c r="E139" s="657"/>
      <c r="F139" s="657"/>
      <c r="G139" s="657"/>
      <c r="H139" s="657"/>
      <c r="I139" s="657"/>
      <c r="J139" s="653"/>
      <c r="K139" s="657"/>
      <c r="L139" s="653">
        <f>L138+L133</f>
        <v>183219.09</v>
      </c>
      <c r="M139" s="399"/>
    </row>
    <row r="140" spans="1:256" s="622" customFormat="1" ht="15" x14ac:dyDescent="0.25">
      <c r="A140" s="398"/>
      <c r="B140" s="398"/>
      <c r="C140" s="398"/>
      <c r="D140" s="658"/>
      <c r="E140" s="658"/>
      <c r="F140" s="658"/>
      <c r="G140" s="658"/>
      <c r="H140" s="658"/>
      <c r="I140" s="658"/>
      <c r="J140" s="658"/>
      <c r="K140" s="658"/>
      <c r="L140" s="658"/>
      <c r="M140" s="399"/>
    </row>
    <row r="141" spans="1:256" s="622" customFormat="1" ht="15" x14ac:dyDescent="0.25">
      <c r="A141" s="398"/>
      <c r="B141" s="398"/>
      <c r="C141" s="398"/>
      <c r="D141" s="658"/>
      <c r="E141" s="658"/>
      <c r="F141" s="658"/>
      <c r="G141" s="658"/>
      <c r="H141" s="658"/>
      <c r="I141" s="658"/>
      <c r="J141" s="658"/>
      <c r="K141" s="658"/>
      <c r="L141" s="658"/>
      <c r="M141" s="399"/>
    </row>
    <row r="142" spans="1:256" s="622" customFormat="1" ht="14.25" x14ac:dyDescent="0.2">
      <c r="A142" s="398"/>
      <c r="B142" s="398"/>
      <c r="C142" s="398"/>
      <c r="D142" s="659"/>
      <c r="E142" s="660"/>
      <c r="F142" s="660"/>
      <c r="G142" s="660"/>
      <c r="H142" s="660"/>
      <c r="I142" s="661"/>
      <c r="J142" s="662"/>
      <c r="K142" s="663"/>
      <c r="L142" s="662"/>
      <c r="M142" s="399"/>
    </row>
    <row r="143" spans="1:256" s="622" customFormat="1" ht="15" x14ac:dyDescent="0.25">
      <c r="A143" s="398"/>
      <c r="B143" s="398"/>
      <c r="C143" s="398"/>
      <c r="D143" s="664"/>
      <c r="E143" s="665"/>
      <c r="F143" s="665"/>
      <c r="G143" s="665"/>
      <c r="H143" s="665"/>
      <c r="I143" s="666"/>
      <c r="J143" s="667"/>
      <c r="K143" s="668"/>
      <c r="L143" s="667"/>
      <c r="M143" s="399"/>
    </row>
    <row r="144" spans="1:256" s="622" customFormat="1" ht="15" x14ac:dyDescent="0.25">
      <c r="A144" s="398"/>
      <c r="B144" s="398"/>
      <c r="C144" s="398"/>
      <c r="D144" s="664"/>
      <c r="E144" s="665"/>
      <c r="F144" s="665"/>
      <c r="G144" s="665"/>
      <c r="H144" s="665"/>
      <c r="I144" s="666"/>
      <c r="J144" s="667"/>
      <c r="K144" s="669"/>
      <c r="L144" s="667"/>
      <c r="M144" s="399"/>
    </row>
    <row r="145" spans="1:13" s="622" customFormat="1" ht="15" x14ac:dyDescent="0.25">
      <c r="A145" s="398"/>
      <c r="B145" s="398"/>
      <c r="C145" s="398"/>
      <c r="D145" s="664"/>
      <c r="E145" s="665"/>
      <c r="F145" s="665"/>
      <c r="G145" s="665"/>
      <c r="H145" s="665"/>
      <c r="I145" s="666"/>
      <c r="J145" s="667"/>
      <c r="K145" s="667"/>
      <c r="L145" s="667"/>
      <c r="M145" s="399"/>
    </row>
    <row r="146" spans="1:13" s="622" customFormat="1" ht="15" x14ac:dyDescent="0.25">
      <c r="A146" s="398"/>
      <c r="B146" s="398"/>
      <c r="C146" s="398"/>
      <c r="D146" s="664"/>
      <c r="E146" s="665"/>
      <c r="F146" s="665"/>
      <c r="G146" s="665"/>
      <c r="H146" s="665"/>
      <c r="I146" s="666"/>
      <c r="J146" s="670"/>
      <c r="K146" s="670"/>
      <c r="L146" s="670"/>
      <c r="M146" s="399"/>
    </row>
    <row r="147" spans="1:13" x14ac:dyDescent="0.2">
      <c r="L147" s="718"/>
    </row>
    <row r="148" spans="1:13" s="414" customFormat="1" ht="12.75" x14ac:dyDescent="0.2">
      <c r="L148" s="398"/>
    </row>
    <row r="149" spans="1:13" x14ac:dyDescent="0.2">
      <c r="L149" s="718"/>
    </row>
  </sheetData>
  <mergeCells count="74">
    <mergeCell ref="I132:J132"/>
    <mergeCell ref="K132:L132"/>
    <mergeCell ref="D129:H129"/>
    <mergeCell ref="D130:H130"/>
    <mergeCell ref="D131:H131"/>
    <mergeCell ref="D132:H132"/>
    <mergeCell ref="K118:L118"/>
    <mergeCell ref="I103:J103"/>
    <mergeCell ref="K103:L103"/>
    <mergeCell ref="I108:J108"/>
    <mergeCell ref="I123:J123"/>
    <mergeCell ref="K123:L123"/>
    <mergeCell ref="I122:J122"/>
    <mergeCell ref="K122:L122"/>
    <mergeCell ref="A1:L1"/>
    <mergeCell ref="A2:L2"/>
    <mergeCell ref="B6:F6"/>
    <mergeCell ref="I121:J121"/>
    <mergeCell ref="K121:L121"/>
    <mergeCell ref="I112:J112"/>
    <mergeCell ref="K112:L112"/>
    <mergeCell ref="A114:H114"/>
    <mergeCell ref="I114:J114"/>
    <mergeCell ref="K114:L114"/>
    <mergeCell ref="A118:H118"/>
    <mergeCell ref="I118:J118"/>
    <mergeCell ref="K108:L108"/>
    <mergeCell ref="I110:J110"/>
    <mergeCell ref="K110:L110"/>
    <mergeCell ref="I89:J89"/>
    <mergeCell ref="K89:L89"/>
    <mergeCell ref="I91:J91"/>
    <mergeCell ref="K91:L91"/>
    <mergeCell ref="I93:J93"/>
    <mergeCell ref="K93:L93"/>
    <mergeCell ref="A74:L74"/>
    <mergeCell ref="I84:J84"/>
    <mergeCell ref="K84:L84"/>
    <mergeCell ref="I64:J64"/>
    <mergeCell ref="K64:L64"/>
    <mergeCell ref="I66:J66"/>
    <mergeCell ref="K66:L66"/>
    <mergeCell ref="I68:J68"/>
    <mergeCell ref="K68:L68"/>
    <mergeCell ref="I37:J37"/>
    <mergeCell ref="K37:L37"/>
    <mergeCell ref="A70:H70"/>
    <mergeCell ref="I70:J70"/>
    <mergeCell ref="K70:L70"/>
    <mergeCell ref="I46:J46"/>
    <mergeCell ref="K46:L46"/>
    <mergeCell ref="I57:J57"/>
    <mergeCell ref="K57:L57"/>
    <mergeCell ref="I62:J62"/>
    <mergeCell ref="K62:L62"/>
    <mergeCell ref="A17:L17"/>
    <mergeCell ref="I19:J19"/>
    <mergeCell ref="K19:L19"/>
    <mergeCell ref="I28:J28"/>
    <mergeCell ref="K28:L28"/>
    <mergeCell ref="A8:L8"/>
    <mergeCell ref="A9:B9"/>
    <mergeCell ref="C9:C14"/>
    <mergeCell ref="D9:D14"/>
    <mergeCell ref="E9:E14"/>
    <mergeCell ref="F9:F14"/>
    <mergeCell ref="G9:G14"/>
    <mergeCell ref="H9:H14"/>
    <mergeCell ref="I9:I14"/>
    <mergeCell ref="J9:J14"/>
    <mergeCell ref="K9:K14"/>
    <mergeCell ref="L9:L14"/>
    <mergeCell ref="A10:A14"/>
    <mergeCell ref="B10:B14"/>
  </mergeCells>
  <pageMargins left="0.78740157480314965" right="0" top="0.39370078740157483" bottom="0.39370078740157483" header="0.31496062992125984" footer="0.31496062992125984"/>
  <pageSetup paperSize="9" scale="63" firstPageNumber="40" fitToHeight="0" orientation="portrait" blackAndWhite="1" useFirstPageNumber="1" r:id="rId1"/>
  <headerFooter>
    <oddFooter>&amp;R&amp;P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2:AK191"/>
  <sheetViews>
    <sheetView view="pageBreakPreview" topLeftCell="A147" zoomScaleNormal="100" zoomScaleSheetLayoutView="100" workbookViewId="0">
      <selection activeCell="I172" sqref="I172"/>
    </sheetView>
  </sheetViews>
  <sheetFormatPr defaultRowHeight="11.25" x14ac:dyDescent="0.2"/>
  <cols>
    <col min="1" max="2" width="8.83203125" style="718" customWidth="1"/>
    <col min="3" max="3" width="16.1640625" style="718" customWidth="1"/>
    <col min="4" max="4" width="57.6640625" style="718" customWidth="1"/>
    <col min="5" max="5" width="13.6640625" style="718" customWidth="1"/>
    <col min="6" max="6" width="12" style="718" bestFit="1" customWidth="1"/>
    <col min="7" max="7" width="13.83203125" style="718" customWidth="1"/>
    <col min="8" max="8" width="16" style="718" customWidth="1"/>
    <col min="9" max="10" width="15" style="718" customWidth="1"/>
    <col min="11" max="11" width="12.1640625" style="718" bestFit="1" customWidth="1"/>
    <col min="12" max="12" width="18" style="718" customWidth="1"/>
    <col min="13" max="14" width="9.33203125" style="718"/>
    <col min="15" max="28" width="0" style="718" hidden="1" customWidth="1"/>
    <col min="29" max="29" width="135.6640625" style="718" hidden="1" customWidth="1"/>
    <col min="30" max="30" width="106.1640625" style="718" hidden="1" customWidth="1"/>
    <col min="31" max="31" width="157.1640625" style="718" hidden="1" customWidth="1"/>
    <col min="32" max="32" width="117.83203125" style="718" hidden="1" customWidth="1"/>
    <col min="33" max="36" width="0" style="718" hidden="1" customWidth="1"/>
    <col min="37" max="37" width="10.5" style="718" bestFit="1" customWidth="1"/>
    <col min="38" max="16384" width="9.33203125" style="718"/>
  </cols>
  <sheetData>
    <row r="2" spans="1:31" ht="18.75" x14ac:dyDescent="0.3">
      <c r="A2" s="1052" t="s">
        <v>723</v>
      </c>
      <c r="B2" s="1052"/>
      <c r="C2" s="1052"/>
      <c r="D2" s="1052"/>
      <c r="E2" s="1052"/>
      <c r="F2" s="1052"/>
      <c r="G2" s="1052"/>
      <c r="H2" s="1052"/>
      <c r="I2" s="1052"/>
      <c r="J2" s="1052"/>
      <c r="K2" s="1052"/>
      <c r="L2" s="1052"/>
    </row>
    <row r="5" spans="1:31" ht="15.75" x14ac:dyDescent="0.2">
      <c r="C5" s="748" t="s">
        <v>659</v>
      </c>
    </row>
    <row r="6" spans="1:31" ht="15.75" x14ac:dyDescent="0.2">
      <c r="C6" s="748" t="s">
        <v>660</v>
      </c>
    </row>
    <row r="7" spans="1:31" ht="15.75" x14ac:dyDescent="0.2">
      <c r="C7" s="748"/>
    </row>
    <row r="8" spans="1:31" ht="36.75" customHeight="1" x14ac:dyDescent="0.2">
      <c r="C8" s="1082" t="s">
        <v>661</v>
      </c>
      <c r="D8" s="1082"/>
      <c r="E8" s="1082"/>
      <c r="F8" s="1082"/>
      <c r="G8" s="1082"/>
      <c r="H8" s="1082"/>
      <c r="I8" s="1082"/>
      <c r="J8" s="1082"/>
    </row>
    <row r="10" spans="1:31" ht="15" hidden="1" x14ac:dyDescent="0.25">
      <c r="A10" s="727" t="s">
        <v>662</v>
      </c>
      <c r="B10" s="727"/>
      <c r="C10" s="727"/>
      <c r="D10" s="727"/>
      <c r="E10" s="727"/>
      <c r="F10" s="727"/>
      <c r="G10" s="727"/>
      <c r="H10" s="1108">
        <f>([103]Source!P872/1000)</f>
        <v>261.95</v>
      </c>
      <c r="I10" s="1108"/>
      <c r="J10" s="727" t="s">
        <v>663</v>
      </c>
      <c r="K10" s="727"/>
      <c r="L10" s="727"/>
    </row>
    <row r="11" spans="1:31" ht="15" hidden="1" x14ac:dyDescent="0.25">
      <c r="A11" s="727" t="s">
        <v>664</v>
      </c>
      <c r="B11" s="727"/>
      <c r="C11" s="727"/>
      <c r="D11" s="727"/>
      <c r="E11" s="727"/>
      <c r="F11" s="727"/>
      <c r="G11" s="727"/>
      <c r="H11" s="715"/>
      <c r="I11" s="715"/>
      <c r="J11" s="727"/>
      <c r="K11" s="727"/>
      <c r="L11" s="727"/>
    </row>
    <row r="12" spans="1:31" ht="30" x14ac:dyDescent="0.25">
      <c r="A12" s="1061" t="s">
        <v>665</v>
      </c>
      <c r="B12" s="1061"/>
      <c r="C12" s="1061"/>
      <c r="D12" s="1061"/>
      <c r="E12" s="1061"/>
      <c r="F12" s="1061"/>
      <c r="G12" s="1061"/>
      <c r="H12" s="1061"/>
      <c r="I12" s="1061"/>
      <c r="J12" s="1061"/>
      <c r="K12" s="1061"/>
      <c r="L12" s="1061"/>
      <c r="AE12" s="688" t="s">
        <v>665</v>
      </c>
    </row>
    <row r="13" spans="1:31" x14ac:dyDescent="0.2">
      <c r="A13" s="1109" t="s">
        <v>67</v>
      </c>
      <c r="B13" s="1110"/>
      <c r="C13" s="1062" t="s">
        <v>68</v>
      </c>
      <c r="D13" s="1062" t="s">
        <v>69</v>
      </c>
      <c r="E13" s="1062" t="s">
        <v>666</v>
      </c>
      <c r="F13" s="1062" t="s">
        <v>457</v>
      </c>
      <c r="G13" s="1062" t="s">
        <v>458</v>
      </c>
      <c r="H13" s="1062" t="s">
        <v>667</v>
      </c>
      <c r="I13" s="1062" t="s">
        <v>668</v>
      </c>
      <c r="J13" s="1062" t="s">
        <v>669</v>
      </c>
      <c r="K13" s="1062" t="s">
        <v>670</v>
      </c>
      <c r="L13" s="1062" t="s">
        <v>671</v>
      </c>
    </row>
    <row r="14" spans="1:31" x14ac:dyDescent="0.2">
      <c r="A14" s="1111"/>
      <c r="B14" s="1112"/>
      <c r="C14" s="1063"/>
      <c r="D14" s="1063"/>
      <c r="E14" s="1063"/>
      <c r="F14" s="1063"/>
      <c r="G14" s="1063"/>
      <c r="H14" s="1063"/>
      <c r="I14" s="1063"/>
      <c r="J14" s="1063"/>
      <c r="K14" s="1063"/>
      <c r="L14" s="1063"/>
    </row>
    <row r="15" spans="1:31" x14ac:dyDescent="0.2">
      <c r="A15" s="1065" t="s">
        <v>78</v>
      </c>
      <c r="B15" s="1065" t="s">
        <v>79</v>
      </c>
      <c r="C15" s="1063"/>
      <c r="D15" s="1063"/>
      <c r="E15" s="1063"/>
      <c r="F15" s="1063"/>
      <c r="G15" s="1063"/>
      <c r="H15" s="1063"/>
      <c r="I15" s="1063"/>
      <c r="J15" s="1063"/>
      <c r="K15" s="1063"/>
      <c r="L15" s="1063"/>
    </row>
    <row r="16" spans="1:31" x14ac:dyDescent="0.2">
      <c r="A16" s="1065"/>
      <c r="B16" s="1065"/>
      <c r="C16" s="1063"/>
      <c r="D16" s="1063"/>
      <c r="E16" s="1063"/>
      <c r="F16" s="1063"/>
      <c r="G16" s="1063"/>
      <c r="H16" s="1063"/>
      <c r="I16" s="1063"/>
      <c r="J16" s="1063"/>
      <c r="K16" s="1063"/>
      <c r="L16" s="1063"/>
    </row>
    <row r="17" spans="1:32" ht="19.5" x14ac:dyDescent="0.3">
      <c r="A17" s="1065"/>
      <c r="B17" s="1065"/>
      <c r="C17" s="1063"/>
      <c r="D17" s="1063"/>
      <c r="E17" s="1063"/>
      <c r="F17" s="1063"/>
      <c r="G17" s="1063"/>
      <c r="H17" s="1063"/>
      <c r="I17" s="1063"/>
      <c r="J17" s="1063"/>
      <c r="K17" s="1063"/>
      <c r="L17" s="1063"/>
      <c r="M17" s="770" t="s">
        <v>685</v>
      </c>
    </row>
    <row r="18" spans="1:32" x14ac:dyDescent="0.2">
      <c r="A18" s="1065"/>
      <c r="B18" s="1065"/>
      <c r="C18" s="1063"/>
      <c r="D18" s="1063"/>
      <c r="E18" s="1063"/>
      <c r="F18" s="1063"/>
      <c r="G18" s="1063"/>
      <c r="H18" s="1063"/>
      <c r="I18" s="1063"/>
      <c r="J18" s="1063"/>
      <c r="K18" s="1063"/>
      <c r="L18" s="1063"/>
    </row>
    <row r="19" spans="1:32" x14ac:dyDescent="0.2">
      <c r="A19" s="1065"/>
      <c r="B19" s="1065"/>
      <c r="C19" s="1063"/>
      <c r="D19" s="1063"/>
      <c r="E19" s="1063"/>
      <c r="F19" s="1063"/>
      <c r="G19" s="1063"/>
      <c r="H19" s="1063"/>
      <c r="I19" s="1063"/>
      <c r="J19" s="1063"/>
      <c r="K19" s="1063"/>
      <c r="L19" s="1063"/>
    </row>
    <row r="20" spans="1:32" x14ac:dyDescent="0.2">
      <c r="A20" s="1065"/>
      <c r="B20" s="1065"/>
      <c r="C20" s="1064"/>
      <c r="D20" s="1064"/>
      <c r="E20" s="1064"/>
      <c r="F20" s="1064"/>
      <c r="G20" s="1064"/>
      <c r="H20" s="1064"/>
      <c r="I20" s="1064"/>
      <c r="J20" s="1064"/>
      <c r="K20" s="1064"/>
      <c r="L20" s="1064"/>
    </row>
    <row r="21" spans="1:32" ht="15" x14ac:dyDescent="0.2">
      <c r="A21" s="689">
        <v>1</v>
      </c>
      <c r="B21" s="689">
        <v>2</v>
      </c>
      <c r="C21" s="689">
        <v>3</v>
      </c>
      <c r="D21" s="689">
        <v>4</v>
      </c>
      <c r="E21" s="689">
        <v>5</v>
      </c>
      <c r="F21" s="689">
        <v>6</v>
      </c>
      <c r="G21" s="689">
        <v>7</v>
      </c>
      <c r="H21" s="689">
        <v>8</v>
      </c>
      <c r="I21" s="689">
        <v>9</v>
      </c>
      <c r="J21" s="689">
        <v>10</v>
      </c>
      <c r="K21" s="689">
        <v>11</v>
      </c>
      <c r="L21" s="689">
        <v>12</v>
      </c>
    </row>
    <row r="22" spans="1:32" ht="16.5" x14ac:dyDescent="0.25">
      <c r="A22" s="1066" t="str">
        <f>CONCATENATE("Раздел: ",IF([103]Source!G26&lt;&gt;"Новый раздел", [103]Source!G26, ""))</f>
        <v>Раздел: Хозяйственно-питьевой, производственный и противопожарный водопровод (В1)</v>
      </c>
      <c r="B22" s="1066"/>
      <c r="C22" s="1066"/>
      <c r="D22" s="1066"/>
      <c r="E22" s="1066"/>
      <c r="F22" s="1066"/>
      <c r="G22" s="1066"/>
      <c r="H22" s="1066"/>
      <c r="I22" s="1066"/>
      <c r="J22" s="1066"/>
      <c r="K22" s="1066"/>
      <c r="L22" s="1066"/>
    </row>
    <row r="24" spans="1:32" ht="28.5" hidden="1" x14ac:dyDescent="0.2">
      <c r="C24" s="1113" t="str">
        <f>[103]Source!G70</f>
        <v>УСТАНОВКА КРАНОВ УЧТЕНА В СОСТАВЕ РАБОТ НА ПРОКЛАДКУ ВОДОГАЗОПРОВОДНЫХ ТРУБ. ТЧ п. 1.6</v>
      </c>
      <c r="D24" s="1113"/>
      <c r="E24" s="1113"/>
      <c r="F24" s="1113"/>
      <c r="G24" s="1113"/>
      <c r="H24" s="1113"/>
      <c r="I24" s="1113"/>
      <c r="J24" s="1113"/>
      <c r="K24" s="1113"/>
      <c r="AC24" s="771" t="str">
        <f>[103]Source!G70</f>
        <v>УСТАНОВКА КРАНОВ УЧТЕНА В СОСТАВЕ РАБОТ НА ПРОКЛАДКУ ВОДОГАЗОПРОВОДНЫХ ТРУБ. ТЧ п. 1.6</v>
      </c>
    </row>
    <row r="25" spans="1:32" hidden="1" x14ac:dyDescent="0.2"/>
    <row r="26" spans="1:32" ht="28.5" hidden="1" x14ac:dyDescent="0.2">
      <c r="A26" s="1068" t="str">
        <f>CONCATENATE("Итого по разделу: ",IF([103]Source!G222&lt;&gt;"Новый раздел", [103]Source!G222, ""))</f>
        <v>Итого по разделу: Хозяйственно-питьевой, производственный и противопожарный водопровод (В1)</v>
      </c>
      <c r="B26" s="1068"/>
      <c r="C26" s="1068"/>
      <c r="D26" s="1068"/>
      <c r="E26" s="1068"/>
      <c r="F26" s="1068"/>
      <c r="G26" s="1068"/>
      <c r="H26" s="1068"/>
      <c r="I26" s="1069">
        <f>SUM(O22:O25)</f>
        <v>0</v>
      </c>
      <c r="J26" s="1070"/>
      <c r="K26" s="1069">
        <f>SUM(P22:P25)</f>
        <v>0</v>
      </c>
      <c r="L26" s="1070"/>
      <c r="AF26" s="712" t="str">
        <f>CONCATENATE("Итого по разделу: ",IF([103]Source!G222&lt;&gt;"Новый раздел", [103]Source!G222, ""))</f>
        <v>Итого по разделу: Хозяйственно-питьевой, производственный и противопожарный водопровод (В1)</v>
      </c>
    </row>
    <row r="27" spans="1:32" hidden="1" x14ac:dyDescent="0.2">
      <c r="A27" s="718" t="s">
        <v>139</v>
      </c>
      <c r="J27" s="718">
        <f>SUM(W22:W26)</f>
        <v>0</v>
      </c>
      <c r="K27" s="718">
        <f>SUM(X22:X26)</f>
        <v>0</v>
      </c>
    </row>
    <row r="28" spans="1:32" hidden="1" x14ac:dyDescent="0.2">
      <c r="A28" s="718" t="s">
        <v>140</v>
      </c>
      <c r="J28" s="718">
        <f>SUM(Y22:Y27)</f>
        <v>0</v>
      </c>
      <c r="K28" s="718">
        <f>SUM(Z22:Z27)</f>
        <v>0</v>
      </c>
    </row>
    <row r="29" spans="1:32" hidden="1" x14ac:dyDescent="0.2"/>
    <row r="30" spans="1:32" ht="16.5" hidden="1" x14ac:dyDescent="0.25">
      <c r="A30" s="1066" t="str">
        <f>CONCATENATE("Раздел: ",IF([103]Source!G252&lt;&gt;"Новый раздел", [103]Source!G252, ""))</f>
        <v>Раздел: Горячее водоснабжение (Т3)</v>
      </c>
      <c r="B30" s="1066"/>
      <c r="C30" s="1066"/>
      <c r="D30" s="1066"/>
      <c r="E30" s="1066"/>
      <c r="F30" s="1066"/>
      <c r="G30" s="1066"/>
      <c r="H30" s="1066"/>
      <c r="I30" s="1066"/>
      <c r="J30" s="1066"/>
      <c r="K30" s="1066"/>
      <c r="L30" s="1066"/>
    </row>
    <row r="31" spans="1:32" hidden="1" x14ac:dyDescent="0.2"/>
    <row r="32" spans="1:32" ht="14.25" hidden="1" x14ac:dyDescent="0.2">
      <c r="A32" s="1068" t="str">
        <f>CONCATENATE("Итого по разделу: ",IF([103]Source!G317&lt;&gt;"Новый раздел", [103]Source!G317, ""))</f>
        <v>Итого по разделу: Горячее водоснабжение (Т3)</v>
      </c>
      <c r="B32" s="1068"/>
      <c r="C32" s="1068"/>
      <c r="D32" s="1068"/>
      <c r="E32" s="1068"/>
      <c r="F32" s="1068"/>
      <c r="G32" s="1068"/>
      <c r="H32" s="1068"/>
      <c r="I32" s="1069">
        <f>SUM(O30:O31)</f>
        <v>0</v>
      </c>
      <c r="J32" s="1070"/>
      <c r="K32" s="1069">
        <f>SUM(P30:P31)</f>
        <v>0</v>
      </c>
      <c r="L32" s="1070"/>
    </row>
    <row r="33" spans="1:12" hidden="1" x14ac:dyDescent="0.2">
      <c r="A33" s="718" t="s">
        <v>139</v>
      </c>
      <c r="J33" s="718">
        <f>SUM(W30:W32)</f>
        <v>0</v>
      </c>
      <c r="K33" s="718">
        <f>SUM(X30:X32)</f>
        <v>0</v>
      </c>
    </row>
    <row r="34" spans="1:12" hidden="1" x14ac:dyDescent="0.2">
      <c r="A34" s="718" t="s">
        <v>140</v>
      </c>
      <c r="J34" s="718">
        <f>SUM(Y30:Y33)</f>
        <v>0</v>
      </c>
      <c r="K34" s="718">
        <f>SUM(Z30:Z33)</f>
        <v>0</v>
      </c>
    </row>
    <row r="35" spans="1:12" hidden="1" x14ac:dyDescent="0.2"/>
    <row r="36" spans="1:12" ht="16.5" hidden="1" x14ac:dyDescent="0.25">
      <c r="A36" s="1066" t="str">
        <f>CONCATENATE("Раздел: ",IF([103]Source!G347&lt;&gt;"Новый раздел", [103]Source!G347, ""))</f>
        <v>Раздел: Бытовая канализация. Самотечная сеть (К1)</v>
      </c>
      <c r="B36" s="1066"/>
      <c r="C36" s="1066"/>
      <c r="D36" s="1066"/>
      <c r="E36" s="1066"/>
      <c r="F36" s="1066"/>
      <c r="G36" s="1066"/>
      <c r="H36" s="1066"/>
      <c r="I36" s="1066"/>
      <c r="J36" s="1066"/>
      <c r="K36" s="1066"/>
      <c r="L36" s="1066"/>
    </row>
    <row r="37" spans="1:12" hidden="1" x14ac:dyDescent="0.2"/>
    <row r="38" spans="1:12" ht="14.25" hidden="1" x14ac:dyDescent="0.2">
      <c r="A38" s="1068" t="str">
        <f>CONCATENATE("Итого по разделу: ",IF([103]Source!G428&lt;&gt;"Новый раздел", [103]Source!G428, ""))</f>
        <v>Итого по разделу: Бытовая канализация. Самотечная сеть (К1)</v>
      </c>
      <c r="B38" s="1068"/>
      <c r="C38" s="1068"/>
      <c r="D38" s="1068"/>
      <c r="E38" s="1068"/>
      <c r="F38" s="1068"/>
      <c r="G38" s="1068"/>
      <c r="H38" s="1068"/>
      <c r="I38" s="1069">
        <f>SUM(O36:O37)</f>
        <v>0</v>
      </c>
      <c r="J38" s="1070"/>
      <c r="K38" s="1069">
        <f>SUM(P36:P37)</f>
        <v>0</v>
      </c>
      <c r="L38" s="1070"/>
    </row>
    <row r="39" spans="1:12" hidden="1" x14ac:dyDescent="0.2">
      <c r="A39" s="718" t="s">
        <v>139</v>
      </c>
      <c r="J39" s="718">
        <f>SUM(W36:W38)</f>
        <v>0</v>
      </c>
      <c r="K39" s="718">
        <f>SUM(X36:X38)</f>
        <v>0</v>
      </c>
    </row>
    <row r="40" spans="1:12" hidden="1" x14ac:dyDescent="0.2">
      <c r="A40" s="718" t="s">
        <v>140</v>
      </c>
      <c r="J40" s="718">
        <f>SUM(Y36:Y39)</f>
        <v>0</v>
      </c>
      <c r="K40" s="718">
        <f>SUM(Z36:Z39)</f>
        <v>0</v>
      </c>
    </row>
    <row r="41" spans="1:12" hidden="1" x14ac:dyDescent="0.2"/>
    <row r="42" spans="1:12" ht="16.5" hidden="1" x14ac:dyDescent="0.25">
      <c r="A42" s="1066" t="str">
        <f>CONCATENATE("Раздел: ",IF([103]Source!G458&lt;&gt;"Новый раздел", [103]Source!G458, ""))</f>
        <v>Раздел: Бытовая канализация. Напорная сеть (К1Н)</v>
      </c>
      <c r="B42" s="1066"/>
      <c r="C42" s="1066"/>
      <c r="D42" s="1066"/>
      <c r="E42" s="1066"/>
      <c r="F42" s="1066"/>
      <c r="G42" s="1066"/>
      <c r="H42" s="1066"/>
      <c r="I42" s="1066"/>
      <c r="J42" s="1066"/>
      <c r="K42" s="1066"/>
      <c r="L42" s="1066"/>
    </row>
    <row r="43" spans="1:12" hidden="1" x14ac:dyDescent="0.2"/>
    <row r="44" spans="1:12" ht="16.5" hidden="1" x14ac:dyDescent="0.25">
      <c r="A44" s="1066" t="str">
        <f>CONCATENATE("Подраздел: ",IF([103]Source!G527&lt;&gt;"Новый подраздел", [103]Source!G527, ""))</f>
        <v>Подраздел: ОБОРУДОВАНИЕ</v>
      </c>
      <c r="B44" s="1066"/>
      <c r="C44" s="1066"/>
      <c r="D44" s="1066"/>
      <c r="E44" s="1066"/>
      <c r="F44" s="1066"/>
      <c r="G44" s="1066"/>
      <c r="H44" s="1066"/>
      <c r="I44" s="1066"/>
      <c r="J44" s="1066"/>
      <c r="K44" s="1066"/>
      <c r="L44" s="1066"/>
    </row>
    <row r="45" spans="1:12" hidden="1" x14ac:dyDescent="0.2"/>
    <row r="46" spans="1:12" ht="14.25" hidden="1" x14ac:dyDescent="0.2">
      <c r="A46" s="1068" t="str">
        <f>CONCATENATE("Итого по подразделу: ",IF([103]Source!G538&lt;&gt;"Новый подраздел", [103]Source!G538, ""))</f>
        <v>Итого по подразделу: ОБОРУДОВАНИЕ</v>
      </c>
      <c r="B46" s="1068"/>
      <c r="C46" s="1068"/>
      <c r="D46" s="1068"/>
      <c r="E46" s="1068"/>
      <c r="F46" s="1068"/>
      <c r="G46" s="1068"/>
      <c r="H46" s="1068"/>
      <c r="I46" s="1069">
        <f>SUM(O44:O45)</f>
        <v>0</v>
      </c>
      <c r="J46" s="1070"/>
      <c r="K46" s="1069">
        <f>SUM(P44:P45)</f>
        <v>0</v>
      </c>
      <c r="L46" s="1070"/>
    </row>
    <row r="47" spans="1:12" hidden="1" x14ac:dyDescent="0.2">
      <c r="A47" s="718" t="s">
        <v>139</v>
      </c>
      <c r="J47" s="718">
        <f>SUM(W44:W46)</f>
        <v>0</v>
      </c>
      <c r="K47" s="718">
        <f>SUM(X44:X46)</f>
        <v>0</v>
      </c>
    </row>
    <row r="48" spans="1:12" hidden="1" x14ac:dyDescent="0.2">
      <c r="A48" s="718" t="s">
        <v>140</v>
      </c>
      <c r="J48" s="718">
        <f>SUM(Y44:Y47)</f>
        <v>0</v>
      </c>
      <c r="K48" s="718">
        <f>SUM(Z44:Z47)</f>
        <v>0</v>
      </c>
    </row>
    <row r="49" spans="1:12" hidden="1" x14ac:dyDescent="0.2"/>
    <row r="50" spans="1:12" ht="14.25" hidden="1" x14ac:dyDescent="0.2">
      <c r="A50" s="1068" t="str">
        <f>CONCATENATE("Итого по разделу: ",IF([103]Source!G568&lt;&gt;"Новый раздел", [103]Source!G568, ""))</f>
        <v>Итого по разделу: Бытовая канализация. Напорная сеть (К1Н)</v>
      </c>
      <c r="B50" s="1068"/>
      <c r="C50" s="1068"/>
      <c r="D50" s="1068"/>
      <c r="E50" s="1068"/>
      <c r="F50" s="1068"/>
      <c r="G50" s="1068"/>
      <c r="H50" s="1068"/>
      <c r="I50" s="1069">
        <f>SUM(O42:O49)</f>
        <v>0</v>
      </c>
      <c r="J50" s="1070"/>
      <c r="K50" s="1069">
        <f>SUM(P42:P49)</f>
        <v>0</v>
      </c>
      <c r="L50" s="1070"/>
    </row>
    <row r="51" spans="1:12" hidden="1" x14ac:dyDescent="0.2">
      <c r="A51" s="718" t="s">
        <v>139</v>
      </c>
      <c r="J51" s="718">
        <f>SUM(W42:W50)</f>
        <v>0</v>
      </c>
      <c r="K51" s="718">
        <f>SUM(X42:X50)</f>
        <v>0</v>
      </c>
    </row>
    <row r="52" spans="1:12" hidden="1" x14ac:dyDescent="0.2">
      <c r="A52" s="718" t="s">
        <v>140</v>
      </c>
      <c r="J52" s="718">
        <f>SUM(Y42:Y51)</f>
        <v>0</v>
      </c>
      <c r="K52" s="718">
        <f>SUM(Z42:Z51)</f>
        <v>0</v>
      </c>
    </row>
    <row r="53" spans="1:12" hidden="1" x14ac:dyDescent="0.2"/>
    <row r="54" spans="1:12" ht="16.5" hidden="1" x14ac:dyDescent="0.25">
      <c r="A54" s="1066" t="str">
        <f>CONCATENATE("Раздел: ",IF([103]Source!G598&lt;&gt;"Новый раздел", [103]Source!G598, ""))</f>
        <v>Раздел: Водоотвод самотечный (К2)</v>
      </c>
      <c r="B54" s="1066"/>
      <c r="C54" s="1066"/>
      <c r="D54" s="1066"/>
      <c r="E54" s="1066"/>
      <c r="F54" s="1066"/>
      <c r="G54" s="1066"/>
      <c r="H54" s="1066"/>
      <c r="I54" s="1066"/>
      <c r="J54" s="1066"/>
      <c r="K54" s="1066"/>
      <c r="L54" s="1066"/>
    </row>
    <row r="55" spans="1:12" hidden="1" x14ac:dyDescent="0.2"/>
    <row r="56" spans="1:12" ht="16.5" hidden="1" x14ac:dyDescent="0.25">
      <c r="A56" s="1066" t="str">
        <f>CONCATENATE("Подраздел: ",IF([103]Source!G639&lt;&gt;"Новый подраздел", [103]Source!G639, ""))</f>
        <v>Подраздел: ОБОРУДОВАНИЕ</v>
      </c>
      <c r="B56" s="1066"/>
      <c r="C56" s="1066"/>
      <c r="D56" s="1066"/>
      <c r="E56" s="1066"/>
      <c r="F56" s="1066"/>
      <c r="G56" s="1066"/>
      <c r="H56" s="1066"/>
      <c r="I56" s="1066"/>
      <c r="J56" s="1066"/>
      <c r="K56" s="1066"/>
      <c r="L56" s="1066"/>
    </row>
    <row r="57" spans="1:12" hidden="1" x14ac:dyDescent="0.2"/>
    <row r="58" spans="1:12" ht="14.25" hidden="1" x14ac:dyDescent="0.2">
      <c r="A58" s="1068" t="str">
        <f>CONCATENATE("Итого по подразделу: ",IF([103]Source!G646&lt;&gt;"Новый подраздел", [103]Source!G646, ""))</f>
        <v>Итого по подразделу: ОБОРУДОВАНИЕ</v>
      </c>
      <c r="B58" s="1068"/>
      <c r="C58" s="1068"/>
      <c r="D58" s="1068"/>
      <c r="E58" s="1068"/>
      <c r="F58" s="1068"/>
      <c r="G58" s="1068"/>
      <c r="H58" s="1068"/>
      <c r="I58" s="1069">
        <f>SUM(O56:O57)</f>
        <v>0</v>
      </c>
      <c r="J58" s="1070"/>
      <c r="K58" s="1069">
        <f>SUM(P56:P57)</f>
        <v>0</v>
      </c>
      <c r="L58" s="1070"/>
    </row>
    <row r="59" spans="1:12" hidden="1" x14ac:dyDescent="0.2">
      <c r="A59" s="718" t="s">
        <v>139</v>
      </c>
      <c r="J59" s="718">
        <f>SUM(W56:W58)</f>
        <v>0</v>
      </c>
      <c r="K59" s="718">
        <f>SUM(X56:X58)</f>
        <v>0</v>
      </c>
    </row>
    <row r="60" spans="1:12" hidden="1" x14ac:dyDescent="0.2">
      <c r="A60" s="718" t="s">
        <v>140</v>
      </c>
      <c r="J60" s="718">
        <f>SUM(Y56:Y59)</f>
        <v>0</v>
      </c>
      <c r="K60" s="718">
        <f>SUM(Z56:Z59)</f>
        <v>0</v>
      </c>
    </row>
    <row r="61" spans="1:12" hidden="1" x14ac:dyDescent="0.2"/>
    <row r="62" spans="1:12" ht="14.25" hidden="1" x14ac:dyDescent="0.2">
      <c r="A62" s="1068" t="str">
        <f>CONCATENATE("Итого по разделу: ",IF([103]Source!G676&lt;&gt;"Новый раздел", [103]Source!G676, ""))</f>
        <v>Итого по разделу: Водоотвод самотечный (К2)</v>
      </c>
      <c r="B62" s="1068"/>
      <c r="C62" s="1068"/>
      <c r="D62" s="1068"/>
      <c r="E62" s="1068"/>
      <c r="F62" s="1068"/>
      <c r="G62" s="1068"/>
      <c r="H62" s="1068"/>
      <c r="I62" s="1069">
        <f>SUM(O54:O61)</f>
        <v>0</v>
      </c>
      <c r="J62" s="1070"/>
      <c r="K62" s="1069">
        <f>SUM(P54:P61)</f>
        <v>0</v>
      </c>
      <c r="L62" s="1070"/>
    </row>
    <row r="63" spans="1:12" hidden="1" x14ac:dyDescent="0.2">
      <c r="A63" s="718" t="s">
        <v>139</v>
      </c>
      <c r="J63" s="718">
        <f>SUM(W54:W62)</f>
        <v>0</v>
      </c>
      <c r="K63" s="718">
        <f>SUM(X54:X62)</f>
        <v>0</v>
      </c>
    </row>
    <row r="64" spans="1:12" hidden="1" x14ac:dyDescent="0.2">
      <c r="A64" s="718" t="s">
        <v>140</v>
      </c>
      <c r="J64" s="718">
        <f>SUM(Y54:Y63)</f>
        <v>0</v>
      </c>
      <c r="K64" s="718">
        <f>SUM(Z54:Z63)</f>
        <v>0</v>
      </c>
    </row>
    <row r="65" spans="1:22" hidden="1" x14ac:dyDescent="0.2"/>
    <row r="66" spans="1:22" ht="16.5" x14ac:dyDescent="0.25">
      <c r="A66" s="1066" t="str">
        <f>CONCATENATE("Раздел: ",IF([103]Source!G706&lt;&gt;"Новый раздел", [103]Source!G706, ""))</f>
        <v>Раздел: Водоотвод напорный (К2Н)</v>
      </c>
      <c r="B66" s="1066"/>
      <c r="C66" s="1066"/>
      <c r="D66" s="1066"/>
      <c r="E66" s="1066"/>
      <c r="F66" s="1066"/>
      <c r="G66" s="1066"/>
      <c r="H66" s="1066"/>
      <c r="I66" s="1066"/>
      <c r="J66" s="1066"/>
      <c r="K66" s="1066"/>
      <c r="L66" s="1066"/>
    </row>
    <row r="67" spans="1:22" ht="53.25" x14ac:dyDescent="0.25">
      <c r="A67" s="691">
        <v>1</v>
      </c>
      <c r="B67" s="691" t="str">
        <f>[103]Source!E716</f>
        <v>221</v>
      </c>
      <c r="C67" s="692" t="s">
        <v>765</v>
      </c>
      <c r="D67" s="692" t="s">
        <v>672</v>
      </c>
      <c r="E67" s="693" t="str">
        <f>[103]Source!H716</f>
        <v>100 м трубопровода</v>
      </c>
      <c r="F67" s="694">
        <f>[103]Source!I716</f>
        <v>0.82</v>
      </c>
      <c r="G67" s="695"/>
      <c r="H67" s="696"/>
      <c r="I67" s="694"/>
      <c r="J67" s="697"/>
      <c r="K67" s="694"/>
      <c r="L67" s="697"/>
      <c r="Q67" s="718">
        <f>[103]Source!X716</f>
        <v>2342.08</v>
      </c>
      <c r="R67" s="718">
        <f>[103]Source!X717</f>
        <v>45398.78</v>
      </c>
      <c r="S67" s="718">
        <f>[103]Source!Y716</f>
        <v>1761.24</v>
      </c>
      <c r="T67" s="718">
        <f>[103]Source!Y717</f>
        <v>20429.45</v>
      </c>
      <c r="U67" s="718">
        <f>ROUND((175/100)*ROUND([103]Source!R716, 2), 2)</f>
        <v>138.22</v>
      </c>
      <c r="V67" s="718">
        <f>ROUND((157/100)*ROUND([103]Source!R717, 2), 2)</f>
        <v>3004.49</v>
      </c>
    </row>
    <row r="68" spans="1:22" ht="15" x14ac:dyDescent="0.25">
      <c r="A68" s="691"/>
      <c r="B68" s="691"/>
      <c r="C68" s="692"/>
      <c r="D68" s="692" t="s">
        <v>84</v>
      </c>
      <c r="E68" s="693"/>
      <c r="F68" s="694"/>
      <c r="G68" s="695">
        <f>[103]Source!AO716</f>
        <v>1282.32</v>
      </c>
      <c r="H68" s="696" t="str">
        <f>[103]Source!DG716</f>
        <v>)*1,67</v>
      </c>
      <c r="I68" s="694">
        <f>[103]Source!AV717</f>
        <v>1.0669999999999999</v>
      </c>
      <c r="J68" s="697">
        <f>[103]Source!S716</f>
        <v>1873.66</v>
      </c>
      <c r="K68" s="694">
        <f>IF([103]Source!BA717&lt;&gt; 0, [103]Source!BA717, 1)</f>
        <v>24.23</v>
      </c>
      <c r="L68" s="697">
        <f>[103]Source!S717</f>
        <v>45398.78</v>
      </c>
    </row>
    <row r="69" spans="1:22" ht="15" x14ac:dyDescent="0.25">
      <c r="A69" s="691"/>
      <c r="B69" s="691"/>
      <c r="C69" s="692"/>
      <c r="D69" s="692" t="s">
        <v>85</v>
      </c>
      <c r="E69" s="693"/>
      <c r="F69" s="694"/>
      <c r="G69" s="695">
        <f>[103]Source!AM716</f>
        <v>326.27</v>
      </c>
      <c r="H69" s="696" t="str">
        <f>[103]Source!DE716</f>
        <v/>
      </c>
      <c r="I69" s="694">
        <f>[103]Source!AV717</f>
        <v>1.0669999999999999</v>
      </c>
      <c r="J69" s="697">
        <f>[103]Source!Q716-J80</f>
        <v>285.47000000000003</v>
      </c>
      <c r="K69" s="694">
        <f>IF([103]Source!BB717&lt;&gt; 0, [103]Source!BB717, 1)</f>
        <v>8.65</v>
      </c>
      <c r="L69" s="697">
        <f>[103]Source!Q717-L80</f>
        <v>2469.3200000000002</v>
      </c>
    </row>
    <row r="70" spans="1:22" ht="15" x14ac:dyDescent="0.25">
      <c r="A70" s="691"/>
      <c r="B70" s="691"/>
      <c r="C70" s="692"/>
      <c r="D70" s="692" t="s">
        <v>86</v>
      </c>
      <c r="E70" s="693"/>
      <c r="F70" s="694"/>
      <c r="G70" s="695">
        <f>[103]Source!AN716</f>
        <v>54.05</v>
      </c>
      <c r="H70" s="696" t="str">
        <f>[103]Source!DE716</f>
        <v/>
      </c>
      <c r="I70" s="694">
        <f>[103]Source!AV717</f>
        <v>1.0669999999999999</v>
      </c>
      <c r="J70" s="700">
        <f>[103]Source!R716-J81</f>
        <v>47.3</v>
      </c>
      <c r="K70" s="694">
        <f>IF([103]Source!BS717&lt;&gt; 0, [103]Source!BS717, 1)</f>
        <v>24.23</v>
      </c>
      <c r="L70" s="700">
        <f>[103]Source!R717-L81</f>
        <v>1146.08</v>
      </c>
    </row>
    <row r="71" spans="1:22" ht="15" x14ac:dyDescent="0.25">
      <c r="A71" s="691"/>
      <c r="B71" s="691"/>
      <c r="C71" s="692"/>
      <c r="D71" s="692" t="s">
        <v>87</v>
      </c>
      <c r="E71" s="693"/>
      <c r="F71" s="694"/>
      <c r="G71" s="695">
        <f>[103]Source!AL716</f>
        <v>117.18</v>
      </c>
      <c r="H71" s="696" t="str">
        <f>[103]Source!DD716</f>
        <v/>
      </c>
      <c r="I71" s="694">
        <f>[103]Source!AW717</f>
        <v>1</v>
      </c>
      <c r="J71" s="697">
        <f>[103]Source!P716</f>
        <v>96.09</v>
      </c>
      <c r="K71" s="694">
        <f>IF([103]Source!BC717&lt;&gt; 0, [103]Source!BC717, 1)</f>
        <v>5.58</v>
      </c>
      <c r="L71" s="697">
        <f>[103]Source!P717</f>
        <v>536.17999999999995</v>
      </c>
    </row>
    <row r="72" spans="1:22" ht="60" x14ac:dyDescent="0.25">
      <c r="A72" s="691">
        <v>2</v>
      </c>
      <c r="B72" s="691" t="str">
        <f>[103]Source!E718</f>
        <v>222</v>
      </c>
      <c r="C72" s="692" t="str">
        <f>[103]Source!F718</f>
        <v>1.12-6-206</v>
      </c>
      <c r="D72" s="692" t="s">
        <v>673</v>
      </c>
      <c r="E72" s="693" t="str">
        <f>[103]Source!H718</f>
        <v>м</v>
      </c>
      <c r="F72" s="694">
        <f>[103]Source!I718</f>
        <v>82</v>
      </c>
      <c r="G72" s="695">
        <f>[103]Source!AK718</f>
        <v>139.91</v>
      </c>
      <c r="H72" s="734" t="s">
        <v>42</v>
      </c>
      <c r="I72" s="694">
        <f>[103]Source!AW719</f>
        <v>1</v>
      </c>
      <c r="J72" s="697">
        <f>[103]Source!O718</f>
        <v>11472.62</v>
      </c>
      <c r="K72" s="694">
        <f>IF([103]Source!BC719&lt;&gt; 0, [103]Source!BC719, 1)</f>
        <v>8.41</v>
      </c>
      <c r="L72" s="697">
        <f>[103]Source!O719</f>
        <v>96484.73</v>
      </c>
      <c r="Q72" s="718">
        <f>[103]Source!X718</f>
        <v>0</v>
      </c>
      <c r="R72" s="718">
        <f>[103]Source!X719</f>
        <v>0</v>
      </c>
      <c r="S72" s="718">
        <f>[103]Source!Y718</f>
        <v>0</v>
      </c>
      <c r="T72" s="718">
        <f>[103]Source!Y719</f>
        <v>0</v>
      </c>
      <c r="U72" s="718">
        <f>ROUND((175/100)*ROUND([103]Source!R718, 2), 2)</f>
        <v>0</v>
      </c>
      <c r="V72" s="718">
        <f>ROUND((157/100)*ROUND([103]Source!R719, 2), 2)</f>
        <v>0</v>
      </c>
    </row>
    <row r="73" spans="1:22" ht="15" x14ac:dyDescent="0.25">
      <c r="A73" s="691"/>
      <c r="B73" s="691"/>
      <c r="C73" s="692"/>
      <c r="D73" s="692" t="s">
        <v>88</v>
      </c>
      <c r="E73" s="693" t="s">
        <v>89</v>
      </c>
      <c r="F73" s="694">
        <f>[103]Source!DN717</f>
        <v>125</v>
      </c>
      <c r="G73" s="695"/>
      <c r="H73" s="696"/>
      <c r="I73" s="694"/>
      <c r="J73" s="697">
        <f>SUM(Q67:Q72)</f>
        <v>2342.08</v>
      </c>
      <c r="K73" s="694">
        <f>[103]Source!BZ717</f>
        <v>100</v>
      </c>
      <c r="L73" s="697">
        <f>SUM(R67:R72)</f>
        <v>45398.78</v>
      </c>
    </row>
    <row r="74" spans="1:22" ht="15" x14ac:dyDescent="0.25">
      <c r="A74" s="691"/>
      <c r="B74" s="691"/>
      <c r="C74" s="692"/>
      <c r="D74" s="692" t="s">
        <v>90</v>
      </c>
      <c r="E74" s="693" t="s">
        <v>89</v>
      </c>
      <c r="F74" s="694">
        <f>[103]Source!DO717</f>
        <v>94</v>
      </c>
      <c r="G74" s="695"/>
      <c r="H74" s="696"/>
      <c r="I74" s="694"/>
      <c r="J74" s="697">
        <f>SUM(S67:S73)</f>
        <v>1761.24</v>
      </c>
      <c r="K74" s="694">
        <f>[103]Source!CA717</f>
        <v>45</v>
      </c>
      <c r="L74" s="697">
        <f>SUM(T67:T73)</f>
        <v>20429.45</v>
      </c>
    </row>
    <row r="75" spans="1:22" ht="15" x14ac:dyDescent="0.25">
      <c r="A75" s="691"/>
      <c r="B75" s="691"/>
      <c r="C75" s="692"/>
      <c r="D75" s="692" t="s">
        <v>91</v>
      </c>
      <c r="E75" s="693" t="s">
        <v>89</v>
      </c>
      <c r="F75" s="694">
        <f>175</f>
        <v>175</v>
      </c>
      <c r="G75" s="695"/>
      <c r="H75" s="696"/>
      <c r="I75" s="694"/>
      <c r="J75" s="697">
        <f>SUM(U67:U74)-J82</f>
        <v>82.78</v>
      </c>
      <c r="K75" s="694">
        <f>157</f>
        <v>157</v>
      </c>
      <c r="L75" s="697">
        <f>SUM(V67:V74)-L82</f>
        <v>1799.34</v>
      </c>
    </row>
    <row r="76" spans="1:22" ht="15" x14ac:dyDescent="0.25">
      <c r="A76" s="772"/>
      <c r="B76" s="772"/>
      <c r="C76" s="773"/>
      <c r="D76" s="773" t="s">
        <v>92</v>
      </c>
      <c r="E76" s="774" t="s">
        <v>93</v>
      </c>
      <c r="F76" s="775">
        <f>[103]Source!AQ716</f>
        <v>104</v>
      </c>
      <c r="G76" s="776"/>
      <c r="H76" s="777" t="str">
        <f>[103]Source!DI716</f>
        <v/>
      </c>
      <c r="I76" s="775">
        <f>[103]Source!AV717</f>
        <v>1.0669999999999999</v>
      </c>
      <c r="J76" s="778">
        <f>[103]Source!U716</f>
        <v>90.99</v>
      </c>
      <c r="K76" s="775"/>
      <c r="L76" s="778"/>
    </row>
    <row r="77" spans="1:22" ht="14.25" x14ac:dyDescent="0.2">
      <c r="D77" s="731" t="s">
        <v>674</v>
      </c>
      <c r="I77" s="1069">
        <f>J68+J69+J71+J73+J74+J75+SUM(J72:J72)</f>
        <v>17913.939999999999</v>
      </c>
      <c r="J77" s="1069"/>
      <c r="K77" s="1069">
        <f>L68+L69+L71+L73+L74+L75+SUM(L72:L72)</f>
        <v>212516.58</v>
      </c>
      <c r="L77" s="1069"/>
      <c r="O77" s="736">
        <f>J68+J69+J71+J73+J74+J75+SUM(J72:J72)</f>
        <v>17913.939999999999</v>
      </c>
      <c r="P77" s="736">
        <f>L68+L69+L71+L73+L74+L75+SUM(L72:L72)</f>
        <v>212516.58</v>
      </c>
    </row>
    <row r="79" spans="1:22" ht="53.25" x14ac:dyDescent="0.25">
      <c r="A79" s="691">
        <v>3</v>
      </c>
      <c r="B79" s="691" t="str">
        <f>CONCATENATE([103]Source!E716, "/1")</f>
        <v>221/1</v>
      </c>
      <c r="C79" s="692" t="s">
        <v>766</v>
      </c>
      <c r="D79" s="692" t="s">
        <v>675</v>
      </c>
      <c r="E79" s="693" t="str">
        <f>[103]Source!H716</f>
        <v>100 м трубопровода</v>
      </c>
      <c r="F79" s="694">
        <f>[103]Source!I716</f>
        <v>0.82</v>
      </c>
      <c r="G79" s="695"/>
      <c r="H79" s="696"/>
      <c r="I79" s="694"/>
      <c r="J79" s="697"/>
      <c r="K79" s="694"/>
      <c r="L79" s="697"/>
    </row>
    <row r="80" spans="1:22" ht="15" x14ac:dyDescent="0.25">
      <c r="A80" s="691"/>
      <c r="B80" s="691"/>
      <c r="C80" s="692"/>
      <c r="D80" s="692" t="s">
        <v>85</v>
      </c>
      <c r="E80" s="693"/>
      <c r="F80" s="694"/>
      <c r="G80" s="695">
        <f t="shared" ref="G80:L80" si="0">G81</f>
        <v>54.05</v>
      </c>
      <c r="H80" s="779" t="str">
        <f t="shared" si="0"/>
        <v>)*(1.67-1)</v>
      </c>
      <c r="I80" s="694">
        <f t="shared" si="0"/>
        <v>1.0669999999999999</v>
      </c>
      <c r="J80" s="697">
        <f t="shared" si="0"/>
        <v>31.68</v>
      </c>
      <c r="K80" s="694">
        <f t="shared" si="0"/>
        <v>24.23</v>
      </c>
      <c r="L80" s="697">
        <f t="shared" si="0"/>
        <v>767.61</v>
      </c>
    </row>
    <row r="81" spans="1:22" ht="15" x14ac:dyDescent="0.25">
      <c r="A81" s="691"/>
      <c r="B81" s="691"/>
      <c r="C81" s="692"/>
      <c r="D81" s="692" t="s">
        <v>86</v>
      </c>
      <c r="E81" s="693"/>
      <c r="F81" s="694"/>
      <c r="G81" s="695">
        <f>[103]Source!AN716</f>
        <v>54.05</v>
      </c>
      <c r="H81" s="779" t="s">
        <v>95</v>
      </c>
      <c r="I81" s="694">
        <f>[103]Source!AV717</f>
        <v>1.0669999999999999</v>
      </c>
      <c r="J81" s="700">
        <f>ROUND(F67*G81*I81*(1.67-1), 2)</f>
        <v>31.68</v>
      </c>
      <c r="K81" s="694">
        <f>IF([103]Source!BS717&lt;&gt; 0, [103]Source!BS717, 1)</f>
        <v>24.23</v>
      </c>
      <c r="L81" s="700">
        <f>ROUND(ROUND(F67*G81*I81*(1.67-1), 2)*K81, 2)</f>
        <v>767.61</v>
      </c>
    </row>
    <row r="82" spans="1:22" ht="15" x14ac:dyDescent="0.25">
      <c r="A82" s="691"/>
      <c r="B82" s="691"/>
      <c r="C82" s="692"/>
      <c r="D82" s="692" t="s">
        <v>91</v>
      </c>
      <c r="E82" s="693" t="s">
        <v>89</v>
      </c>
      <c r="F82" s="694">
        <f>175</f>
        <v>175</v>
      </c>
      <c r="G82" s="695"/>
      <c r="H82" s="696"/>
      <c r="I82" s="694"/>
      <c r="J82" s="697">
        <f>ROUND(J81*(F82/100), 2)</f>
        <v>55.44</v>
      </c>
      <c r="K82" s="694">
        <f>157</f>
        <v>157</v>
      </c>
      <c r="L82" s="697">
        <f>ROUND(L81*(K82/100), 2)</f>
        <v>1205.1500000000001</v>
      </c>
    </row>
    <row r="83" spans="1:22" ht="14.25" x14ac:dyDescent="0.2">
      <c r="A83" s="737"/>
      <c r="B83" s="737"/>
      <c r="C83" s="737"/>
      <c r="D83" s="780" t="s">
        <v>674</v>
      </c>
      <c r="E83" s="737"/>
      <c r="F83" s="737"/>
      <c r="G83" s="737"/>
      <c r="H83" s="737"/>
      <c r="I83" s="1067">
        <f>J82+J81</f>
        <v>87.12</v>
      </c>
      <c r="J83" s="1067"/>
      <c r="K83" s="1067">
        <f>L82+L81</f>
        <v>1972.76</v>
      </c>
      <c r="L83" s="1067"/>
      <c r="O83" s="736">
        <f>I83</f>
        <v>87.12</v>
      </c>
      <c r="P83" s="736">
        <f>K83</f>
        <v>1972.76</v>
      </c>
    </row>
    <row r="85" spans="1:22" ht="45" x14ac:dyDescent="0.25">
      <c r="A85" s="772">
        <v>4</v>
      </c>
      <c r="B85" s="772" t="str">
        <f>[103]Source!E728</f>
        <v>227</v>
      </c>
      <c r="C85" s="773" t="str">
        <f>[103]Source!F728</f>
        <v>1.12-11-9</v>
      </c>
      <c r="D85" s="773" t="s">
        <v>676</v>
      </c>
      <c r="E85" s="774" t="str">
        <f>[103]Source!H728</f>
        <v>шт.</v>
      </c>
      <c r="F85" s="775">
        <f>[103]Source!I728</f>
        <v>29</v>
      </c>
      <c r="G85" s="776">
        <f>[103]Source!AL728</f>
        <v>174</v>
      </c>
      <c r="H85" s="777" t="str">
        <f>[103]Source!DD728</f>
        <v/>
      </c>
      <c r="I85" s="775">
        <f>[103]Source!AW729</f>
        <v>1</v>
      </c>
      <c r="J85" s="778">
        <f>[103]Source!P728</f>
        <v>5046</v>
      </c>
      <c r="K85" s="775">
        <f>IF([103]Source!BC729&lt;&gt; 0, [103]Source!BC729, 1)</f>
        <v>3.5</v>
      </c>
      <c r="L85" s="778">
        <f>[103]Source!P729</f>
        <v>17661</v>
      </c>
      <c r="Q85" s="718">
        <f>[103]Source!X728</f>
        <v>0</v>
      </c>
      <c r="R85" s="718">
        <f>[103]Source!X729</f>
        <v>0</v>
      </c>
      <c r="S85" s="718">
        <f>[103]Source!Y728</f>
        <v>0</v>
      </c>
      <c r="T85" s="718">
        <f>[103]Source!Y729</f>
        <v>0</v>
      </c>
      <c r="U85" s="718">
        <f>ROUND((175/100)*ROUND([103]Source!R728, 2), 2)</f>
        <v>0</v>
      </c>
      <c r="V85" s="718">
        <f>ROUND((157/100)*ROUND([103]Source!R729, 2), 2)</f>
        <v>0</v>
      </c>
    </row>
    <row r="86" spans="1:22" ht="14.25" x14ac:dyDescent="0.2">
      <c r="A86" s="737"/>
      <c r="B86" s="737"/>
      <c r="C86" s="737"/>
      <c r="D86" s="780" t="s">
        <v>674</v>
      </c>
      <c r="E86" s="737"/>
      <c r="F86" s="737"/>
      <c r="G86" s="737"/>
      <c r="H86" s="737"/>
      <c r="I86" s="1067">
        <f>J85</f>
        <v>5046</v>
      </c>
      <c r="J86" s="1067"/>
      <c r="K86" s="1067">
        <f>L85</f>
        <v>17661</v>
      </c>
      <c r="L86" s="1067"/>
      <c r="O86" s="736">
        <f>J85</f>
        <v>5046</v>
      </c>
      <c r="P86" s="736">
        <f>L85</f>
        <v>17661</v>
      </c>
    </row>
    <row r="88" spans="1:22" ht="105" x14ac:dyDescent="0.25">
      <c r="A88" s="772">
        <v>5</v>
      </c>
      <c r="B88" s="772" t="str">
        <f>[103]Source!E730</f>
        <v>228</v>
      </c>
      <c r="C88" s="773" t="str">
        <f>[103]Source!F730</f>
        <v>1.6-1-295</v>
      </c>
      <c r="D88" s="773" t="s">
        <v>677</v>
      </c>
      <c r="E88" s="774" t="str">
        <f>[103]Source!H730</f>
        <v>т</v>
      </c>
      <c r="F88" s="775">
        <f>[103]Source!I730</f>
        <v>0.1012</v>
      </c>
      <c r="G88" s="776">
        <f>[103]Source!AL730</f>
        <v>15808.26</v>
      </c>
      <c r="H88" s="777" t="str">
        <f>[103]Source!DD730</f>
        <v/>
      </c>
      <c r="I88" s="775">
        <f>[103]Source!AW731</f>
        <v>1</v>
      </c>
      <c r="J88" s="778">
        <f>[103]Source!P730</f>
        <v>1599.8</v>
      </c>
      <c r="K88" s="775">
        <f>IF([103]Source!BC731&lt;&gt; 0, [103]Source!BC731, 1)</f>
        <v>4.0199999999999996</v>
      </c>
      <c r="L88" s="778">
        <f>[103]Source!P731</f>
        <v>6431.2</v>
      </c>
      <c r="Q88" s="718">
        <f>[103]Source!X730</f>
        <v>0</v>
      </c>
      <c r="R88" s="718">
        <f>[103]Source!X731</f>
        <v>0</v>
      </c>
      <c r="S88" s="718">
        <f>[103]Source!Y730</f>
        <v>0</v>
      </c>
      <c r="T88" s="718">
        <f>[103]Source!Y731</f>
        <v>0</v>
      </c>
      <c r="U88" s="718">
        <f>ROUND((175/100)*ROUND([103]Source!R730, 2), 2)</f>
        <v>0</v>
      </c>
      <c r="V88" s="718">
        <f>ROUND((157/100)*ROUND([103]Source!R731, 2), 2)</f>
        <v>0</v>
      </c>
    </row>
    <row r="89" spans="1:22" ht="14.25" x14ac:dyDescent="0.2">
      <c r="A89" s="737"/>
      <c r="B89" s="737"/>
      <c r="C89" s="737"/>
      <c r="D89" s="780" t="s">
        <v>674</v>
      </c>
      <c r="E89" s="737"/>
      <c r="F89" s="737"/>
      <c r="G89" s="737"/>
      <c r="H89" s="737"/>
      <c r="I89" s="1067">
        <f>J88</f>
        <v>1599.8</v>
      </c>
      <c r="J89" s="1067"/>
      <c r="K89" s="1067">
        <f>L88</f>
        <v>6431.2</v>
      </c>
      <c r="L89" s="1067"/>
      <c r="O89" s="736">
        <f>J88</f>
        <v>1599.8</v>
      </c>
      <c r="P89" s="736">
        <f>L88</f>
        <v>6431.2</v>
      </c>
    </row>
    <row r="91" spans="1:22" ht="75" x14ac:dyDescent="0.25">
      <c r="A91" s="691">
        <v>6</v>
      </c>
      <c r="B91" s="691" t="str">
        <f>[103]Source!E732</f>
        <v>229</v>
      </c>
      <c r="C91" s="692" t="s">
        <v>767</v>
      </c>
      <c r="D91" s="692" t="s">
        <v>678</v>
      </c>
      <c r="E91" s="693" t="str">
        <f>[103]Source!H732</f>
        <v>100 м2 окрашиваемой поверхности</v>
      </c>
      <c r="F91" s="694">
        <f>[103]Source!I732</f>
        <v>0.32719999999999999</v>
      </c>
      <c r="G91" s="695"/>
      <c r="H91" s="696"/>
      <c r="I91" s="694"/>
      <c r="J91" s="697"/>
      <c r="K91" s="694"/>
      <c r="L91" s="697"/>
      <c r="Q91" s="718">
        <f>[103]Source!X732</f>
        <v>287.94</v>
      </c>
      <c r="R91" s="718">
        <f>[103]Source!X733</f>
        <v>5116.3100000000004</v>
      </c>
      <c r="S91" s="718">
        <f>[103]Source!Y732</f>
        <v>201.56</v>
      </c>
      <c r="T91" s="718">
        <f>[103]Source!Y733</f>
        <v>2441.88</v>
      </c>
      <c r="U91" s="718">
        <f>ROUND((175/100)*ROUND([103]Source!R732, 2), 2)</f>
        <v>0.18</v>
      </c>
      <c r="V91" s="718">
        <f>ROUND((157/100)*ROUND([103]Source!R733, 2), 2)</f>
        <v>3.8</v>
      </c>
    </row>
    <row r="92" spans="1:22" ht="15" x14ac:dyDescent="0.25">
      <c r="A92" s="691"/>
      <c r="B92" s="691"/>
      <c r="C92" s="692"/>
      <c r="D92" s="692" t="s">
        <v>84</v>
      </c>
      <c r="E92" s="693"/>
      <c r="F92" s="694"/>
      <c r="G92" s="695">
        <f>[103]Source!AO732</f>
        <v>428.41</v>
      </c>
      <c r="H92" s="696" t="str">
        <f>[103]Source!DG732</f>
        <v>)*1,67</v>
      </c>
      <c r="I92" s="694">
        <f>[103]Source!AV733</f>
        <v>1.0249999999999999</v>
      </c>
      <c r="J92" s="697">
        <f>[103]Source!S732</f>
        <v>239.95</v>
      </c>
      <c r="K92" s="694">
        <f>IF([103]Source!BA733&lt;&gt; 0, [103]Source!BA733, 1)</f>
        <v>24.23</v>
      </c>
      <c r="L92" s="697">
        <f>[103]Source!S733</f>
        <v>5813.99</v>
      </c>
    </row>
    <row r="93" spans="1:22" ht="15" x14ac:dyDescent="0.25">
      <c r="A93" s="691"/>
      <c r="B93" s="691"/>
      <c r="C93" s="692"/>
      <c r="D93" s="692" t="s">
        <v>85</v>
      </c>
      <c r="E93" s="693"/>
      <c r="F93" s="694"/>
      <c r="G93" s="695">
        <f>[103]Source!AM732</f>
        <v>0.74</v>
      </c>
      <c r="H93" s="696" t="str">
        <f>[103]Source!DE732</f>
        <v/>
      </c>
      <c r="I93" s="694">
        <f>[103]Source!AV733</f>
        <v>1.0249999999999999</v>
      </c>
      <c r="J93" s="697">
        <f>[103]Source!Q732-J104</f>
        <v>0.25</v>
      </c>
      <c r="K93" s="694">
        <f>IF([103]Source!BB733&lt;&gt; 0, [103]Source!BB733, 1)</f>
        <v>10.11</v>
      </c>
      <c r="L93" s="697">
        <f>[103]Source!Q733-L104</f>
        <v>2.5299999999999998</v>
      </c>
    </row>
    <row r="94" spans="1:22" ht="15" x14ac:dyDescent="0.25">
      <c r="A94" s="691"/>
      <c r="B94" s="691"/>
      <c r="C94" s="692"/>
      <c r="D94" s="692" t="s">
        <v>86</v>
      </c>
      <c r="E94" s="693"/>
      <c r="F94" s="694"/>
      <c r="G94" s="695">
        <f>[103]Source!AN732</f>
        <v>0.18</v>
      </c>
      <c r="H94" s="696" t="str">
        <f>[103]Source!DE732</f>
        <v/>
      </c>
      <c r="I94" s="694">
        <f>[103]Source!AV733</f>
        <v>1.0249999999999999</v>
      </c>
      <c r="J94" s="700">
        <f>[103]Source!R732-J105</f>
        <v>0.06</v>
      </c>
      <c r="K94" s="694">
        <f>IF([103]Source!BS733&lt;&gt; 0, [103]Source!BS733, 1)</f>
        <v>24.23</v>
      </c>
      <c r="L94" s="700">
        <f>[103]Source!R733-L105</f>
        <v>1.45</v>
      </c>
    </row>
    <row r="95" spans="1:22" ht="15" x14ac:dyDescent="0.25">
      <c r="A95" s="691"/>
      <c r="B95" s="691"/>
      <c r="C95" s="692"/>
      <c r="D95" s="692" t="s">
        <v>87</v>
      </c>
      <c r="E95" s="693"/>
      <c r="F95" s="694"/>
      <c r="G95" s="695">
        <f>[103]Source!AL732</f>
        <v>1.68</v>
      </c>
      <c r="H95" s="696" t="str">
        <f>[103]Source!DD732</f>
        <v/>
      </c>
      <c r="I95" s="694">
        <f>[103]Source!AW733</f>
        <v>1</v>
      </c>
      <c r="J95" s="697">
        <f>[103]Source!P732</f>
        <v>0.55000000000000004</v>
      </c>
      <c r="K95" s="694">
        <f>IF([103]Source!BC733&lt;&gt; 0, [103]Source!BC733, 1)</f>
        <v>5.58</v>
      </c>
      <c r="L95" s="697">
        <f>[103]Source!P733</f>
        <v>3.07</v>
      </c>
    </row>
    <row r="96" spans="1:22" ht="15" x14ac:dyDescent="0.25">
      <c r="A96" s="691">
        <v>7</v>
      </c>
      <c r="B96" s="691" t="str">
        <f>[103]Source!E734</f>
        <v>230</v>
      </c>
      <c r="C96" s="692" t="str">
        <f>[103]Source!F734</f>
        <v>1.1-1-455</v>
      </c>
      <c r="D96" s="692" t="s">
        <v>679</v>
      </c>
      <c r="E96" s="693" t="str">
        <f>[103]Source!H734</f>
        <v>т</v>
      </c>
      <c r="F96" s="694">
        <f>[103]Source!I734</f>
        <v>8.0490000000000006E-3</v>
      </c>
      <c r="G96" s="695">
        <f>[103]Source!AK734</f>
        <v>10337.290000000001</v>
      </c>
      <c r="H96" s="734" t="s">
        <v>42</v>
      </c>
      <c r="I96" s="694">
        <f>[103]Source!AW735</f>
        <v>1</v>
      </c>
      <c r="J96" s="697">
        <f>[103]Source!O734</f>
        <v>83.2</v>
      </c>
      <c r="K96" s="694">
        <f>IF([103]Source!BC735&lt;&gt; 0, [103]Source!BC735, 1)</f>
        <v>8.9499999999999993</v>
      </c>
      <c r="L96" s="697">
        <f>[103]Source!O735</f>
        <v>744.64</v>
      </c>
      <c r="Q96" s="718">
        <f>[103]Source!X734</f>
        <v>0</v>
      </c>
      <c r="R96" s="718">
        <f>[103]Source!X735</f>
        <v>0</v>
      </c>
      <c r="S96" s="718">
        <f>[103]Source!Y734</f>
        <v>0</v>
      </c>
      <c r="T96" s="718">
        <f>[103]Source!Y735</f>
        <v>0</v>
      </c>
      <c r="U96" s="718">
        <f>ROUND((175/100)*ROUND([103]Source!R734, 2), 2)</f>
        <v>0</v>
      </c>
      <c r="V96" s="718">
        <f>ROUND((157/100)*ROUND([103]Source!R735, 2), 2)</f>
        <v>0</v>
      </c>
    </row>
    <row r="97" spans="1:22" ht="15" x14ac:dyDescent="0.25">
      <c r="A97" s="691"/>
      <c r="B97" s="691"/>
      <c r="C97" s="692"/>
      <c r="D97" s="692" t="s">
        <v>88</v>
      </c>
      <c r="E97" s="693" t="s">
        <v>89</v>
      </c>
      <c r="F97" s="694">
        <f>[103]Source!DN733</f>
        <v>120</v>
      </c>
      <c r="G97" s="695"/>
      <c r="H97" s="696"/>
      <c r="I97" s="694"/>
      <c r="J97" s="697">
        <f>SUM(Q91:Q96)</f>
        <v>287.94</v>
      </c>
      <c r="K97" s="694">
        <f>[103]Source!BZ733</f>
        <v>88</v>
      </c>
      <c r="L97" s="697">
        <f>SUM(R91:R96)</f>
        <v>5116.3100000000004</v>
      </c>
    </row>
    <row r="98" spans="1:22" ht="15" x14ac:dyDescent="0.25">
      <c r="A98" s="691"/>
      <c r="B98" s="691"/>
      <c r="C98" s="692"/>
      <c r="D98" s="692" t="s">
        <v>90</v>
      </c>
      <c r="E98" s="693" t="s">
        <v>89</v>
      </c>
      <c r="F98" s="694">
        <f>[103]Source!DO733</f>
        <v>84</v>
      </c>
      <c r="G98" s="695"/>
      <c r="H98" s="696"/>
      <c r="I98" s="694"/>
      <c r="J98" s="697">
        <f>SUM(S91:S97)</f>
        <v>201.56</v>
      </c>
      <c r="K98" s="694">
        <f>[103]Source!CA733</f>
        <v>42</v>
      </c>
      <c r="L98" s="697">
        <f>SUM(T91:T97)</f>
        <v>2441.88</v>
      </c>
    </row>
    <row r="99" spans="1:22" ht="15" x14ac:dyDescent="0.25">
      <c r="A99" s="691"/>
      <c r="B99" s="691"/>
      <c r="C99" s="692"/>
      <c r="D99" s="692" t="s">
        <v>91</v>
      </c>
      <c r="E99" s="693" t="s">
        <v>89</v>
      </c>
      <c r="F99" s="694">
        <f>175</f>
        <v>175</v>
      </c>
      <c r="G99" s="695"/>
      <c r="H99" s="696"/>
      <c r="I99" s="694"/>
      <c r="J99" s="697">
        <f>SUM(U91:U98)-J106</f>
        <v>0.11</v>
      </c>
      <c r="K99" s="694">
        <f>157</f>
        <v>157</v>
      </c>
      <c r="L99" s="697">
        <f>SUM(V91:V98)-L106</f>
        <v>2.2799999999999998</v>
      </c>
    </row>
    <row r="100" spans="1:22" ht="15" x14ac:dyDescent="0.25">
      <c r="A100" s="772"/>
      <c r="B100" s="772"/>
      <c r="C100" s="773"/>
      <c r="D100" s="773" t="s">
        <v>92</v>
      </c>
      <c r="E100" s="774" t="s">
        <v>93</v>
      </c>
      <c r="F100" s="775">
        <f>[103]Source!AQ732</f>
        <v>36.9</v>
      </c>
      <c r="G100" s="776"/>
      <c r="H100" s="777" t="str">
        <f>[103]Source!DI732</f>
        <v/>
      </c>
      <c r="I100" s="775">
        <f>[103]Source!AV733</f>
        <v>1.0249999999999999</v>
      </c>
      <c r="J100" s="778">
        <f>[103]Source!U732</f>
        <v>12.38</v>
      </c>
      <c r="K100" s="775"/>
      <c r="L100" s="778"/>
    </row>
    <row r="101" spans="1:22" ht="14.25" x14ac:dyDescent="0.2">
      <c r="D101" s="731" t="s">
        <v>674</v>
      </c>
      <c r="I101" s="1069">
        <f>J92+J93+J95+J97+J98+J99+SUM(J96:J96)</f>
        <v>813.56</v>
      </c>
      <c r="J101" s="1069"/>
      <c r="K101" s="1069">
        <f>L92+L93+L95+L97+L98+L99+SUM(L96:L96)</f>
        <v>14124.7</v>
      </c>
      <c r="L101" s="1069"/>
      <c r="O101" s="736">
        <f>J92+J93+J95+J97+J98+J99+SUM(J96:J96)</f>
        <v>813.56</v>
      </c>
      <c r="P101" s="736">
        <f>L92+L93+L95+L97+L98+L99+SUM(L96:L96)</f>
        <v>14124.7</v>
      </c>
    </row>
    <row r="103" spans="1:22" ht="75" x14ac:dyDescent="0.25">
      <c r="A103" s="691">
        <v>8</v>
      </c>
      <c r="B103" s="691" t="str">
        <f>CONCATENATE([103]Source!E732, "/1")</f>
        <v>229/1</v>
      </c>
      <c r="C103" s="692" t="s">
        <v>768</v>
      </c>
      <c r="D103" s="692" t="s">
        <v>675</v>
      </c>
      <c r="E103" s="693" t="str">
        <f>[103]Source!H732</f>
        <v>100 м2 окрашиваемой поверхности</v>
      </c>
      <c r="F103" s="694">
        <f>[103]Source!I732</f>
        <v>0.32719999999999999</v>
      </c>
      <c r="G103" s="695"/>
      <c r="H103" s="696"/>
      <c r="I103" s="694"/>
      <c r="J103" s="697"/>
      <c r="K103" s="694"/>
      <c r="L103" s="697"/>
    </row>
    <row r="104" spans="1:22" ht="15" x14ac:dyDescent="0.25">
      <c r="A104" s="691"/>
      <c r="B104" s="691"/>
      <c r="C104" s="692"/>
      <c r="D104" s="692" t="s">
        <v>85</v>
      </c>
      <c r="E104" s="693"/>
      <c r="F104" s="694"/>
      <c r="G104" s="695">
        <f t="shared" ref="G104:L104" si="1">G105</f>
        <v>0.18</v>
      </c>
      <c r="H104" s="779" t="str">
        <f t="shared" si="1"/>
        <v>)*(1.67-1)</v>
      </c>
      <c r="I104" s="694">
        <f t="shared" si="1"/>
        <v>1.0249999999999999</v>
      </c>
      <c r="J104" s="697">
        <f t="shared" si="1"/>
        <v>0.04</v>
      </c>
      <c r="K104" s="694">
        <f t="shared" si="1"/>
        <v>24.23</v>
      </c>
      <c r="L104" s="697">
        <f t="shared" si="1"/>
        <v>0.97</v>
      </c>
    </row>
    <row r="105" spans="1:22" ht="15" x14ac:dyDescent="0.25">
      <c r="A105" s="691"/>
      <c r="B105" s="691"/>
      <c r="C105" s="692"/>
      <c r="D105" s="692" t="s">
        <v>86</v>
      </c>
      <c r="E105" s="693"/>
      <c r="F105" s="694"/>
      <c r="G105" s="695">
        <f>[103]Source!AN732</f>
        <v>0.18</v>
      </c>
      <c r="H105" s="779" t="s">
        <v>95</v>
      </c>
      <c r="I105" s="694">
        <f>[103]Source!AV733</f>
        <v>1.0249999999999999</v>
      </c>
      <c r="J105" s="700">
        <f>ROUND(F91*G105*I105*(1.67-1), 2)</f>
        <v>0.04</v>
      </c>
      <c r="K105" s="694">
        <f>IF([103]Source!BS733&lt;&gt; 0, [103]Source!BS733, 1)</f>
        <v>24.23</v>
      </c>
      <c r="L105" s="700">
        <f>ROUND(ROUND(F91*G105*I105*(1.67-1), 2)*K105, 2)</f>
        <v>0.97</v>
      </c>
    </row>
    <row r="106" spans="1:22" ht="15" x14ac:dyDescent="0.25">
      <c r="A106" s="691"/>
      <c r="B106" s="691"/>
      <c r="C106" s="692"/>
      <c r="D106" s="692" t="s">
        <v>91</v>
      </c>
      <c r="E106" s="693" t="s">
        <v>89</v>
      </c>
      <c r="F106" s="694">
        <f>175</f>
        <v>175</v>
      </c>
      <c r="G106" s="695"/>
      <c r="H106" s="696"/>
      <c r="I106" s="694"/>
      <c r="J106" s="697">
        <f>ROUND(J105*(F106/100), 2)</f>
        <v>7.0000000000000007E-2</v>
      </c>
      <c r="K106" s="694">
        <f>157</f>
        <v>157</v>
      </c>
      <c r="L106" s="697">
        <f>ROUND(L105*(K106/100), 2)</f>
        <v>1.52</v>
      </c>
    </row>
    <row r="107" spans="1:22" ht="14.25" x14ac:dyDescent="0.2">
      <c r="A107" s="737"/>
      <c r="B107" s="737"/>
      <c r="C107" s="737"/>
      <c r="D107" s="780" t="s">
        <v>674</v>
      </c>
      <c r="E107" s="737"/>
      <c r="F107" s="737"/>
      <c r="G107" s="737"/>
      <c r="H107" s="737"/>
      <c r="I107" s="1067">
        <f>J106+J105</f>
        <v>0.11</v>
      </c>
      <c r="J107" s="1067"/>
      <c r="K107" s="1067">
        <f>L106+L105</f>
        <v>2.4900000000000002</v>
      </c>
      <c r="L107" s="1067"/>
      <c r="O107" s="736">
        <f>I107</f>
        <v>0.11</v>
      </c>
      <c r="P107" s="736">
        <f>K107</f>
        <v>2.4900000000000002</v>
      </c>
    </row>
    <row r="109" spans="1:22" ht="53.25" x14ac:dyDescent="0.25">
      <c r="A109" s="691">
        <v>9</v>
      </c>
      <c r="B109" s="691" t="str">
        <f>[103]Source!E736</f>
        <v>231</v>
      </c>
      <c r="C109" s="692" t="s">
        <v>769</v>
      </c>
      <c r="D109" s="692" t="s">
        <v>680</v>
      </c>
      <c r="E109" s="693" t="str">
        <f>[103]Source!H736</f>
        <v>100 м2</v>
      </c>
      <c r="F109" s="694">
        <f>[103]Source!I736</f>
        <v>2.8000000000000001E-2</v>
      </c>
      <c r="G109" s="695"/>
      <c r="H109" s="696"/>
      <c r="I109" s="694"/>
      <c r="J109" s="697"/>
      <c r="K109" s="694"/>
      <c r="L109" s="697"/>
      <c r="Q109" s="718">
        <f>[103]Source!X736</f>
        <v>3.11</v>
      </c>
      <c r="R109" s="718">
        <f>[103]Source!X737</f>
        <v>60.96</v>
      </c>
      <c r="S109" s="718">
        <f>[103]Source!Y736</f>
        <v>2.2799999999999998</v>
      </c>
      <c r="T109" s="718">
        <f>[103]Source!Y737</f>
        <v>29.41</v>
      </c>
      <c r="U109" s="718">
        <f>ROUND((175/100)*ROUND([103]Source!R736, 2), 2)</f>
        <v>0.39</v>
      </c>
      <c r="V109" s="718">
        <f>ROUND((157/100)*ROUND([103]Source!R737, 2), 2)</f>
        <v>8.3699999999999992</v>
      </c>
    </row>
    <row r="110" spans="1:22" ht="15" x14ac:dyDescent="0.25">
      <c r="A110" s="691"/>
      <c r="B110" s="691"/>
      <c r="C110" s="692"/>
      <c r="D110" s="692" t="s">
        <v>84</v>
      </c>
      <c r="E110" s="693"/>
      <c r="F110" s="694"/>
      <c r="G110" s="695">
        <f>[103]Source!AO736</f>
        <v>30.23</v>
      </c>
      <c r="H110" s="696" t="str">
        <f>[103]Source!DG736</f>
        <v>)*1,67)*2</v>
      </c>
      <c r="I110" s="694">
        <f>[103]Source!AV737</f>
        <v>1.0469999999999999</v>
      </c>
      <c r="J110" s="697">
        <f>[103]Source!S736</f>
        <v>2.96</v>
      </c>
      <c r="K110" s="694">
        <f>IF([103]Source!BA737&lt;&gt; 0, [103]Source!BA737, 1)</f>
        <v>24.23</v>
      </c>
      <c r="L110" s="697">
        <f>[103]Source!S737</f>
        <v>71.72</v>
      </c>
    </row>
    <row r="111" spans="1:22" ht="15" x14ac:dyDescent="0.25">
      <c r="A111" s="691"/>
      <c r="B111" s="691"/>
      <c r="C111" s="692"/>
      <c r="D111" s="692" t="s">
        <v>85</v>
      </c>
      <c r="E111" s="693"/>
      <c r="F111" s="694"/>
      <c r="G111" s="695">
        <f>[103]Source!AM736</f>
        <v>22.38</v>
      </c>
      <c r="H111" s="696" t="str">
        <f>[103]Source!DE736</f>
        <v>)*2</v>
      </c>
      <c r="I111" s="694">
        <f>[103]Source!AV737</f>
        <v>1.0469999999999999</v>
      </c>
      <c r="J111" s="697">
        <f>[103]Source!Q736-J122</f>
        <v>1.31</v>
      </c>
      <c r="K111" s="694">
        <f>IF([103]Source!BB737&lt;&gt; 0, [103]Source!BB737, 1)</f>
        <v>6.42</v>
      </c>
      <c r="L111" s="697">
        <f>[103]Source!Q737-L122</f>
        <v>8.41</v>
      </c>
    </row>
    <row r="112" spans="1:22" ht="15" x14ac:dyDescent="0.25">
      <c r="A112" s="691"/>
      <c r="B112" s="691"/>
      <c r="C112" s="692"/>
      <c r="D112" s="692" t="s">
        <v>86</v>
      </c>
      <c r="E112" s="693"/>
      <c r="F112" s="694"/>
      <c r="G112" s="695">
        <f>[103]Source!AN736</f>
        <v>2.2200000000000002</v>
      </c>
      <c r="H112" s="696" t="str">
        <f>[103]Source!DE736</f>
        <v>)*2</v>
      </c>
      <c r="I112" s="694">
        <f>[103]Source!AV737</f>
        <v>1.0469999999999999</v>
      </c>
      <c r="J112" s="700">
        <f>[103]Source!R736-J123</f>
        <v>0.13</v>
      </c>
      <c r="K112" s="694">
        <f>IF([103]Source!BS737&lt;&gt; 0, [103]Source!BS737, 1)</f>
        <v>24.23</v>
      </c>
      <c r="L112" s="700">
        <f>[103]Source!R737-L123</f>
        <v>3.15</v>
      </c>
    </row>
    <row r="113" spans="1:22" ht="15" x14ac:dyDescent="0.25">
      <c r="A113" s="691"/>
      <c r="B113" s="691"/>
      <c r="C113" s="692"/>
      <c r="D113" s="692" t="s">
        <v>87</v>
      </c>
      <c r="E113" s="693"/>
      <c r="F113" s="694"/>
      <c r="G113" s="695">
        <f>[103]Source!AL736</f>
        <v>20.16</v>
      </c>
      <c r="H113" s="696" t="str">
        <f>[103]Source!DD736</f>
        <v>)*2</v>
      </c>
      <c r="I113" s="694">
        <f>[103]Source!AW737</f>
        <v>1</v>
      </c>
      <c r="J113" s="697">
        <f>[103]Source!P736</f>
        <v>1.1299999999999999</v>
      </c>
      <c r="K113" s="694">
        <f>IF([103]Source!BC737&lt;&gt; 0, [103]Source!BC737, 1)</f>
        <v>7.86</v>
      </c>
      <c r="L113" s="697">
        <f>[103]Source!P737</f>
        <v>8.8800000000000008</v>
      </c>
    </row>
    <row r="114" spans="1:22" ht="45" x14ac:dyDescent="0.25">
      <c r="A114" s="691">
        <v>10</v>
      </c>
      <c r="B114" s="691" t="str">
        <f>[103]Source!E738</f>
        <v>232</v>
      </c>
      <c r="C114" s="692" t="str">
        <f>[103]Source!F738</f>
        <v>1.1-1-413</v>
      </c>
      <c r="D114" s="692" t="s">
        <v>681</v>
      </c>
      <c r="E114" s="693" t="str">
        <f>[103]Source!H738</f>
        <v>кг</v>
      </c>
      <c r="F114" s="694">
        <f>[103]Source!I738</f>
        <v>1.008</v>
      </c>
      <c r="G114" s="695">
        <f>[103]Source!AK738</f>
        <v>47.9</v>
      </c>
      <c r="H114" s="734" t="s">
        <v>42</v>
      </c>
      <c r="I114" s="694">
        <f>[103]Source!AW739</f>
        <v>1</v>
      </c>
      <c r="J114" s="697">
        <f>[103]Source!O738</f>
        <v>48.28</v>
      </c>
      <c r="K114" s="694">
        <f>IF([103]Source!BC739&lt;&gt; 0, [103]Source!BC739, 1)</f>
        <v>2.66</v>
      </c>
      <c r="L114" s="697">
        <f>[103]Source!O739</f>
        <v>128.41999999999999</v>
      </c>
      <c r="Q114" s="718">
        <f>[103]Source!X738</f>
        <v>0</v>
      </c>
      <c r="R114" s="718">
        <f>[103]Source!X739</f>
        <v>0</v>
      </c>
      <c r="S114" s="718">
        <f>[103]Source!Y738</f>
        <v>0</v>
      </c>
      <c r="T114" s="718">
        <f>[103]Source!Y739</f>
        <v>0</v>
      </c>
      <c r="U114" s="718">
        <f>ROUND((175/100)*ROUND([103]Source!R738, 2), 2)</f>
        <v>0</v>
      </c>
      <c r="V114" s="718">
        <f>ROUND((157/100)*ROUND([103]Source!R739, 2), 2)</f>
        <v>0</v>
      </c>
    </row>
    <row r="115" spans="1:22" ht="15" x14ac:dyDescent="0.25">
      <c r="A115" s="691"/>
      <c r="B115" s="691"/>
      <c r="C115" s="692"/>
      <c r="D115" s="692" t="s">
        <v>88</v>
      </c>
      <c r="E115" s="693" t="s">
        <v>89</v>
      </c>
      <c r="F115" s="694">
        <f>[103]Source!DN737</f>
        <v>105</v>
      </c>
      <c r="G115" s="695"/>
      <c r="H115" s="696"/>
      <c r="I115" s="694"/>
      <c r="J115" s="697">
        <f>SUM(Q109:Q114)</f>
        <v>3.11</v>
      </c>
      <c r="K115" s="694">
        <f>[103]Source!BZ737</f>
        <v>85</v>
      </c>
      <c r="L115" s="697">
        <f>SUM(R109:R114)</f>
        <v>60.96</v>
      </c>
    </row>
    <row r="116" spans="1:22" ht="15" x14ac:dyDescent="0.25">
      <c r="A116" s="691"/>
      <c r="B116" s="691"/>
      <c r="C116" s="692"/>
      <c r="D116" s="692" t="s">
        <v>90</v>
      </c>
      <c r="E116" s="693" t="s">
        <v>89</v>
      </c>
      <c r="F116" s="694">
        <f>[103]Source!DO737</f>
        <v>77</v>
      </c>
      <c r="G116" s="695"/>
      <c r="H116" s="696"/>
      <c r="I116" s="694"/>
      <c r="J116" s="697">
        <f>SUM(S109:S115)</f>
        <v>2.2799999999999998</v>
      </c>
      <c r="K116" s="694">
        <f>[103]Source!CA737</f>
        <v>41</v>
      </c>
      <c r="L116" s="697">
        <f>SUM(T109:T115)</f>
        <v>29.41</v>
      </c>
    </row>
    <row r="117" spans="1:22" ht="15" x14ac:dyDescent="0.25">
      <c r="A117" s="691"/>
      <c r="B117" s="691"/>
      <c r="C117" s="692"/>
      <c r="D117" s="692" t="s">
        <v>91</v>
      </c>
      <c r="E117" s="693" t="s">
        <v>89</v>
      </c>
      <c r="F117" s="694">
        <f>175</f>
        <v>175</v>
      </c>
      <c r="G117" s="695"/>
      <c r="H117" s="696"/>
      <c r="I117" s="694"/>
      <c r="J117" s="697">
        <f>SUM(U109:U116)-J124</f>
        <v>0.23</v>
      </c>
      <c r="K117" s="694">
        <f>157</f>
        <v>157</v>
      </c>
      <c r="L117" s="697">
        <f>SUM(V109:V116)-L124</f>
        <v>4.95</v>
      </c>
    </row>
    <row r="118" spans="1:22" ht="15" x14ac:dyDescent="0.25">
      <c r="A118" s="772"/>
      <c r="B118" s="772"/>
      <c r="C118" s="773"/>
      <c r="D118" s="773" t="s">
        <v>92</v>
      </c>
      <c r="E118" s="774" t="s">
        <v>93</v>
      </c>
      <c r="F118" s="775">
        <f>[103]Source!AQ736</f>
        <v>2.54</v>
      </c>
      <c r="G118" s="776"/>
      <c r="H118" s="777" t="str">
        <f>[103]Source!DI736</f>
        <v>)*2</v>
      </c>
      <c r="I118" s="775">
        <f>[103]Source!AV737</f>
        <v>1.0469999999999999</v>
      </c>
      <c r="J118" s="778">
        <f>[103]Source!U736</f>
        <v>0.15</v>
      </c>
      <c r="K118" s="775"/>
      <c r="L118" s="778"/>
    </row>
    <row r="119" spans="1:22" ht="14.25" x14ac:dyDescent="0.2">
      <c r="D119" s="731" t="s">
        <v>674</v>
      </c>
      <c r="I119" s="1069">
        <f>J110+J111+J113+J115+J116+J117+SUM(J114:J114)</f>
        <v>59.3</v>
      </c>
      <c r="J119" s="1069"/>
      <c r="K119" s="1069">
        <f>L110+L111+L113+L115+L116+L117+SUM(L114:L114)</f>
        <v>312.75</v>
      </c>
      <c r="L119" s="1069"/>
      <c r="O119" s="736">
        <f>J110+J111+J113+J115+J116+J117+SUM(J114:J114)</f>
        <v>59.3</v>
      </c>
      <c r="P119" s="736">
        <f>L110+L111+L113+L115+L116+L117+SUM(L114:L114)</f>
        <v>312.75</v>
      </c>
    </row>
    <row r="121" spans="1:22" ht="53.25" x14ac:dyDescent="0.25">
      <c r="A121" s="691">
        <v>11</v>
      </c>
      <c r="B121" s="691" t="str">
        <f>CONCATENATE([103]Source!E736, "/1")</f>
        <v>231/1</v>
      </c>
      <c r="C121" s="692" t="s">
        <v>770</v>
      </c>
      <c r="D121" s="692" t="s">
        <v>675</v>
      </c>
      <c r="E121" s="693" t="str">
        <f>[103]Source!H736</f>
        <v>100 м2</v>
      </c>
      <c r="F121" s="694">
        <f>[103]Source!I736</f>
        <v>2.8000000000000001E-2</v>
      </c>
      <c r="G121" s="695"/>
      <c r="H121" s="696"/>
      <c r="I121" s="694"/>
      <c r="J121" s="697"/>
      <c r="K121" s="694"/>
      <c r="L121" s="697"/>
    </row>
    <row r="122" spans="1:22" ht="15" x14ac:dyDescent="0.25">
      <c r="A122" s="691"/>
      <c r="B122" s="691"/>
      <c r="C122" s="692"/>
      <c r="D122" s="692" t="s">
        <v>85</v>
      </c>
      <c r="E122" s="693"/>
      <c r="F122" s="694"/>
      <c r="G122" s="695">
        <f t="shared" ref="G122:L122" si="2">G123</f>
        <v>2.2200000000000002</v>
      </c>
      <c r="H122" s="779" t="str">
        <f t="shared" si="2"/>
        <v>)*(1.67-1)*2</v>
      </c>
      <c r="I122" s="694">
        <f t="shared" si="2"/>
        <v>1.0469999999999999</v>
      </c>
      <c r="J122" s="697">
        <f t="shared" si="2"/>
        <v>0.09</v>
      </c>
      <c r="K122" s="694">
        <f t="shared" si="2"/>
        <v>24.23</v>
      </c>
      <c r="L122" s="697">
        <f t="shared" si="2"/>
        <v>2.1800000000000002</v>
      </c>
    </row>
    <row r="123" spans="1:22" ht="15" x14ac:dyDescent="0.25">
      <c r="A123" s="691"/>
      <c r="B123" s="691"/>
      <c r="C123" s="692"/>
      <c r="D123" s="692" t="s">
        <v>86</v>
      </c>
      <c r="E123" s="693"/>
      <c r="F123" s="694"/>
      <c r="G123" s="695">
        <f>[103]Source!AN736</f>
        <v>2.2200000000000002</v>
      </c>
      <c r="H123" s="779" t="s">
        <v>682</v>
      </c>
      <c r="I123" s="694">
        <f>[103]Source!AV737</f>
        <v>1.0469999999999999</v>
      </c>
      <c r="J123" s="700">
        <f>ROUND(F109*G123*I123*(1.67-1)*2, 2)</f>
        <v>0.09</v>
      </c>
      <c r="K123" s="694">
        <f>IF([103]Source!BS737&lt;&gt; 0, [103]Source!BS737, 1)</f>
        <v>24.23</v>
      </c>
      <c r="L123" s="700">
        <f>ROUND(ROUND(F109*G123*I123*(1.67-1)*2, 2)*K123, 2)</f>
        <v>2.1800000000000002</v>
      </c>
    </row>
    <row r="124" spans="1:22" ht="15" x14ac:dyDescent="0.25">
      <c r="A124" s="691"/>
      <c r="B124" s="691"/>
      <c r="C124" s="692"/>
      <c r="D124" s="692" t="s">
        <v>91</v>
      </c>
      <c r="E124" s="693" t="s">
        <v>89</v>
      </c>
      <c r="F124" s="694">
        <f>175</f>
        <v>175</v>
      </c>
      <c r="G124" s="695"/>
      <c r="H124" s="696"/>
      <c r="I124" s="694"/>
      <c r="J124" s="697">
        <f>ROUND(J123*(F124/100), 2)</f>
        <v>0.16</v>
      </c>
      <c r="K124" s="694">
        <f>157</f>
        <v>157</v>
      </c>
      <c r="L124" s="697">
        <f>ROUND(L123*(K124/100), 2)</f>
        <v>3.42</v>
      </c>
    </row>
    <row r="125" spans="1:22" ht="14.25" x14ac:dyDescent="0.2">
      <c r="A125" s="737"/>
      <c r="B125" s="737"/>
      <c r="C125" s="737"/>
      <c r="D125" s="780" t="s">
        <v>674</v>
      </c>
      <c r="E125" s="737"/>
      <c r="F125" s="737"/>
      <c r="G125" s="737"/>
      <c r="H125" s="737"/>
      <c r="I125" s="1067">
        <f>J124+J123</f>
        <v>0.25</v>
      </c>
      <c r="J125" s="1067"/>
      <c r="K125" s="1067">
        <f>L124+L123</f>
        <v>5.6</v>
      </c>
      <c r="L125" s="1067"/>
      <c r="O125" s="736">
        <f>I125</f>
        <v>0.25</v>
      </c>
      <c r="P125" s="736">
        <f>K125</f>
        <v>5.6</v>
      </c>
    </row>
    <row r="127" spans="1:22" ht="90" x14ac:dyDescent="0.25">
      <c r="A127" s="772">
        <v>12</v>
      </c>
      <c r="B127" s="772" t="str">
        <f>[103]Source!E742</f>
        <v>234</v>
      </c>
      <c r="C127" s="773" t="str">
        <f>[103]Source!F742</f>
        <v>1.7-5-155</v>
      </c>
      <c r="D127" s="773" t="s">
        <v>683</v>
      </c>
      <c r="E127" s="774" t="str">
        <f>[103]Source!H742</f>
        <v>шт.</v>
      </c>
      <c r="F127" s="775">
        <f>[103]Source!I742</f>
        <v>60</v>
      </c>
      <c r="G127" s="776">
        <f>[103]Source!AL742</f>
        <v>25.33</v>
      </c>
      <c r="H127" s="777" t="str">
        <f>[103]Source!DD742</f>
        <v/>
      </c>
      <c r="I127" s="775">
        <f>[103]Source!AW743</f>
        <v>1</v>
      </c>
      <c r="J127" s="778">
        <f>[103]Source!P742</f>
        <v>1519.8</v>
      </c>
      <c r="K127" s="775">
        <f>IF([103]Source!BC743&lt;&gt; 0, [103]Source!BC743, 1)</f>
        <v>5.69</v>
      </c>
      <c r="L127" s="778">
        <f>[103]Source!P743</f>
        <v>8647.66</v>
      </c>
      <c r="Q127" s="718">
        <f>[103]Source!X742</f>
        <v>0</v>
      </c>
      <c r="R127" s="718">
        <f>[103]Source!X743</f>
        <v>0</v>
      </c>
      <c r="S127" s="718">
        <f>[103]Source!Y742</f>
        <v>0</v>
      </c>
      <c r="T127" s="718">
        <f>[103]Source!Y743</f>
        <v>0</v>
      </c>
      <c r="U127" s="718">
        <f>ROUND((175/100)*ROUND([103]Source!R742, 2), 2)</f>
        <v>0</v>
      </c>
      <c r="V127" s="718">
        <f>ROUND((157/100)*ROUND([103]Source!R743, 2), 2)</f>
        <v>0</v>
      </c>
    </row>
    <row r="128" spans="1:22" ht="14.25" x14ac:dyDescent="0.2">
      <c r="A128" s="737"/>
      <c r="B128" s="737"/>
      <c r="C128" s="737"/>
      <c r="D128" s="780" t="s">
        <v>674</v>
      </c>
      <c r="E128" s="737"/>
      <c r="F128" s="737"/>
      <c r="G128" s="737"/>
      <c r="H128" s="737"/>
      <c r="I128" s="1067">
        <f>J127</f>
        <v>1519.8</v>
      </c>
      <c r="J128" s="1067"/>
      <c r="K128" s="1067">
        <f>L127</f>
        <v>8647.66</v>
      </c>
      <c r="L128" s="1067"/>
      <c r="O128" s="736">
        <f>J127</f>
        <v>1519.8</v>
      </c>
      <c r="P128" s="736">
        <f>L127</f>
        <v>8647.66</v>
      </c>
    </row>
    <row r="130" spans="1:32" ht="60" x14ac:dyDescent="0.25">
      <c r="A130" s="772">
        <v>13</v>
      </c>
      <c r="B130" s="772" t="str">
        <f>[103]Source!E744</f>
        <v>235</v>
      </c>
      <c r="C130" s="773" t="str">
        <f>[103]Source!F744</f>
        <v>1.7-5-240</v>
      </c>
      <c r="D130" s="773" t="s">
        <v>684</v>
      </c>
      <c r="E130" s="774" t="str">
        <f>[103]Source!H744</f>
        <v>100 шт.</v>
      </c>
      <c r="F130" s="775">
        <f>[103]Source!I744</f>
        <v>0.06</v>
      </c>
      <c r="G130" s="776">
        <f>[103]Source!AL744</f>
        <v>617.04</v>
      </c>
      <c r="H130" s="777" t="str">
        <f>[103]Source!DD744</f>
        <v/>
      </c>
      <c r="I130" s="775">
        <f>[103]Source!AW745</f>
        <v>1</v>
      </c>
      <c r="J130" s="778">
        <f>[103]Source!P744</f>
        <v>37.020000000000003</v>
      </c>
      <c r="K130" s="775">
        <f>IF([103]Source!BC745&lt;&gt; 0, [103]Source!BC745, 1)</f>
        <v>7.42</v>
      </c>
      <c r="L130" s="778">
        <f>[103]Source!P745</f>
        <v>274.69</v>
      </c>
      <c r="Q130" s="718">
        <f>[103]Source!X744</f>
        <v>0</v>
      </c>
      <c r="R130" s="718">
        <f>[103]Source!X745</f>
        <v>0</v>
      </c>
      <c r="S130" s="718">
        <f>[103]Source!Y744</f>
        <v>0</v>
      </c>
      <c r="T130" s="718">
        <f>[103]Source!Y745</f>
        <v>0</v>
      </c>
      <c r="U130" s="718">
        <f>ROUND((175/100)*ROUND([103]Source!R744, 2), 2)</f>
        <v>0</v>
      </c>
      <c r="V130" s="718">
        <f>ROUND((157/100)*ROUND([103]Source!R745, 2), 2)</f>
        <v>0</v>
      </c>
    </row>
    <row r="131" spans="1:32" ht="14.25" x14ac:dyDescent="0.2">
      <c r="A131" s="737"/>
      <c r="B131" s="737"/>
      <c r="C131" s="737"/>
      <c r="D131" s="780" t="s">
        <v>674</v>
      </c>
      <c r="E131" s="737"/>
      <c r="F131" s="737"/>
      <c r="G131" s="737"/>
      <c r="H131" s="737"/>
      <c r="I131" s="1067">
        <f>J130</f>
        <v>37.020000000000003</v>
      </c>
      <c r="J131" s="1067"/>
      <c r="K131" s="1067">
        <f>L130</f>
        <v>274.69</v>
      </c>
      <c r="L131" s="1067"/>
      <c r="O131" s="736">
        <f>J130</f>
        <v>37.020000000000003</v>
      </c>
      <c r="P131" s="736">
        <f>L130</f>
        <v>274.69</v>
      </c>
    </row>
    <row r="133" spans="1:32" hidden="1" x14ac:dyDescent="0.2"/>
    <row r="134" spans="1:32" ht="16.5" hidden="1" x14ac:dyDescent="0.25">
      <c r="A134" s="1066" t="str">
        <f>CONCATENATE("Подраздел: ",IF([103]Source!G747&lt;&gt;"Новый подраздел", [103]Source!G747, ""))</f>
        <v>Подраздел: ОБОРУДОВАНИЕ</v>
      </c>
      <c r="B134" s="1066"/>
      <c r="C134" s="1066"/>
      <c r="D134" s="1066"/>
      <c r="E134" s="1066"/>
      <c r="F134" s="1066"/>
      <c r="G134" s="1066"/>
      <c r="H134" s="1066"/>
      <c r="I134" s="1066"/>
      <c r="J134" s="1066"/>
      <c r="K134" s="1066"/>
      <c r="L134" s="1066"/>
    </row>
    <row r="135" spans="1:32" hidden="1" x14ac:dyDescent="0.2"/>
    <row r="136" spans="1:32" ht="14.25" hidden="1" x14ac:dyDescent="0.2">
      <c r="A136" s="1068" t="str">
        <f>CONCATENATE("Итого по подразделу: ",IF([103]Source!G754&lt;&gt;"Новый подраздел", [103]Source!G754, ""))</f>
        <v>Итого по подразделу: ОБОРУДОВАНИЕ</v>
      </c>
      <c r="B136" s="1068"/>
      <c r="C136" s="1068"/>
      <c r="D136" s="1068"/>
      <c r="E136" s="1068"/>
      <c r="F136" s="1068"/>
      <c r="G136" s="1068"/>
      <c r="H136" s="1068"/>
      <c r="I136" s="1069">
        <f>SUM(O134:O135)</f>
        <v>0</v>
      </c>
      <c r="J136" s="1070"/>
      <c r="K136" s="1069">
        <f>SUM(P134:P135)</f>
        <v>0</v>
      </c>
      <c r="L136" s="1070"/>
    </row>
    <row r="137" spans="1:32" hidden="1" x14ac:dyDescent="0.2">
      <c r="A137" s="718" t="s">
        <v>139</v>
      </c>
      <c r="J137" s="718">
        <f>SUM(W134:W136)</f>
        <v>0</v>
      </c>
      <c r="K137" s="718">
        <f>SUM(X134:X136)</f>
        <v>0</v>
      </c>
    </row>
    <row r="138" spans="1:32" hidden="1" x14ac:dyDescent="0.2">
      <c r="A138" s="718" t="s">
        <v>140</v>
      </c>
      <c r="J138" s="718">
        <f>SUM(Y134:Y137)</f>
        <v>0</v>
      </c>
      <c r="K138" s="718">
        <f>SUM(Z134:Z137)</f>
        <v>0</v>
      </c>
    </row>
    <row r="140" spans="1:32" ht="14.25" x14ac:dyDescent="0.2">
      <c r="A140" s="1068" t="str">
        <f>CONCATENATE("Итого по разделу: ",IF([103]Source!G784&lt;&gt;"Новый раздел", [103]Source!G784, ""))</f>
        <v>Итого по разделу: Водоотвод напорный (К2Н)</v>
      </c>
      <c r="B140" s="1068"/>
      <c r="C140" s="1068"/>
      <c r="D140" s="1068"/>
      <c r="E140" s="1068"/>
      <c r="F140" s="1068"/>
      <c r="G140" s="1068"/>
      <c r="H140" s="1068"/>
      <c r="I140" s="1069">
        <f>SUM(O66:O139)</f>
        <v>27076.9</v>
      </c>
      <c r="J140" s="1070"/>
      <c r="K140" s="1069">
        <f>SUM(P66:P139)</f>
        <v>261949.43</v>
      </c>
      <c r="L140" s="1070"/>
    </row>
    <row r="141" spans="1:32" hidden="1" x14ac:dyDescent="0.2">
      <c r="A141" s="718" t="s">
        <v>139</v>
      </c>
      <c r="J141" s="718">
        <f>SUM(W66:W140)</f>
        <v>0</v>
      </c>
      <c r="K141" s="718">
        <f>SUM(X66:X140)</f>
        <v>0</v>
      </c>
    </row>
    <row r="142" spans="1:32" hidden="1" x14ac:dyDescent="0.2">
      <c r="A142" s="718" t="s">
        <v>140</v>
      </c>
      <c r="J142" s="718">
        <f>SUM(Y66:Y141)</f>
        <v>0</v>
      </c>
      <c r="K142" s="718">
        <f>SUM(Z66:Z141)</f>
        <v>0</v>
      </c>
    </row>
    <row r="143" spans="1:32" hidden="1" x14ac:dyDescent="0.2"/>
    <row r="144" spans="1:32" ht="28.5" hidden="1" x14ac:dyDescent="0.2">
      <c r="A144" s="1068" t="str">
        <f>CONCATENATE("Итого по локальной смете: ",IF([103]Source!G814&lt;&gt;"Новая локальная смета", [103]Source!G814, ""))</f>
        <v>Итого по локальной смете: Вестибюль №2. Внутренние инженерные системы. Водоснабжение и водоотведение</v>
      </c>
      <c r="B144" s="1068"/>
      <c r="C144" s="1068"/>
      <c r="D144" s="1068"/>
      <c r="E144" s="1068"/>
      <c r="F144" s="1068"/>
      <c r="G144" s="1068"/>
      <c r="H144" s="1068"/>
      <c r="I144" s="1069">
        <f>SUM(O22:O143)</f>
        <v>27076.9</v>
      </c>
      <c r="J144" s="1070"/>
      <c r="K144" s="1069">
        <f>SUM(P22:P143)</f>
        <v>261949.43</v>
      </c>
      <c r="L144" s="1070"/>
      <c r="AF144" s="712" t="str">
        <f>CONCATENATE("Итого по локальной смете: ",IF([103]Source!G814&lt;&gt;"Новая локальная смета", [103]Source!G814, ""))</f>
        <v>Итого по локальной смете: Вестибюль №2. Внутренние инженерные системы. Водоснабжение и водоотведение</v>
      </c>
    </row>
    <row r="145" spans="1:32" hidden="1" x14ac:dyDescent="0.2">
      <c r="A145" s="718" t="s">
        <v>139</v>
      </c>
      <c r="J145" s="718">
        <f>SUM(W22:W144)</f>
        <v>0</v>
      </c>
      <c r="K145" s="718">
        <f>SUM(X22:X144)</f>
        <v>0</v>
      </c>
    </row>
    <row r="146" spans="1:32" hidden="1" x14ac:dyDescent="0.2">
      <c r="A146" s="718" t="s">
        <v>140</v>
      </c>
      <c r="J146" s="718">
        <f>SUM(Y22:Y145)</f>
        <v>0</v>
      </c>
      <c r="K146" s="718">
        <f>SUM(Z22:Z145)</f>
        <v>0</v>
      </c>
    </row>
    <row r="148" spans="1:32" ht="14.25" x14ac:dyDescent="0.2">
      <c r="A148" s="1068" t="s">
        <v>709</v>
      </c>
      <c r="B148" s="1068"/>
      <c r="C148" s="1068"/>
      <c r="D148" s="1068"/>
      <c r="E148" s="1068"/>
      <c r="F148" s="1068"/>
      <c r="G148" s="1068"/>
      <c r="H148" s="1068"/>
      <c r="I148" s="1069">
        <f>SUM(O10:O147)</f>
        <v>27076.9</v>
      </c>
      <c r="J148" s="1070"/>
      <c r="K148" s="1069">
        <f>SUM(P10:P147)</f>
        <v>261949.43</v>
      </c>
      <c r="L148" s="1070"/>
      <c r="AF148" s="712" t="str">
        <f>CONCATENATE("Итого по акту: ",IF([103]Source!G844&lt;&gt;"Новый объект", [103]Source!G844, ""))</f>
        <v>Итого по акту: 48809-ТПК_5-0673-Р-ССР2-изм 1.1 12-4017-Л-Р-11.4.3.2-ВК-СМ1К</v>
      </c>
    </row>
    <row r="149" spans="1:32" hidden="1" x14ac:dyDescent="0.2">
      <c r="A149" s="718" t="s">
        <v>139</v>
      </c>
      <c r="J149" s="718">
        <f>SUM(W10:W148)</f>
        <v>0</v>
      </c>
      <c r="K149" s="718">
        <f>SUM(X10:X148)</f>
        <v>0</v>
      </c>
    </row>
    <row r="150" spans="1:32" hidden="1" x14ac:dyDescent="0.2">
      <c r="A150" s="718" t="s">
        <v>140</v>
      </c>
      <c r="J150" s="718">
        <f>SUM(Y10:Y149)</f>
        <v>0</v>
      </c>
      <c r="K150" s="718">
        <f>SUM(Z10:Z149)</f>
        <v>0</v>
      </c>
    </row>
    <row r="151" spans="1:32" ht="15" x14ac:dyDescent="0.25">
      <c r="D151" s="1074" t="str">
        <f>[103]Source!H873</f>
        <v>Стоимость материалов (всего)</v>
      </c>
      <c r="E151" s="1074"/>
      <c r="F151" s="1074"/>
      <c r="G151" s="1074"/>
      <c r="H151" s="1074"/>
      <c r="I151" s="1073">
        <f>[103]Source!F873</f>
        <v>19904.490000000002</v>
      </c>
      <c r="J151" s="1073"/>
      <c r="K151" s="1073">
        <f>[103]Source!P873</f>
        <v>130920.47</v>
      </c>
      <c r="L151" s="1073"/>
    </row>
    <row r="152" spans="1:32" ht="15" x14ac:dyDescent="0.25">
      <c r="D152" s="1074" t="str">
        <f>[103]Source!H874</f>
        <v>ЗП машинистов</v>
      </c>
      <c r="E152" s="1074"/>
      <c r="F152" s="1074"/>
      <c r="G152" s="1074"/>
      <c r="H152" s="1074"/>
      <c r="I152" s="1073">
        <f>[103]Source!F874</f>
        <v>79.3</v>
      </c>
      <c r="J152" s="1073"/>
      <c r="K152" s="1073">
        <f>[103]Source!P874</f>
        <v>1921.44</v>
      </c>
      <c r="L152" s="1073"/>
    </row>
    <row r="153" spans="1:32" ht="15" x14ac:dyDescent="0.25">
      <c r="D153" s="1074" t="str">
        <f>[103]Source!H875</f>
        <v>Основная ЗП рабочих</v>
      </c>
      <c r="E153" s="1074"/>
      <c r="F153" s="1074"/>
      <c r="G153" s="1074"/>
      <c r="H153" s="1074"/>
      <c r="I153" s="1073">
        <f>[103]Source!F875</f>
        <v>2116.5700000000002</v>
      </c>
      <c r="J153" s="1073"/>
      <c r="K153" s="1073">
        <f>[103]Source!P875</f>
        <v>51284.49</v>
      </c>
      <c r="L153" s="1073"/>
    </row>
    <row r="154" spans="1:32" ht="15" x14ac:dyDescent="0.25">
      <c r="D154" s="1074"/>
      <c r="E154" s="1074"/>
      <c r="F154" s="1074"/>
      <c r="G154" s="1074"/>
      <c r="H154" s="1074"/>
      <c r="I154" s="1073"/>
      <c r="J154" s="1073"/>
      <c r="K154" s="1073"/>
      <c r="L154" s="1073"/>
    </row>
    <row r="155" spans="1:32" ht="15" x14ac:dyDescent="0.25">
      <c r="D155" s="717" t="s">
        <v>268</v>
      </c>
      <c r="J155" s="719">
        <f>I148</f>
        <v>27076.9</v>
      </c>
      <c r="K155" s="719"/>
      <c r="L155" s="719">
        <f>K148</f>
        <v>261949.43</v>
      </c>
    </row>
    <row r="156" spans="1:32" ht="15" x14ac:dyDescent="0.25">
      <c r="D156" s="717" t="s">
        <v>3</v>
      </c>
      <c r="J156" s="719">
        <f>J155</f>
        <v>27076.9</v>
      </c>
      <c r="K156" s="719"/>
      <c r="L156" s="719">
        <f>L155</f>
        <v>261949.43</v>
      </c>
    </row>
    <row r="157" spans="1:32" ht="15" x14ac:dyDescent="0.25">
      <c r="D157" s="717" t="s">
        <v>269</v>
      </c>
      <c r="J157" s="719">
        <f>I152+I153</f>
        <v>2195.87</v>
      </c>
      <c r="K157" s="719"/>
      <c r="L157" s="719">
        <f>K152+K153</f>
        <v>53205.93</v>
      </c>
    </row>
    <row r="158" spans="1:32" ht="15" x14ac:dyDescent="0.25">
      <c r="D158" s="717" t="s">
        <v>270</v>
      </c>
      <c r="J158" s="719">
        <f>I151</f>
        <v>19904.490000000002</v>
      </c>
      <c r="K158" s="719"/>
      <c r="L158" s="719">
        <f>K151</f>
        <v>130920.47</v>
      </c>
    </row>
    <row r="159" spans="1:32" ht="15" x14ac:dyDescent="0.25">
      <c r="A159" s="744"/>
      <c r="B159" s="744"/>
      <c r="C159" s="744"/>
      <c r="D159" s="1074" t="s">
        <v>323</v>
      </c>
      <c r="E159" s="1074"/>
      <c r="F159" s="1074"/>
      <c r="G159" s="1074"/>
      <c r="H159" s="1074"/>
      <c r="J159" s="721">
        <v>0</v>
      </c>
      <c r="L159" s="721">
        <v>0</v>
      </c>
    </row>
    <row r="160" spans="1:32" ht="14.25" customHeight="1" x14ac:dyDescent="0.25">
      <c r="A160" s="745"/>
      <c r="B160" s="745"/>
      <c r="C160" s="745"/>
      <c r="D160" s="1076" t="s">
        <v>584</v>
      </c>
      <c r="E160" s="1076"/>
      <c r="F160" s="1076"/>
      <c r="G160" s="1076"/>
      <c r="H160" s="1076"/>
      <c r="J160" s="721">
        <f>J157*0.15</f>
        <v>329.38</v>
      </c>
      <c r="L160" s="721">
        <f>L157*0.15</f>
        <v>7980.89</v>
      </c>
    </row>
    <row r="161" spans="1:13" ht="14.25" x14ac:dyDescent="0.2">
      <c r="A161" s="751"/>
      <c r="B161" s="751"/>
      <c r="C161" s="751"/>
      <c r="D161" s="1068" t="s">
        <v>688</v>
      </c>
      <c r="E161" s="1068"/>
      <c r="F161" s="1068"/>
      <c r="G161" s="1068"/>
      <c r="H161" s="1068"/>
      <c r="J161" s="650">
        <f>J156+J160</f>
        <v>27406.28</v>
      </c>
      <c r="L161" s="650">
        <f>L156+L160</f>
        <v>269930.32</v>
      </c>
    </row>
    <row r="162" spans="1:13" ht="15" x14ac:dyDescent="0.25">
      <c r="A162" s="745"/>
      <c r="B162" s="745"/>
      <c r="C162" s="745"/>
      <c r="D162" s="1074"/>
      <c r="E162" s="1074"/>
      <c r="F162" s="1074"/>
      <c r="G162" s="1074"/>
      <c r="H162" s="1074"/>
      <c r="I162" s="1075"/>
      <c r="J162" s="1075"/>
      <c r="K162" s="1075"/>
      <c r="L162" s="1075"/>
    </row>
    <row r="163" spans="1:13" ht="15" x14ac:dyDescent="0.25">
      <c r="A163" s="751"/>
      <c r="B163" s="751"/>
      <c r="C163" s="751"/>
      <c r="D163" s="651" t="s">
        <v>596</v>
      </c>
      <c r="E163" s="652"/>
      <c r="F163" s="652"/>
      <c r="G163" s="652"/>
      <c r="H163" s="652"/>
      <c r="I163" s="652"/>
      <c r="J163" s="653"/>
      <c r="K163" s="653"/>
      <c r="L163" s="653">
        <f>L155*0.925</f>
        <v>242303.22</v>
      </c>
    </row>
    <row r="164" spans="1:13" ht="15" x14ac:dyDescent="0.25">
      <c r="A164" s="745"/>
      <c r="B164" s="745"/>
      <c r="C164" s="745"/>
      <c r="D164" s="1074" t="s">
        <v>3</v>
      </c>
      <c r="E164" s="1074"/>
      <c r="F164" s="1074"/>
      <c r="G164" s="1074"/>
      <c r="H164" s="1074"/>
      <c r="I164" s="745"/>
      <c r="J164" s="766"/>
      <c r="L164" s="654">
        <f>L163</f>
        <v>242303.22</v>
      </c>
    </row>
    <row r="165" spans="1:13" ht="15" x14ac:dyDescent="0.25">
      <c r="A165" s="745"/>
      <c r="B165" s="745"/>
      <c r="C165" s="745"/>
      <c r="D165" s="1074" t="s">
        <v>597</v>
      </c>
      <c r="E165" s="1074"/>
      <c r="F165" s="1074"/>
      <c r="G165" s="1074"/>
      <c r="H165" s="1074"/>
      <c r="I165" s="745"/>
      <c r="J165" s="766"/>
      <c r="L165" s="654">
        <f>L157*0.925</f>
        <v>49215.49</v>
      </c>
    </row>
    <row r="166" spans="1:13" ht="15" x14ac:dyDescent="0.25">
      <c r="A166" s="745"/>
      <c r="B166" s="745"/>
      <c r="C166" s="745"/>
      <c r="D166" s="1074" t="s">
        <v>269</v>
      </c>
      <c r="E166" s="1074"/>
      <c r="F166" s="1074"/>
      <c r="G166" s="1074"/>
      <c r="H166" s="1074"/>
      <c r="I166" s="745"/>
      <c r="J166" s="766"/>
      <c r="L166" s="654">
        <f>L158*0.925</f>
        <v>121101.43</v>
      </c>
    </row>
    <row r="167" spans="1:13" ht="15" x14ac:dyDescent="0.25">
      <c r="A167" s="745"/>
      <c r="B167" s="745"/>
      <c r="C167" s="745"/>
      <c r="D167" s="655" t="s">
        <v>323</v>
      </c>
      <c r="E167" s="652"/>
      <c r="F167" s="652"/>
      <c r="G167" s="652"/>
      <c r="H167" s="652"/>
      <c r="I167" s="652"/>
      <c r="J167" s="656"/>
      <c r="K167" s="654"/>
      <c r="L167" s="656">
        <v>0</v>
      </c>
    </row>
    <row r="168" spans="1:13" ht="14.25" customHeight="1" x14ac:dyDescent="0.25">
      <c r="A168" s="745"/>
      <c r="B168" s="745"/>
      <c r="C168" s="745"/>
      <c r="D168" s="652" t="s">
        <v>598</v>
      </c>
      <c r="E168" s="652"/>
      <c r="F168" s="652"/>
      <c r="G168" s="652"/>
      <c r="H168" s="652"/>
      <c r="I168" s="652"/>
      <c r="J168" s="654"/>
      <c r="K168" s="654"/>
      <c r="L168" s="654">
        <f>L165*0.15</f>
        <v>7382.32</v>
      </c>
    </row>
    <row r="169" spans="1:13" ht="14.25" customHeight="1" x14ac:dyDescent="0.2">
      <c r="A169" s="751"/>
      <c r="B169" s="751"/>
      <c r="C169" s="751"/>
      <c r="D169" s="651" t="s">
        <v>599</v>
      </c>
      <c r="E169" s="657"/>
      <c r="F169" s="657"/>
      <c r="G169" s="657"/>
      <c r="H169" s="657"/>
      <c r="I169" s="657"/>
      <c r="J169" s="653"/>
      <c r="K169" s="657"/>
      <c r="L169" s="653">
        <f>L168+L163</f>
        <v>249685.54</v>
      </c>
    </row>
    <row r="170" spans="1:13" ht="12.75" x14ac:dyDescent="0.2">
      <c r="A170" s="398"/>
      <c r="B170" s="398"/>
      <c r="C170" s="398"/>
      <c r="D170" s="398"/>
      <c r="E170" s="398"/>
      <c r="F170" s="398"/>
      <c r="G170" s="398"/>
      <c r="H170" s="398"/>
      <c r="I170" s="398"/>
      <c r="J170" s="398"/>
      <c r="K170" s="398"/>
      <c r="L170" s="398"/>
    </row>
    <row r="171" spans="1:13" ht="14.25" customHeight="1" x14ac:dyDescent="0.2">
      <c r="A171" s="398"/>
      <c r="B171" s="398"/>
      <c r="C171" s="398"/>
      <c r="D171" s="398"/>
      <c r="E171" s="398"/>
      <c r="F171" s="398"/>
      <c r="G171" s="398"/>
      <c r="H171" s="398"/>
      <c r="I171" s="398"/>
      <c r="J171" s="398"/>
      <c r="K171" s="398"/>
      <c r="L171" s="398"/>
    </row>
    <row r="172" spans="1:13" s="675" customFormat="1" ht="14.25" x14ac:dyDescent="0.2">
      <c r="A172" s="398"/>
      <c r="B172" s="398"/>
      <c r="C172" s="398"/>
      <c r="D172" s="659" t="s">
        <v>600</v>
      </c>
      <c r="E172" s="660"/>
      <c r="F172" s="660"/>
      <c r="G172" s="660"/>
      <c r="H172" s="660"/>
      <c r="I172" s="661"/>
      <c r="J172" s="662"/>
      <c r="K172" s="663"/>
      <c r="L172" s="662">
        <f>L169</f>
        <v>249685.54</v>
      </c>
      <c r="M172" s="399"/>
    </row>
    <row r="173" spans="1:13" s="675" customFormat="1" ht="15" x14ac:dyDescent="0.25">
      <c r="A173" s="398"/>
      <c r="B173" s="398"/>
      <c r="C173" s="398"/>
      <c r="D173" s="664" t="s">
        <v>601</v>
      </c>
      <c r="E173" s="665"/>
      <c r="F173" s="665"/>
      <c r="G173" s="665"/>
      <c r="H173" s="665"/>
      <c r="I173" s="666"/>
      <c r="J173" s="667"/>
      <c r="K173" s="668"/>
      <c r="L173" s="667">
        <f>L164</f>
        <v>242303.22</v>
      </c>
      <c r="M173" s="399"/>
    </row>
    <row r="174" spans="1:13" s="675" customFormat="1" ht="15" x14ac:dyDescent="0.25">
      <c r="A174" s="398"/>
      <c r="B174" s="398"/>
      <c r="C174" s="398"/>
      <c r="D174" s="664" t="s">
        <v>602</v>
      </c>
      <c r="E174" s="665"/>
      <c r="F174" s="665"/>
      <c r="G174" s="665"/>
      <c r="H174" s="665"/>
      <c r="I174" s="666"/>
      <c r="J174" s="667"/>
      <c r="K174" s="669"/>
      <c r="L174" s="667">
        <f>L168</f>
        <v>7382.32</v>
      </c>
      <c r="M174" s="399"/>
    </row>
    <row r="175" spans="1:13" s="675" customFormat="1" ht="15" x14ac:dyDescent="0.25">
      <c r="A175" s="398"/>
      <c r="B175" s="398"/>
      <c r="C175" s="398"/>
      <c r="D175" s="664" t="s">
        <v>603</v>
      </c>
      <c r="E175" s="665"/>
      <c r="F175" s="665"/>
      <c r="G175" s="665"/>
      <c r="H175" s="665"/>
      <c r="I175" s="666"/>
      <c r="J175" s="667"/>
      <c r="K175" s="667"/>
      <c r="L175" s="667">
        <v>0</v>
      </c>
      <c r="M175" s="399"/>
    </row>
    <row r="176" spans="1:13" s="675" customFormat="1" ht="15" x14ac:dyDescent="0.25">
      <c r="A176" s="398"/>
      <c r="B176" s="398"/>
      <c r="C176" s="398"/>
      <c r="D176" s="664" t="s">
        <v>604</v>
      </c>
      <c r="E176" s="665"/>
      <c r="F176" s="665"/>
      <c r="G176" s="665"/>
      <c r="H176" s="665"/>
      <c r="I176" s="666"/>
      <c r="J176" s="670"/>
      <c r="K176" s="670"/>
      <c r="L176" s="670">
        <v>0</v>
      </c>
      <c r="M176" s="399"/>
    </row>
    <row r="178" spans="1:37" ht="15.75" x14ac:dyDescent="0.25">
      <c r="D178" s="1114" t="s">
        <v>708</v>
      </c>
      <c r="E178" s="1115"/>
      <c r="F178" s="1115"/>
      <c r="G178" s="401"/>
      <c r="H178" s="402"/>
      <c r="I178" s="1116">
        <f>Реестр!T24</f>
        <v>544263</v>
      </c>
      <c r="J178" s="1117"/>
      <c r="K178" s="1118">
        <f>Реестр!V24</f>
        <v>4216115.5999999996</v>
      </c>
      <c r="L178" s="1119"/>
      <c r="N178" s="749"/>
    </row>
    <row r="179" spans="1:37" ht="15.75" x14ac:dyDescent="0.25">
      <c r="D179" s="403" t="s">
        <v>605</v>
      </c>
      <c r="E179" s="404"/>
      <c r="F179" s="404"/>
      <c r="G179" s="404"/>
      <c r="H179" s="404"/>
      <c r="I179" s="1120">
        <f>I178-I180</f>
        <v>538279</v>
      </c>
      <c r="J179" s="1121"/>
      <c r="K179" s="1122">
        <f>K178-K180</f>
        <v>4081993.72</v>
      </c>
      <c r="L179" s="1123"/>
      <c r="N179" s="749"/>
    </row>
    <row r="180" spans="1:37" ht="15.75" x14ac:dyDescent="0.25">
      <c r="D180" s="405" t="s">
        <v>606</v>
      </c>
      <c r="E180" s="404"/>
      <c r="F180" s="404"/>
      <c r="G180" s="404"/>
      <c r="H180" s="404"/>
      <c r="I180" s="1128">
        <f>Реестр!Q24</f>
        <v>5984</v>
      </c>
      <c r="J180" s="1129"/>
      <c r="K180" s="1130">
        <f>Реестр!S24</f>
        <v>134121.88</v>
      </c>
      <c r="L180" s="1131"/>
      <c r="N180" s="749"/>
      <c r="AK180" s="781" t="e">
        <f>'[104]1_6.1'!J156+'[104]2_6.2'!J139+'[104]3_6.4'!J123+'[104]4_6.5'!#REF!+'[104]5_6.6'!#REF!+'[104]6_6.7'!J147+'[104]7_6.8'!J476+'[104]8_6.9'!J162</f>
        <v>#REF!</v>
      </c>
    </row>
    <row r="181" spans="1:37" ht="15.75" x14ac:dyDescent="0.25">
      <c r="D181" s="405" t="s">
        <v>607</v>
      </c>
      <c r="E181" s="404"/>
      <c r="F181" s="404"/>
      <c r="G181" s="404"/>
      <c r="H181" s="404"/>
      <c r="I181" s="1132"/>
      <c r="J181" s="1133"/>
      <c r="K181" s="1132"/>
      <c r="L181" s="1133"/>
      <c r="AK181" s="781" t="e">
        <f>'[104]1_6.1'!J155+'[104]2_6.2'!J138+'[104]3_6.4'!J122+'[104]4_6.5'!#REF!+'[104]5_6.6'!#REF!+'[104]6_6.7'!J146+'[104]7_6.8'!J475+'[104]8_6.9'!J161</f>
        <v>#REF!</v>
      </c>
    </row>
    <row r="182" spans="1:37" ht="15.75" x14ac:dyDescent="0.25">
      <c r="D182" s="405" t="s">
        <v>608</v>
      </c>
      <c r="E182" s="406"/>
      <c r="F182" s="404"/>
      <c r="G182" s="404"/>
      <c r="H182" s="407"/>
      <c r="I182" s="1134"/>
      <c r="J182" s="1135"/>
      <c r="K182" s="1136"/>
      <c r="L182" s="1137"/>
    </row>
    <row r="184" spans="1:37" x14ac:dyDescent="0.2">
      <c r="L184" s="782"/>
    </row>
    <row r="187" spans="1:37" ht="12.75" x14ac:dyDescent="0.2">
      <c r="A187" s="1124" t="s">
        <v>609</v>
      </c>
      <c r="B187" s="1124"/>
      <c r="C187" s="1124"/>
      <c r="D187" s="1124"/>
      <c r="E187" s="1124"/>
      <c r="F187" s="1124"/>
      <c r="G187" s="1124"/>
      <c r="H187" s="1124"/>
      <c r="I187" s="1124"/>
      <c r="J187" s="408"/>
      <c r="K187" s="1125" t="s">
        <v>610</v>
      </c>
      <c r="L187" s="1125"/>
      <c r="M187" s="399"/>
      <c r="N187" s="400"/>
    </row>
    <row r="188" spans="1:37" ht="12.75" x14ac:dyDescent="0.2">
      <c r="A188" s="409"/>
      <c r="B188" s="409"/>
      <c r="C188" s="409"/>
      <c r="D188" s="1126"/>
      <c r="E188" s="1126"/>
      <c r="F188" s="409"/>
      <c r="G188" s="409"/>
      <c r="H188" s="1127"/>
      <c r="I188" s="1127"/>
      <c r="J188" s="1127"/>
      <c r="K188" s="1127"/>
      <c r="L188" s="1127"/>
      <c r="M188" s="399"/>
      <c r="N188" s="400"/>
    </row>
    <row r="189" spans="1:37" ht="12.75" x14ac:dyDescent="0.2">
      <c r="A189" s="767"/>
      <c r="B189" s="767"/>
      <c r="C189" s="767"/>
      <c r="D189" s="767"/>
      <c r="E189" s="767"/>
      <c r="F189" s="767"/>
      <c r="G189" s="767"/>
      <c r="H189" s="767"/>
      <c r="I189" s="767"/>
      <c r="J189" s="767"/>
      <c r="K189" s="767"/>
      <c r="L189" s="767"/>
      <c r="M189" s="768"/>
      <c r="N189" s="769"/>
    </row>
    <row r="190" spans="1:37" ht="12.75" x14ac:dyDescent="0.2">
      <c r="A190" s="767"/>
      <c r="B190" s="767"/>
      <c r="C190" s="767"/>
      <c r="D190" s="767"/>
      <c r="E190" s="767"/>
      <c r="F190" s="767"/>
      <c r="G190" s="767"/>
      <c r="H190" s="767"/>
      <c r="I190" s="767"/>
      <c r="J190" s="767"/>
      <c r="K190" s="767"/>
      <c r="L190" s="767"/>
      <c r="M190" s="768"/>
      <c r="N190" s="769"/>
    </row>
    <row r="191" spans="1:37" ht="12.75" x14ac:dyDescent="0.2">
      <c r="A191" s="410" t="s">
        <v>611</v>
      </c>
      <c r="B191" s="410"/>
      <c r="C191" s="410"/>
      <c r="D191" s="410"/>
      <c r="E191" s="410"/>
      <c r="F191" s="410"/>
      <c r="G191" s="410"/>
      <c r="H191" s="410"/>
      <c r="I191" s="410"/>
      <c r="J191" s="1125" t="s">
        <v>612</v>
      </c>
      <c r="K191" s="1125"/>
      <c r="L191" s="1125"/>
      <c r="M191" s="399"/>
      <c r="N191" s="400"/>
    </row>
  </sheetData>
  <mergeCells count="117">
    <mergeCell ref="A187:I187"/>
    <mergeCell ref="K187:L187"/>
    <mergeCell ref="D188:E188"/>
    <mergeCell ref="H188:L188"/>
    <mergeCell ref="J191:L191"/>
    <mergeCell ref="I180:J180"/>
    <mergeCell ref="K180:L180"/>
    <mergeCell ref="I181:J181"/>
    <mergeCell ref="K181:L181"/>
    <mergeCell ref="I182:J182"/>
    <mergeCell ref="K182:L182"/>
    <mergeCell ref="D178:F178"/>
    <mergeCell ref="I178:J178"/>
    <mergeCell ref="K178:L178"/>
    <mergeCell ref="I179:J179"/>
    <mergeCell ref="K179:L179"/>
    <mergeCell ref="D165:H165"/>
    <mergeCell ref="D166:H166"/>
    <mergeCell ref="D161:H161"/>
    <mergeCell ref="D162:H162"/>
    <mergeCell ref="I162:J162"/>
    <mergeCell ref="K162:L162"/>
    <mergeCell ref="D164:H164"/>
    <mergeCell ref="D154:H154"/>
    <mergeCell ref="I154:J154"/>
    <mergeCell ref="K154:L154"/>
    <mergeCell ref="D159:H159"/>
    <mergeCell ref="D160:H160"/>
    <mergeCell ref="D152:H152"/>
    <mergeCell ref="I152:J152"/>
    <mergeCell ref="K152:L152"/>
    <mergeCell ref="D153:H153"/>
    <mergeCell ref="I153:J153"/>
    <mergeCell ref="K153:L153"/>
    <mergeCell ref="A148:H148"/>
    <mergeCell ref="I148:J148"/>
    <mergeCell ref="K148:L148"/>
    <mergeCell ref="D151:H151"/>
    <mergeCell ref="I151:J151"/>
    <mergeCell ref="K151:L151"/>
    <mergeCell ref="A140:H140"/>
    <mergeCell ref="I140:J140"/>
    <mergeCell ref="K140:L140"/>
    <mergeCell ref="A144:H144"/>
    <mergeCell ref="I144:J144"/>
    <mergeCell ref="K144:L144"/>
    <mergeCell ref="I131:J131"/>
    <mergeCell ref="K131:L131"/>
    <mergeCell ref="A134:L134"/>
    <mergeCell ref="A136:H136"/>
    <mergeCell ref="I136:J136"/>
    <mergeCell ref="K136:L136"/>
    <mergeCell ref="I119:J119"/>
    <mergeCell ref="K119:L119"/>
    <mergeCell ref="I125:J125"/>
    <mergeCell ref="K125:L125"/>
    <mergeCell ref="I128:J128"/>
    <mergeCell ref="K128:L128"/>
    <mergeCell ref="I89:J89"/>
    <mergeCell ref="K89:L89"/>
    <mergeCell ref="I101:J101"/>
    <mergeCell ref="K101:L101"/>
    <mergeCell ref="I107:J107"/>
    <mergeCell ref="K107:L107"/>
    <mergeCell ref="A66:L66"/>
    <mergeCell ref="I77:J77"/>
    <mergeCell ref="K77:L77"/>
    <mergeCell ref="I83:J83"/>
    <mergeCell ref="K83:L83"/>
    <mergeCell ref="I86:J86"/>
    <mergeCell ref="K86:L86"/>
    <mergeCell ref="A54:L54"/>
    <mergeCell ref="A56:L56"/>
    <mergeCell ref="A58:H58"/>
    <mergeCell ref="I58:J58"/>
    <mergeCell ref="K58:L58"/>
    <mergeCell ref="A62:H62"/>
    <mergeCell ref="I62:J62"/>
    <mergeCell ref="K62:L62"/>
    <mergeCell ref="A42:L42"/>
    <mergeCell ref="A44:L44"/>
    <mergeCell ref="A46:H46"/>
    <mergeCell ref="I46:J46"/>
    <mergeCell ref="K46:L46"/>
    <mergeCell ref="A50:H50"/>
    <mergeCell ref="I50:J50"/>
    <mergeCell ref="K50:L50"/>
    <mergeCell ref="A32:H32"/>
    <mergeCell ref="I32:J32"/>
    <mergeCell ref="K32:L32"/>
    <mergeCell ref="A36:L36"/>
    <mergeCell ref="A38:H38"/>
    <mergeCell ref="I38:J38"/>
    <mergeCell ref="K38:L38"/>
    <mergeCell ref="A22:L22"/>
    <mergeCell ref="C24:K24"/>
    <mergeCell ref="A26:H26"/>
    <mergeCell ref="I26:J26"/>
    <mergeCell ref="K26:L26"/>
    <mergeCell ref="A30:L30"/>
    <mergeCell ref="H13:H20"/>
    <mergeCell ref="I13:I20"/>
    <mergeCell ref="J13:J20"/>
    <mergeCell ref="K13:K20"/>
    <mergeCell ref="L13:L20"/>
    <mergeCell ref="A15:A20"/>
    <mergeCell ref="B15:B20"/>
    <mergeCell ref="A2:L2"/>
    <mergeCell ref="C8:J8"/>
    <mergeCell ref="H10:I10"/>
    <mergeCell ref="A12:L12"/>
    <mergeCell ref="A13:B14"/>
    <mergeCell ref="C13:C20"/>
    <mergeCell ref="D13:D20"/>
    <mergeCell ref="E13:E20"/>
    <mergeCell ref="F13:F20"/>
    <mergeCell ref="G13:G20"/>
  </mergeCells>
  <pageMargins left="0.78740157480314965" right="0" top="0.39370078740157483" bottom="0.39370078740157483" header="0.31496062992125984" footer="0.31496062992125984"/>
  <pageSetup paperSize="9" scale="57" firstPageNumber="42" fitToHeight="0" orientation="portrait" blackAndWhite="1" useFirstPageNumber="1" r:id="rId1"/>
  <headerFooter>
    <oddFooter>&amp;R&amp;P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AF94"/>
  <sheetViews>
    <sheetView workbookViewId="0"/>
  </sheetViews>
  <sheetFormatPr defaultColWidth="9.33203125" defaultRowHeight="12.75" x14ac:dyDescent="0.2"/>
  <cols>
    <col min="1" max="2" width="6.6640625" style="43" customWidth="1"/>
    <col min="3" max="3" width="13.6640625" style="43" customWidth="1"/>
    <col min="4" max="4" width="47.5" style="43" customWidth="1"/>
    <col min="5" max="6" width="13.6640625" style="43" customWidth="1"/>
    <col min="7" max="7" width="18.33203125" style="43" customWidth="1"/>
    <col min="8" max="8" width="14.83203125" style="43" customWidth="1"/>
    <col min="9" max="9" width="13.5" style="43" customWidth="1"/>
    <col min="10" max="10" width="18.1640625" style="43" customWidth="1"/>
    <col min="11" max="11" width="14.83203125" style="43" customWidth="1"/>
    <col min="12" max="12" width="19" style="43" customWidth="1"/>
    <col min="13" max="14" width="9.33203125" style="43"/>
    <col min="15" max="29" width="0" style="43" hidden="1" customWidth="1"/>
    <col min="30" max="30" width="116.33203125" style="43" hidden="1" customWidth="1"/>
    <col min="31" max="31" width="181.6640625" style="43" hidden="1" customWidth="1"/>
    <col min="32" max="32" width="128" style="43" hidden="1" customWidth="1"/>
    <col min="33" max="36" width="0" style="43" hidden="1" customWidth="1"/>
    <col min="37" max="16384" width="9.33203125" style="43"/>
  </cols>
  <sheetData>
    <row r="1" spans="1:12" ht="18" x14ac:dyDescent="0.25">
      <c r="A1" s="11"/>
      <c r="B1" s="11"/>
      <c r="C1" s="11"/>
      <c r="D1" s="11"/>
      <c r="E1" s="855" t="s">
        <v>293</v>
      </c>
      <c r="F1" s="855"/>
      <c r="G1" s="855"/>
      <c r="H1" s="11"/>
      <c r="I1" s="11"/>
      <c r="J1" s="11"/>
      <c r="K1" s="11"/>
      <c r="L1" s="11"/>
    </row>
    <row r="2" spans="1:12" ht="18" x14ac:dyDescent="0.25">
      <c r="A2" s="11"/>
      <c r="B2" s="11"/>
      <c r="C2" s="11"/>
      <c r="D2" s="11"/>
      <c r="E2" s="848" t="s">
        <v>62</v>
      </c>
      <c r="F2" s="848"/>
      <c r="G2" s="848"/>
      <c r="H2" s="11"/>
      <c r="I2" s="11"/>
      <c r="J2" s="11"/>
      <c r="K2" s="11"/>
      <c r="L2" s="11"/>
    </row>
    <row r="3" spans="1:12" ht="18" x14ac:dyDescent="0.25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</row>
    <row r="4" spans="1:12" ht="18" x14ac:dyDescent="0.25">
      <c r="A4" s="11"/>
      <c r="B4" s="11"/>
      <c r="C4" s="11"/>
      <c r="D4" s="44" t="s">
        <v>120</v>
      </c>
      <c r="E4" s="11"/>
      <c r="F4" s="11"/>
      <c r="G4" s="11"/>
      <c r="H4" s="11"/>
      <c r="I4" s="11"/>
      <c r="J4" s="11"/>
      <c r="K4" s="11"/>
      <c r="L4" s="11"/>
    </row>
    <row r="5" spans="1:12" ht="18" x14ac:dyDescent="0.25">
      <c r="A5" s="11"/>
      <c r="B5" s="11"/>
      <c r="C5" s="11"/>
      <c r="D5" s="44" t="s">
        <v>121</v>
      </c>
      <c r="E5" s="11"/>
      <c r="F5" s="11"/>
      <c r="G5" s="11"/>
      <c r="H5" s="11"/>
      <c r="I5" s="11"/>
      <c r="J5" s="11"/>
      <c r="K5" s="11"/>
      <c r="L5" s="11"/>
    </row>
    <row r="6" spans="1:12" ht="18" x14ac:dyDescent="0.25">
      <c r="A6" s="11"/>
      <c r="B6" s="11"/>
      <c r="C6" s="11"/>
      <c r="D6" s="45" t="s">
        <v>122</v>
      </c>
      <c r="E6" s="11"/>
      <c r="F6" s="11"/>
      <c r="G6" s="11"/>
      <c r="H6" s="11"/>
      <c r="I6" s="11"/>
      <c r="J6" s="11"/>
      <c r="K6" s="11"/>
      <c r="L6" s="11"/>
    </row>
    <row r="7" spans="1:12" ht="75" customHeight="1" x14ac:dyDescent="0.25">
      <c r="A7" s="11"/>
      <c r="B7" s="11"/>
      <c r="C7" s="11"/>
      <c r="D7" s="44" t="s">
        <v>26</v>
      </c>
      <c r="E7" s="11"/>
      <c r="F7" s="11"/>
      <c r="G7" s="11"/>
      <c r="H7" s="11"/>
      <c r="I7" s="11"/>
      <c r="J7" s="11"/>
      <c r="K7" s="11"/>
      <c r="L7" s="11"/>
    </row>
    <row r="8" spans="1:12" ht="14.25" x14ac:dyDescent="0.2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</row>
    <row r="9" spans="1:12" ht="14.25" x14ac:dyDescent="0.2">
      <c r="A9" s="849" t="s">
        <v>66</v>
      </c>
      <c r="B9" s="849"/>
      <c r="C9" s="849"/>
      <c r="D9" s="849"/>
      <c r="E9" s="849"/>
      <c r="F9" s="849"/>
      <c r="G9" s="849"/>
      <c r="H9" s="849"/>
      <c r="I9" s="849"/>
      <c r="J9" s="849"/>
      <c r="K9" s="849"/>
      <c r="L9" s="849"/>
    </row>
    <row r="10" spans="1:12" ht="14.25" x14ac:dyDescent="0.2">
      <c r="A10" s="850" t="s">
        <v>67</v>
      </c>
      <c r="B10" s="850"/>
      <c r="C10" s="850" t="s">
        <v>68</v>
      </c>
      <c r="D10" s="850" t="s">
        <v>69</v>
      </c>
      <c r="E10" s="850" t="s">
        <v>70</v>
      </c>
      <c r="F10" s="850" t="s">
        <v>71</v>
      </c>
      <c r="G10" s="850" t="s">
        <v>72</v>
      </c>
      <c r="H10" s="851" t="s">
        <v>73</v>
      </c>
      <c r="I10" s="851" t="s">
        <v>74</v>
      </c>
      <c r="J10" s="850" t="s">
        <v>75</v>
      </c>
      <c r="K10" s="850" t="s">
        <v>76</v>
      </c>
      <c r="L10" s="850" t="s">
        <v>77</v>
      </c>
    </row>
    <row r="11" spans="1:12" x14ac:dyDescent="0.2">
      <c r="A11" s="851" t="s">
        <v>78</v>
      </c>
      <c r="B11" s="851" t="s">
        <v>79</v>
      </c>
      <c r="C11" s="850"/>
      <c r="D11" s="850"/>
      <c r="E11" s="850"/>
      <c r="F11" s="850"/>
      <c r="G11" s="850"/>
      <c r="H11" s="852"/>
      <c r="I11" s="852"/>
      <c r="J11" s="850"/>
      <c r="K11" s="850"/>
      <c r="L11" s="850"/>
    </row>
    <row r="12" spans="1:12" x14ac:dyDescent="0.2">
      <c r="A12" s="852"/>
      <c r="B12" s="852"/>
      <c r="C12" s="850"/>
      <c r="D12" s="850"/>
      <c r="E12" s="850"/>
      <c r="F12" s="850"/>
      <c r="G12" s="850"/>
      <c r="H12" s="852"/>
      <c r="I12" s="852"/>
      <c r="J12" s="850"/>
      <c r="K12" s="850"/>
      <c r="L12" s="850"/>
    </row>
    <row r="13" spans="1:12" ht="20.100000000000001" customHeight="1" x14ac:dyDescent="0.2">
      <c r="A13" s="852"/>
      <c r="B13" s="852"/>
      <c r="C13" s="850"/>
      <c r="D13" s="850"/>
      <c r="E13" s="850"/>
      <c r="F13" s="850"/>
      <c r="G13" s="850"/>
      <c r="H13" s="852"/>
      <c r="I13" s="852"/>
      <c r="J13" s="850"/>
      <c r="K13" s="850"/>
      <c r="L13" s="850"/>
    </row>
    <row r="14" spans="1:12" ht="20.100000000000001" customHeight="1" x14ac:dyDescent="0.2">
      <c r="A14" s="853"/>
      <c r="B14" s="853"/>
      <c r="C14" s="850"/>
      <c r="D14" s="850"/>
      <c r="E14" s="850"/>
      <c r="F14" s="850"/>
      <c r="G14" s="850"/>
      <c r="H14" s="853"/>
      <c r="I14" s="853"/>
      <c r="J14" s="850"/>
      <c r="K14" s="850"/>
      <c r="L14" s="850"/>
    </row>
    <row r="15" spans="1:12" ht="14.25" x14ac:dyDescent="0.2">
      <c r="A15" s="13">
        <v>1</v>
      </c>
      <c r="B15" s="13">
        <v>2</v>
      </c>
      <c r="C15" s="13">
        <v>3</v>
      </c>
      <c r="D15" s="13">
        <v>4</v>
      </c>
      <c r="E15" s="13">
        <v>5</v>
      </c>
      <c r="F15" s="13">
        <v>6</v>
      </c>
      <c r="G15" s="13">
        <v>7</v>
      </c>
      <c r="H15" s="13">
        <v>8</v>
      </c>
      <c r="I15" s="13">
        <v>9</v>
      </c>
      <c r="J15" s="13">
        <v>10</v>
      </c>
      <c r="K15" s="13">
        <v>11</v>
      </c>
      <c r="L15" s="13">
        <v>12</v>
      </c>
    </row>
    <row r="17" spans="1:31" ht="33" x14ac:dyDescent="0.25">
      <c r="A17" s="854" t="str">
        <f>CONCATENATE("Локальная смета: ",IF([82]Source!G20&lt;&gt;"Новая локальная смета", [82]Source!G20, ""))</f>
        <v>Локальная смета: Перегоны от ст. "Аминьевское шоссе" до токораздела со ст. "Мичуринский проспект". Инженерные системы. Магистральные сети путейских ящиков.</v>
      </c>
      <c r="B17" s="854"/>
      <c r="C17" s="854"/>
      <c r="D17" s="854"/>
      <c r="E17" s="854"/>
      <c r="F17" s="854"/>
      <c r="G17" s="854"/>
      <c r="H17" s="854"/>
      <c r="I17" s="854"/>
      <c r="J17" s="854"/>
      <c r="K17" s="854"/>
      <c r="L17" s="854"/>
      <c r="AE17" s="46" t="str">
        <f>CONCATENATE("Локальная смета: ",IF([82]Source!G20&lt;&gt;"Новая локальная смета", [82]Source!G20, ""))</f>
        <v>Локальная смета: Перегоны от ст. "Аминьевское шоссе" до токораздела со ст. "Мичуринский проспект". Инженерные системы. Магистральные сети путейских ящиков.</v>
      </c>
    </row>
    <row r="19" spans="1:31" ht="16.5" x14ac:dyDescent="0.25">
      <c r="A19" s="854" t="str">
        <f>CONCATENATE("Раздел: ",IF([82]Source!G24&lt;&gt;"Новый раздел", [82]Source!G24, ""))</f>
        <v>Раздел: Монтажные работы</v>
      </c>
      <c r="B19" s="854"/>
      <c r="C19" s="854"/>
      <c r="D19" s="854"/>
      <c r="E19" s="854"/>
      <c r="F19" s="854"/>
      <c r="G19" s="854"/>
      <c r="H19" s="854"/>
      <c r="I19" s="854"/>
      <c r="J19" s="854"/>
      <c r="K19" s="854"/>
      <c r="L19" s="854"/>
    </row>
    <row r="22" spans="1:31" ht="16.5" customHeight="1" x14ac:dyDescent="0.25">
      <c r="A22" s="854" t="s">
        <v>123</v>
      </c>
      <c r="B22" s="854"/>
      <c r="C22" s="854"/>
      <c r="D22" s="854"/>
      <c r="E22" s="854"/>
      <c r="F22" s="854"/>
      <c r="G22" s="854"/>
      <c r="H22" s="854"/>
      <c r="I22" s="854"/>
      <c r="J22" s="854"/>
      <c r="K22" s="854"/>
      <c r="L22" s="854"/>
    </row>
    <row r="23" spans="1:31" ht="78" x14ac:dyDescent="0.2">
      <c r="A23" s="14">
        <v>1</v>
      </c>
      <c r="B23" s="14" t="str">
        <f>[82]Source!E122</f>
        <v>10</v>
      </c>
      <c r="C23" s="15" t="s">
        <v>124</v>
      </c>
      <c r="D23" s="15" t="s">
        <v>125</v>
      </c>
      <c r="E23" s="16" t="str">
        <f>[82]Source!H122</f>
        <v>100 М КАБЕЛЯ</v>
      </c>
      <c r="F23" s="4">
        <f>[82]Source!I122</f>
        <v>15.0822</v>
      </c>
      <c r="G23" s="17"/>
      <c r="H23" s="18"/>
      <c r="I23" s="4"/>
      <c r="J23" s="19"/>
      <c r="K23" s="4"/>
      <c r="L23" s="19"/>
      <c r="Q23" s="43">
        <f>[82]Source!X122</f>
        <v>27612.05</v>
      </c>
      <c r="R23" s="43">
        <f>[82]Source!X123</f>
        <v>531186.89</v>
      </c>
      <c r="S23" s="43">
        <f>[82]Source!Y122</f>
        <v>17257.53</v>
      </c>
      <c r="T23" s="43">
        <f>[82]Source!Y123</f>
        <v>253789.29</v>
      </c>
      <c r="U23" s="43">
        <f>ROUND((175/100)*ROUND([82]Source!R122, 2), 2)</f>
        <v>17802.16</v>
      </c>
      <c r="V23" s="43">
        <f>ROUND((157/100)*ROUND([82]Source!R123, 2), 2)</f>
        <v>382347.56</v>
      </c>
    </row>
    <row r="24" spans="1:31" ht="14.25" x14ac:dyDescent="0.2">
      <c r="A24" s="14"/>
      <c r="B24" s="14"/>
      <c r="C24" s="15"/>
      <c r="D24" s="15" t="s">
        <v>84</v>
      </c>
      <c r="E24" s="16"/>
      <c r="F24" s="4"/>
      <c r="G24" s="17">
        <f>[82]Source!AO122</f>
        <v>917.35</v>
      </c>
      <c r="H24" s="18" t="str">
        <f>[82]Source!DG122</f>
        <v>)*1,67</v>
      </c>
      <c r="I24" s="4">
        <f>[82]Source!AV123</f>
        <v>1.0669999999999999</v>
      </c>
      <c r="J24" s="19">
        <f>[82]Source!S122</f>
        <v>24653.62</v>
      </c>
      <c r="K24" s="4">
        <f>IF([82]Source!BA123&lt;&gt; 0, [82]Source!BA123, 1)</f>
        <v>23.94</v>
      </c>
      <c r="L24" s="19">
        <f>[82]Source!S123</f>
        <v>590207.66</v>
      </c>
    </row>
    <row r="25" spans="1:31" ht="14.25" x14ac:dyDescent="0.2">
      <c r="A25" s="14"/>
      <c r="B25" s="14"/>
      <c r="C25" s="15"/>
      <c r="D25" s="15" t="s">
        <v>85</v>
      </c>
      <c r="E25" s="16"/>
      <c r="F25" s="4"/>
      <c r="G25" s="17">
        <f>[82]Source!AM122</f>
        <v>2266.86</v>
      </c>
      <c r="H25" s="18">
        <f>[82]Source!DE122</f>
        <v>0</v>
      </c>
      <c r="I25" s="4">
        <f>[82]Source!AV123</f>
        <v>1.0669999999999999</v>
      </c>
      <c r="J25" s="19">
        <f>[82]Source!Q122-J34</f>
        <v>36479.910000000003</v>
      </c>
      <c r="K25" s="4">
        <f>IF([82]Source!BB123&lt;&gt; 0, [82]Source!BB123, 1)</f>
        <v>8.4499999999999993</v>
      </c>
      <c r="L25" s="19">
        <f>[82]Source!Q123-L34</f>
        <v>308255.34999999998</v>
      </c>
    </row>
    <row r="26" spans="1:31" ht="14.25" x14ac:dyDescent="0.2">
      <c r="A26" s="14"/>
      <c r="B26" s="14"/>
      <c r="C26" s="15"/>
      <c r="D26" s="15" t="s">
        <v>86</v>
      </c>
      <c r="E26" s="16"/>
      <c r="F26" s="4"/>
      <c r="G26" s="17">
        <f>[82]Source!AN122</f>
        <v>378.52</v>
      </c>
      <c r="H26" s="18">
        <f>[82]Source!DE122</f>
        <v>0</v>
      </c>
      <c r="I26" s="4">
        <f>[82]Source!AV123</f>
        <v>1.0669999999999999</v>
      </c>
      <c r="J26" s="20">
        <f>[82]Source!R122-J35</f>
        <v>6091.41</v>
      </c>
      <c r="K26" s="4">
        <f>IF([82]Source!BS123&lt;&gt; 0, [82]Source!BS123, 1)</f>
        <v>23.94</v>
      </c>
      <c r="L26" s="20">
        <f>[82]Source!R123-L35</f>
        <v>145828.46</v>
      </c>
    </row>
    <row r="27" spans="1:31" ht="14.25" x14ac:dyDescent="0.2">
      <c r="A27" s="14"/>
      <c r="B27" s="14"/>
      <c r="C27" s="15"/>
      <c r="D27" s="15" t="s">
        <v>87</v>
      </c>
      <c r="E27" s="16"/>
      <c r="F27" s="4"/>
      <c r="G27" s="17">
        <f>[82]Source!AL122</f>
        <v>44.1</v>
      </c>
      <c r="H27" s="18">
        <f>[82]Source!DD122</f>
        <v>0</v>
      </c>
      <c r="I27" s="4">
        <f>[82]Source!AW123</f>
        <v>1.081</v>
      </c>
      <c r="J27" s="19">
        <f>[82]Source!P122</f>
        <v>719</v>
      </c>
      <c r="K27" s="4">
        <f>IF([82]Source!BC123&lt;&gt; 0, [82]Source!BC123, 1)</f>
        <v>5.56</v>
      </c>
      <c r="L27" s="19">
        <f>[82]Source!P123</f>
        <v>3997.64</v>
      </c>
    </row>
    <row r="28" spans="1:31" ht="14.25" x14ac:dyDescent="0.2">
      <c r="A28" s="14"/>
      <c r="B28" s="14"/>
      <c r="C28" s="15"/>
      <c r="D28" s="15" t="s">
        <v>88</v>
      </c>
      <c r="E28" s="16" t="s">
        <v>89</v>
      </c>
      <c r="F28" s="4">
        <f>[82]Source!DN123</f>
        <v>112</v>
      </c>
      <c r="G28" s="17"/>
      <c r="H28" s="18"/>
      <c r="I28" s="4"/>
      <c r="J28" s="19">
        <f>SUM(Q23:Q27)</f>
        <v>27612.05</v>
      </c>
      <c r="K28" s="4">
        <f>[82]Source!BZ123</f>
        <v>90</v>
      </c>
      <c r="L28" s="19">
        <f>SUM(R23:R27)</f>
        <v>531186.89</v>
      </c>
    </row>
    <row r="29" spans="1:31" ht="14.25" x14ac:dyDescent="0.2">
      <c r="A29" s="14"/>
      <c r="B29" s="14"/>
      <c r="C29" s="15"/>
      <c r="D29" s="15" t="s">
        <v>90</v>
      </c>
      <c r="E29" s="16" t="s">
        <v>89</v>
      </c>
      <c r="F29" s="4">
        <f>[82]Source!DO123</f>
        <v>70</v>
      </c>
      <c r="G29" s="17"/>
      <c r="H29" s="18"/>
      <c r="I29" s="4"/>
      <c r="J29" s="19">
        <f>SUM(S23:S28)</f>
        <v>17257.53</v>
      </c>
      <c r="K29" s="4">
        <f>[82]Source!CA123</f>
        <v>43</v>
      </c>
      <c r="L29" s="19">
        <f>SUM(T23:T28)</f>
        <v>253789.29</v>
      </c>
    </row>
    <row r="30" spans="1:31" ht="14.25" x14ac:dyDescent="0.2">
      <c r="A30" s="14"/>
      <c r="B30" s="14"/>
      <c r="C30" s="15"/>
      <c r="D30" s="15" t="s">
        <v>91</v>
      </c>
      <c r="E30" s="16" t="s">
        <v>89</v>
      </c>
      <c r="F30" s="4">
        <f>175</f>
        <v>175</v>
      </c>
      <c r="G30" s="17"/>
      <c r="H30" s="18"/>
      <c r="I30" s="4"/>
      <c r="J30" s="19">
        <f>SUM(U23:U29)-J36</f>
        <v>10659.97</v>
      </c>
      <c r="K30" s="4">
        <f>157</f>
        <v>157</v>
      </c>
      <c r="L30" s="19">
        <f>SUM(V23:V29)-L36</f>
        <v>228950.68</v>
      </c>
    </row>
    <row r="31" spans="1:31" ht="14.25" x14ac:dyDescent="0.2">
      <c r="A31" s="14"/>
      <c r="B31" s="14"/>
      <c r="C31" s="15"/>
      <c r="D31" s="15" t="s">
        <v>92</v>
      </c>
      <c r="E31" s="16" t="s">
        <v>93</v>
      </c>
      <c r="F31" s="4">
        <f>[82]Source!AQ122</f>
        <v>74.400000000000006</v>
      </c>
      <c r="G31" s="17"/>
      <c r="H31" s="18">
        <f>[82]Source!DI122</f>
        <v>0</v>
      </c>
      <c r="I31" s="4">
        <f>[82]Source!AV123</f>
        <v>1.0669999999999999</v>
      </c>
      <c r="J31" s="19">
        <f>[82]Source!U122</f>
        <v>1197.3</v>
      </c>
      <c r="K31" s="4"/>
      <c r="L31" s="19"/>
    </row>
    <row r="32" spans="1:31" ht="15" x14ac:dyDescent="0.25">
      <c r="I32" s="847">
        <f>J24+J25+J27+J28+J29+J30</f>
        <v>117382.08</v>
      </c>
      <c r="J32" s="847"/>
      <c r="K32" s="847">
        <f>L24+L25+L27+L28+L29+L30</f>
        <v>1916387.51</v>
      </c>
      <c r="L32" s="847"/>
      <c r="O32" s="47">
        <f>J24+J25+J27+J28+J29+J30</f>
        <v>117382.08</v>
      </c>
      <c r="P32" s="47">
        <f>L24+L25+L27+L28+L29+L30</f>
        <v>1916387.51</v>
      </c>
    </row>
    <row r="33" spans="1:22" ht="28.5" x14ac:dyDescent="0.2">
      <c r="A33" s="22"/>
      <c r="B33" s="22"/>
      <c r="C33" s="23"/>
      <c r="D33" s="23" t="s">
        <v>94</v>
      </c>
      <c r="E33" s="16"/>
      <c r="F33" s="24"/>
      <c r="G33" s="25"/>
      <c r="H33" s="16"/>
      <c r="I33" s="24"/>
      <c r="J33" s="20"/>
      <c r="K33" s="24"/>
      <c r="L33" s="20"/>
    </row>
    <row r="34" spans="1:22" ht="14.25" x14ac:dyDescent="0.2">
      <c r="A34" s="22"/>
      <c r="B34" s="22"/>
      <c r="C34" s="23"/>
      <c r="D34" s="23" t="s">
        <v>85</v>
      </c>
      <c r="E34" s="16"/>
      <c r="F34" s="24"/>
      <c r="G34" s="25">
        <f t="shared" ref="G34:L34" si="0">G35</f>
        <v>378.52</v>
      </c>
      <c r="H34" s="26" t="str">
        <f t="shared" si="0"/>
        <v>)*(1.67-1)</v>
      </c>
      <c r="I34" s="24">
        <f t="shared" si="0"/>
        <v>1.0669999999999999</v>
      </c>
      <c r="J34" s="20">
        <f t="shared" si="0"/>
        <v>4081.25</v>
      </c>
      <c r="K34" s="24">
        <f t="shared" si="0"/>
        <v>23.94</v>
      </c>
      <c r="L34" s="20">
        <f t="shared" si="0"/>
        <v>97705.02</v>
      </c>
    </row>
    <row r="35" spans="1:22" ht="14.25" x14ac:dyDescent="0.2">
      <c r="A35" s="22"/>
      <c r="B35" s="22"/>
      <c r="C35" s="23"/>
      <c r="D35" s="23" t="s">
        <v>86</v>
      </c>
      <c r="E35" s="16"/>
      <c r="F35" s="24"/>
      <c r="G35" s="25">
        <f>[82]Source!AN122</f>
        <v>378.52</v>
      </c>
      <c r="H35" s="26" t="s">
        <v>95</v>
      </c>
      <c r="I35" s="24">
        <f>[82]Source!AV123</f>
        <v>1.0669999999999999</v>
      </c>
      <c r="J35" s="20">
        <f>ROUND(F23*G35*I35*(1.67-1), 2)</f>
        <v>4081.25</v>
      </c>
      <c r="K35" s="24">
        <f>IF([82]Source!BS123&lt;&gt; 0, [82]Source!BS123, 1)</f>
        <v>23.94</v>
      </c>
      <c r="L35" s="20">
        <f>ROUND(F23*G35*I35*(1.67-1)*K35, 2)</f>
        <v>97705.02</v>
      </c>
    </row>
    <row r="36" spans="1:22" ht="14.25" x14ac:dyDescent="0.2">
      <c r="A36" s="22"/>
      <c r="B36" s="22"/>
      <c r="C36" s="23"/>
      <c r="D36" s="23" t="s">
        <v>91</v>
      </c>
      <c r="E36" s="16" t="s">
        <v>89</v>
      </c>
      <c r="F36" s="24">
        <f>175</f>
        <v>175</v>
      </c>
      <c r="G36" s="25"/>
      <c r="H36" s="16"/>
      <c r="I36" s="24"/>
      <c r="J36" s="20">
        <f>ROUND(J35*(F36/100), 2)</f>
        <v>7142.19</v>
      </c>
      <c r="K36" s="24">
        <f>157</f>
        <v>157</v>
      </c>
      <c r="L36" s="20">
        <f>ROUND(L35*(K36/100), 2)</f>
        <v>153396.88</v>
      </c>
    </row>
    <row r="37" spans="1:22" ht="15" x14ac:dyDescent="0.25">
      <c r="I37" s="847">
        <f>J36+J35</f>
        <v>11223.44</v>
      </c>
      <c r="J37" s="847"/>
      <c r="K37" s="847">
        <f>L36+L35</f>
        <v>251101.9</v>
      </c>
      <c r="L37" s="847"/>
      <c r="O37" s="47">
        <f>I37</f>
        <v>11223.44</v>
      </c>
      <c r="P37" s="47">
        <f>K37</f>
        <v>251101.9</v>
      </c>
    </row>
    <row r="39" spans="1:22" ht="15" x14ac:dyDescent="0.25">
      <c r="A39" s="27"/>
      <c r="B39" s="27"/>
      <c r="C39" s="28"/>
      <c r="D39" s="28" t="s">
        <v>96</v>
      </c>
      <c r="E39" s="29"/>
      <c r="F39" s="30"/>
      <c r="G39" s="31"/>
      <c r="H39" s="32"/>
      <c r="I39" s="847">
        <f>I32+I37</f>
        <v>128605.52</v>
      </c>
      <c r="J39" s="847"/>
      <c r="K39" s="847">
        <f>K32+K37</f>
        <v>2167489.41</v>
      </c>
      <c r="L39" s="847"/>
    </row>
    <row r="41" spans="1:22" ht="15" x14ac:dyDescent="0.25">
      <c r="A41" s="879" t="s">
        <v>126</v>
      </c>
      <c r="B41" s="879"/>
      <c r="C41" s="879"/>
      <c r="D41" s="879"/>
      <c r="E41" s="879"/>
      <c r="F41" s="879"/>
      <c r="G41" s="879"/>
      <c r="H41" s="879"/>
      <c r="I41" s="880">
        <f>SUM(O22:O40)</f>
        <v>128605.52</v>
      </c>
      <c r="J41" s="881"/>
      <c r="K41" s="880">
        <f>SUM(P22:P40)</f>
        <v>2167489.41</v>
      </c>
      <c r="L41" s="881"/>
    </row>
    <row r="42" spans="1:22" ht="15" x14ac:dyDescent="0.25">
      <c r="A42" s="48"/>
      <c r="B42" s="48"/>
      <c r="C42" s="48"/>
      <c r="D42" s="48"/>
      <c r="E42" s="48"/>
      <c r="F42" s="48"/>
      <c r="G42" s="48"/>
      <c r="H42" s="48"/>
      <c r="I42" s="49"/>
      <c r="J42" s="50"/>
      <c r="K42" s="49"/>
      <c r="L42" s="50"/>
    </row>
    <row r="43" spans="1:22" ht="15" x14ac:dyDescent="0.25">
      <c r="A43" s="901" t="s">
        <v>102</v>
      </c>
      <c r="B43" s="901"/>
      <c r="C43" s="901"/>
      <c r="D43" s="901"/>
      <c r="E43" s="901"/>
      <c r="F43" s="901"/>
      <c r="G43" s="901"/>
      <c r="H43" s="901"/>
      <c r="I43" s="880">
        <f>I41</f>
        <v>128605.52</v>
      </c>
      <c r="J43" s="881"/>
      <c r="K43" s="880">
        <f>K41</f>
        <v>2167489.41</v>
      </c>
      <c r="L43" s="881"/>
    </row>
    <row r="45" spans="1:22" ht="16.5" x14ac:dyDescent="0.25">
      <c r="A45" s="854" t="str">
        <f>CONCATENATE("Раздел: ",IF([82]Source!G274&lt;&gt;"Новый раздел", [82]Source!G274, ""))</f>
        <v>Раздел: Материалы, не учтенные в цене монтажа</v>
      </c>
      <c r="B45" s="854"/>
      <c r="C45" s="854"/>
      <c r="D45" s="854"/>
      <c r="E45" s="854"/>
      <c r="F45" s="854"/>
      <c r="G45" s="854"/>
      <c r="H45" s="854"/>
      <c r="I45" s="854"/>
      <c r="J45" s="854"/>
      <c r="K45" s="854"/>
      <c r="L45" s="854"/>
    </row>
    <row r="47" spans="1:22" ht="16.5" x14ac:dyDescent="0.25">
      <c r="A47" s="854" t="str">
        <f>CONCATENATE("Подраздел: ",IF([82]Source!G289&lt;&gt;"Новый подраздел", [82]Source!G289, ""))</f>
        <v>Подраздел: Кабели и провода. Кабельные изделия.</v>
      </c>
      <c r="B47" s="854"/>
      <c r="C47" s="854"/>
      <c r="D47" s="854"/>
      <c r="E47" s="854"/>
      <c r="F47" s="854"/>
      <c r="G47" s="854"/>
      <c r="H47" s="854"/>
      <c r="I47" s="854"/>
      <c r="J47" s="854"/>
      <c r="K47" s="854"/>
      <c r="L47" s="854"/>
    </row>
    <row r="48" spans="1:22" ht="71.25" x14ac:dyDescent="0.2">
      <c r="A48" s="877">
        <v>2</v>
      </c>
      <c r="B48" s="877" t="str">
        <f>[82]Source!E297</f>
        <v>31</v>
      </c>
      <c r="C48" s="34" t="str">
        <f>[82]Source!F297</f>
        <v>МКЭ-33-531/9-8 от 25.07.2019г.</v>
      </c>
      <c r="D48" s="34" t="s">
        <v>127</v>
      </c>
      <c r="E48" s="52" t="str">
        <f>[82]Source!H297</f>
        <v>км</v>
      </c>
      <c r="F48" s="53">
        <f>[82]Source!I297</f>
        <v>1.54</v>
      </c>
      <c r="G48" s="19">
        <f>J48/F48</f>
        <v>620106.27</v>
      </c>
      <c r="H48" s="18"/>
      <c r="I48" s="4"/>
      <c r="J48" s="19">
        <f>L48/K48</f>
        <v>954963.66</v>
      </c>
      <c r="K48" s="4">
        <v>5.24</v>
      </c>
      <c r="L48" s="19">
        <f>4905891.74*1.02</f>
        <v>5004009.57</v>
      </c>
      <c r="Q48" s="43">
        <f>[82]Source!X297</f>
        <v>0</v>
      </c>
      <c r="R48" s="43">
        <f>[82]Source!X298</f>
        <v>0</v>
      </c>
      <c r="S48" s="43">
        <f>[82]Source!Y297</f>
        <v>0</v>
      </c>
      <c r="T48" s="43">
        <f>[82]Source!Y298</f>
        <v>0</v>
      </c>
      <c r="U48" s="43">
        <f>ROUND((175/100)*ROUND([82]Source!R297, 2), 2)</f>
        <v>0</v>
      </c>
      <c r="V48" s="43">
        <f>ROUND((157/100)*ROUND([82]Source!R298, 2), 2)</f>
        <v>0</v>
      </c>
    </row>
    <row r="49" spans="1:16" ht="42.75" hidden="1" x14ac:dyDescent="0.2">
      <c r="A49" s="877"/>
      <c r="B49" s="877"/>
      <c r="C49" s="15" t="s">
        <v>130</v>
      </c>
      <c r="D49" s="15" t="s">
        <v>129</v>
      </c>
      <c r="E49" s="16"/>
      <c r="F49" s="4">
        <v>1.1080000000000001</v>
      </c>
      <c r="G49" s="19">
        <f>J49/F49</f>
        <v>776652.76</v>
      </c>
      <c r="H49" s="18"/>
      <c r="I49" s="4"/>
      <c r="J49" s="19">
        <f>L49/K49</f>
        <v>860531.26</v>
      </c>
      <c r="K49" s="4">
        <v>5.48</v>
      </c>
      <c r="L49" s="19">
        <f>4256057.11*F49</f>
        <v>4715711.28</v>
      </c>
    </row>
    <row r="50" spans="1:16" ht="42.75" hidden="1" x14ac:dyDescent="0.2">
      <c r="A50" s="877"/>
      <c r="B50" s="877"/>
      <c r="C50" s="15" t="s">
        <v>131</v>
      </c>
      <c r="D50" s="15" t="s">
        <v>129</v>
      </c>
      <c r="E50" s="16"/>
      <c r="F50" s="4">
        <v>0.39</v>
      </c>
      <c r="G50" s="19">
        <f t="shared" ref="G50:G51" si="1">J50/F50</f>
        <v>776652.74</v>
      </c>
      <c r="H50" s="18"/>
      <c r="I50" s="4"/>
      <c r="J50" s="19">
        <f t="shared" ref="J50:J51" si="2">L50/K50</f>
        <v>302894.57</v>
      </c>
      <c r="K50" s="4">
        <v>5.48</v>
      </c>
      <c r="L50" s="19">
        <f>4256057.1*F50</f>
        <v>1659862.27</v>
      </c>
    </row>
    <row r="51" spans="1:16" ht="42.75" hidden="1" x14ac:dyDescent="0.2">
      <c r="A51" s="878"/>
      <c r="B51" s="878"/>
      <c r="C51" s="15" t="s">
        <v>132</v>
      </c>
      <c r="D51" s="15" t="s">
        <v>129</v>
      </c>
      <c r="E51" s="16"/>
      <c r="F51" s="4">
        <v>4.2000000000000003E-2</v>
      </c>
      <c r="G51" s="19">
        <f t="shared" si="1"/>
        <v>776652.86</v>
      </c>
      <c r="H51" s="18"/>
      <c r="I51" s="4"/>
      <c r="J51" s="19">
        <f t="shared" si="2"/>
        <v>32619.42</v>
      </c>
      <c r="K51" s="4">
        <v>5.48</v>
      </c>
      <c r="L51" s="19">
        <f t="shared" ref="L51" si="3">4256057.11*F51</f>
        <v>178754.4</v>
      </c>
    </row>
    <row r="52" spans="1:16" ht="15" x14ac:dyDescent="0.25">
      <c r="A52" s="51"/>
      <c r="B52" s="51"/>
      <c r="C52" s="51"/>
      <c r="D52" s="51"/>
      <c r="E52" s="51"/>
      <c r="F52" s="51"/>
      <c r="G52" s="51"/>
      <c r="H52" s="51"/>
      <c r="I52" s="847">
        <f>J48</f>
        <v>954963.66</v>
      </c>
      <c r="J52" s="847"/>
      <c r="K52" s="847">
        <f>L48</f>
        <v>5004009.57</v>
      </c>
      <c r="L52" s="847"/>
      <c r="O52" s="47">
        <f>J48</f>
        <v>954963.66</v>
      </c>
      <c r="P52" s="47">
        <f>L48</f>
        <v>5004009.57</v>
      </c>
    </row>
    <row r="54" spans="1:16" ht="15" x14ac:dyDescent="0.25">
      <c r="A54" s="879" t="str">
        <f>CONCATENATE("Итого по подразделу: ",IF([82]Source!G314&lt;&gt;"Новый подраздел", [82]Source!G314, ""))</f>
        <v>Итого по подразделу: Кабели и провода. Кабельные изделия.</v>
      </c>
      <c r="B54" s="879"/>
      <c r="C54" s="879"/>
      <c r="D54" s="879"/>
      <c r="E54" s="879"/>
      <c r="F54" s="879"/>
      <c r="G54" s="879"/>
      <c r="H54" s="879"/>
      <c r="I54" s="880">
        <f>I52</f>
        <v>954963.66</v>
      </c>
      <c r="J54" s="881"/>
      <c r="K54" s="880">
        <f>K52</f>
        <v>5004009.57</v>
      </c>
      <c r="L54" s="881"/>
    </row>
    <row r="56" spans="1:16" ht="15" x14ac:dyDescent="0.25">
      <c r="A56" s="901" t="s">
        <v>128</v>
      </c>
      <c r="B56" s="901"/>
      <c r="C56" s="901"/>
      <c r="D56" s="901"/>
      <c r="E56" s="901"/>
      <c r="F56" s="901"/>
      <c r="G56" s="901"/>
      <c r="H56" s="901"/>
      <c r="I56" s="880">
        <f>I54</f>
        <v>954963.66</v>
      </c>
      <c r="J56" s="881"/>
      <c r="K56" s="880">
        <f>K54</f>
        <v>5004009.57</v>
      </c>
      <c r="L56" s="881"/>
    </row>
    <row r="58" spans="1:16" ht="15" x14ac:dyDescent="0.25">
      <c r="A58" s="900" t="s">
        <v>113</v>
      </c>
      <c r="B58" s="900"/>
      <c r="C58" s="900"/>
      <c r="D58" s="900"/>
      <c r="E58" s="900"/>
      <c r="F58" s="900"/>
      <c r="G58" s="900"/>
      <c r="H58" s="900"/>
      <c r="I58" s="36"/>
      <c r="J58" s="37">
        <f>I43+I56</f>
        <v>1083569.18</v>
      </c>
      <c r="K58" s="36"/>
      <c r="L58" s="37">
        <f>K43+K56</f>
        <v>7171498.9800000004</v>
      </c>
    </row>
    <row r="59" spans="1:16" s="38" customFormat="1" ht="14.25" x14ac:dyDescent="0.2">
      <c r="D59" s="39" t="s">
        <v>114</v>
      </c>
      <c r="E59" s="39"/>
      <c r="F59" s="39"/>
      <c r="G59" s="39"/>
      <c r="H59" s="39"/>
      <c r="J59" s="252">
        <f>SUMIF(D1:D50,"МР",J1:J50)+I52</f>
        <v>955682.66</v>
      </c>
      <c r="L59" s="252">
        <f>SUMIF(D1:D50,"МР",L1:L50)+K52</f>
        <v>5008007.21</v>
      </c>
    </row>
    <row r="60" spans="1:16" s="38" customFormat="1" ht="14.25" x14ac:dyDescent="0.2">
      <c r="D60" s="39" t="s">
        <v>115</v>
      </c>
      <c r="E60" s="39"/>
      <c r="F60" s="39"/>
      <c r="G60" s="39"/>
      <c r="H60" s="39"/>
      <c r="I60" s="871">
        <f>SUMIF(D1:D50,"в т.ч. ЗПМ",J1:J50)</f>
        <v>10172.66</v>
      </c>
      <c r="J60" s="871"/>
      <c r="K60" s="871">
        <f>SUMIF(D1:D50,"в т.ч. ЗПМ",L1:L50)</f>
        <v>243533.48</v>
      </c>
      <c r="L60" s="871"/>
    </row>
    <row r="61" spans="1:16" s="38" customFormat="1" ht="14.25" x14ac:dyDescent="0.2">
      <c r="D61" s="39" t="s">
        <v>116</v>
      </c>
      <c r="E61" s="39"/>
      <c r="F61" s="39"/>
      <c r="G61" s="39"/>
      <c r="H61" s="39"/>
      <c r="I61" s="871">
        <f>SUMIF(D1:D50,"ЗП",J1:J50)</f>
        <v>24653.62</v>
      </c>
      <c r="J61" s="871"/>
      <c r="K61" s="871">
        <f>SUMIF(D1:D50,"ЗП",L1:L50)</f>
        <v>590207.66</v>
      </c>
      <c r="L61" s="871"/>
    </row>
    <row r="62" spans="1:16" s="38" customFormat="1" ht="14.25" x14ac:dyDescent="0.2">
      <c r="D62" s="39" t="s">
        <v>117</v>
      </c>
      <c r="E62" s="39"/>
      <c r="F62" s="39"/>
      <c r="G62" s="39"/>
      <c r="H62" s="39"/>
      <c r="I62" s="871">
        <f>SUMIF(D1:D50,"НР от ЗП",J1:J50)</f>
        <v>27612.05</v>
      </c>
      <c r="J62" s="871"/>
      <c r="K62" s="871">
        <f>SUMIF(D1:D50,"НР от ЗП",L1:L50)</f>
        <v>531186.89</v>
      </c>
      <c r="L62" s="871"/>
    </row>
    <row r="63" spans="1:16" s="38" customFormat="1" ht="14.25" x14ac:dyDescent="0.2">
      <c r="D63" s="39" t="s">
        <v>118</v>
      </c>
      <c r="E63" s="39"/>
      <c r="F63" s="39"/>
      <c r="G63" s="39"/>
      <c r="H63" s="39"/>
      <c r="I63" s="871">
        <f>SUMIF(D1:D50,"СП от ЗП",J1:J50)</f>
        <v>17257.53</v>
      </c>
      <c r="J63" s="871"/>
      <c r="K63" s="871">
        <f>SUMIF(D1:D50,"СП от ЗП",L1:L50)</f>
        <v>253789.29</v>
      </c>
      <c r="L63" s="871"/>
    </row>
    <row r="64" spans="1:16" ht="15" x14ac:dyDescent="0.25">
      <c r="A64" s="41"/>
      <c r="B64" s="41"/>
      <c r="C64" s="41"/>
      <c r="D64" s="41"/>
      <c r="E64" s="41"/>
      <c r="F64" s="41"/>
      <c r="G64" s="41"/>
      <c r="H64" s="41"/>
      <c r="I64" s="36"/>
      <c r="J64" s="37"/>
      <c r="K64" s="36"/>
      <c r="L64" s="37"/>
    </row>
    <row r="65" spans="1:12" ht="14.25" x14ac:dyDescent="0.2">
      <c r="A65" s="40"/>
      <c r="B65" s="40"/>
      <c r="C65" s="40"/>
      <c r="D65" s="40"/>
      <c r="E65" s="40"/>
      <c r="F65" s="40"/>
      <c r="G65" s="40"/>
      <c r="H65" s="40"/>
      <c r="I65" s="36"/>
      <c r="J65" s="36"/>
      <c r="K65" s="36"/>
      <c r="L65" s="36"/>
    </row>
    <row r="66" spans="1:12" ht="14.25" x14ac:dyDescent="0.2">
      <c r="A66" s="40"/>
      <c r="B66" s="40"/>
      <c r="C66" s="40"/>
      <c r="D66" s="874" t="s">
        <v>268</v>
      </c>
      <c r="E66" s="874"/>
      <c r="F66" s="874"/>
      <c r="G66" s="213"/>
      <c r="H66" s="213"/>
      <c r="I66" s="214"/>
      <c r="J66" s="215">
        <f>J58</f>
        <v>1083569.18</v>
      </c>
      <c r="K66" s="215"/>
      <c r="L66" s="215">
        <f>L58</f>
        <v>7171498.9800000004</v>
      </c>
    </row>
    <row r="67" spans="1:12" ht="14.25" x14ac:dyDescent="0.2">
      <c r="A67" s="40"/>
      <c r="B67" s="40"/>
      <c r="C67" s="40"/>
      <c r="D67" s="872" t="s">
        <v>3</v>
      </c>
      <c r="E67" s="872"/>
      <c r="F67" s="872"/>
      <c r="G67" s="218"/>
      <c r="H67" s="218"/>
      <c r="I67" s="219"/>
      <c r="J67" s="215">
        <f>J66</f>
        <v>1083569.18</v>
      </c>
      <c r="K67"/>
      <c r="L67" s="220">
        <f>L66</f>
        <v>7171498.9800000004</v>
      </c>
    </row>
    <row r="68" spans="1:12" ht="14.25" x14ac:dyDescent="0.2">
      <c r="A68" s="40"/>
      <c r="B68" s="40"/>
      <c r="C68" s="40"/>
      <c r="D68" s="872" t="s">
        <v>269</v>
      </c>
      <c r="E68" s="872"/>
      <c r="F68" s="872"/>
      <c r="G68" s="218"/>
      <c r="H68" s="218"/>
      <c r="I68" s="221"/>
      <c r="J68" s="222">
        <f>I61+I60</f>
        <v>34826.28</v>
      </c>
      <c r="K68" s="222"/>
      <c r="L68" s="222">
        <f>K61+K60</f>
        <v>833741.14</v>
      </c>
    </row>
    <row r="69" spans="1:12" ht="14.25" x14ac:dyDescent="0.2">
      <c r="A69" s="40"/>
      <c r="B69" s="40"/>
      <c r="C69" s="40"/>
      <c r="D69" s="872" t="s">
        <v>270</v>
      </c>
      <c r="E69" s="872"/>
      <c r="F69" s="872"/>
      <c r="G69" s="218"/>
      <c r="H69" s="218"/>
      <c r="I69" s="221"/>
      <c r="J69" s="222">
        <f>J59</f>
        <v>955682.66</v>
      </c>
      <c r="K69" s="222"/>
      <c r="L69" s="222">
        <f>L59</f>
        <v>5008007.21</v>
      </c>
    </row>
    <row r="70" spans="1:12" ht="14.25" x14ac:dyDescent="0.2">
      <c r="A70" s="40"/>
      <c r="B70" s="40"/>
      <c r="C70" s="40"/>
      <c r="D70" s="872" t="s">
        <v>271</v>
      </c>
      <c r="E70" s="872"/>
      <c r="F70" s="872"/>
      <c r="G70" s="218"/>
      <c r="H70" s="218"/>
      <c r="I70" s="221"/>
      <c r="J70" s="215">
        <v>0</v>
      </c>
      <c r="K70" s="223"/>
      <c r="L70" s="220">
        <v>0</v>
      </c>
    </row>
    <row r="71" spans="1:12" ht="14.25" x14ac:dyDescent="0.2">
      <c r="A71" s="40"/>
      <c r="B71" s="40"/>
      <c r="C71" s="40"/>
      <c r="D71" s="872" t="s">
        <v>272</v>
      </c>
      <c r="E71" s="872"/>
      <c r="F71" s="872"/>
      <c r="G71" s="224"/>
      <c r="H71" s="224"/>
      <c r="I71" s="225"/>
      <c r="J71" s="226">
        <f>J67*5.61%</f>
        <v>60788.23</v>
      </c>
      <c r="K71" s="223"/>
      <c r="L71" s="226">
        <f>L67*5.61%</f>
        <v>402321.09</v>
      </c>
    </row>
    <row r="72" spans="1:12" ht="15" x14ac:dyDescent="0.25">
      <c r="A72" s="40"/>
      <c r="B72" s="40"/>
      <c r="C72" s="40"/>
      <c r="D72" s="873" t="s">
        <v>273</v>
      </c>
      <c r="E72" s="873"/>
      <c r="F72" s="873"/>
      <c r="G72" s="228"/>
      <c r="H72" s="228"/>
      <c r="I72" s="229"/>
      <c r="J72" s="230">
        <f>ROUND(J67+J71,2)</f>
        <v>1144357.4099999999</v>
      </c>
      <c r="K72" s="223"/>
      <c r="L72" s="231">
        <f>ROUND(L67+L71,2)</f>
        <v>7573820.0700000003</v>
      </c>
    </row>
    <row r="73" spans="1:12" ht="14.25" x14ac:dyDescent="0.2">
      <c r="A73" s="40"/>
      <c r="B73" s="40"/>
      <c r="C73" s="40"/>
      <c r="D73" s="872" t="s">
        <v>274</v>
      </c>
      <c r="E73" s="872"/>
      <c r="F73" s="872"/>
      <c r="G73" s="224"/>
      <c r="H73" s="224"/>
      <c r="I73" s="225"/>
      <c r="J73" s="226">
        <f>J68*0.15</f>
        <v>5223.9399999999996</v>
      </c>
      <c r="K73" s="232"/>
      <c r="L73" s="232">
        <f>L68*0.15</f>
        <v>125061.17</v>
      </c>
    </row>
    <row r="74" spans="1:12" ht="15" x14ac:dyDescent="0.25">
      <c r="A74" s="40"/>
      <c r="B74" s="40"/>
      <c r="C74" s="40"/>
      <c r="D74" s="873" t="s">
        <v>275</v>
      </c>
      <c r="E74" s="873"/>
      <c r="F74" s="873"/>
      <c r="G74" s="228"/>
      <c r="H74" s="228"/>
      <c r="I74" s="229"/>
      <c r="J74" s="230">
        <f>J72+J73</f>
        <v>1149581.3500000001</v>
      </c>
      <c r="K74" s="223"/>
      <c r="L74" s="231">
        <f>L72+L73</f>
        <v>7698881.2400000002</v>
      </c>
    </row>
    <row r="75" spans="1:12" ht="14.25" x14ac:dyDescent="0.2">
      <c r="A75" s="40"/>
      <c r="B75" s="40"/>
      <c r="C75" s="40"/>
      <c r="D75" s="233"/>
      <c r="E75" s="233"/>
      <c r="F75" s="233"/>
      <c r="G75" s="234"/>
      <c r="H75" s="234"/>
      <c r="I75" s="235"/>
      <c r="J75" s="236"/>
      <c r="K75"/>
      <c r="L75" s="237"/>
    </row>
    <row r="76" spans="1:12" ht="14.25" x14ac:dyDescent="0.2">
      <c r="A76" s="40"/>
      <c r="B76" s="40"/>
      <c r="C76" s="40"/>
      <c r="D76" s="874" t="s">
        <v>276</v>
      </c>
      <c r="E76" s="874"/>
      <c r="F76" s="874"/>
      <c r="G76" s="238"/>
      <c r="H76" s="238"/>
      <c r="I76" s="238"/>
      <c r="J76" s="238"/>
      <c r="K76" s="876">
        <f>L66*0.975</f>
        <v>6992211.5099999998</v>
      </c>
      <c r="L76" s="876"/>
    </row>
    <row r="77" spans="1:12" ht="14.25" x14ac:dyDescent="0.2">
      <c r="A77" s="40"/>
      <c r="B77" s="40"/>
      <c r="C77" s="40"/>
      <c r="D77" s="872" t="s">
        <v>277</v>
      </c>
      <c r="E77" s="872"/>
      <c r="F77" s="872"/>
      <c r="G77" s="224"/>
      <c r="H77" s="224"/>
      <c r="I77" s="224"/>
      <c r="J77" s="224"/>
      <c r="K77" s="869">
        <f>L67*0.975</f>
        <v>6992211.5099999998</v>
      </c>
      <c r="L77" s="869"/>
    </row>
    <row r="78" spans="1:12" ht="14.25" x14ac:dyDescent="0.2">
      <c r="A78" s="40"/>
      <c r="B78" s="40"/>
      <c r="C78" s="40"/>
      <c r="D78" s="872" t="s">
        <v>278</v>
      </c>
      <c r="E78" s="872"/>
      <c r="F78" s="872"/>
      <c r="G78" s="224"/>
      <c r="H78" s="224"/>
      <c r="I78" s="224"/>
      <c r="J78" s="224"/>
      <c r="K78" s="869">
        <f>L68*0.975</f>
        <v>812897.61</v>
      </c>
      <c r="L78" s="869"/>
    </row>
    <row r="79" spans="1:12" ht="15" customHeight="1" x14ac:dyDescent="0.2">
      <c r="A79" s="40"/>
      <c r="B79" s="40"/>
      <c r="C79" s="40"/>
      <c r="D79" s="872" t="s">
        <v>279</v>
      </c>
      <c r="E79" s="872"/>
      <c r="F79" s="872"/>
      <c r="G79" s="224"/>
      <c r="H79" s="224"/>
      <c r="I79" s="224"/>
      <c r="J79" s="224"/>
      <c r="K79" s="869">
        <f>L69*0.975</f>
        <v>4882807.03</v>
      </c>
      <c r="L79" s="869"/>
    </row>
    <row r="80" spans="1:12" ht="14.25" x14ac:dyDescent="0.2">
      <c r="A80" s="40"/>
      <c r="B80" s="40"/>
      <c r="C80" s="40"/>
      <c r="D80" s="872" t="s">
        <v>280</v>
      </c>
      <c r="E80" s="872"/>
      <c r="F80" s="872"/>
      <c r="G80" s="224"/>
      <c r="H80" s="224"/>
      <c r="I80" s="224"/>
      <c r="J80" s="224"/>
      <c r="K80" s="869">
        <v>0</v>
      </c>
      <c r="L80" s="869"/>
    </row>
    <row r="81" spans="1:12" ht="14.25" x14ac:dyDescent="0.2">
      <c r="A81" s="40"/>
      <c r="B81" s="40"/>
      <c r="C81" s="40"/>
      <c r="D81" s="872" t="s">
        <v>281</v>
      </c>
      <c r="E81" s="872"/>
      <c r="F81" s="872"/>
      <c r="G81" s="224"/>
      <c r="H81" s="224"/>
      <c r="I81" s="224"/>
      <c r="J81" s="224"/>
      <c r="K81" s="869">
        <f>K77*0.0561</f>
        <v>392263.07</v>
      </c>
      <c r="L81" s="869"/>
    </row>
    <row r="82" spans="1:12" ht="15" x14ac:dyDescent="0.25">
      <c r="A82" s="40"/>
      <c r="B82" s="40"/>
      <c r="C82" s="40"/>
      <c r="D82" s="873" t="s">
        <v>282</v>
      </c>
      <c r="E82" s="873"/>
      <c r="F82" s="873"/>
      <c r="G82" s="228"/>
      <c r="H82" s="228"/>
      <c r="I82" s="228"/>
      <c r="J82" s="228"/>
      <c r="K82" s="870">
        <f>ROUND(K77+K81,2)</f>
        <v>7384474.5800000001</v>
      </c>
      <c r="L82" s="870"/>
    </row>
    <row r="83" spans="1:12" ht="15" x14ac:dyDescent="0.25">
      <c r="A83" s="40"/>
      <c r="B83" s="40"/>
      <c r="C83" s="40"/>
      <c r="D83" s="872" t="s">
        <v>283</v>
      </c>
      <c r="E83" s="872"/>
      <c r="F83" s="872"/>
      <c r="G83" s="224"/>
      <c r="H83" s="224"/>
      <c r="I83" s="224"/>
      <c r="J83" s="224"/>
      <c r="K83" s="870">
        <f>L73*0.975</f>
        <v>121934.64</v>
      </c>
      <c r="L83" s="870"/>
    </row>
    <row r="84" spans="1:12" ht="15" customHeight="1" x14ac:dyDescent="0.25">
      <c r="A84" s="40"/>
      <c r="B84" s="40"/>
      <c r="C84" s="40"/>
      <c r="D84" s="873" t="s">
        <v>275</v>
      </c>
      <c r="E84" s="873"/>
      <c r="F84" s="873"/>
      <c r="G84" s="228"/>
      <c r="H84" s="228"/>
      <c r="I84" s="228"/>
      <c r="J84" s="228"/>
      <c r="K84" s="231"/>
      <c r="L84" s="231">
        <f>K82+K83</f>
        <v>7506409.2199999997</v>
      </c>
    </row>
    <row r="85" spans="1:12" ht="15" x14ac:dyDescent="0.25">
      <c r="A85" s="40"/>
      <c r="B85" s="40"/>
      <c r="C85" s="40"/>
      <c r="D85" s="240"/>
      <c r="E85" s="241"/>
      <c r="F85" s="241"/>
      <c r="G85" s="241"/>
      <c r="H85" s="241"/>
      <c r="I85" s="242"/>
      <c r="J85" s="242"/>
      <c r="K85" s="242"/>
      <c r="L85" s="242"/>
    </row>
    <row r="86" spans="1:12" ht="14.25" customHeight="1" x14ac:dyDescent="0.2">
      <c r="A86" s="40"/>
      <c r="B86" s="40"/>
      <c r="C86" s="40"/>
      <c r="D86" s="874" t="s">
        <v>284</v>
      </c>
      <c r="E86" s="874"/>
      <c r="F86" s="874"/>
      <c r="G86" s="238"/>
      <c r="H86" s="238"/>
      <c r="I86" s="238"/>
      <c r="J86" s="238"/>
      <c r="K86" s="216"/>
      <c r="L86" s="239">
        <f>K76*0.998999999999673</f>
        <v>6985219.2999999998</v>
      </c>
    </row>
    <row r="87" spans="1:12" ht="14.25" x14ac:dyDescent="0.2">
      <c r="A87" s="42"/>
      <c r="B87" s="42"/>
      <c r="C87" s="42"/>
      <c r="D87" s="872" t="s">
        <v>285</v>
      </c>
      <c r="E87" s="872"/>
      <c r="F87" s="872"/>
      <c r="G87" s="224"/>
      <c r="H87" s="224"/>
      <c r="I87" s="224"/>
      <c r="J87" s="224"/>
      <c r="K87" s="223"/>
      <c r="L87" s="227">
        <f>K77*0.998999999999673</f>
        <v>6985219.2999999998</v>
      </c>
    </row>
    <row r="88" spans="1:12" ht="14.25" customHeight="1" x14ac:dyDescent="0.2">
      <c r="A88" s="42"/>
      <c r="B88" s="42"/>
      <c r="C88" s="42"/>
      <c r="D88" s="872" t="s">
        <v>286</v>
      </c>
      <c r="E88" s="872"/>
      <c r="F88" s="872"/>
      <c r="G88" s="224"/>
      <c r="H88" s="224"/>
      <c r="I88" s="224"/>
      <c r="J88" s="224"/>
      <c r="K88" s="223"/>
      <c r="L88" s="227">
        <f>K78*0.998999999999673</f>
        <v>812084.71</v>
      </c>
    </row>
    <row r="89" spans="1:12" s="1" customFormat="1" ht="14.25" customHeight="1" x14ac:dyDescent="0.2">
      <c r="D89" s="872" t="s">
        <v>287</v>
      </c>
      <c r="E89" s="872"/>
      <c r="F89" s="872"/>
      <c r="G89" s="224"/>
      <c r="H89" s="224"/>
      <c r="I89" s="224"/>
      <c r="J89" s="224"/>
      <c r="K89" s="223"/>
      <c r="L89" s="227">
        <f>K79*0.998999999999673</f>
        <v>4877924.22</v>
      </c>
    </row>
    <row r="90" spans="1:12" s="1" customFormat="1" ht="14.25" x14ac:dyDescent="0.2">
      <c r="D90" s="872" t="s">
        <v>288</v>
      </c>
      <c r="E90" s="872"/>
      <c r="F90" s="872"/>
      <c r="G90" s="224"/>
      <c r="H90" s="224"/>
      <c r="I90" s="224"/>
      <c r="J90" s="224"/>
      <c r="K90" s="223"/>
      <c r="L90" s="227">
        <v>0</v>
      </c>
    </row>
    <row r="91" spans="1:12" s="1" customFormat="1" ht="14.25" x14ac:dyDescent="0.2">
      <c r="D91" s="872" t="s">
        <v>289</v>
      </c>
      <c r="E91" s="872"/>
      <c r="F91" s="872"/>
      <c r="G91" s="224"/>
      <c r="H91" s="224"/>
      <c r="I91" s="224"/>
      <c r="J91" s="224"/>
      <c r="K91" s="216"/>
      <c r="L91" s="227">
        <f>L87*0.0561</f>
        <v>391870.8</v>
      </c>
    </row>
    <row r="92" spans="1:12" s="1" customFormat="1" ht="15" customHeight="1" x14ac:dyDescent="0.25">
      <c r="D92" s="873" t="s">
        <v>290</v>
      </c>
      <c r="E92" s="873"/>
      <c r="F92" s="873"/>
      <c r="G92" s="228"/>
      <c r="H92" s="228"/>
      <c r="I92" s="228"/>
      <c r="J92" s="228"/>
      <c r="K92" s="223"/>
      <c r="L92" s="231">
        <f>ROUND(L87+L91,2)</f>
        <v>7377090.0999999996</v>
      </c>
    </row>
    <row r="93" spans="1:12" s="1" customFormat="1" ht="15" customHeight="1" x14ac:dyDescent="0.25">
      <c r="D93" s="872" t="s">
        <v>291</v>
      </c>
      <c r="E93" s="872"/>
      <c r="F93" s="872"/>
      <c r="G93" s="224"/>
      <c r="H93" s="224"/>
      <c r="I93" s="224"/>
      <c r="J93" s="224"/>
      <c r="K93" s="223"/>
      <c r="L93" s="231">
        <f>K83*0.998999999999673</f>
        <v>121812.71</v>
      </c>
    </row>
    <row r="94" spans="1:12" ht="15" customHeight="1" x14ac:dyDescent="0.25">
      <c r="D94" s="873" t="s">
        <v>275</v>
      </c>
      <c r="E94" s="873"/>
      <c r="F94" s="873"/>
      <c r="G94" s="228"/>
      <c r="H94" s="228"/>
      <c r="I94" s="228"/>
      <c r="J94" s="228"/>
      <c r="K94" s="223"/>
      <c r="L94" s="231">
        <f>L92+L93</f>
        <v>7498902.8099999996</v>
      </c>
    </row>
  </sheetData>
  <mergeCells count="87">
    <mergeCell ref="D73:F73"/>
    <mergeCell ref="D74:F74"/>
    <mergeCell ref="D76:F76"/>
    <mergeCell ref="D77:F77"/>
    <mergeCell ref="I61:J61"/>
    <mergeCell ref="K61:L61"/>
    <mergeCell ref="I62:J62"/>
    <mergeCell ref="K62:L62"/>
    <mergeCell ref="D86:F86"/>
    <mergeCell ref="I63:J63"/>
    <mergeCell ref="K63:L63"/>
    <mergeCell ref="D66:F66"/>
    <mergeCell ref="D83:F83"/>
    <mergeCell ref="D84:F84"/>
    <mergeCell ref="D67:F67"/>
    <mergeCell ref="D68:F68"/>
    <mergeCell ref="D69:F69"/>
    <mergeCell ref="D70:F70"/>
    <mergeCell ref="D71:F71"/>
    <mergeCell ref="D72:F72"/>
    <mergeCell ref="D78:F78"/>
    <mergeCell ref="A56:H56"/>
    <mergeCell ref="I56:J56"/>
    <mergeCell ref="K56:L56"/>
    <mergeCell ref="A58:H58"/>
    <mergeCell ref="I60:J60"/>
    <mergeCell ref="K60:L60"/>
    <mergeCell ref="A45:L45"/>
    <mergeCell ref="A47:L47"/>
    <mergeCell ref="I52:J52"/>
    <mergeCell ref="K52:L52"/>
    <mergeCell ref="A54:H54"/>
    <mergeCell ref="I54:J54"/>
    <mergeCell ref="K54:L54"/>
    <mergeCell ref="B48:B51"/>
    <mergeCell ref="A48:A51"/>
    <mergeCell ref="B11:B14"/>
    <mergeCell ref="A43:H43"/>
    <mergeCell ref="I43:J43"/>
    <mergeCell ref="K43:L43"/>
    <mergeCell ref="A19:L19"/>
    <mergeCell ref="A22:L22"/>
    <mergeCell ref="I32:J32"/>
    <mergeCell ref="K32:L32"/>
    <mergeCell ref="I37:J37"/>
    <mergeCell ref="K37:L37"/>
    <mergeCell ref="I39:J39"/>
    <mergeCell ref="K39:L39"/>
    <mergeCell ref="A41:H41"/>
    <mergeCell ref="I41:J41"/>
    <mergeCell ref="K41:L41"/>
    <mergeCell ref="E1:G1"/>
    <mergeCell ref="A17:L17"/>
    <mergeCell ref="E2:G2"/>
    <mergeCell ref="A9:L9"/>
    <mergeCell ref="A10:B10"/>
    <mergeCell ref="C10:C14"/>
    <mergeCell ref="D10:D14"/>
    <mergeCell ref="E10:E14"/>
    <mergeCell ref="F10:F14"/>
    <mergeCell ref="G10:G14"/>
    <mergeCell ref="H10:H14"/>
    <mergeCell ref="I10:I14"/>
    <mergeCell ref="J10:J14"/>
    <mergeCell ref="K10:K14"/>
    <mergeCell ref="L10:L14"/>
    <mergeCell ref="A11:A14"/>
    <mergeCell ref="D79:F79"/>
    <mergeCell ref="D80:F80"/>
    <mergeCell ref="D81:F81"/>
    <mergeCell ref="D82:F82"/>
    <mergeCell ref="D92:F92"/>
    <mergeCell ref="D93:F93"/>
    <mergeCell ref="D94:F94"/>
    <mergeCell ref="D87:F87"/>
    <mergeCell ref="D88:F88"/>
    <mergeCell ref="D89:F89"/>
    <mergeCell ref="D90:F90"/>
    <mergeCell ref="D91:F91"/>
    <mergeCell ref="K81:L81"/>
    <mergeCell ref="K82:L82"/>
    <mergeCell ref="K83:L83"/>
    <mergeCell ref="K76:L76"/>
    <mergeCell ref="K77:L77"/>
    <mergeCell ref="K78:L78"/>
    <mergeCell ref="K79:L79"/>
    <mergeCell ref="K80:L80"/>
  </mergeCells>
  <pageMargins left="0.4" right="0.2" top="0.2" bottom="0.4" header="0.2" footer="0.2"/>
  <pageSetup paperSize="9" scale="61" fitToHeight="0" orientation="portrait" r:id="rId1"/>
  <headerFooter>
    <oddHeader>&amp;L&amp;8</oddHeader>
    <oddFooter>&amp;R&amp;P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AF84"/>
  <sheetViews>
    <sheetView workbookViewId="0"/>
  </sheetViews>
  <sheetFormatPr defaultColWidth="9.33203125" defaultRowHeight="12.75" x14ac:dyDescent="0.2"/>
  <cols>
    <col min="1" max="2" width="6.6640625" style="43" customWidth="1"/>
    <col min="3" max="3" width="13.6640625" style="43" customWidth="1"/>
    <col min="4" max="4" width="47.5" style="43" customWidth="1"/>
    <col min="5" max="7" width="13.6640625" style="43" customWidth="1"/>
    <col min="8" max="8" width="14.83203125" style="43" customWidth="1"/>
    <col min="9" max="9" width="13.6640625" style="43" customWidth="1"/>
    <col min="10" max="12" width="14.83203125" style="43" customWidth="1"/>
    <col min="13" max="14" width="9.33203125" style="43"/>
    <col min="15" max="30" width="0" style="43" hidden="1" customWidth="1"/>
    <col min="31" max="31" width="181.6640625" style="43" hidden="1" customWidth="1"/>
    <col min="32" max="32" width="128" style="43" hidden="1" customWidth="1"/>
    <col min="33" max="36" width="0" style="43" hidden="1" customWidth="1"/>
    <col min="37" max="16384" width="9.33203125" style="43"/>
  </cols>
  <sheetData>
    <row r="1" spans="1:12" ht="18" x14ac:dyDescent="0.25">
      <c r="A1" s="11"/>
      <c r="B1" s="11"/>
      <c r="C1" s="11"/>
      <c r="D1" s="11"/>
      <c r="E1" s="855" t="s">
        <v>294</v>
      </c>
      <c r="F1" s="855"/>
      <c r="G1" s="855"/>
      <c r="H1" s="11"/>
      <c r="I1" s="11"/>
      <c r="J1" s="11"/>
      <c r="K1" s="11"/>
      <c r="L1" s="11"/>
    </row>
    <row r="2" spans="1:12" ht="18" x14ac:dyDescent="0.25">
      <c r="A2" s="11"/>
      <c r="B2" s="11"/>
      <c r="C2" s="11"/>
      <c r="D2" s="11"/>
      <c r="E2" s="848" t="s">
        <v>62</v>
      </c>
      <c r="F2" s="848"/>
      <c r="G2" s="848"/>
      <c r="H2" s="11"/>
      <c r="I2" s="11"/>
      <c r="J2" s="11"/>
      <c r="K2" s="11"/>
      <c r="L2" s="11"/>
    </row>
    <row r="3" spans="1:12" ht="18" x14ac:dyDescent="0.25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</row>
    <row r="4" spans="1:12" ht="18" x14ac:dyDescent="0.25">
      <c r="A4" s="11"/>
      <c r="B4" s="11"/>
      <c r="C4" s="11"/>
      <c r="D4" s="44" t="s">
        <v>137</v>
      </c>
      <c r="E4" s="11"/>
      <c r="F4" s="11"/>
      <c r="G4" s="11"/>
      <c r="H4" s="11"/>
      <c r="I4" s="11"/>
      <c r="J4" s="11"/>
      <c r="K4" s="11"/>
      <c r="L4" s="11"/>
    </row>
    <row r="5" spans="1:12" ht="18" x14ac:dyDescent="0.25">
      <c r="A5" s="11"/>
      <c r="B5" s="11"/>
      <c r="C5" s="11"/>
      <c r="D5" s="44" t="s">
        <v>138</v>
      </c>
      <c r="E5" s="11"/>
      <c r="F5" s="11"/>
      <c r="G5" s="11"/>
      <c r="H5" s="11"/>
      <c r="I5" s="11"/>
      <c r="J5" s="11"/>
      <c r="K5" s="11"/>
      <c r="L5" s="11"/>
    </row>
    <row r="6" spans="1:12" ht="135" x14ac:dyDescent="0.25">
      <c r="A6" s="11"/>
      <c r="B6" s="11"/>
      <c r="C6" s="11"/>
      <c r="D6" s="44" t="s">
        <v>30</v>
      </c>
      <c r="E6" s="11"/>
      <c r="F6" s="11"/>
      <c r="G6" s="11"/>
      <c r="H6" s="11"/>
      <c r="I6" s="11"/>
      <c r="J6" s="11"/>
      <c r="K6" s="11"/>
      <c r="L6" s="11"/>
    </row>
    <row r="7" spans="1:12" ht="18" x14ac:dyDescent="0.25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</row>
    <row r="8" spans="1:12" ht="14.25" x14ac:dyDescent="0.2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</row>
    <row r="9" spans="1:12" ht="14.25" x14ac:dyDescent="0.2">
      <c r="A9" s="849" t="s">
        <v>66</v>
      </c>
      <c r="B9" s="849"/>
      <c r="C9" s="849"/>
      <c r="D9" s="849"/>
      <c r="E9" s="849"/>
      <c r="F9" s="849"/>
      <c r="G9" s="849"/>
      <c r="H9" s="849"/>
      <c r="I9" s="849"/>
      <c r="J9" s="849"/>
      <c r="K9" s="849"/>
      <c r="L9" s="849"/>
    </row>
    <row r="10" spans="1:12" ht="14.25" x14ac:dyDescent="0.2">
      <c r="A10" s="850" t="s">
        <v>67</v>
      </c>
      <c r="B10" s="850"/>
      <c r="C10" s="850" t="s">
        <v>68</v>
      </c>
      <c r="D10" s="850" t="s">
        <v>69</v>
      </c>
      <c r="E10" s="850" t="s">
        <v>70</v>
      </c>
      <c r="F10" s="850" t="s">
        <v>71</v>
      </c>
      <c r="G10" s="850" t="s">
        <v>72</v>
      </c>
      <c r="H10" s="851" t="s">
        <v>73</v>
      </c>
      <c r="I10" s="851" t="s">
        <v>74</v>
      </c>
      <c r="J10" s="850" t="s">
        <v>75</v>
      </c>
      <c r="K10" s="850" t="s">
        <v>76</v>
      </c>
      <c r="L10" s="850" t="s">
        <v>77</v>
      </c>
    </row>
    <row r="11" spans="1:12" x14ac:dyDescent="0.2">
      <c r="A11" s="851" t="s">
        <v>78</v>
      </c>
      <c r="B11" s="851" t="s">
        <v>79</v>
      </c>
      <c r="C11" s="850"/>
      <c r="D11" s="850"/>
      <c r="E11" s="850"/>
      <c r="F11" s="850"/>
      <c r="G11" s="850"/>
      <c r="H11" s="852"/>
      <c r="I11" s="852"/>
      <c r="J11" s="850"/>
      <c r="K11" s="850"/>
      <c r="L11" s="850"/>
    </row>
    <row r="12" spans="1:12" x14ac:dyDescent="0.2">
      <c r="A12" s="852"/>
      <c r="B12" s="852"/>
      <c r="C12" s="850"/>
      <c r="D12" s="850"/>
      <c r="E12" s="850"/>
      <c r="F12" s="850"/>
      <c r="G12" s="850"/>
      <c r="H12" s="852"/>
      <c r="I12" s="852"/>
      <c r="J12" s="850"/>
      <c r="K12" s="850"/>
      <c r="L12" s="850"/>
    </row>
    <row r="13" spans="1:12" ht="20.100000000000001" customHeight="1" x14ac:dyDescent="0.2">
      <c r="A13" s="852"/>
      <c r="B13" s="852"/>
      <c r="C13" s="850"/>
      <c r="D13" s="850"/>
      <c r="E13" s="850"/>
      <c r="F13" s="850"/>
      <c r="G13" s="850"/>
      <c r="H13" s="852"/>
      <c r="I13" s="852"/>
      <c r="J13" s="850"/>
      <c r="K13" s="850"/>
      <c r="L13" s="850"/>
    </row>
    <row r="14" spans="1:12" ht="20.100000000000001" customHeight="1" x14ac:dyDescent="0.2">
      <c r="A14" s="853"/>
      <c r="B14" s="853"/>
      <c r="C14" s="850"/>
      <c r="D14" s="850"/>
      <c r="E14" s="850"/>
      <c r="F14" s="850"/>
      <c r="G14" s="850"/>
      <c r="H14" s="853"/>
      <c r="I14" s="853"/>
      <c r="J14" s="850"/>
      <c r="K14" s="850"/>
      <c r="L14" s="850"/>
    </row>
    <row r="15" spans="1:12" ht="14.25" x14ac:dyDescent="0.2">
      <c r="A15" s="13">
        <v>1</v>
      </c>
      <c r="B15" s="13">
        <v>2</v>
      </c>
      <c r="C15" s="13">
        <v>3</v>
      </c>
      <c r="D15" s="13">
        <v>4</v>
      </c>
      <c r="E15" s="13">
        <v>5</v>
      </c>
      <c r="F15" s="13">
        <v>6</v>
      </c>
      <c r="G15" s="13">
        <v>7</v>
      </c>
      <c r="H15" s="13">
        <v>8</v>
      </c>
      <c r="I15" s="13">
        <v>9</v>
      </c>
      <c r="J15" s="13">
        <v>10</v>
      </c>
      <c r="K15" s="13">
        <v>11</v>
      </c>
      <c r="L15" s="13">
        <v>12</v>
      </c>
    </row>
    <row r="17" spans="1:31" ht="49.5" x14ac:dyDescent="0.25">
      <c r="A17" s="854" t="str">
        <f>CONCATENATE("Локальная смета: ",IF([83]Source!G20&lt;&gt;"Новая локальная смета", [83]Source!G20, ""))</f>
        <v>Локальная смета: Станционный комплекс "Аминьевское шоссе". Вестибюль №2, камера съездов, ТПП. Внутренние инженерные системы (не включаяя ТПП). Электроосвещение. Служебные помещения вестибюля №2. Уровни машинного зала, пассажирской платформы и подплатформы.</v>
      </c>
      <c r="B17" s="854"/>
      <c r="C17" s="854"/>
      <c r="D17" s="854"/>
      <c r="E17" s="854"/>
      <c r="F17" s="854"/>
      <c r="G17" s="854"/>
      <c r="H17" s="854"/>
      <c r="I17" s="854"/>
      <c r="J17" s="854"/>
      <c r="K17" s="854"/>
      <c r="L17" s="854"/>
      <c r="AE17" s="46" t="str">
        <f>CONCATENATE("Локальная смета: ",IF([83]Source!G20&lt;&gt;"Новая локальная смета", [83]Source!G20, ""))</f>
        <v>Локальная смета: Станционный комплекс "Аминьевское шоссе". Вестибюль №2, камера съездов, ТПП. Внутренние инженерные системы (не включаяя ТПП). Электроосвещение. Служебные помещения вестибюля №2. Уровни машинного зала, пассажирской платформы и подплатформы.</v>
      </c>
    </row>
    <row r="19" spans="1:31" ht="16.5" x14ac:dyDescent="0.25">
      <c r="A19" s="854" t="str">
        <f>CONCATENATE("Раздел: ",IF([83]Source!G24&lt;&gt;"Новый раздел", [83]Source!G24, ""))</f>
        <v>Раздел: Монтажные работы</v>
      </c>
      <c r="B19" s="854"/>
      <c r="C19" s="854"/>
      <c r="D19" s="854"/>
      <c r="E19" s="854"/>
      <c r="F19" s="854"/>
      <c r="G19" s="854"/>
      <c r="H19" s="854"/>
      <c r="I19" s="854"/>
      <c r="J19" s="854"/>
      <c r="K19" s="854"/>
      <c r="L19" s="854"/>
    </row>
    <row r="21" spans="1:31" hidden="1" x14ac:dyDescent="0.2">
      <c r="A21" s="43" t="s">
        <v>139</v>
      </c>
      <c r="J21" s="43" t="e">
        <f>SUM(#REF!)</f>
        <v>#REF!</v>
      </c>
      <c r="K21" s="43" t="e">
        <f>SUM(#REF!)</f>
        <v>#REF!</v>
      </c>
    </row>
    <row r="22" spans="1:31" hidden="1" x14ac:dyDescent="0.2">
      <c r="A22" s="43" t="s">
        <v>140</v>
      </c>
      <c r="J22" s="43">
        <f>SUM(Y21:Y21)</f>
        <v>0</v>
      </c>
      <c r="K22" s="43">
        <f>SUM(Z21:Z21)</f>
        <v>0</v>
      </c>
    </row>
    <row r="23" spans="1:31" ht="16.5" x14ac:dyDescent="0.25">
      <c r="A23" s="854" t="str">
        <f>CONCATENATE("Подраздел: ",IF([83]Source!G314&lt;&gt;"Новый подраздел", [83]Source!G314, ""))</f>
        <v>Подраздел: Металл и металлические изделия</v>
      </c>
      <c r="B23" s="854"/>
      <c r="C23" s="854"/>
      <c r="D23" s="854"/>
      <c r="E23" s="854"/>
      <c r="F23" s="854"/>
      <c r="G23" s="854"/>
      <c r="H23" s="854"/>
      <c r="I23" s="854"/>
      <c r="J23" s="854"/>
      <c r="K23" s="854"/>
      <c r="L23" s="854"/>
    </row>
    <row r="24" spans="1:31" ht="78" x14ac:dyDescent="0.2">
      <c r="A24" s="14">
        <v>1</v>
      </c>
      <c r="B24" s="14" t="str">
        <f>[83]Source!E330</f>
        <v>24</v>
      </c>
      <c r="C24" s="15" t="s">
        <v>141</v>
      </c>
      <c r="D24" s="15" t="s">
        <v>142</v>
      </c>
      <c r="E24" s="16" t="str">
        <f>[83]Source!H330</f>
        <v>100 м</v>
      </c>
      <c r="F24" s="4">
        <f>[83]Source!I330</f>
        <v>5.5</v>
      </c>
      <c r="G24" s="17"/>
      <c r="H24" s="18"/>
      <c r="I24" s="4"/>
      <c r="J24" s="19"/>
      <c r="K24" s="4"/>
      <c r="L24" s="19"/>
      <c r="Q24" s="43">
        <f>[83]Source!X330</f>
        <v>2233.04</v>
      </c>
      <c r="R24" s="43">
        <f>[83]Source!X331</f>
        <v>42958.2</v>
      </c>
      <c r="S24" s="43">
        <f>[83]Source!Y330</f>
        <v>1395.65</v>
      </c>
      <c r="T24" s="43">
        <f>[83]Source!Y331</f>
        <v>20524.47</v>
      </c>
      <c r="U24" s="43">
        <f>ROUND((175/100)*ROUND([83]Source!R330, 2), 2)</f>
        <v>190.54</v>
      </c>
      <c r="V24" s="43">
        <f>ROUND((157/100)*ROUND([83]Source!R331, 2), 2)</f>
        <v>4092.35</v>
      </c>
    </row>
    <row r="25" spans="1:31" ht="14.25" x14ac:dyDescent="0.2">
      <c r="A25" s="14"/>
      <c r="B25" s="14"/>
      <c r="C25" s="15"/>
      <c r="D25" s="15" t="s">
        <v>84</v>
      </c>
      <c r="E25" s="16"/>
      <c r="F25" s="4"/>
      <c r="G25" s="17">
        <f>[83]Source!AO330</f>
        <v>203.44</v>
      </c>
      <c r="H25" s="18" t="str">
        <f>[83]Source!DG330</f>
        <v>)*1,67</v>
      </c>
      <c r="I25" s="4">
        <f>[83]Source!AV331</f>
        <v>1.0669999999999999</v>
      </c>
      <c r="J25" s="19">
        <f>[83]Source!S330</f>
        <v>1993.79</v>
      </c>
      <c r="K25" s="4">
        <f>IF([83]Source!BA331&lt;&gt; 0, [83]Source!BA331, 1)</f>
        <v>23.94</v>
      </c>
      <c r="L25" s="19">
        <f>[83]Source!S331</f>
        <v>47731.33</v>
      </c>
    </row>
    <row r="26" spans="1:31" ht="14.25" x14ac:dyDescent="0.2">
      <c r="A26" s="14"/>
      <c r="B26" s="14"/>
      <c r="C26" s="15"/>
      <c r="D26" s="15" t="s">
        <v>85</v>
      </c>
      <c r="E26" s="16"/>
      <c r="F26" s="4"/>
      <c r="G26" s="17">
        <f>[83]Source!AM330</f>
        <v>140.25</v>
      </c>
      <c r="H26" s="18">
        <f>[83]Source!DE330</f>
        <v>0</v>
      </c>
      <c r="I26" s="4">
        <f>[83]Source!AV331</f>
        <v>1.0669999999999999</v>
      </c>
      <c r="J26" s="19">
        <f>[83]Source!Q330-J35</f>
        <v>823.06</v>
      </c>
      <c r="K26" s="4">
        <f>IF([83]Source!BB331&lt;&gt; 0, [83]Source!BB331, 1)</f>
        <v>6.82</v>
      </c>
      <c r="L26" s="19">
        <f>[83]Source!Q331-L35</f>
        <v>5613.19</v>
      </c>
    </row>
    <row r="27" spans="1:31" ht="14.25" x14ac:dyDescent="0.2">
      <c r="A27" s="14"/>
      <c r="B27" s="14"/>
      <c r="C27" s="15"/>
      <c r="D27" s="15" t="s">
        <v>86</v>
      </c>
      <c r="E27" s="16"/>
      <c r="F27" s="4"/>
      <c r="G27" s="17">
        <f>[83]Source!AN330</f>
        <v>11.11</v>
      </c>
      <c r="H27" s="18">
        <f>[83]Source!DE330</f>
        <v>0</v>
      </c>
      <c r="I27" s="4">
        <f>[83]Source!AV331</f>
        <v>1.0669999999999999</v>
      </c>
      <c r="J27" s="20">
        <f>[83]Source!R330-J36</f>
        <v>65.2</v>
      </c>
      <c r="K27" s="4">
        <f>IF([83]Source!BS331&lt;&gt; 0, [83]Source!BS331, 1)</f>
        <v>23.94</v>
      </c>
      <c r="L27" s="20">
        <f>[83]Source!R331-L36</f>
        <v>1560.81</v>
      </c>
    </row>
    <row r="28" spans="1:31" ht="14.25" x14ac:dyDescent="0.2">
      <c r="A28" s="14"/>
      <c r="B28" s="14"/>
      <c r="C28" s="15"/>
      <c r="D28" s="15" t="s">
        <v>87</v>
      </c>
      <c r="E28" s="16"/>
      <c r="F28" s="4"/>
      <c r="G28" s="17">
        <f>[83]Source!AL330</f>
        <v>343</v>
      </c>
      <c r="H28" s="18">
        <f>[83]Source!DD330</f>
        <v>0</v>
      </c>
      <c r="I28" s="4">
        <f>[83]Source!AW331</f>
        <v>1.081</v>
      </c>
      <c r="J28" s="19">
        <f>[83]Source!P330</f>
        <v>2039.31</v>
      </c>
      <c r="K28" s="4">
        <f>IF([83]Source!BC331&lt;&gt; 0, [83]Source!BC331, 1)</f>
        <v>5.56</v>
      </c>
      <c r="L28" s="19">
        <f>[83]Source!P331</f>
        <v>11338.56</v>
      </c>
    </row>
    <row r="29" spans="1:31" ht="14.25" x14ac:dyDescent="0.2">
      <c r="A29" s="14"/>
      <c r="B29" s="14"/>
      <c r="C29" s="15"/>
      <c r="D29" s="15" t="s">
        <v>88</v>
      </c>
      <c r="E29" s="16" t="s">
        <v>89</v>
      </c>
      <c r="F29" s="4">
        <f>[83]Source!DN331</f>
        <v>112</v>
      </c>
      <c r="G29" s="17"/>
      <c r="H29" s="18"/>
      <c r="I29" s="4"/>
      <c r="J29" s="19">
        <f>SUM(Q24:Q28)</f>
        <v>2233.04</v>
      </c>
      <c r="K29" s="4">
        <f>[83]Source!BZ331</f>
        <v>90</v>
      </c>
      <c r="L29" s="19">
        <f>SUM(R24:R28)</f>
        <v>42958.2</v>
      </c>
    </row>
    <row r="30" spans="1:31" ht="14.25" x14ac:dyDescent="0.2">
      <c r="A30" s="14"/>
      <c r="B30" s="14"/>
      <c r="C30" s="15"/>
      <c r="D30" s="15" t="s">
        <v>90</v>
      </c>
      <c r="E30" s="16" t="s">
        <v>89</v>
      </c>
      <c r="F30" s="4">
        <f>[83]Source!DO331</f>
        <v>70</v>
      </c>
      <c r="G30" s="17"/>
      <c r="H30" s="18"/>
      <c r="I30" s="4"/>
      <c r="J30" s="19">
        <f>SUM(S24:S29)</f>
        <v>1395.65</v>
      </c>
      <c r="K30" s="4">
        <f>[83]Source!CA331</f>
        <v>43</v>
      </c>
      <c r="L30" s="19">
        <f>SUM(T24:T29)</f>
        <v>20524.47</v>
      </c>
    </row>
    <row r="31" spans="1:31" ht="14.25" x14ac:dyDescent="0.2">
      <c r="A31" s="14"/>
      <c r="B31" s="14"/>
      <c r="C31" s="15"/>
      <c r="D31" s="15" t="s">
        <v>91</v>
      </c>
      <c r="E31" s="16" t="s">
        <v>89</v>
      </c>
      <c r="F31" s="4">
        <f>175</f>
        <v>175</v>
      </c>
      <c r="G31" s="17"/>
      <c r="H31" s="18"/>
      <c r="I31" s="4"/>
      <c r="J31" s="19">
        <f>SUM(U24:U30)-J37</f>
        <v>114.1</v>
      </c>
      <c r="K31" s="4">
        <f>157</f>
        <v>157</v>
      </c>
      <c r="L31" s="19">
        <f>SUM(V24:V30)-L37</f>
        <v>2450.48</v>
      </c>
    </row>
    <row r="32" spans="1:31" ht="14.25" x14ac:dyDescent="0.2">
      <c r="A32" s="14"/>
      <c r="B32" s="14"/>
      <c r="C32" s="15"/>
      <c r="D32" s="15" t="s">
        <v>92</v>
      </c>
      <c r="E32" s="16" t="s">
        <v>93</v>
      </c>
      <c r="F32" s="4">
        <f>[83]Source!AQ330</f>
        <v>16.5</v>
      </c>
      <c r="G32" s="17"/>
      <c r="H32" s="18">
        <f>[83]Source!DI330</f>
        <v>0</v>
      </c>
      <c r="I32" s="4">
        <f>[83]Source!AV331</f>
        <v>1.0669999999999999</v>
      </c>
      <c r="J32" s="19">
        <f>[83]Source!U330</f>
        <v>96.83</v>
      </c>
      <c r="K32" s="4"/>
      <c r="L32" s="19"/>
    </row>
    <row r="33" spans="1:16" ht="15" x14ac:dyDescent="0.25">
      <c r="I33" s="847">
        <f>J25+J26+J28+J29+J30+J31</f>
        <v>8598.9500000000007</v>
      </c>
      <c r="J33" s="847"/>
      <c r="K33" s="847">
        <f>L25+L26+L28+L29+L30+L31</f>
        <v>130616.23</v>
      </c>
      <c r="L33" s="847"/>
      <c r="O33" s="47">
        <f>J25+J26+J28+J29+J30+J31</f>
        <v>8598.9500000000007</v>
      </c>
      <c r="P33" s="47">
        <f>L25+L26+L28+L29+L30+L31</f>
        <v>130616.23</v>
      </c>
    </row>
    <row r="34" spans="1:16" ht="28.5" x14ac:dyDescent="0.2">
      <c r="A34" s="22"/>
      <c r="B34" s="22"/>
      <c r="C34" s="23"/>
      <c r="D34" s="23" t="s">
        <v>94</v>
      </c>
      <c r="E34" s="16"/>
      <c r="F34" s="24"/>
      <c r="G34" s="25"/>
      <c r="H34" s="16"/>
      <c r="I34" s="24"/>
      <c r="J34" s="20"/>
      <c r="K34" s="24"/>
      <c r="L34" s="20"/>
    </row>
    <row r="35" spans="1:16" ht="14.25" x14ac:dyDescent="0.2">
      <c r="A35" s="22"/>
      <c r="B35" s="22"/>
      <c r="C35" s="23"/>
      <c r="D35" s="23" t="s">
        <v>85</v>
      </c>
      <c r="E35" s="16"/>
      <c r="F35" s="24"/>
      <c r="G35" s="25">
        <f t="shared" ref="G35:L35" si="0">G36</f>
        <v>11.11</v>
      </c>
      <c r="H35" s="26" t="str">
        <f t="shared" si="0"/>
        <v>)*(1.67-1)</v>
      </c>
      <c r="I35" s="24">
        <f t="shared" si="0"/>
        <v>1.0669999999999999</v>
      </c>
      <c r="J35" s="20">
        <f t="shared" si="0"/>
        <v>43.68</v>
      </c>
      <c r="K35" s="24">
        <f t="shared" si="0"/>
        <v>23.94</v>
      </c>
      <c r="L35" s="20">
        <f t="shared" si="0"/>
        <v>1045.78</v>
      </c>
    </row>
    <row r="36" spans="1:16" ht="14.25" x14ac:dyDescent="0.2">
      <c r="A36" s="22"/>
      <c r="B36" s="22"/>
      <c r="C36" s="23"/>
      <c r="D36" s="23" t="s">
        <v>86</v>
      </c>
      <c r="E36" s="16"/>
      <c r="F36" s="24"/>
      <c r="G36" s="25">
        <f>[83]Source!AN330</f>
        <v>11.11</v>
      </c>
      <c r="H36" s="26" t="s">
        <v>95</v>
      </c>
      <c r="I36" s="24">
        <f>[83]Source!AV331</f>
        <v>1.0669999999999999</v>
      </c>
      <c r="J36" s="20">
        <f>ROUND(F24*G36*I36*(1.67-1), 2)</f>
        <v>43.68</v>
      </c>
      <c r="K36" s="24">
        <f>IF([83]Source!BS331&lt;&gt; 0, [83]Source!BS331, 1)</f>
        <v>23.94</v>
      </c>
      <c r="L36" s="20">
        <f>ROUND(F24*G36*I36*(1.67-1)*K36, 2)</f>
        <v>1045.78</v>
      </c>
    </row>
    <row r="37" spans="1:16" ht="14.25" x14ac:dyDescent="0.2">
      <c r="A37" s="22"/>
      <c r="B37" s="22"/>
      <c r="C37" s="23"/>
      <c r="D37" s="23" t="s">
        <v>91</v>
      </c>
      <c r="E37" s="16" t="s">
        <v>89</v>
      </c>
      <c r="F37" s="24">
        <f>175</f>
        <v>175</v>
      </c>
      <c r="G37" s="25"/>
      <c r="H37" s="16"/>
      <c r="I37" s="24"/>
      <c r="J37" s="20">
        <f>ROUND(J36*(F37/100), 2)</f>
        <v>76.44</v>
      </c>
      <c r="K37" s="24">
        <f>157</f>
        <v>157</v>
      </c>
      <c r="L37" s="20">
        <f>ROUND(L36*(K37/100), 2)</f>
        <v>1641.87</v>
      </c>
    </row>
    <row r="38" spans="1:16" ht="15" x14ac:dyDescent="0.25">
      <c r="I38" s="847">
        <f>J37+J36</f>
        <v>120.12</v>
      </c>
      <c r="J38" s="847"/>
      <c r="K38" s="847">
        <f>L37+L36</f>
        <v>2687.65</v>
      </c>
      <c r="L38" s="847"/>
      <c r="O38" s="47">
        <f>I38</f>
        <v>120.12</v>
      </c>
      <c r="P38" s="47">
        <f>K38</f>
        <v>2687.65</v>
      </c>
    </row>
    <row r="40" spans="1:16" ht="15" x14ac:dyDescent="0.25">
      <c r="A40" s="27"/>
      <c r="B40" s="27"/>
      <c r="C40" s="28"/>
      <c r="D40" s="28" t="s">
        <v>96</v>
      </c>
      <c r="E40" s="29"/>
      <c r="F40" s="30"/>
      <c r="G40" s="31"/>
      <c r="H40" s="32"/>
      <c r="I40" s="847">
        <f>I33+I38</f>
        <v>8719.07</v>
      </c>
      <c r="J40" s="847"/>
      <c r="K40" s="847">
        <f>K33+K38</f>
        <v>133303.88</v>
      </c>
      <c r="L40" s="847"/>
    </row>
    <row r="42" spans="1:16" ht="15" x14ac:dyDescent="0.25">
      <c r="A42" s="879" t="str">
        <f>CONCATENATE("Итого по подразделу: ",IF([83]Source!G333&lt;&gt;"Новый подраздел", [83]Source!G333, ""))</f>
        <v>Итого по подразделу: Металл и металлические изделия</v>
      </c>
      <c r="B42" s="879"/>
      <c r="C42" s="879"/>
      <c r="D42" s="879"/>
      <c r="E42" s="879"/>
      <c r="F42" s="879"/>
      <c r="G42" s="879"/>
      <c r="H42" s="879"/>
      <c r="I42" s="880">
        <f>SUM(O23:O41)</f>
        <v>8719.07</v>
      </c>
      <c r="J42" s="881"/>
      <c r="K42" s="880">
        <f>SUM(P23:P41)</f>
        <v>133303.88</v>
      </c>
      <c r="L42" s="881"/>
    </row>
    <row r="43" spans="1:16" hidden="1" x14ac:dyDescent="0.2">
      <c r="A43" s="43" t="s">
        <v>139</v>
      </c>
      <c r="J43" s="43" t="e">
        <f>SUM(#REF!)</f>
        <v>#REF!</v>
      </c>
      <c r="K43" s="43" t="e">
        <f>SUM(#REF!)</f>
        <v>#REF!</v>
      </c>
    </row>
    <row r="44" spans="1:16" hidden="1" x14ac:dyDescent="0.2">
      <c r="A44" s="43" t="s">
        <v>140</v>
      </c>
      <c r="J44" s="43">
        <f>SUM(Y43:Y43)</f>
        <v>0</v>
      </c>
      <c r="K44" s="43">
        <f>SUM(Z43:Z43)</f>
        <v>0</v>
      </c>
    </row>
    <row r="46" spans="1:16" ht="15" x14ac:dyDescent="0.25">
      <c r="A46" s="879" t="str">
        <f>CONCATENATE("Итого по разделу: ",IF([83]Source!G407&lt;&gt;"Новый раздел", [83]Source!G407, ""))</f>
        <v>Итого по разделу: Монтажные работы</v>
      </c>
      <c r="B46" s="879"/>
      <c r="C46" s="879"/>
      <c r="D46" s="879"/>
      <c r="E46" s="879"/>
      <c r="F46" s="879"/>
      <c r="G46" s="879"/>
      <c r="H46" s="879"/>
      <c r="I46" s="880">
        <f>SUM(O19:O45)</f>
        <v>8719.07</v>
      </c>
      <c r="J46" s="881"/>
      <c r="K46" s="880">
        <f>SUM(P19:P45)</f>
        <v>133303.88</v>
      </c>
      <c r="L46" s="881"/>
    </row>
    <row r="48" spans="1:16" ht="15" x14ac:dyDescent="0.25">
      <c r="A48" s="900" t="s">
        <v>113</v>
      </c>
      <c r="B48" s="900"/>
      <c r="C48" s="900"/>
      <c r="D48" s="900"/>
      <c r="E48" s="900"/>
      <c r="F48" s="900"/>
      <c r="G48" s="900"/>
      <c r="H48" s="900"/>
      <c r="I48" s="36"/>
      <c r="J48" s="37">
        <f>I36+I46</f>
        <v>8720.14</v>
      </c>
      <c r="K48" s="36"/>
      <c r="L48" s="37">
        <f>K36+K46</f>
        <v>133327.82</v>
      </c>
    </row>
    <row r="49" spans="1:12" s="38" customFormat="1" ht="14.25" x14ac:dyDescent="0.2">
      <c r="D49" s="39" t="s">
        <v>114</v>
      </c>
      <c r="E49" s="39"/>
      <c r="F49" s="39"/>
      <c r="G49" s="39"/>
      <c r="H49" s="39"/>
      <c r="I49" s="902">
        <f>J28</f>
        <v>2039.31</v>
      </c>
      <c r="J49" s="903"/>
      <c r="K49" s="902">
        <f>L28</f>
        <v>11338.56</v>
      </c>
      <c r="L49" s="903"/>
    </row>
    <row r="50" spans="1:12" s="38" customFormat="1" ht="14.25" x14ac:dyDescent="0.2">
      <c r="D50" s="39" t="s">
        <v>115</v>
      </c>
      <c r="E50" s="39"/>
      <c r="F50" s="39"/>
      <c r="G50" s="39"/>
      <c r="H50" s="39"/>
      <c r="I50" s="871">
        <f>J27+J36</f>
        <v>108.88</v>
      </c>
      <c r="J50" s="871"/>
      <c r="K50" s="871">
        <f>L27+L36</f>
        <v>2606.59</v>
      </c>
      <c r="L50" s="871"/>
    </row>
    <row r="51" spans="1:12" s="38" customFormat="1" ht="14.25" x14ac:dyDescent="0.2">
      <c r="D51" s="39" t="s">
        <v>116</v>
      </c>
      <c r="E51" s="39"/>
      <c r="F51" s="39"/>
      <c r="G51" s="39"/>
      <c r="H51" s="39"/>
      <c r="I51" s="871">
        <f>J25</f>
        <v>1993.79</v>
      </c>
      <c r="J51" s="871"/>
      <c r="K51" s="871">
        <f>L25</f>
        <v>47731.33</v>
      </c>
      <c r="L51" s="871"/>
    </row>
    <row r="52" spans="1:12" s="38" customFormat="1" ht="14.25" x14ac:dyDescent="0.2">
      <c r="D52" s="39" t="s">
        <v>117</v>
      </c>
      <c r="E52" s="39"/>
      <c r="F52" s="39"/>
      <c r="G52" s="39"/>
      <c r="H52" s="39"/>
      <c r="I52" s="871">
        <f>J29</f>
        <v>2233.04</v>
      </c>
      <c r="J52" s="871"/>
      <c r="K52" s="871">
        <f>L29</f>
        <v>42958.2</v>
      </c>
      <c r="L52" s="871"/>
    </row>
    <row r="53" spans="1:12" s="38" customFormat="1" ht="14.25" x14ac:dyDescent="0.2">
      <c r="D53" s="39" t="s">
        <v>118</v>
      </c>
      <c r="E53" s="39"/>
      <c r="F53" s="39"/>
      <c r="G53" s="39"/>
      <c r="H53" s="39"/>
      <c r="I53" s="871">
        <f>J30</f>
        <v>1395.65</v>
      </c>
      <c r="J53" s="871"/>
      <c r="K53" s="871">
        <f>L30</f>
        <v>20524.47</v>
      </c>
      <c r="L53" s="871"/>
    </row>
    <row r="54" spans="1:12" ht="14.25" x14ac:dyDescent="0.2">
      <c r="A54" s="40"/>
      <c r="B54" s="40"/>
      <c r="C54" s="40"/>
      <c r="D54" s="40"/>
      <c r="E54" s="40"/>
      <c r="F54" s="40"/>
      <c r="G54" s="40"/>
      <c r="H54" s="40"/>
      <c r="I54" s="36"/>
      <c r="J54" s="36"/>
      <c r="K54" s="36"/>
      <c r="L54" s="36"/>
    </row>
    <row r="55" spans="1:12" ht="14.25" x14ac:dyDescent="0.2">
      <c r="A55" s="40"/>
      <c r="B55" s="40"/>
      <c r="C55" s="40"/>
      <c r="D55" s="40"/>
      <c r="E55" s="40"/>
      <c r="F55" s="40"/>
      <c r="G55" s="40"/>
      <c r="H55" s="40"/>
      <c r="I55" s="36"/>
      <c r="J55" s="36"/>
      <c r="K55" s="36"/>
      <c r="L55" s="36"/>
    </row>
    <row r="56" spans="1:12" ht="14.25" x14ac:dyDescent="0.2">
      <c r="A56" s="40"/>
      <c r="B56" s="40"/>
      <c r="C56" s="40"/>
      <c r="D56" s="874" t="s">
        <v>268</v>
      </c>
      <c r="E56" s="874"/>
      <c r="F56" s="874"/>
      <c r="G56" s="213"/>
      <c r="H56" s="213"/>
      <c r="I56" s="214"/>
      <c r="J56" s="215">
        <f>J48</f>
        <v>8720.14</v>
      </c>
      <c r="K56" s="215"/>
      <c r="L56" s="215">
        <f>L48</f>
        <v>133327.82</v>
      </c>
    </row>
    <row r="57" spans="1:12" ht="14.25" x14ac:dyDescent="0.2">
      <c r="A57" s="40"/>
      <c r="B57" s="40"/>
      <c r="C57" s="40"/>
      <c r="D57" s="872" t="s">
        <v>3</v>
      </c>
      <c r="E57" s="872"/>
      <c r="F57" s="872"/>
      <c r="G57" s="218"/>
      <c r="H57" s="218"/>
      <c r="I57" s="219"/>
      <c r="J57" s="215">
        <f>J56</f>
        <v>8720.14</v>
      </c>
      <c r="K57"/>
      <c r="L57" s="220">
        <f>L56</f>
        <v>133327.82</v>
      </c>
    </row>
    <row r="58" spans="1:12" ht="14.25" x14ac:dyDescent="0.2">
      <c r="A58" s="40"/>
      <c r="B58" s="40"/>
      <c r="C58" s="40"/>
      <c r="D58" s="872" t="s">
        <v>269</v>
      </c>
      <c r="E58" s="872"/>
      <c r="F58" s="872"/>
      <c r="G58" s="218"/>
      <c r="H58" s="218"/>
      <c r="I58" s="221"/>
      <c r="J58" s="222">
        <f>I51+I50</f>
        <v>2102.67</v>
      </c>
      <c r="K58" s="222"/>
      <c r="L58" s="222">
        <f>K51+K50</f>
        <v>50337.919999999998</v>
      </c>
    </row>
    <row r="59" spans="1:12" ht="14.25" x14ac:dyDescent="0.2">
      <c r="A59" s="40"/>
      <c r="B59" s="40"/>
      <c r="C59" s="40"/>
      <c r="D59" s="872" t="s">
        <v>270</v>
      </c>
      <c r="E59" s="872"/>
      <c r="F59" s="872"/>
      <c r="G59" s="218"/>
      <c r="H59" s="218"/>
      <c r="I59" s="221"/>
      <c r="J59" s="222">
        <f>I49</f>
        <v>2039.31</v>
      </c>
      <c r="K59" s="222"/>
      <c r="L59" s="222">
        <f>K49</f>
        <v>11338.56</v>
      </c>
    </row>
    <row r="60" spans="1:12" ht="14.25" x14ac:dyDescent="0.2">
      <c r="A60" s="40"/>
      <c r="B60" s="40"/>
      <c r="C60" s="40"/>
      <c r="D60" s="872" t="s">
        <v>271</v>
      </c>
      <c r="E60" s="872"/>
      <c r="F60" s="872"/>
      <c r="G60" s="218"/>
      <c r="H60" s="218"/>
      <c r="I60" s="221"/>
      <c r="J60" s="215">
        <v>0</v>
      </c>
      <c r="K60" s="223"/>
      <c r="L60" s="220">
        <v>0</v>
      </c>
    </row>
    <row r="61" spans="1:12" ht="14.25" x14ac:dyDescent="0.2">
      <c r="A61" s="40"/>
      <c r="B61" s="40"/>
      <c r="C61" s="40"/>
      <c r="D61" s="872" t="s">
        <v>272</v>
      </c>
      <c r="E61" s="872"/>
      <c r="F61" s="872"/>
      <c r="G61" s="224"/>
      <c r="H61" s="224"/>
      <c r="I61" s="225"/>
      <c r="J61" s="226">
        <f>J57*5.61%</f>
        <v>489.2</v>
      </c>
      <c r="K61" s="223"/>
      <c r="L61" s="226">
        <f>L57*5.61%</f>
        <v>7479.69</v>
      </c>
    </row>
    <row r="62" spans="1:12" ht="15" x14ac:dyDescent="0.25">
      <c r="A62" s="40"/>
      <c r="B62" s="40"/>
      <c r="C62" s="40"/>
      <c r="D62" s="873" t="s">
        <v>273</v>
      </c>
      <c r="E62" s="873"/>
      <c r="F62" s="873"/>
      <c r="G62" s="228"/>
      <c r="H62" s="228"/>
      <c r="I62" s="229"/>
      <c r="J62" s="230">
        <f>ROUND(J57+J61,2)</f>
        <v>9209.34</v>
      </c>
      <c r="K62" s="223"/>
      <c r="L62" s="231">
        <f>ROUND(L57+L61,2)</f>
        <v>140807.51</v>
      </c>
    </row>
    <row r="63" spans="1:12" ht="14.25" x14ac:dyDescent="0.2">
      <c r="A63" s="40"/>
      <c r="B63" s="40"/>
      <c r="C63" s="40"/>
      <c r="D63" s="872" t="s">
        <v>274</v>
      </c>
      <c r="E63" s="872"/>
      <c r="F63" s="872"/>
      <c r="G63" s="224"/>
      <c r="H63" s="224"/>
      <c r="I63" s="225"/>
      <c r="J63" s="226">
        <f>J58*0.15</f>
        <v>315.39999999999998</v>
      </c>
      <c r="K63" s="232"/>
      <c r="L63" s="232">
        <f>L58*0.15</f>
        <v>7550.69</v>
      </c>
    </row>
    <row r="64" spans="1:12" ht="15" x14ac:dyDescent="0.25">
      <c r="A64" s="40"/>
      <c r="B64" s="40"/>
      <c r="C64" s="40"/>
      <c r="D64" s="873" t="s">
        <v>275</v>
      </c>
      <c r="E64" s="873"/>
      <c r="F64" s="873"/>
      <c r="G64" s="228"/>
      <c r="H64" s="228"/>
      <c r="I64" s="229"/>
      <c r="J64" s="230">
        <f>J62+J63</f>
        <v>9524.74</v>
      </c>
      <c r="K64" s="223"/>
      <c r="L64" s="231">
        <f>L62+L63</f>
        <v>148358.20000000001</v>
      </c>
    </row>
    <row r="65" spans="1:12" ht="14.25" x14ac:dyDescent="0.2">
      <c r="A65" s="40"/>
      <c r="B65" s="40"/>
      <c r="C65" s="40"/>
      <c r="D65" s="233"/>
      <c r="E65" s="233"/>
      <c r="F65" s="233"/>
      <c r="G65" s="234"/>
      <c r="H65" s="234"/>
      <c r="I65" s="235"/>
      <c r="J65" s="236"/>
      <c r="K65"/>
      <c r="L65" s="237"/>
    </row>
    <row r="66" spans="1:12" ht="14.25" x14ac:dyDescent="0.2">
      <c r="A66" s="40"/>
      <c r="B66" s="40"/>
      <c r="C66" s="40"/>
      <c r="D66" s="874" t="s">
        <v>276</v>
      </c>
      <c r="E66" s="874"/>
      <c r="F66" s="874"/>
      <c r="G66" s="238"/>
      <c r="H66" s="238"/>
      <c r="I66" s="238"/>
      <c r="J66" s="238"/>
      <c r="K66" s="876">
        <f>L56*0.975</f>
        <v>129994.62</v>
      </c>
      <c r="L66" s="876"/>
    </row>
    <row r="67" spans="1:12" ht="14.25" x14ac:dyDescent="0.2">
      <c r="A67" s="40"/>
      <c r="B67" s="40"/>
      <c r="C67" s="40"/>
      <c r="D67" s="872" t="s">
        <v>277</v>
      </c>
      <c r="E67" s="872"/>
      <c r="F67" s="872"/>
      <c r="G67" s="224"/>
      <c r="H67" s="224"/>
      <c r="I67" s="224"/>
      <c r="J67" s="224"/>
      <c r="K67" s="869">
        <f>L57*0.975</f>
        <v>129994.62</v>
      </c>
      <c r="L67" s="869"/>
    </row>
    <row r="68" spans="1:12" ht="14.25" x14ac:dyDescent="0.2">
      <c r="A68" s="40"/>
      <c r="B68" s="40"/>
      <c r="C68" s="40"/>
      <c r="D68" s="872" t="s">
        <v>278</v>
      </c>
      <c r="E68" s="872"/>
      <c r="F68" s="872"/>
      <c r="G68" s="224"/>
      <c r="H68" s="224"/>
      <c r="I68" s="224"/>
      <c r="J68" s="224"/>
      <c r="K68" s="869">
        <f>L58*0.975</f>
        <v>49079.47</v>
      </c>
      <c r="L68" s="869"/>
    </row>
    <row r="69" spans="1:12" ht="15" customHeight="1" x14ac:dyDescent="0.2">
      <c r="A69" s="40"/>
      <c r="B69" s="40"/>
      <c r="C69" s="40"/>
      <c r="D69" s="872" t="s">
        <v>279</v>
      </c>
      <c r="E69" s="872"/>
      <c r="F69" s="872"/>
      <c r="G69" s="224"/>
      <c r="H69" s="224"/>
      <c r="I69" s="224"/>
      <c r="J69" s="224"/>
      <c r="K69" s="869">
        <f>L59*0.975</f>
        <v>11055.1</v>
      </c>
      <c r="L69" s="869"/>
    </row>
    <row r="70" spans="1:12" ht="14.25" x14ac:dyDescent="0.2">
      <c r="A70" s="40"/>
      <c r="B70" s="40"/>
      <c r="C70" s="40"/>
      <c r="D70" s="872" t="s">
        <v>280</v>
      </c>
      <c r="E70" s="872"/>
      <c r="F70" s="872"/>
      <c r="G70" s="224"/>
      <c r="H70" s="224"/>
      <c r="I70" s="224"/>
      <c r="J70" s="224"/>
      <c r="K70" s="869">
        <v>0</v>
      </c>
      <c r="L70" s="869"/>
    </row>
    <row r="71" spans="1:12" ht="14.25" x14ac:dyDescent="0.2">
      <c r="A71" s="40"/>
      <c r="B71" s="40"/>
      <c r="C71" s="40"/>
      <c r="D71" s="872" t="s">
        <v>281</v>
      </c>
      <c r="E71" s="872"/>
      <c r="F71" s="872"/>
      <c r="G71" s="224"/>
      <c r="H71" s="224"/>
      <c r="I71" s="224"/>
      <c r="J71" s="224"/>
      <c r="K71" s="869">
        <f>K67*0.0561</f>
        <v>7292.7</v>
      </c>
      <c r="L71" s="869"/>
    </row>
    <row r="72" spans="1:12" ht="15" x14ac:dyDescent="0.25">
      <c r="A72" s="40"/>
      <c r="B72" s="40"/>
      <c r="C72" s="40"/>
      <c r="D72" s="873" t="s">
        <v>282</v>
      </c>
      <c r="E72" s="873"/>
      <c r="F72" s="873"/>
      <c r="G72" s="228"/>
      <c r="H72" s="228"/>
      <c r="I72" s="228"/>
      <c r="J72" s="228"/>
      <c r="K72" s="870">
        <f>ROUND(K67+K71,2)</f>
        <v>137287.32</v>
      </c>
      <c r="L72" s="870"/>
    </row>
    <row r="73" spans="1:12" ht="15" x14ac:dyDescent="0.25">
      <c r="A73" s="40"/>
      <c r="B73" s="40"/>
      <c r="C73" s="40"/>
      <c r="D73" s="872" t="s">
        <v>283</v>
      </c>
      <c r="E73" s="872"/>
      <c r="F73" s="872"/>
      <c r="G73" s="224"/>
      <c r="H73" s="224"/>
      <c r="I73" s="224"/>
      <c r="J73" s="224"/>
      <c r="K73" s="870">
        <f>L63*0.975</f>
        <v>7361.92</v>
      </c>
      <c r="L73" s="870"/>
    </row>
    <row r="74" spans="1:12" ht="15" customHeight="1" x14ac:dyDescent="0.25">
      <c r="A74" s="40"/>
      <c r="B74" s="40"/>
      <c r="C74" s="40"/>
      <c r="D74" s="873" t="s">
        <v>275</v>
      </c>
      <c r="E74" s="873"/>
      <c r="F74" s="873"/>
      <c r="G74" s="228"/>
      <c r="H74" s="228"/>
      <c r="I74" s="228"/>
      <c r="J74" s="228"/>
      <c r="K74" s="231"/>
      <c r="L74" s="231">
        <f>K72+K73</f>
        <v>144649.24</v>
      </c>
    </row>
    <row r="75" spans="1:12" ht="15" x14ac:dyDescent="0.25">
      <c r="A75" s="40"/>
      <c r="B75" s="40"/>
      <c r="C75" s="40"/>
      <c r="D75" s="240"/>
      <c r="E75" s="241"/>
      <c r="F75" s="241"/>
      <c r="G75" s="241"/>
      <c r="H75" s="241"/>
      <c r="I75" s="242"/>
      <c r="J75" s="242"/>
      <c r="K75" s="242"/>
      <c r="L75" s="242"/>
    </row>
    <row r="76" spans="1:12" ht="14.25" customHeight="1" x14ac:dyDescent="0.2">
      <c r="A76" s="40"/>
      <c r="B76" s="40"/>
      <c r="C76" s="40"/>
      <c r="D76" s="874" t="s">
        <v>284</v>
      </c>
      <c r="E76" s="874"/>
      <c r="F76" s="874"/>
      <c r="G76" s="238"/>
      <c r="H76" s="238"/>
      <c r="I76" s="238"/>
      <c r="J76" s="238"/>
      <c r="K76" s="216"/>
      <c r="L76" s="239">
        <f>K66*0.998999999999673</f>
        <v>129864.63</v>
      </c>
    </row>
    <row r="77" spans="1:12" ht="14.25" x14ac:dyDescent="0.2">
      <c r="D77" s="872" t="s">
        <v>285</v>
      </c>
      <c r="E77" s="872"/>
      <c r="F77" s="872"/>
      <c r="G77" s="224"/>
      <c r="H77" s="224"/>
      <c r="I77" s="224"/>
      <c r="J77" s="224"/>
      <c r="K77" s="223"/>
      <c r="L77" s="227">
        <f>K67*0.998999999999673</f>
        <v>129864.63</v>
      </c>
    </row>
    <row r="78" spans="1:12" ht="14.25" customHeight="1" x14ac:dyDescent="0.2">
      <c r="D78" s="872" t="s">
        <v>286</v>
      </c>
      <c r="E78" s="872"/>
      <c r="F78" s="872"/>
      <c r="G78" s="224"/>
      <c r="H78" s="224"/>
      <c r="I78" s="224"/>
      <c r="J78" s="224"/>
      <c r="K78" s="223"/>
      <c r="L78" s="227">
        <f>K68*0.998999999999673</f>
        <v>49030.39</v>
      </c>
    </row>
    <row r="79" spans="1:12" s="1" customFormat="1" ht="14.25" customHeight="1" x14ac:dyDescent="0.2">
      <c r="D79" s="872" t="s">
        <v>287</v>
      </c>
      <c r="E79" s="872"/>
      <c r="F79" s="872"/>
      <c r="G79" s="224"/>
      <c r="H79" s="224"/>
      <c r="I79" s="224"/>
      <c r="J79" s="224"/>
      <c r="K79" s="223"/>
      <c r="L79" s="227">
        <f>K69*0.998999999999673</f>
        <v>11044.04</v>
      </c>
    </row>
    <row r="80" spans="1:12" s="1" customFormat="1" ht="14.25" x14ac:dyDescent="0.2">
      <c r="D80" s="872" t="s">
        <v>288</v>
      </c>
      <c r="E80" s="872"/>
      <c r="F80" s="872"/>
      <c r="G80" s="224"/>
      <c r="H80" s="224"/>
      <c r="I80" s="224"/>
      <c r="J80" s="224"/>
      <c r="K80" s="223"/>
      <c r="L80" s="227">
        <v>0</v>
      </c>
    </row>
    <row r="81" spans="4:12" s="1" customFormat="1" ht="14.25" x14ac:dyDescent="0.2">
      <c r="D81" s="872" t="s">
        <v>289</v>
      </c>
      <c r="E81" s="872"/>
      <c r="F81" s="872"/>
      <c r="G81" s="224"/>
      <c r="H81" s="224"/>
      <c r="I81" s="224"/>
      <c r="J81" s="224"/>
      <c r="K81" s="216"/>
      <c r="L81" s="227">
        <f>L77*0.0561</f>
        <v>7285.41</v>
      </c>
    </row>
    <row r="82" spans="4:12" s="1" customFormat="1" ht="15" customHeight="1" x14ac:dyDescent="0.25">
      <c r="D82" s="873" t="s">
        <v>290</v>
      </c>
      <c r="E82" s="873"/>
      <c r="F82" s="873"/>
      <c r="G82" s="228"/>
      <c r="H82" s="228"/>
      <c r="I82" s="228"/>
      <c r="J82" s="228"/>
      <c r="K82" s="223"/>
      <c r="L82" s="231">
        <f>ROUND(L77+L81,2)</f>
        <v>137150.04</v>
      </c>
    </row>
    <row r="83" spans="4:12" s="1" customFormat="1" ht="15" customHeight="1" x14ac:dyDescent="0.25">
      <c r="D83" s="872" t="s">
        <v>291</v>
      </c>
      <c r="E83" s="872"/>
      <c r="F83" s="872"/>
      <c r="G83" s="224"/>
      <c r="H83" s="224"/>
      <c r="I83" s="224"/>
      <c r="J83" s="224"/>
      <c r="K83" s="223"/>
      <c r="L83" s="231">
        <f>K73*0.998999999999673</f>
        <v>7354.56</v>
      </c>
    </row>
    <row r="84" spans="4:12" ht="15" customHeight="1" x14ac:dyDescent="0.25">
      <c r="D84" s="873" t="s">
        <v>275</v>
      </c>
      <c r="E84" s="873"/>
      <c r="F84" s="873"/>
      <c r="G84" s="228"/>
      <c r="H84" s="228"/>
      <c r="I84" s="228"/>
      <c r="J84" s="228"/>
      <c r="K84" s="223"/>
      <c r="L84" s="231">
        <f>L82+L83</f>
        <v>144504.6</v>
      </c>
    </row>
  </sheetData>
  <mergeCells count="77">
    <mergeCell ref="D68:F68"/>
    <mergeCell ref="D69:F69"/>
    <mergeCell ref="D64:F64"/>
    <mergeCell ref="D66:F66"/>
    <mergeCell ref="D67:F67"/>
    <mergeCell ref="K53:L53"/>
    <mergeCell ref="I49:J49"/>
    <mergeCell ref="K49:L49"/>
    <mergeCell ref="I50:J50"/>
    <mergeCell ref="K50:L50"/>
    <mergeCell ref="I51:J51"/>
    <mergeCell ref="K51:L51"/>
    <mergeCell ref="I52:J52"/>
    <mergeCell ref="K52:L52"/>
    <mergeCell ref="D59:F59"/>
    <mergeCell ref="D60:F60"/>
    <mergeCell ref="D61:F61"/>
    <mergeCell ref="D62:F62"/>
    <mergeCell ref="D63:F63"/>
    <mergeCell ref="A48:H48"/>
    <mergeCell ref="I53:J53"/>
    <mergeCell ref="D56:F56"/>
    <mergeCell ref="D57:F57"/>
    <mergeCell ref="D58:F58"/>
    <mergeCell ref="B11:B14"/>
    <mergeCell ref="A46:H46"/>
    <mergeCell ref="I46:J46"/>
    <mergeCell ref="K46:L46"/>
    <mergeCell ref="A19:L19"/>
    <mergeCell ref="A23:L23"/>
    <mergeCell ref="I33:J33"/>
    <mergeCell ref="K33:L33"/>
    <mergeCell ref="I38:J38"/>
    <mergeCell ref="K38:L38"/>
    <mergeCell ref="I40:J40"/>
    <mergeCell ref="K40:L40"/>
    <mergeCell ref="A42:H42"/>
    <mergeCell ref="I42:J42"/>
    <mergeCell ref="K42:L42"/>
    <mergeCell ref="E1:G1"/>
    <mergeCell ref="A17:L17"/>
    <mergeCell ref="E2:G2"/>
    <mergeCell ref="A9:L9"/>
    <mergeCell ref="A10:B10"/>
    <mergeCell ref="C10:C14"/>
    <mergeCell ref="D10:D14"/>
    <mergeCell ref="E10:E14"/>
    <mergeCell ref="F10:F14"/>
    <mergeCell ref="G10:G14"/>
    <mergeCell ref="H10:H14"/>
    <mergeCell ref="I10:I14"/>
    <mergeCell ref="J10:J14"/>
    <mergeCell ref="K10:K14"/>
    <mergeCell ref="L10:L14"/>
    <mergeCell ref="A11:A14"/>
    <mergeCell ref="D70:F70"/>
    <mergeCell ref="D71:F71"/>
    <mergeCell ref="D72:F72"/>
    <mergeCell ref="D73:F73"/>
    <mergeCell ref="D74:F74"/>
    <mergeCell ref="D81:F81"/>
    <mergeCell ref="D82:F82"/>
    <mergeCell ref="D83:F83"/>
    <mergeCell ref="D84:F84"/>
    <mergeCell ref="D76:F76"/>
    <mergeCell ref="D77:F77"/>
    <mergeCell ref="D78:F78"/>
    <mergeCell ref="D79:F79"/>
    <mergeCell ref="D80:F80"/>
    <mergeCell ref="K71:L71"/>
    <mergeCell ref="K72:L72"/>
    <mergeCell ref="K73:L73"/>
    <mergeCell ref="K66:L66"/>
    <mergeCell ref="K67:L67"/>
    <mergeCell ref="K68:L68"/>
    <mergeCell ref="K69:L69"/>
    <mergeCell ref="K70:L70"/>
  </mergeCells>
  <pageMargins left="0.4" right="0.2" top="0.2" bottom="0.4" header="0.2" footer="0.2"/>
  <pageSetup paperSize="9" scale="65" fitToHeight="0" orientation="portrait" r:id="rId1"/>
  <headerFooter>
    <oddHeader>&amp;L&amp;8</oddHeader>
    <oddFooter>&amp;R&amp;P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AF79"/>
  <sheetViews>
    <sheetView workbookViewId="0"/>
  </sheetViews>
  <sheetFormatPr defaultColWidth="9.33203125" defaultRowHeight="12.75" x14ac:dyDescent="0.2"/>
  <cols>
    <col min="1" max="2" width="6.6640625" style="43" customWidth="1"/>
    <col min="3" max="3" width="13.6640625" style="43" customWidth="1"/>
    <col min="4" max="4" width="47.5" style="43" customWidth="1"/>
    <col min="5" max="7" width="13.6640625" style="43" customWidth="1"/>
    <col min="8" max="8" width="14.83203125" style="43" customWidth="1"/>
    <col min="9" max="9" width="13" style="43" customWidth="1"/>
    <col min="10" max="12" width="14.83203125" style="43" customWidth="1"/>
    <col min="13" max="14" width="9.33203125" style="43"/>
    <col min="15" max="30" width="0" style="43" hidden="1" customWidth="1"/>
    <col min="31" max="31" width="181.6640625" style="43" hidden="1" customWidth="1"/>
    <col min="32" max="32" width="128" style="43" hidden="1" customWidth="1"/>
    <col min="33" max="36" width="0" style="43" hidden="1" customWidth="1"/>
    <col min="37" max="16384" width="9.33203125" style="43"/>
  </cols>
  <sheetData>
    <row r="1" spans="1:31" ht="18" x14ac:dyDescent="0.25">
      <c r="A1" s="11"/>
      <c r="B1" s="11"/>
      <c r="C1" s="11"/>
      <c r="D1" s="11"/>
      <c r="E1" s="855" t="s">
        <v>295</v>
      </c>
      <c r="F1" s="855"/>
      <c r="G1" s="855"/>
      <c r="H1" s="11"/>
      <c r="I1" s="11"/>
      <c r="J1" s="11"/>
      <c r="K1" s="11"/>
      <c r="L1" s="11"/>
    </row>
    <row r="2" spans="1:31" ht="18" x14ac:dyDescent="0.25">
      <c r="A2" s="11"/>
      <c r="B2" s="11"/>
      <c r="C2" s="11"/>
      <c r="D2" s="11"/>
      <c r="E2" s="848" t="s">
        <v>62</v>
      </c>
      <c r="F2" s="848"/>
      <c r="G2" s="848"/>
      <c r="H2" s="11"/>
      <c r="I2" s="11"/>
      <c r="J2" s="11"/>
      <c r="K2" s="11"/>
      <c r="L2" s="11"/>
    </row>
    <row r="3" spans="1:31" ht="18" x14ac:dyDescent="0.25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</row>
    <row r="4" spans="1:31" ht="18" x14ac:dyDescent="0.25">
      <c r="A4" s="11"/>
      <c r="B4" s="11"/>
      <c r="C4" s="11"/>
      <c r="D4" s="44" t="s">
        <v>143</v>
      </c>
      <c r="E4" s="11"/>
      <c r="F4" s="11"/>
      <c r="G4" s="11"/>
      <c r="H4" s="11"/>
      <c r="I4" s="11"/>
      <c r="J4" s="11"/>
      <c r="K4" s="11"/>
      <c r="L4" s="11"/>
    </row>
    <row r="5" spans="1:31" ht="18" x14ac:dyDescent="0.25">
      <c r="A5" s="11"/>
      <c r="B5" s="11"/>
      <c r="C5" s="11"/>
      <c r="D5" s="44" t="s">
        <v>144</v>
      </c>
      <c r="E5" s="11"/>
      <c r="F5" s="11"/>
      <c r="G5" s="11"/>
      <c r="H5" s="11"/>
      <c r="I5" s="11"/>
      <c r="J5" s="11"/>
      <c r="K5" s="11"/>
      <c r="L5" s="11"/>
    </row>
    <row r="6" spans="1:31" ht="59.25" customHeight="1" x14ac:dyDescent="0.25">
      <c r="A6" s="11"/>
      <c r="B6" s="11"/>
      <c r="C6" s="11"/>
      <c r="D6" s="44" t="s">
        <v>31</v>
      </c>
      <c r="E6" s="11"/>
      <c r="F6" s="11"/>
      <c r="G6" s="11"/>
      <c r="H6" s="11"/>
      <c r="I6" s="11"/>
      <c r="J6" s="11"/>
      <c r="K6" s="11"/>
      <c r="L6" s="11"/>
    </row>
    <row r="7" spans="1:31" ht="14.25" x14ac:dyDescent="0.2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</row>
    <row r="8" spans="1:31" ht="14.25" x14ac:dyDescent="0.2">
      <c r="A8" s="849" t="s">
        <v>66</v>
      </c>
      <c r="B8" s="849"/>
      <c r="C8" s="849"/>
      <c r="D8" s="849"/>
      <c r="E8" s="849"/>
      <c r="F8" s="849"/>
      <c r="G8" s="849"/>
      <c r="H8" s="849"/>
      <c r="I8" s="849"/>
      <c r="J8" s="849"/>
      <c r="K8" s="849"/>
      <c r="L8" s="849"/>
    </row>
    <row r="9" spans="1:31" ht="14.25" x14ac:dyDescent="0.2">
      <c r="A9" s="850" t="s">
        <v>67</v>
      </c>
      <c r="B9" s="850"/>
      <c r="C9" s="850" t="s">
        <v>68</v>
      </c>
      <c r="D9" s="850" t="s">
        <v>69</v>
      </c>
      <c r="E9" s="850" t="s">
        <v>70</v>
      </c>
      <c r="F9" s="850" t="s">
        <v>71</v>
      </c>
      <c r="G9" s="850" t="s">
        <v>72</v>
      </c>
      <c r="H9" s="851" t="s">
        <v>73</v>
      </c>
      <c r="I9" s="851" t="s">
        <v>74</v>
      </c>
      <c r="J9" s="850" t="s">
        <v>75</v>
      </c>
      <c r="K9" s="850" t="s">
        <v>76</v>
      </c>
      <c r="L9" s="850" t="s">
        <v>77</v>
      </c>
    </row>
    <row r="10" spans="1:31" x14ac:dyDescent="0.2">
      <c r="A10" s="851" t="s">
        <v>78</v>
      </c>
      <c r="B10" s="851" t="s">
        <v>79</v>
      </c>
      <c r="C10" s="850"/>
      <c r="D10" s="850"/>
      <c r="E10" s="850"/>
      <c r="F10" s="850"/>
      <c r="G10" s="850"/>
      <c r="H10" s="852"/>
      <c r="I10" s="852"/>
      <c r="J10" s="850"/>
      <c r="K10" s="850"/>
      <c r="L10" s="850"/>
    </row>
    <row r="11" spans="1:31" x14ac:dyDescent="0.2">
      <c r="A11" s="852"/>
      <c r="B11" s="852"/>
      <c r="C11" s="850"/>
      <c r="D11" s="850"/>
      <c r="E11" s="850"/>
      <c r="F11" s="850"/>
      <c r="G11" s="850"/>
      <c r="H11" s="852"/>
      <c r="I11" s="852"/>
      <c r="J11" s="850"/>
      <c r="K11" s="850"/>
      <c r="L11" s="850"/>
    </row>
    <row r="12" spans="1:31" ht="20.100000000000001" customHeight="1" x14ac:dyDescent="0.2">
      <c r="A12" s="852"/>
      <c r="B12" s="852"/>
      <c r="C12" s="850"/>
      <c r="D12" s="850"/>
      <c r="E12" s="850"/>
      <c r="F12" s="850"/>
      <c r="G12" s="850"/>
      <c r="H12" s="852"/>
      <c r="I12" s="852"/>
      <c r="J12" s="850"/>
      <c r="K12" s="850"/>
      <c r="L12" s="850"/>
    </row>
    <row r="13" spans="1:31" ht="20.100000000000001" customHeight="1" x14ac:dyDescent="0.2">
      <c r="A13" s="853"/>
      <c r="B13" s="853"/>
      <c r="C13" s="850"/>
      <c r="D13" s="850"/>
      <c r="E13" s="850"/>
      <c r="F13" s="850"/>
      <c r="G13" s="850"/>
      <c r="H13" s="853"/>
      <c r="I13" s="853"/>
      <c r="J13" s="850"/>
      <c r="K13" s="850"/>
      <c r="L13" s="850"/>
    </row>
    <row r="14" spans="1:31" ht="14.25" x14ac:dyDescent="0.2">
      <c r="A14" s="13">
        <v>1</v>
      </c>
      <c r="B14" s="13">
        <v>2</v>
      </c>
      <c r="C14" s="13">
        <v>3</v>
      </c>
      <c r="D14" s="13">
        <v>4</v>
      </c>
      <c r="E14" s="13">
        <v>5</v>
      </c>
      <c r="F14" s="13">
        <v>6</v>
      </c>
      <c r="G14" s="13">
        <v>7</v>
      </c>
      <c r="H14" s="13">
        <v>8</v>
      </c>
      <c r="I14" s="13">
        <v>9</v>
      </c>
      <c r="J14" s="13">
        <v>10</v>
      </c>
      <c r="K14" s="13">
        <v>11</v>
      </c>
      <c r="L14" s="13">
        <v>12</v>
      </c>
    </row>
    <row r="16" spans="1:31" ht="33" x14ac:dyDescent="0.25">
      <c r="A16" s="854" t="str">
        <f>CONCATENATE("Локальная смета: ",IF([84]Source!G20&lt;&gt;"Новая локальная смета", [84]Source!G20, ""))</f>
        <v>Локальная смета: Станционный комплекс "Аминьевское шоссе". Платформенная часть. Внутренние инженерные системы. Электроосвещение. Этап 6.</v>
      </c>
      <c r="B16" s="854"/>
      <c r="C16" s="854"/>
      <c r="D16" s="854"/>
      <c r="E16" s="854"/>
      <c r="F16" s="854"/>
      <c r="G16" s="854"/>
      <c r="H16" s="854"/>
      <c r="I16" s="854"/>
      <c r="J16" s="854"/>
      <c r="K16" s="854"/>
      <c r="L16" s="854"/>
      <c r="AE16" s="46" t="str">
        <f>CONCATENATE("Локальная смета: ",IF([84]Source!G20&lt;&gt;"Новая локальная смета", [84]Source!G20, ""))</f>
        <v>Локальная смета: Станционный комплекс "Аминьевское шоссе". Платформенная часть. Внутренние инженерные системы. Электроосвещение. Этап 6.</v>
      </c>
    </row>
    <row r="18" spans="1:22" ht="16.5" x14ac:dyDescent="0.25">
      <c r="A18" s="854" t="str">
        <f>CONCATENATE("Раздел: ",IF([84]Source!G24&lt;&gt;"Новый раздел", [84]Source!G24, ""))</f>
        <v>Раздел: Монтажные работы</v>
      </c>
      <c r="B18" s="854"/>
      <c r="C18" s="854"/>
      <c r="D18" s="854"/>
      <c r="E18" s="854"/>
      <c r="F18" s="854"/>
      <c r="G18" s="854"/>
      <c r="H18" s="854"/>
      <c r="I18" s="854"/>
      <c r="J18" s="854"/>
      <c r="K18" s="854"/>
      <c r="L18" s="854"/>
    </row>
    <row r="20" spans="1:22" ht="16.5" x14ac:dyDescent="0.25">
      <c r="A20" s="854" t="str">
        <f>CONCATENATE("Подраздел: ",IF([84]Source!G258&lt;&gt;"Новый подраздел", [84]Source!G258, ""))</f>
        <v>Подраздел: Металл и металлические изделия</v>
      </c>
      <c r="B20" s="854"/>
      <c r="C20" s="854"/>
      <c r="D20" s="854"/>
      <c r="E20" s="854"/>
      <c r="F20" s="854"/>
      <c r="G20" s="854"/>
      <c r="H20" s="854"/>
      <c r="I20" s="854"/>
      <c r="J20" s="854"/>
      <c r="K20" s="854"/>
      <c r="L20" s="854"/>
    </row>
    <row r="21" spans="1:22" ht="78" x14ac:dyDescent="0.2">
      <c r="A21" s="14">
        <v>1</v>
      </c>
      <c r="B21" s="14" t="str">
        <f>[84]Source!E271</f>
        <v>18</v>
      </c>
      <c r="C21" s="15" t="s">
        <v>141</v>
      </c>
      <c r="D21" s="15" t="s">
        <v>142</v>
      </c>
      <c r="E21" s="16" t="str">
        <f>[84]Source!H271</f>
        <v>100 м</v>
      </c>
      <c r="F21" s="4">
        <f>[84]Source!I271</f>
        <v>6.1</v>
      </c>
      <c r="G21" s="17"/>
      <c r="H21" s="18"/>
      <c r="I21" s="4"/>
      <c r="J21" s="19"/>
      <c r="K21" s="4"/>
      <c r="L21" s="19"/>
      <c r="Q21" s="43">
        <f>[84]Source!X271</f>
        <v>2476.66</v>
      </c>
      <c r="R21" s="43">
        <f>[84]Source!X272</f>
        <v>47644.67</v>
      </c>
      <c r="S21" s="43">
        <f>[84]Source!Y271</f>
        <v>1547.91</v>
      </c>
      <c r="T21" s="43">
        <f>[84]Source!Y272</f>
        <v>22763.56</v>
      </c>
      <c r="U21" s="43">
        <f>ROUND((175/100)*ROUND([84]Source!R271, 2), 2)</f>
        <v>211.33</v>
      </c>
      <c r="V21" s="43">
        <f>ROUND((157/100)*ROUND([84]Source!R272, 2), 2)</f>
        <v>4538.8500000000004</v>
      </c>
    </row>
    <row r="22" spans="1:22" ht="14.25" x14ac:dyDescent="0.2">
      <c r="A22" s="14"/>
      <c r="B22" s="14"/>
      <c r="C22" s="15"/>
      <c r="D22" s="15" t="s">
        <v>84</v>
      </c>
      <c r="E22" s="16"/>
      <c r="F22" s="4"/>
      <c r="G22" s="17">
        <f>[84]Source!AO271</f>
        <v>203.44</v>
      </c>
      <c r="H22" s="18" t="str">
        <f>[84]Source!DG271</f>
        <v>)*1,67</v>
      </c>
      <c r="I22" s="4">
        <f>[84]Source!AV272</f>
        <v>1.0669999999999999</v>
      </c>
      <c r="J22" s="19">
        <f>[84]Source!S271</f>
        <v>2211.3000000000002</v>
      </c>
      <c r="K22" s="4">
        <f>IF([84]Source!BA272&lt;&gt; 0, [84]Source!BA272, 1)</f>
        <v>23.94</v>
      </c>
      <c r="L22" s="19">
        <f>[84]Source!S272</f>
        <v>52938.52</v>
      </c>
    </row>
    <row r="23" spans="1:22" ht="14.25" x14ac:dyDescent="0.2">
      <c r="A23" s="14"/>
      <c r="B23" s="14"/>
      <c r="C23" s="15"/>
      <c r="D23" s="15" t="s">
        <v>85</v>
      </c>
      <c r="E23" s="16"/>
      <c r="F23" s="4"/>
      <c r="G23" s="17">
        <f>[84]Source!AM271</f>
        <v>140.25</v>
      </c>
      <c r="H23" s="18">
        <f>[84]Source!DE271</f>
        <v>0</v>
      </c>
      <c r="I23" s="4">
        <f>[84]Source!AV272</f>
        <v>1.0669999999999999</v>
      </c>
      <c r="J23" s="19">
        <f>[84]Source!Q271-J32</f>
        <v>912.85</v>
      </c>
      <c r="K23" s="4">
        <f>IF([84]Source!BB272&lt;&gt; 0, [84]Source!BB272, 1)</f>
        <v>6.82</v>
      </c>
      <c r="L23" s="19">
        <f>[84]Source!Q272-L32</f>
        <v>6225.67</v>
      </c>
    </row>
    <row r="24" spans="1:22" ht="14.25" x14ac:dyDescent="0.2">
      <c r="A24" s="14"/>
      <c r="B24" s="14"/>
      <c r="C24" s="15"/>
      <c r="D24" s="15" t="s">
        <v>86</v>
      </c>
      <c r="E24" s="16"/>
      <c r="F24" s="4"/>
      <c r="G24" s="17">
        <f>[84]Source!AN271</f>
        <v>11.11</v>
      </c>
      <c r="H24" s="18">
        <f>[84]Source!DE271</f>
        <v>0</v>
      </c>
      <c r="I24" s="4">
        <f>[84]Source!AV272</f>
        <v>1.0669999999999999</v>
      </c>
      <c r="J24" s="20">
        <f>[84]Source!R271-J33</f>
        <v>72.31</v>
      </c>
      <c r="K24" s="4">
        <f>IF([84]Source!BS272&lt;&gt; 0, [84]Source!BS272, 1)</f>
        <v>23.94</v>
      </c>
      <c r="L24" s="20">
        <f>[84]Source!R272-L33</f>
        <v>1731.13</v>
      </c>
    </row>
    <row r="25" spans="1:22" ht="14.25" x14ac:dyDescent="0.2">
      <c r="A25" s="14"/>
      <c r="B25" s="14"/>
      <c r="C25" s="15"/>
      <c r="D25" s="15" t="s">
        <v>87</v>
      </c>
      <c r="E25" s="16"/>
      <c r="F25" s="4"/>
      <c r="G25" s="17">
        <f>[84]Source!AL271</f>
        <v>343</v>
      </c>
      <c r="H25" s="18">
        <f>[84]Source!DD271</f>
        <v>0</v>
      </c>
      <c r="I25" s="4">
        <f>[84]Source!AW272</f>
        <v>1.081</v>
      </c>
      <c r="J25" s="19">
        <f>[84]Source!P271</f>
        <v>2261.7800000000002</v>
      </c>
      <c r="K25" s="4">
        <f>IF([84]Source!BC272&lt;&gt; 0, [84]Source!BC272, 1)</f>
        <v>5.56</v>
      </c>
      <c r="L25" s="19">
        <f>[84]Source!P272</f>
        <v>12575.5</v>
      </c>
    </row>
    <row r="26" spans="1:22" ht="14.25" x14ac:dyDescent="0.2">
      <c r="A26" s="14"/>
      <c r="B26" s="14"/>
      <c r="C26" s="15"/>
      <c r="D26" s="15" t="s">
        <v>88</v>
      </c>
      <c r="E26" s="16" t="s">
        <v>89</v>
      </c>
      <c r="F26" s="4">
        <f>[84]Source!DN272</f>
        <v>112</v>
      </c>
      <c r="G26" s="17"/>
      <c r="H26" s="18"/>
      <c r="I26" s="4"/>
      <c r="J26" s="19">
        <f>SUM(Q21:Q25)</f>
        <v>2476.66</v>
      </c>
      <c r="K26" s="4">
        <f>[84]Source!BZ272</f>
        <v>90</v>
      </c>
      <c r="L26" s="19">
        <f>SUM(R21:R25)</f>
        <v>47644.67</v>
      </c>
    </row>
    <row r="27" spans="1:22" ht="14.25" x14ac:dyDescent="0.2">
      <c r="A27" s="14"/>
      <c r="B27" s="14"/>
      <c r="C27" s="15"/>
      <c r="D27" s="15" t="s">
        <v>90</v>
      </c>
      <c r="E27" s="16" t="s">
        <v>89</v>
      </c>
      <c r="F27" s="4">
        <f>[84]Source!DO272</f>
        <v>70</v>
      </c>
      <c r="G27" s="17"/>
      <c r="H27" s="18"/>
      <c r="I27" s="4"/>
      <c r="J27" s="19">
        <f>SUM(S21:S26)</f>
        <v>1547.91</v>
      </c>
      <c r="K27" s="4">
        <f>[84]Source!CA272</f>
        <v>43</v>
      </c>
      <c r="L27" s="19">
        <f>SUM(T21:T26)</f>
        <v>22763.56</v>
      </c>
    </row>
    <row r="28" spans="1:22" ht="14.25" x14ac:dyDescent="0.2">
      <c r="A28" s="14"/>
      <c r="B28" s="14"/>
      <c r="C28" s="15"/>
      <c r="D28" s="15" t="s">
        <v>91</v>
      </c>
      <c r="E28" s="16" t="s">
        <v>89</v>
      </c>
      <c r="F28" s="4">
        <f>175</f>
        <v>175</v>
      </c>
      <c r="G28" s="17"/>
      <c r="H28" s="18"/>
      <c r="I28" s="4"/>
      <c r="J28" s="19">
        <f>SUM(U21:U27)-J34</f>
        <v>126.54</v>
      </c>
      <c r="K28" s="4">
        <f>157</f>
        <v>157</v>
      </c>
      <c r="L28" s="19">
        <f>SUM(V21:V27)-L34</f>
        <v>2717.87</v>
      </c>
    </row>
    <row r="29" spans="1:22" ht="14.25" x14ac:dyDescent="0.2">
      <c r="A29" s="14"/>
      <c r="B29" s="14"/>
      <c r="C29" s="15"/>
      <c r="D29" s="15" t="s">
        <v>92</v>
      </c>
      <c r="E29" s="16" t="s">
        <v>93</v>
      </c>
      <c r="F29" s="4">
        <f>[84]Source!AQ271</f>
        <v>16.5</v>
      </c>
      <c r="G29" s="17"/>
      <c r="H29" s="18">
        <f>[84]Source!DI271</f>
        <v>0</v>
      </c>
      <c r="I29" s="4">
        <f>[84]Source!AV272</f>
        <v>1.0669999999999999</v>
      </c>
      <c r="J29" s="19">
        <f>[84]Source!U271</f>
        <v>107.39</v>
      </c>
      <c r="K29" s="4"/>
      <c r="L29" s="19"/>
    </row>
    <row r="30" spans="1:22" ht="15" x14ac:dyDescent="0.25">
      <c r="I30" s="847">
        <f>J22+J23+J25+J26+J27+J28</f>
        <v>9537.0400000000009</v>
      </c>
      <c r="J30" s="847"/>
      <c r="K30" s="847">
        <f>L22+L23+L25+L26+L27+L28</f>
        <v>144865.79</v>
      </c>
      <c r="L30" s="847"/>
      <c r="O30" s="47">
        <f>J22+J23+J25+J26+J27+J28</f>
        <v>9537.0400000000009</v>
      </c>
      <c r="P30" s="47">
        <f>L22+L23+L25+L26+L27+L28</f>
        <v>144865.79</v>
      </c>
    </row>
    <row r="31" spans="1:22" ht="28.5" x14ac:dyDescent="0.2">
      <c r="A31" s="22"/>
      <c r="B31" s="22"/>
      <c r="C31" s="23"/>
      <c r="D31" s="23" t="s">
        <v>94</v>
      </c>
      <c r="E31" s="16"/>
      <c r="F31" s="24"/>
      <c r="G31" s="25"/>
      <c r="H31" s="16"/>
      <c r="I31" s="24"/>
      <c r="J31" s="20"/>
      <c r="K31" s="24"/>
      <c r="L31" s="20"/>
    </row>
    <row r="32" spans="1:22" ht="14.25" x14ac:dyDescent="0.2">
      <c r="A32" s="22"/>
      <c r="B32" s="22"/>
      <c r="C32" s="23"/>
      <c r="D32" s="23" t="s">
        <v>85</v>
      </c>
      <c r="E32" s="16"/>
      <c r="F32" s="24"/>
      <c r="G32" s="25">
        <f t="shared" ref="G32:L32" si="0">G33</f>
        <v>11.11</v>
      </c>
      <c r="H32" s="26" t="str">
        <f t="shared" si="0"/>
        <v>)*(1.67-1)</v>
      </c>
      <c r="I32" s="24">
        <f t="shared" si="0"/>
        <v>1.0669999999999999</v>
      </c>
      <c r="J32" s="20">
        <f t="shared" si="0"/>
        <v>48.45</v>
      </c>
      <c r="K32" s="24">
        <f t="shared" si="0"/>
        <v>23.94</v>
      </c>
      <c r="L32" s="20">
        <f t="shared" si="0"/>
        <v>1159.8599999999999</v>
      </c>
    </row>
    <row r="33" spans="1:16" ht="14.25" x14ac:dyDescent="0.2">
      <c r="A33" s="22"/>
      <c r="B33" s="22"/>
      <c r="C33" s="23"/>
      <c r="D33" s="23" t="s">
        <v>86</v>
      </c>
      <c r="E33" s="16"/>
      <c r="F33" s="24"/>
      <c r="G33" s="25">
        <f>[84]Source!AN271</f>
        <v>11.11</v>
      </c>
      <c r="H33" s="26" t="s">
        <v>95</v>
      </c>
      <c r="I33" s="24">
        <f>[84]Source!AV272</f>
        <v>1.0669999999999999</v>
      </c>
      <c r="J33" s="20">
        <f>ROUND(F21*G33*I33*(1.67-1), 2)</f>
        <v>48.45</v>
      </c>
      <c r="K33" s="24">
        <f>IF([84]Source!BS272&lt;&gt; 0, [84]Source!BS272, 1)</f>
        <v>23.94</v>
      </c>
      <c r="L33" s="20">
        <f>ROUND(F21*G33*I33*(1.67-1)*K33, 2)</f>
        <v>1159.8599999999999</v>
      </c>
    </row>
    <row r="34" spans="1:16" ht="14.25" x14ac:dyDescent="0.2">
      <c r="A34" s="22"/>
      <c r="B34" s="22"/>
      <c r="C34" s="23"/>
      <c r="D34" s="23" t="s">
        <v>91</v>
      </c>
      <c r="E34" s="16" t="s">
        <v>89</v>
      </c>
      <c r="F34" s="24">
        <f>175</f>
        <v>175</v>
      </c>
      <c r="G34" s="25"/>
      <c r="H34" s="16"/>
      <c r="I34" s="24"/>
      <c r="J34" s="20">
        <f>ROUND(J33*(F34/100), 2)</f>
        <v>84.79</v>
      </c>
      <c r="K34" s="24">
        <f>157</f>
        <v>157</v>
      </c>
      <c r="L34" s="20">
        <f>ROUND(L33*(K34/100), 2)</f>
        <v>1820.98</v>
      </c>
    </row>
    <row r="35" spans="1:16" ht="15" x14ac:dyDescent="0.25">
      <c r="I35" s="847">
        <f>J34+J33</f>
        <v>133.24</v>
      </c>
      <c r="J35" s="847"/>
      <c r="K35" s="847">
        <f>L34+L33</f>
        <v>2980.84</v>
      </c>
      <c r="L35" s="847"/>
      <c r="O35" s="47">
        <f>I35</f>
        <v>133.24</v>
      </c>
      <c r="P35" s="47">
        <f>K35</f>
        <v>2980.84</v>
      </c>
    </row>
    <row r="37" spans="1:16" ht="15" x14ac:dyDescent="0.25">
      <c r="A37" s="27"/>
      <c r="B37" s="27"/>
      <c r="C37" s="28"/>
      <c r="D37" s="28" t="s">
        <v>96</v>
      </c>
      <c r="E37" s="29"/>
      <c r="F37" s="30"/>
      <c r="G37" s="31"/>
      <c r="H37" s="32"/>
      <c r="I37" s="847">
        <f>I30+I35</f>
        <v>9670.2800000000007</v>
      </c>
      <c r="J37" s="847"/>
      <c r="K37" s="847">
        <f>K30+K35</f>
        <v>147846.63</v>
      </c>
      <c r="L37" s="847"/>
    </row>
    <row r="39" spans="1:16" ht="15" x14ac:dyDescent="0.25">
      <c r="A39" s="879" t="str">
        <f>CONCATENATE("Итого по подразделу: ",IF([84]Source!G274&lt;&gt;"Новый подраздел", [84]Source!G274, ""))</f>
        <v>Итого по подразделу: Металл и металлические изделия</v>
      </c>
      <c r="B39" s="879"/>
      <c r="C39" s="879"/>
      <c r="D39" s="879"/>
      <c r="E39" s="879"/>
      <c r="F39" s="879"/>
      <c r="G39" s="879"/>
      <c r="H39" s="879"/>
      <c r="I39" s="880">
        <f>SUM(O20:O38)</f>
        <v>9670.2800000000007</v>
      </c>
      <c r="J39" s="881"/>
      <c r="K39" s="880">
        <f>SUM(P20:P38)</f>
        <v>147846.63</v>
      </c>
      <c r="L39" s="881"/>
    </row>
    <row r="41" spans="1:16" ht="15" x14ac:dyDescent="0.25">
      <c r="A41" s="879" t="str">
        <f>CONCATENATE("Итого по разделу: ",IF([84]Source!G303&lt;&gt;"Новый раздел", [84]Source!G303, ""))</f>
        <v>Итого по разделу: Монтажные работы</v>
      </c>
      <c r="B41" s="879"/>
      <c r="C41" s="879"/>
      <c r="D41" s="879"/>
      <c r="E41" s="879"/>
      <c r="F41" s="879"/>
      <c r="G41" s="879"/>
      <c r="H41" s="879"/>
      <c r="I41" s="880">
        <f>SUM(O18:O40)</f>
        <v>9670.2800000000007</v>
      </c>
      <c r="J41" s="881"/>
      <c r="K41" s="880">
        <f>SUM(P18:P40)</f>
        <v>147846.63</v>
      </c>
      <c r="L41" s="881"/>
    </row>
    <row r="43" spans="1:16" ht="15" x14ac:dyDescent="0.25">
      <c r="A43" s="900" t="s">
        <v>113</v>
      </c>
      <c r="B43" s="900"/>
      <c r="C43" s="900"/>
      <c r="D43" s="900"/>
      <c r="E43" s="900"/>
      <c r="F43" s="900"/>
      <c r="G43" s="900"/>
      <c r="H43" s="900"/>
      <c r="I43" s="36"/>
      <c r="J43" s="37">
        <f>I31+I41</f>
        <v>9670.2800000000007</v>
      </c>
      <c r="K43" s="36"/>
      <c r="L43" s="37">
        <f>K31+K41</f>
        <v>147846.63</v>
      </c>
    </row>
    <row r="44" spans="1:16" s="38" customFormat="1" ht="14.25" x14ac:dyDescent="0.2">
      <c r="D44" s="39" t="s">
        <v>114</v>
      </c>
      <c r="E44" s="39"/>
      <c r="F44" s="39"/>
      <c r="G44" s="39"/>
      <c r="H44" s="39"/>
      <c r="I44" s="902">
        <f>J25</f>
        <v>2261.7800000000002</v>
      </c>
      <c r="J44" s="903"/>
      <c r="K44" s="902">
        <f>L25</f>
        <v>12575.5</v>
      </c>
      <c r="L44" s="903"/>
    </row>
    <row r="45" spans="1:16" s="38" customFormat="1" ht="14.25" x14ac:dyDescent="0.2">
      <c r="D45" s="39" t="s">
        <v>115</v>
      </c>
      <c r="E45" s="39"/>
      <c r="F45" s="39"/>
      <c r="G45" s="39"/>
      <c r="H45" s="39"/>
      <c r="I45" s="904">
        <f>J24+J33</f>
        <v>120.76</v>
      </c>
      <c r="J45" s="903"/>
      <c r="K45" s="904">
        <f>L24+L33</f>
        <v>2890.99</v>
      </c>
      <c r="L45" s="903"/>
    </row>
    <row r="46" spans="1:16" s="38" customFormat="1" ht="14.25" x14ac:dyDescent="0.2">
      <c r="D46" s="39" t="s">
        <v>116</v>
      </c>
      <c r="E46" s="39"/>
      <c r="F46" s="39"/>
      <c r="G46" s="39"/>
      <c r="H46" s="39"/>
      <c r="I46" s="904">
        <f>J22</f>
        <v>2211.3000000000002</v>
      </c>
      <c r="J46" s="903"/>
      <c r="K46" s="904">
        <f>L22</f>
        <v>52938.52</v>
      </c>
      <c r="L46" s="903"/>
    </row>
    <row r="47" spans="1:16" s="38" customFormat="1" ht="14.25" x14ac:dyDescent="0.2">
      <c r="D47" s="39" t="s">
        <v>117</v>
      </c>
      <c r="E47" s="39"/>
      <c r="F47" s="39"/>
      <c r="G47" s="39"/>
      <c r="H47" s="39"/>
      <c r="I47" s="904">
        <f>J26</f>
        <v>2476.66</v>
      </c>
      <c r="J47" s="903"/>
      <c r="K47" s="904">
        <f>L26</f>
        <v>47644.67</v>
      </c>
      <c r="L47" s="903"/>
    </row>
    <row r="48" spans="1:16" s="38" customFormat="1" ht="14.25" x14ac:dyDescent="0.2">
      <c r="D48" s="39" t="s">
        <v>118</v>
      </c>
      <c r="E48" s="39"/>
      <c r="F48" s="39"/>
      <c r="G48" s="39"/>
      <c r="H48" s="39"/>
      <c r="I48" s="904">
        <f>J27</f>
        <v>1547.91</v>
      </c>
      <c r="J48" s="903"/>
      <c r="K48" s="904">
        <f>L27</f>
        <v>22763.56</v>
      </c>
      <c r="L48" s="903"/>
    </row>
    <row r="49" spans="1:12" ht="14.25" x14ac:dyDescent="0.2">
      <c r="A49" s="40"/>
      <c r="B49" s="40"/>
      <c r="C49" s="40"/>
      <c r="D49" s="40"/>
      <c r="E49" s="40"/>
      <c r="F49" s="40"/>
      <c r="G49" s="40"/>
      <c r="H49" s="40"/>
      <c r="I49" s="36"/>
      <c r="J49" s="36"/>
      <c r="K49" s="36"/>
      <c r="L49" s="36"/>
    </row>
    <row r="50" spans="1:12" ht="14.25" x14ac:dyDescent="0.2">
      <c r="A50" s="40"/>
      <c r="B50" s="40"/>
      <c r="C50" s="40"/>
      <c r="D50" s="40"/>
      <c r="E50" s="40"/>
      <c r="F50" s="40"/>
      <c r="G50" s="40"/>
      <c r="H50" s="40"/>
      <c r="I50" s="36"/>
      <c r="J50" s="36"/>
      <c r="K50" s="36"/>
      <c r="L50" s="36"/>
    </row>
    <row r="51" spans="1:12" ht="14.25" x14ac:dyDescent="0.2">
      <c r="A51" s="40"/>
      <c r="B51" s="40"/>
      <c r="C51" s="40"/>
      <c r="D51" s="874" t="s">
        <v>268</v>
      </c>
      <c r="E51" s="874"/>
      <c r="F51" s="874"/>
      <c r="G51" s="213"/>
      <c r="H51" s="213"/>
      <c r="I51" s="214"/>
      <c r="J51" s="215">
        <f>J43</f>
        <v>9670.2800000000007</v>
      </c>
      <c r="K51" s="215"/>
      <c r="L51" s="215">
        <f>L43</f>
        <v>147846.63</v>
      </c>
    </row>
    <row r="52" spans="1:12" ht="14.25" x14ac:dyDescent="0.2">
      <c r="A52" s="40"/>
      <c r="B52" s="40"/>
      <c r="C52" s="40"/>
      <c r="D52" s="872" t="s">
        <v>3</v>
      </c>
      <c r="E52" s="872"/>
      <c r="F52" s="872"/>
      <c r="G52" s="218"/>
      <c r="H52" s="218"/>
      <c r="I52" s="219"/>
      <c r="J52" s="215">
        <f>J51</f>
        <v>9670.2800000000007</v>
      </c>
      <c r="K52"/>
      <c r="L52" s="220">
        <f>L51</f>
        <v>147846.63</v>
      </c>
    </row>
    <row r="53" spans="1:12" ht="14.25" x14ac:dyDescent="0.2">
      <c r="A53" s="40"/>
      <c r="B53" s="40"/>
      <c r="C53" s="40"/>
      <c r="D53" s="872" t="s">
        <v>269</v>
      </c>
      <c r="E53" s="872"/>
      <c r="F53" s="872"/>
      <c r="G53" s="218"/>
      <c r="H53" s="218"/>
      <c r="I53" s="221"/>
      <c r="J53" s="222">
        <f>I46+I45</f>
        <v>2332.06</v>
      </c>
      <c r="K53" s="222"/>
      <c r="L53" s="222">
        <f>K46+K45</f>
        <v>55829.51</v>
      </c>
    </row>
    <row r="54" spans="1:12" ht="14.25" x14ac:dyDescent="0.2">
      <c r="A54" s="40"/>
      <c r="B54" s="40"/>
      <c r="C54" s="40"/>
      <c r="D54" s="872" t="s">
        <v>270</v>
      </c>
      <c r="E54" s="872"/>
      <c r="F54" s="872"/>
      <c r="G54" s="218"/>
      <c r="H54" s="218"/>
      <c r="I54" s="221"/>
      <c r="J54" s="222">
        <f>I44</f>
        <v>2261.7800000000002</v>
      </c>
      <c r="K54" s="222"/>
      <c r="L54" s="222">
        <f>K44</f>
        <v>12575.5</v>
      </c>
    </row>
    <row r="55" spans="1:12" ht="14.25" x14ac:dyDescent="0.2">
      <c r="A55" s="40"/>
      <c r="B55" s="40"/>
      <c r="C55" s="40"/>
      <c r="D55" s="872" t="s">
        <v>271</v>
      </c>
      <c r="E55" s="872"/>
      <c r="F55" s="872"/>
      <c r="G55" s="218"/>
      <c r="H55" s="218"/>
      <c r="I55" s="221"/>
      <c r="J55" s="215">
        <v>0</v>
      </c>
      <c r="K55" s="223"/>
      <c r="L55" s="220">
        <v>0</v>
      </c>
    </row>
    <row r="56" spans="1:12" ht="14.25" x14ac:dyDescent="0.2">
      <c r="A56" s="40"/>
      <c r="B56" s="40"/>
      <c r="C56" s="40"/>
      <c r="D56" s="872" t="s">
        <v>272</v>
      </c>
      <c r="E56" s="872"/>
      <c r="F56" s="872"/>
      <c r="G56" s="224"/>
      <c r="H56" s="224"/>
      <c r="I56" s="225"/>
      <c r="J56" s="226">
        <f>J52*5.61%</f>
        <v>542.5</v>
      </c>
      <c r="K56" s="223"/>
      <c r="L56" s="226">
        <f>L52*5.61%</f>
        <v>8294.2000000000007</v>
      </c>
    </row>
    <row r="57" spans="1:12" ht="15" x14ac:dyDescent="0.25">
      <c r="A57" s="40"/>
      <c r="B57" s="40"/>
      <c r="C57" s="40"/>
      <c r="D57" s="873" t="s">
        <v>273</v>
      </c>
      <c r="E57" s="873"/>
      <c r="F57" s="873"/>
      <c r="G57" s="228"/>
      <c r="H57" s="228"/>
      <c r="I57" s="229"/>
      <c r="J57" s="230">
        <f>ROUND(J52+J56,2)</f>
        <v>10212.780000000001</v>
      </c>
      <c r="K57" s="223"/>
      <c r="L57" s="231">
        <f>ROUND(L52+L56,2)</f>
        <v>156140.82999999999</v>
      </c>
    </row>
    <row r="58" spans="1:12" ht="14.25" x14ac:dyDescent="0.2">
      <c r="A58" s="40"/>
      <c r="B58" s="40"/>
      <c r="C58" s="40"/>
      <c r="D58" s="872" t="s">
        <v>274</v>
      </c>
      <c r="E58" s="872"/>
      <c r="F58" s="872"/>
      <c r="G58" s="224"/>
      <c r="H58" s="224"/>
      <c r="I58" s="225"/>
      <c r="J58" s="226">
        <f>J53*0.15</f>
        <v>349.81</v>
      </c>
      <c r="K58" s="232"/>
      <c r="L58" s="232">
        <f>L53*0.15</f>
        <v>8374.43</v>
      </c>
    </row>
    <row r="59" spans="1:12" ht="15" customHeight="1" x14ac:dyDescent="0.25">
      <c r="A59" s="40"/>
      <c r="B59" s="40"/>
      <c r="C59" s="40"/>
      <c r="D59" s="873" t="s">
        <v>275</v>
      </c>
      <c r="E59" s="873"/>
      <c r="F59" s="873"/>
      <c r="G59" s="228"/>
      <c r="H59" s="228"/>
      <c r="I59" s="229"/>
      <c r="J59" s="230">
        <f>J57+J58</f>
        <v>10562.59</v>
      </c>
      <c r="K59" s="223"/>
      <c r="L59" s="231">
        <f>L57+L58</f>
        <v>164515.26</v>
      </c>
    </row>
    <row r="60" spans="1:12" ht="14.25" x14ac:dyDescent="0.2">
      <c r="A60" s="40"/>
      <c r="B60" s="40"/>
      <c r="C60" s="40"/>
      <c r="D60" s="233"/>
      <c r="E60" s="233"/>
      <c r="F60" s="233"/>
      <c r="G60" s="234"/>
      <c r="H60" s="234"/>
      <c r="I60" s="235"/>
      <c r="J60" s="236"/>
      <c r="K60"/>
      <c r="L60" s="237"/>
    </row>
    <row r="61" spans="1:12" ht="14.25" x14ac:dyDescent="0.2">
      <c r="D61" s="874" t="s">
        <v>276</v>
      </c>
      <c r="E61" s="874"/>
      <c r="F61" s="874"/>
      <c r="G61" s="238"/>
      <c r="H61" s="238"/>
      <c r="I61" s="238"/>
      <c r="J61" s="238"/>
      <c r="K61" s="876">
        <f>L51*0.975</f>
        <v>144150.46</v>
      </c>
      <c r="L61" s="876"/>
    </row>
    <row r="62" spans="1:12" ht="14.25" x14ac:dyDescent="0.2">
      <c r="D62" s="872" t="s">
        <v>277</v>
      </c>
      <c r="E62" s="872"/>
      <c r="F62" s="872"/>
      <c r="G62" s="224"/>
      <c r="H62" s="224"/>
      <c r="I62" s="224"/>
      <c r="J62" s="224"/>
      <c r="K62" s="869">
        <f>L52*0.975</f>
        <v>144150.46</v>
      </c>
      <c r="L62" s="869"/>
    </row>
    <row r="63" spans="1:12" ht="14.25" x14ac:dyDescent="0.2">
      <c r="D63" s="872" t="s">
        <v>278</v>
      </c>
      <c r="E63" s="872"/>
      <c r="F63" s="872"/>
      <c r="G63" s="224"/>
      <c r="H63" s="224"/>
      <c r="I63" s="224"/>
      <c r="J63" s="224"/>
      <c r="K63" s="869">
        <f>L53*0.975</f>
        <v>54433.77</v>
      </c>
      <c r="L63" s="869"/>
    </row>
    <row r="64" spans="1:12" ht="14.25" x14ac:dyDescent="0.2">
      <c r="D64" s="872" t="s">
        <v>279</v>
      </c>
      <c r="E64" s="872"/>
      <c r="F64" s="872"/>
      <c r="G64" s="224"/>
      <c r="H64" s="224"/>
      <c r="I64" s="224"/>
      <c r="J64" s="224"/>
      <c r="K64" s="869">
        <f>L54*0.975</f>
        <v>12261.11</v>
      </c>
      <c r="L64" s="869"/>
    </row>
    <row r="65" spans="4:12" ht="14.25" x14ac:dyDescent="0.2">
      <c r="D65" s="872" t="s">
        <v>280</v>
      </c>
      <c r="E65" s="872"/>
      <c r="F65" s="872"/>
      <c r="G65" s="224"/>
      <c r="H65" s="224"/>
      <c r="I65" s="224"/>
      <c r="J65" s="224"/>
      <c r="K65" s="869">
        <v>0</v>
      </c>
      <c r="L65" s="869"/>
    </row>
    <row r="66" spans="4:12" ht="14.25" x14ac:dyDescent="0.2">
      <c r="D66" s="872" t="s">
        <v>281</v>
      </c>
      <c r="E66" s="872"/>
      <c r="F66" s="872"/>
      <c r="G66" s="224"/>
      <c r="H66" s="224"/>
      <c r="I66" s="224"/>
      <c r="J66" s="224"/>
      <c r="K66" s="869">
        <f>K62*0.0561</f>
        <v>8086.84</v>
      </c>
      <c r="L66" s="869"/>
    </row>
    <row r="67" spans="4:12" ht="15" x14ac:dyDescent="0.25">
      <c r="D67" s="873" t="s">
        <v>282</v>
      </c>
      <c r="E67" s="873"/>
      <c r="F67" s="873"/>
      <c r="G67" s="228"/>
      <c r="H67" s="228"/>
      <c r="I67" s="228"/>
      <c r="J67" s="228"/>
      <c r="K67" s="870">
        <f>ROUND(K62+K66,2)</f>
        <v>152237.29999999999</v>
      </c>
      <c r="L67" s="870"/>
    </row>
    <row r="68" spans="4:12" ht="15" x14ac:dyDescent="0.25">
      <c r="D68" s="872" t="s">
        <v>283</v>
      </c>
      <c r="E68" s="872"/>
      <c r="F68" s="872"/>
      <c r="G68" s="224"/>
      <c r="H68" s="224"/>
      <c r="I68" s="224"/>
      <c r="J68" s="224"/>
      <c r="K68" s="870">
        <f>L58*0.975</f>
        <v>8165.07</v>
      </c>
      <c r="L68" s="870"/>
    </row>
    <row r="69" spans="4:12" ht="15" customHeight="1" x14ac:dyDescent="0.25">
      <c r="D69" s="873" t="s">
        <v>275</v>
      </c>
      <c r="E69" s="873"/>
      <c r="F69" s="873"/>
      <c r="G69" s="228"/>
      <c r="H69" s="228"/>
      <c r="I69" s="228"/>
      <c r="J69" s="228"/>
      <c r="K69" s="231"/>
      <c r="L69" s="231">
        <f>K67+K68</f>
        <v>160402.37</v>
      </c>
    </row>
    <row r="70" spans="4:12" ht="15" x14ac:dyDescent="0.25">
      <c r="D70" s="240"/>
      <c r="E70" s="241"/>
      <c r="F70" s="241"/>
      <c r="G70" s="241"/>
      <c r="H70" s="241"/>
      <c r="I70" s="242"/>
      <c r="J70" s="242"/>
      <c r="K70" s="242"/>
      <c r="L70" s="242"/>
    </row>
    <row r="71" spans="4:12" ht="14.25" customHeight="1" x14ac:dyDescent="0.2">
      <c r="D71" s="874" t="s">
        <v>284</v>
      </c>
      <c r="E71" s="874"/>
      <c r="F71" s="874"/>
      <c r="G71" s="238"/>
      <c r="H71" s="238"/>
      <c r="I71" s="238"/>
      <c r="J71" s="238"/>
      <c r="K71" s="216"/>
      <c r="L71" s="239">
        <f>K61*0.998999999999673</f>
        <v>144006.31</v>
      </c>
    </row>
    <row r="72" spans="4:12" ht="14.25" x14ac:dyDescent="0.2">
      <c r="D72" s="872" t="s">
        <v>285</v>
      </c>
      <c r="E72" s="872"/>
      <c r="F72" s="872"/>
      <c r="G72" s="224"/>
      <c r="H72" s="224"/>
      <c r="I72" s="224"/>
      <c r="J72" s="224"/>
      <c r="K72" s="223"/>
      <c r="L72" s="227">
        <f>K62*0.998999999999673</f>
        <v>144006.31</v>
      </c>
    </row>
    <row r="73" spans="4:12" ht="14.25" customHeight="1" x14ac:dyDescent="0.2">
      <c r="D73" s="872" t="s">
        <v>286</v>
      </c>
      <c r="E73" s="872"/>
      <c r="F73" s="872"/>
      <c r="G73" s="224"/>
      <c r="H73" s="224"/>
      <c r="I73" s="224"/>
      <c r="J73" s="224"/>
      <c r="K73" s="223"/>
      <c r="L73" s="227">
        <f>K63*0.998999999999673</f>
        <v>54379.34</v>
      </c>
    </row>
    <row r="74" spans="4:12" ht="14.25" customHeight="1" x14ac:dyDescent="0.2">
      <c r="D74" s="872" t="s">
        <v>287</v>
      </c>
      <c r="E74" s="872"/>
      <c r="F74" s="872"/>
      <c r="G74" s="224"/>
      <c r="H74" s="224"/>
      <c r="I74" s="224"/>
      <c r="J74" s="224"/>
      <c r="K74" s="223"/>
      <c r="L74" s="227">
        <f>K64*0.998999999999673</f>
        <v>12248.85</v>
      </c>
    </row>
    <row r="75" spans="4:12" ht="14.25" x14ac:dyDescent="0.2">
      <c r="D75" s="872" t="s">
        <v>288</v>
      </c>
      <c r="E75" s="872"/>
      <c r="F75" s="872"/>
      <c r="G75" s="224"/>
      <c r="H75" s="224"/>
      <c r="I75" s="224"/>
      <c r="J75" s="224"/>
      <c r="K75" s="223"/>
      <c r="L75" s="227">
        <v>0</v>
      </c>
    </row>
    <row r="76" spans="4:12" ht="14.25" x14ac:dyDescent="0.2">
      <c r="D76" s="872" t="s">
        <v>289</v>
      </c>
      <c r="E76" s="872"/>
      <c r="F76" s="872"/>
      <c r="G76" s="224"/>
      <c r="H76" s="224"/>
      <c r="I76" s="224"/>
      <c r="J76" s="224"/>
      <c r="K76" s="216"/>
      <c r="L76" s="227">
        <f>L72*0.0561</f>
        <v>8078.75</v>
      </c>
    </row>
    <row r="77" spans="4:12" ht="15" customHeight="1" x14ac:dyDescent="0.25">
      <c r="D77" s="873" t="s">
        <v>290</v>
      </c>
      <c r="E77" s="873"/>
      <c r="F77" s="873"/>
      <c r="G77" s="228"/>
      <c r="H77" s="228"/>
      <c r="I77" s="228"/>
      <c r="J77" s="228"/>
      <c r="K77" s="223"/>
      <c r="L77" s="231">
        <f>ROUND(L72+L76,2)</f>
        <v>152085.06</v>
      </c>
    </row>
    <row r="78" spans="4:12" ht="15" customHeight="1" x14ac:dyDescent="0.25">
      <c r="D78" s="872" t="s">
        <v>291</v>
      </c>
      <c r="E78" s="872"/>
      <c r="F78" s="872"/>
      <c r="G78" s="224"/>
      <c r="H78" s="224"/>
      <c r="I78" s="224"/>
      <c r="J78" s="224"/>
      <c r="K78" s="223"/>
      <c r="L78" s="231">
        <f>K68*0.998999999999673</f>
        <v>8156.9</v>
      </c>
    </row>
    <row r="79" spans="4:12" ht="15" customHeight="1" x14ac:dyDescent="0.25">
      <c r="D79" s="873" t="s">
        <v>275</v>
      </c>
      <c r="E79" s="873"/>
      <c r="F79" s="873"/>
      <c r="G79" s="228"/>
      <c r="H79" s="228"/>
      <c r="I79" s="228"/>
      <c r="J79" s="228"/>
      <c r="K79" s="223"/>
      <c r="L79" s="231">
        <f>L77+L78</f>
        <v>160241.96</v>
      </c>
    </row>
  </sheetData>
  <mergeCells count="77">
    <mergeCell ref="D63:F63"/>
    <mergeCell ref="D64:F64"/>
    <mergeCell ref="D59:F59"/>
    <mergeCell ref="D61:F61"/>
    <mergeCell ref="D62:F62"/>
    <mergeCell ref="K48:L48"/>
    <mergeCell ref="I44:J44"/>
    <mergeCell ref="K44:L44"/>
    <mergeCell ref="I45:J45"/>
    <mergeCell ref="K45:L45"/>
    <mergeCell ref="I46:J46"/>
    <mergeCell ref="K46:L46"/>
    <mergeCell ref="I47:J47"/>
    <mergeCell ref="K47:L47"/>
    <mergeCell ref="D54:F54"/>
    <mergeCell ref="D55:F55"/>
    <mergeCell ref="D56:F56"/>
    <mergeCell ref="D57:F57"/>
    <mergeCell ref="D58:F58"/>
    <mergeCell ref="A43:H43"/>
    <mergeCell ref="I48:J48"/>
    <mergeCell ref="D51:F51"/>
    <mergeCell ref="D52:F52"/>
    <mergeCell ref="D53:F53"/>
    <mergeCell ref="B10:B13"/>
    <mergeCell ref="A41:H41"/>
    <mergeCell ref="I41:J41"/>
    <mergeCell ref="K41:L41"/>
    <mergeCell ref="A18:L18"/>
    <mergeCell ref="A20:L20"/>
    <mergeCell ref="I30:J30"/>
    <mergeCell ref="K30:L30"/>
    <mergeCell ref="I35:J35"/>
    <mergeCell ref="K35:L35"/>
    <mergeCell ref="I37:J37"/>
    <mergeCell ref="K37:L37"/>
    <mergeCell ref="A39:H39"/>
    <mergeCell ref="I39:J39"/>
    <mergeCell ref="K39:L39"/>
    <mergeCell ref="E1:G1"/>
    <mergeCell ref="A16:L16"/>
    <mergeCell ref="E2:G2"/>
    <mergeCell ref="A8:L8"/>
    <mergeCell ref="A9:B9"/>
    <mergeCell ref="C9:C13"/>
    <mergeCell ref="D9:D13"/>
    <mergeCell ref="E9:E13"/>
    <mergeCell ref="F9:F13"/>
    <mergeCell ref="G9:G13"/>
    <mergeCell ref="H9:H13"/>
    <mergeCell ref="I9:I13"/>
    <mergeCell ref="J9:J13"/>
    <mergeCell ref="K9:K13"/>
    <mergeCell ref="L9:L13"/>
    <mergeCell ref="A10:A13"/>
    <mergeCell ref="D65:F65"/>
    <mergeCell ref="D66:F66"/>
    <mergeCell ref="D67:F67"/>
    <mergeCell ref="D68:F68"/>
    <mergeCell ref="D69:F69"/>
    <mergeCell ref="D76:F76"/>
    <mergeCell ref="D77:F77"/>
    <mergeCell ref="D78:F78"/>
    <mergeCell ref="D79:F79"/>
    <mergeCell ref="D71:F71"/>
    <mergeCell ref="D72:F72"/>
    <mergeCell ref="D73:F73"/>
    <mergeCell ref="D74:F74"/>
    <mergeCell ref="D75:F75"/>
    <mergeCell ref="K66:L66"/>
    <mergeCell ref="K67:L67"/>
    <mergeCell ref="K68:L68"/>
    <mergeCell ref="K61:L61"/>
    <mergeCell ref="K62:L62"/>
    <mergeCell ref="K63:L63"/>
    <mergeCell ref="K64:L64"/>
    <mergeCell ref="K65:L65"/>
  </mergeCells>
  <pageMargins left="0.4" right="0.2" top="0.2" bottom="0.4" header="0.2" footer="0.2"/>
  <pageSetup paperSize="9" scale="66" fitToHeight="0" orientation="portrait" r:id="rId1"/>
  <headerFooter>
    <oddHeader>&amp;L&amp;8</oddHeader>
    <oddFooter>&amp;R&amp;P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AL113"/>
  <sheetViews>
    <sheetView workbookViewId="0"/>
  </sheetViews>
  <sheetFormatPr defaultColWidth="9.33203125" defaultRowHeight="12.75" x14ac:dyDescent="0.2"/>
  <cols>
    <col min="1" max="2" width="6.6640625" style="1" customWidth="1"/>
    <col min="3" max="3" width="13.6640625" style="1" customWidth="1"/>
    <col min="4" max="4" width="47.5" style="1" customWidth="1"/>
    <col min="5" max="6" width="13.6640625" style="1" customWidth="1"/>
    <col min="7" max="7" width="16.5" style="1" customWidth="1"/>
    <col min="8" max="8" width="14.83203125" style="1" customWidth="1"/>
    <col min="9" max="9" width="14.6640625" style="1" customWidth="1"/>
    <col min="10" max="10" width="15.6640625" style="1" customWidth="1"/>
    <col min="11" max="11" width="14.83203125" style="1" customWidth="1"/>
    <col min="12" max="12" width="17.1640625" style="1" customWidth="1"/>
    <col min="13" max="14" width="9.33203125" style="1"/>
    <col min="15" max="36" width="0" style="1" hidden="1" customWidth="1"/>
    <col min="37" max="16384" width="9.33203125" style="1"/>
  </cols>
  <sheetData>
    <row r="1" spans="1:12" ht="18" x14ac:dyDescent="0.25">
      <c r="A1" s="11"/>
      <c r="B1" s="11"/>
      <c r="C1" s="11"/>
      <c r="D1" s="11"/>
      <c r="E1" s="855" t="s">
        <v>296</v>
      </c>
      <c r="F1" s="855"/>
      <c r="G1" s="855"/>
      <c r="H1" s="11"/>
      <c r="I1" s="11"/>
      <c r="J1" s="11"/>
      <c r="K1" s="11"/>
      <c r="L1" s="11"/>
    </row>
    <row r="2" spans="1:12" ht="18" x14ac:dyDescent="0.25">
      <c r="A2" s="11"/>
      <c r="B2" s="11"/>
      <c r="C2" s="11"/>
      <c r="D2" s="11"/>
      <c r="E2" s="848" t="s">
        <v>145</v>
      </c>
      <c r="F2" s="848"/>
      <c r="G2" s="848"/>
      <c r="H2" s="11"/>
      <c r="I2" s="11"/>
      <c r="J2" s="11"/>
      <c r="K2" s="11"/>
      <c r="L2" s="11"/>
    </row>
    <row r="3" spans="1:12" ht="18" x14ac:dyDescent="0.25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</row>
    <row r="4" spans="1:12" ht="18" x14ac:dyDescent="0.25">
      <c r="A4" s="11"/>
      <c r="B4" s="11"/>
      <c r="C4" s="11"/>
      <c r="D4" s="44" t="s">
        <v>146</v>
      </c>
      <c r="E4" s="11"/>
      <c r="F4" s="11"/>
      <c r="G4" s="11"/>
      <c r="H4" s="11"/>
      <c r="I4" s="11"/>
      <c r="J4" s="11"/>
      <c r="K4" s="11"/>
      <c r="L4" s="11"/>
    </row>
    <row r="5" spans="1:12" ht="18" x14ac:dyDescent="0.25">
      <c r="A5" s="11"/>
      <c r="B5" s="11"/>
      <c r="C5" s="11"/>
      <c r="D5" s="44" t="s">
        <v>147</v>
      </c>
      <c r="E5" s="11"/>
      <c r="F5" s="11"/>
      <c r="G5" s="11"/>
      <c r="H5" s="11"/>
      <c r="I5" s="11"/>
      <c r="J5" s="11"/>
      <c r="K5" s="11"/>
      <c r="L5" s="11"/>
    </row>
    <row r="6" spans="1:12" ht="18" x14ac:dyDescent="0.25">
      <c r="A6" s="11"/>
      <c r="B6" s="11"/>
      <c r="C6" s="11"/>
      <c r="D6" s="44" t="s">
        <v>148</v>
      </c>
      <c r="E6" s="11"/>
      <c r="F6" s="11"/>
      <c r="G6" s="11"/>
      <c r="H6" s="11"/>
      <c r="I6" s="11"/>
      <c r="J6" s="11"/>
      <c r="K6" s="11"/>
      <c r="L6" s="11"/>
    </row>
    <row r="7" spans="1:12" ht="90" x14ac:dyDescent="0.25">
      <c r="A7" s="11"/>
      <c r="B7" s="11"/>
      <c r="C7" s="11"/>
      <c r="D7" s="44" t="s">
        <v>32</v>
      </c>
      <c r="E7" s="11"/>
      <c r="F7" s="11"/>
      <c r="G7" s="11"/>
      <c r="H7" s="11"/>
      <c r="I7" s="11"/>
      <c r="J7" s="11"/>
      <c r="K7" s="11"/>
      <c r="L7" s="11"/>
    </row>
    <row r="8" spans="1:12" ht="9.75" customHeight="1" x14ac:dyDescent="0.25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</row>
    <row r="9" spans="1:12" ht="14.25" x14ac:dyDescent="0.2">
      <c r="A9" s="849" t="s">
        <v>149</v>
      </c>
      <c r="B9" s="849"/>
      <c r="C9" s="849"/>
      <c r="D9" s="849"/>
      <c r="E9" s="849"/>
      <c r="F9" s="849"/>
      <c r="G9" s="849"/>
      <c r="H9" s="849"/>
      <c r="I9" s="849"/>
      <c r="J9" s="849"/>
      <c r="K9" s="849"/>
      <c r="L9" s="849"/>
    </row>
    <row r="10" spans="1:12" ht="14.25" x14ac:dyDescent="0.2">
      <c r="A10" s="850" t="s">
        <v>67</v>
      </c>
      <c r="B10" s="850"/>
      <c r="C10" s="850" t="s">
        <v>68</v>
      </c>
      <c r="D10" s="850" t="s">
        <v>69</v>
      </c>
      <c r="E10" s="850" t="s">
        <v>70</v>
      </c>
      <c r="F10" s="850" t="s">
        <v>71</v>
      </c>
      <c r="G10" s="850" t="s">
        <v>72</v>
      </c>
      <c r="H10" s="851" t="s">
        <v>73</v>
      </c>
      <c r="I10" s="851" t="s">
        <v>74</v>
      </c>
      <c r="J10" s="850" t="s">
        <v>75</v>
      </c>
      <c r="K10" s="850" t="s">
        <v>76</v>
      </c>
      <c r="L10" s="850" t="s">
        <v>77</v>
      </c>
    </row>
    <row r="11" spans="1:12" x14ac:dyDescent="0.2">
      <c r="A11" s="851" t="s">
        <v>78</v>
      </c>
      <c r="B11" s="851" t="s">
        <v>79</v>
      </c>
      <c r="C11" s="850"/>
      <c r="D11" s="850"/>
      <c r="E11" s="850"/>
      <c r="F11" s="850"/>
      <c r="G11" s="850"/>
      <c r="H11" s="852"/>
      <c r="I11" s="852"/>
      <c r="J11" s="850"/>
      <c r="K11" s="850"/>
      <c r="L11" s="850"/>
    </row>
    <row r="12" spans="1:12" x14ac:dyDescent="0.2">
      <c r="A12" s="852"/>
      <c r="B12" s="852"/>
      <c r="C12" s="850"/>
      <c r="D12" s="850"/>
      <c r="E12" s="850"/>
      <c r="F12" s="850"/>
      <c r="G12" s="850"/>
      <c r="H12" s="852"/>
      <c r="I12" s="852"/>
      <c r="J12" s="850"/>
      <c r="K12" s="850"/>
      <c r="L12" s="850"/>
    </row>
    <row r="13" spans="1:12" ht="20.100000000000001" customHeight="1" x14ac:dyDescent="0.2">
      <c r="A13" s="852"/>
      <c r="B13" s="852"/>
      <c r="C13" s="850"/>
      <c r="D13" s="850"/>
      <c r="E13" s="850"/>
      <c r="F13" s="850"/>
      <c r="G13" s="850"/>
      <c r="H13" s="852"/>
      <c r="I13" s="852"/>
      <c r="J13" s="850"/>
      <c r="K13" s="850"/>
      <c r="L13" s="850"/>
    </row>
    <row r="14" spans="1:12" ht="20.100000000000001" customHeight="1" x14ac:dyDescent="0.2">
      <c r="A14" s="853"/>
      <c r="B14" s="853"/>
      <c r="C14" s="850"/>
      <c r="D14" s="850"/>
      <c r="E14" s="850"/>
      <c r="F14" s="850"/>
      <c r="G14" s="850"/>
      <c r="H14" s="853"/>
      <c r="I14" s="853"/>
      <c r="J14" s="850"/>
      <c r="K14" s="850"/>
      <c r="L14" s="850"/>
    </row>
    <row r="15" spans="1:12" ht="14.25" x14ac:dyDescent="0.2">
      <c r="A15" s="13">
        <v>1</v>
      </c>
      <c r="B15" s="13">
        <v>2</v>
      </c>
      <c r="C15" s="13">
        <v>3</v>
      </c>
      <c r="D15" s="13">
        <v>4</v>
      </c>
      <c r="E15" s="13">
        <v>5</v>
      </c>
      <c r="F15" s="13">
        <v>6</v>
      </c>
      <c r="G15" s="13">
        <v>7</v>
      </c>
      <c r="H15" s="13">
        <v>8</v>
      </c>
      <c r="I15" s="13">
        <v>9</v>
      </c>
      <c r="J15" s="13">
        <v>10</v>
      </c>
      <c r="K15" s="13">
        <v>11</v>
      </c>
      <c r="L15" s="13">
        <v>12</v>
      </c>
    </row>
    <row r="17" spans="1:22" ht="16.5" x14ac:dyDescent="0.25">
      <c r="A17" s="854" t="str">
        <f>CONCATENATE("Раздел: ",IF([85]Source!G24&lt;&gt;"Новый раздел", [85]Source!G24, ""))</f>
        <v>Раздел: Монтажные работы</v>
      </c>
      <c r="B17" s="854"/>
      <c r="C17" s="854"/>
      <c r="D17" s="854"/>
      <c r="E17" s="854"/>
      <c r="F17" s="854"/>
      <c r="G17" s="854"/>
      <c r="H17" s="854"/>
      <c r="I17" s="854"/>
      <c r="J17" s="854"/>
      <c r="K17" s="854"/>
      <c r="L17" s="854"/>
    </row>
    <row r="19" spans="1:22" ht="71.25" x14ac:dyDescent="0.2">
      <c r="A19" s="14">
        <v>1</v>
      </c>
      <c r="B19" s="14" t="str">
        <f>[85]Source!E98</f>
        <v>15</v>
      </c>
      <c r="C19" s="15" t="s">
        <v>150</v>
      </c>
      <c r="D19" s="15" t="s">
        <v>151</v>
      </c>
      <c r="E19" s="16" t="str">
        <f>[85]Source!H98</f>
        <v>100 М КАБЕЛЯ</v>
      </c>
      <c r="F19" s="4">
        <f>[85]Source!I98</f>
        <v>8.82</v>
      </c>
      <c r="G19" s="17"/>
      <c r="H19" s="18"/>
      <c r="I19" s="4"/>
      <c r="J19" s="19"/>
      <c r="K19" s="4"/>
      <c r="L19" s="19"/>
      <c r="Q19" s="1">
        <f>[85]Source!X98</f>
        <v>3494.22</v>
      </c>
      <c r="R19" s="1">
        <f>[85]Source!X99</f>
        <v>68034.350000000006</v>
      </c>
      <c r="S19" s="1">
        <f>[85]Source!Y98</f>
        <v>2183.89</v>
      </c>
      <c r="T19" s="1">
        <f>[85]Source!Y99</f>
        <v>32505.3</v>
      </c>
      <c r="U19" s="1">
        <f>ROUND((175/100)*ROUND([85]Source!R98, 2), 2)</f>
        <v>2064.9699999999998</v>
      </c>
      <c r="V19" s="1">
        <f>ROUND((157/100)*ROUND([85]Source!R99, 2), 2)</f>
        <v>44887.74</v>
      </c>
    </row>
    <row r="20" spans="1:22" ht="14.25" x14ac:dyDescent="0.2">
      <c r="A20" s="14"/>
      <c r="B20" s="14"/>
      <c r="C20" s="15"/>
      <c r="D20" s="15" t="s">
        <v>84</v>
      </c>
      <c r="E20" s="16"/>
      <c r="F20" s="4"/>
      <c r="G20" s="17">
        <f>[85]Source!AO98</f>
        <v>198.51</v>
      </c>
      <c r="H20" s="18" t="str">
        <f>[85]Source!DG98</f>
        <v>)*1,67</v>
      </c>
      <c r="I20" s="4">
        <f>[85]Source!AV99</f>
        <v>1.0669999999999999</v>
      </c>
      <c r="J20" s="19">
        <f>[85]Source!S98</f>
        <v>3119.84</v>
      </c>
      <c r="K20" s="4">
        <f>IF([85]Source!BA99&lt;&gt; 0, [85]Source!BA99, 1)</f>
        <v>24.23</v>
      </c>
      <c r="L20" s="19">
        <f>[85]Source!S99</f>
        <v>75593.72</v>
      </c>
    </row>
    <row r="21" spans="1:22" ht="14.25" x14ac:dyDescent="0.2">
      <c r="A21" s="14"/>
      <c r="B21" s="14"/>
      <c r="C21" s="15"/>
      <c r="D21" s="15" t="s">
        <v>85</v>
      </c>
      <c r="E21" s="16"/>
      <c r="F21" s="4"/>
      <c r="G21" s="17">
        <f>[85]Source!AM98</f>
        <v>463.73</v>
      </c>
      <c r="H21" s="18">
        <f>[85]Source!DE98</f>
        <v>0</v>
      </c>
      <c r="I21" s="4">
        <f>[85]Source!AV99</f>
        <v>1.0669999999999999</v>
      </c>
      <c r="J21" s="19">
        <f>[85]Source!Q98-J30</f>
        <v>4364.1400000000003</v>
      </c>
      <c r="K21" s="4">
        <f>IF([85]Source!BB99&lt;&gt; 0, [85]Source!BB99, 1)</f>
        <v>8.58</v>
      </c>
      <c r="L21" s="19">
        <f>[85]Source!Q99-L30</f>
        <v>37444.22</v>
      </c>
    </row>
    <row r="22" spans="1:22" ht="14.25" x14ac:dyDescent="0.2">
      <c r="A22" s="14"/>
      <c r="B22" s="14"/>
      <c r="C22" s="15"/>
      <c r="D22" s="15" t="s">
        <v>86</v>
      </c>
      <c r="E22" s="16"/>
      <c r="F22" s="4"/>
      <c r="G22" s="17">
        <f>[85]Source!AN98</f>
        <v>75.08</v>
      </c>
      <c r="H22" s="18">
        <f>[85]Source!DE98</f>
        <v>0</v>
      </c>
      <c r="I22" s="4">
        <f>[85]Source!AV99</f>
        <v>1.0669999999999999</v>
      </c>
      <c r="J22" s="20">
        <f>[85]Source!R98-J31</f>
        <v>706.58</v>
      </c>
      <c r="K22" s="4">
        <f>IF([85]Source!BS99&lt;&gt; 0, [85]Source!BS99, 1)</f>
        <v>24.23</v>
      </c>
      <c r="L22" s="20">
        <f>[85]Source!R99-L31</f>
        <v>17120.34</v>
      </c>
    </row>
    <row r="23" spans="1:22" ht="14.25" x14ac:dyDescent="0.2">
      <c r="A23" s="14"/>
      <c r="B23" s="14"/>
      <c r="C23" s="15"/>
      <c r="D23" s="15" t="s">
        <v>87</v>
      </c>
      <c r="E23" s="16"/>
      <c r="F23" s="4"/>
      <c r="G23" s="17">
        <f>[85]Source!AL98</f>
        <v>27.23</v>
      </c>
      <c r="H23" s="18">
        <f>[85]Source!DD98</f>
        <v>0</v>
      </c>
      <c r="I23" s="4">
        <f>[85]Source!AW99</f>
        <v>1.081</v>
      </c>
      <c r="J23" s="19">
        <f>[85]Source!P98</f>
        <v>259.62</v>
      </c>
      <c r="K23" s="4">
        <f>IF([85]Source!BC99&lt;&gt; 0, [85]Source!BC99, 1)</f>
        <v>5.58</v>
      </c>
      <c r="L23" s="19">
        <f>[85]Source!P99</f>
        <v>1448.68</v>
      </c>
    </row>
    <row r="24" spans="1:22" ht="14.25" x14ac:dyDescent="0.2">
      <c r="A24" s="14"/>
      <c r="B24" s="14"/>
      <c r="C24" s="15"/>
      <c r="D24" s="15" t="s">
        <v>88</v>
      </c>
      <c r="E24" s="16" t="s">
        <v>89</v>
      </c>
      <c r="F24" s="4">
        <f>[85]Source!DN99</f>
        <v>112</v>
      </c>
      <c r="G24" s="17"/>
      <c r="H24" s="18"/>
      <c r="I24" s="4"/>
      <c r="J24" s="19">
        <f>SUM(Q19:Q23)</f>
        <v>3494.22</v>
      </c>
      <c r="K24" s="4">
        <f>[85]Source!BZ99</f>
        <v>90</v>
      </c>
      <c r="L24" s="19">
        <f>SUM(R19:R23)</f>
        <v>68034.350000000006</v>
      </c>
    </row>
    <row r="25" spans="1:22" ht="14.25" x14ac:dyDescent="0.2">
      <c r="A25" s="14"/>
      <c r="B25" s="14"/>
      <c r="C25" s="15"/>
      <c r="D25" s="15" t="s">
        <v>90</v>
      </c>
      <c r="E25" s="16" t="s">
        <v>89</v>
      </c>
      <c r="F25" s="4">
        <f>[85]Source!DO99</f>
        <v>70</v>
      </c>
      <c r="G25" s="17"/>
      <c r="H25" s="18"/>
      <c r="I25" s="4"/>
      <c r="J25" s="19">
        <f>SUM(S19:S24)</f>
        <v>2183.89</v>
      </c>
      <c r="K25" s="4">
        <f>[85]Source!CA99</f>
        <v>43</v>
      </c>
      <c r="L25" s="19">
        <f>SUM(T19:T24)</f>
        <v>32505.3</v>
      </c>
    </row>
    <row r="26" spans="1:22" ht="14.25" x14ac:dyDescent="0.2">
      <c r="A26" s="14"/>
      <c r="B26" s="14"/>
      <c r="C26" s="15"/>
      <c r="D26" s="15" t="s">
        <v>91</v>
      </c>
      <c r="E26" s="16" t="s">
        <v>89</v>
      </c>
      <c r="F26" s="4">
        <f>175</f>
        <v>175</v>
      </c>
      <c r="G26" s="17"/>
      <c r="H26" s="18"/>
      <c r="I26" s="4"/>
      <c r="J26" s="19">
        <f>SUM(U19:U25)-J32</f>
        <v>1236.52</v>
      </c>
      <c r="K26" s="4">
        <f>157</f>
        <v>157</v>
      </c>
      <c r="L26" s="19">
        <f>SUM(V19:V25)-L32</f>
        <v>26878.93</v>
      </c>
    </row>
    <row r="27" spans="1:22" ht="14.25" x14ac:dyDescent="0.2">
      <c r="A27" s="14"/>
      <c r="B27" s="14"/>
      <c r="C27" s="15"/>
      <c r="D27" s="15" t="s">
        <v>92</v>
      </c>
      <c r="E27" s="16" t="s">
        <v>93</v>
      </c>
      <c r="F27" s="4">
        <f>[85]Source!AQ98</f>
        <v>16.100000000000001</v>
      </c>
      <c r="G27" s="17"/>
      <c r="H27" s="18">
        <f>[85]Source!DI98</f>
        <v>0</v>
      </c>
      <c r="I27" s="4">
        <f>[85]Source!AV99</f>
        <v>1.0669999999999999</v>
      </c>
      <c r="J27" s="19">
        <f>[85]Source!U98</f>
        <v>151.52000000000001</v>
      </c>
      <c r="K27" s="4"/>
      <c r="L27" s="19"/>
    </row>
    <row r="28" spans="1:22" ht="15" x14ac:dyDescent="0.25">
      <c r="I28" s="847">
        <f>J20+J21+J23+J24+J25+J26</f>
        <v>14658.23</v>
      </c>
      <c r="J28" s="847"/>
      <c r="K28" s="847">
        <f>L20+L21+L23+L24+L25+L26</f>
        <v>241905.2</v>
      </c>
      <c r="L28" s="847"/>
      <c r="O28" s="21">
        <f>J20+J21+J23+J24+J25+J26</f>
        <v>14658.23</v>
      </c>
      <c r="P28" s="21">
        <f>L20+L21+L23+L24+L25+L26</f>
        <v>241905.2</v>
      </c>
    </row>
    <row r="29" spans="1:22" ht="28.5" x14ac:dyDescent="0.2">
      <c r="A29" s="22"/>
      <c r="B29" s="22"/>
      <c r="C29" s="23"/>
      <c r="D29" s="23" t="s">
        <v>94</v>
      </c>
      <c r="E29" s="16"/>
      <c r="F29" s="24"/>
      <c r="G29" s="25"/>
      <c r="H29" s="16"/>
      <c r="I29" s="24"/>
      <c r="J29" s="20"/>
      <c r="K29" s="24"/>
      <c r="L29" s="20"/>
    </row>
    <row r="30" spans="1:22" ht="14.25" x14ac:dyDescent="0.2">
      <c r="A30" s="22"/>
      <c r="B30" s="22"/>
      <c r="C30" s="23"/>
      <c r="D30" s="23" t="s">
        <v>85</v>
      </c>
      <c r="E30" s="16"/>
      <c r="F30" s="24"/>
      <c r="G30" s="25">
        <f t="shared" ref="G30:L30" si="0">G31</f>
        <v>75.08</v>
      </c>
      <c r="H30" s="26" t="str">
        <f t="shared" si="0"/>
        <v>)*(1.67-1)</v>
      </c>
      <c r="I30" s="24">
        <f t="shared" si="0"/>
        <v>1.0669999999999999</v>
      </c>
      <c r="J30" s="20">
        <f t="shared" si="0"/>
        <v>473.4</v>
      </c>
      <c r="K30" s="24">
        <f t="shared" si="0"/>
        <v>24.23</v>
      </c>
      <c r="L30" s="20">
        <f t="shared" si="0"/>
        <v>11470.58</v>
      </c>
    </row>
    <row r="31" spans="1:22" ht="14.25" x14ac:dyDescent="0.2">
      <c r="A31" s="22"/>
      <c r="B31" s="22"/>
      <c r="C31" s="23"/>
      <c r="D31" s="23" t="s">
        <v>86</v>
      </c>
      <c r="E31" s="16"/>
      <c r="F31" s="24"/>
      <c r="G31" s="25">
        <f>[85]Source!AN98</f>
        <v>75.08</v>
      </c>
      <c r="H31" s="26" t="s">
        <v>95</v>
      </c>
      <c r="I31" s="24">
        <f>[85]Source!AV99</f>
        <v>1.0669999999999999</v>
      </c>
      <c r="J31" s="20">
        <f>ROUND(F19*G31*I31*(1.67-1), 2)</f>
        <v>473.4</v>
      </c>
      <c r="K31" s="24">
        <f>IF([85]Source!BS99&lt;&gt; 0, [85]Source!BS99, 1)</f>
        <v>24.23</v>
      </c>
      <c r="L31" s="20">
        <f>ROUND(F19*G31*I31*(1.67-1)*K31, 2)</f>
        <v>11470.58</v>
      </c>
    </row>
    <row r="32" spans="1:22" ht="14.25" x14ac:dyDescent="0.2">
      <c r="A32" s="22"/>
      <c r="B32" s="22"/>
      <c r="C32" s="23"/>
      <c r="D32" s="23" t="s">
        <v>91</v>
      </c>
      <c r="E32" s="16" t="s">
        <v>89</v>
      </c>
      <c r="F32" s="24">
        <f>175</f>
        <v>175</v>
      </c>
      <c r="G32" s="25"/>
      <c r="H32" s="16"/>
      <c r="I32" s="24"/>
      <c r="J32" s="20">
        <f>ROUND(J31*(F32/100), 2)</f>
        <v>828.45</v>
      </c>
      <c r="K32" s="24">
        <f>157</f>
        <v>157</v>
      </c>
      <c r="L32" s="20">
        <f>ROUND(L31*(K32/100), 2)</f>
        <v>18008.810000000001</v>
      </c>
    </row>
    <row r="33" spans="1:22" ht="15" x14ac:dyDescent="0.25">
      <c r="I33" s="847">
        <f>J32+J31</f>
        <v>1301.8499999999999</v>
      </c>
      <c r="J33" s="847"/>
      <c r="K33" s="847">
        <f>L32+L31</f>
        <v>29479.39</v>
      </c>
      <c r="L33" s="847"/>
      <c r="O33" s="21">
        <f>I33</f>
        <v>1301.8499999999999</v>
      </c>
      <c r="P33" s="21">
        <f>K33</f>
        <v>29479.39</v>
      </c>
    </row>
    <row r="35" spans="1:22" ht="15" x14ac:dyDescent="0.25">
      <c r="A35" s="27"/>
      <c r="B35" s="27"/>
      <c r="C35" s="28"/>
      <c r="D35" s="28" t="s">
        <v>96</v>
      </c>
      <c r="E35" s="29"/>
      <c r="F35" s="30"/>
      <c r="G35" s="31"/>
      <c r="H35" s="32"/>
      <c r="I35" s="847">
        <f>I28+I33</f>
        <v>15960.08</v>
      </c>
      <c r="J35" s="847"/>
      <c r="K35" s="847">
        <f>K28+K33</f>
        <v>271384.59000000003</v>
      </c>
      <c r="L35" s="847"/>
    </row>
    <row r="36" spans="1:22" ht="71.25" x14ac:dyDescent="0.2">
      <c r="A36" s="14">
        <v>2</v>
      </c>
      <c r="B36" s="14" t="str">
        <f>[85]Source!E100</f>
        <v>16</v>
      </c>
      <c r="C36" s="15" t="s">
        <v>152</v>
      </c>
      <c r="D36" s="15" t="s">
        <v>153</v>
      </c>
      <c r="E36" s="16" t="str">
        <f>[85]Source!H100</f>
        <v>100 М КАБЕЛЯ</v>
      </c>
      <c r="F36" s="4">
        <f>[85]Source!I100</f>
        <v>8.82</v>
      </c>
      <c r="G36" s="17"/>
      <c r="H36" s="18"/>
      <c r="I36" s="4"/>
      <c r="J36" s="19"/>
      <c r="K36" s="4"/>
      <c r="L36" s="19"/>
      <c r="Q36" s="1">
        <f>[85]Source!X100</f>
        <v>4731.3100000000004</v>
      </c>
      <c r="R36" s="1">
        <f>[85]Source!X101</f>
        <v>92121.06</v>
      </c>
      <c r="S36" s="1">
        <f>[85]Source!Y100</f>
        <v>2957.07</v>
      </c>
      <c r="T36" s="1">
        <f>[85]Source!Y101</f>
        <v>44013.39</v>
      </c>
      <c r="U36" s="1">
        <f>ROUND((175/100)*ROUND([85]Source!R100, 2), 2)</f>
        <v>2971.2</v>
      </c>
      <c r="V36" s="1">
        <f>ROUND((157/100)*ROUND([85]Source!R101, 2), 2)</f>
        <v>64587.32</v>
      </c>
    </row>
    <row r="37" spans="1:22" ht="14.25" x14ac:dyDescent="0.2">
      <c r="A37" s="14"/>
      <c r="B37" s="14"/>
      <c r="C37" s="15"/>
      <c r="D37" s="15" t="s">
        <v>84</v>
      </c>
      <c r="E37" s="16"/>
      <c r="F37" s="4"/>
      <c r="G37" s="17">
        <f>[85]Source!AO100</f>
        <v>268.79000000000002</v>
      </c>
      <c r="H37" s="18" t="str">
        <f>[85]Source!DG100</f>
        <v>)*1,67</v>
      </c>
      <c r="I37" s="4">
        <f>[85]Source!AV101</f>
        <v>1.0669999999999999</v>
      </c>
      <c r="J37" s="19">
        <f>[85]Source!S100</f>
        <v>4224.38</v>
      </c>
      <c r="K37" s="4">
        <f>IF([85]Source!BA101&lt;&gt; 0, [85]Source!BA101, 1)</f>
        <v>24.23</v>
      </c>
      <c r="L37" s="19">
        <f>[85]Source!S101</f>
        <v>102356.73</v>
      </c>
    </row>
    <row r="38" spans="1:22" ht="14.25" x14ac:dyDescent="0.2">
      <c r="A38" s="14"/>
      <c r="B38" s="14"/>
      <c r="C38" s="15"/>
      <c r="D38" s="15" t="s">
        <v>85</v>
      </c>
      <c r="E38" s="16"/>
      <c r="F38" s="4"/>
      <c r="G38" s="17">
        <f>[85]Source!AM100</f>
        <v>652.54999999999995</v>
      </c>
      <c r="H38" s="18">
        <f>[85]Source!DE100</f>
        <v>0</v>
      </c>
      <c r="I38" s="4">
        <f>[85]Source!AV101</f>
        <v>1.0669999999999999</v>
      </c>
      <c r="J38" s="19">
        <f>[85]Source!Q100-J47</f>
        <v>6141.11</v>
      </c>
      <c r="K38" s="4">
        <f>IF([85]Source!BB101&lt;&gt; 0, [85]Source!BB101, 1)</f>
        <v>8.65</v>
      </c>
      <c r="L38" s="19">
        <f>[85]Source!Q101-L47</f>
        <v>53120.49</v>
      </c>
    </row>
    <row r="39" spans="1:22" ht="14.25" x14ac:dyDescent="0.2">
      <c r="A39" s="14"/>
      <c r="B39" s="14"/>
      <c r="C39" s="15"/>
      <c r="D39" s="15" t="s">
        <v>86</v>
      </c>
      <c r="E39" s="16"/>
      <c r="F39" s="4"/>
      <c r="G39" s="17">
        <f>[85]Source!AN100</f>
        <v>108.03</v>
      </c>
      <c r="H39" s="18">
        <f>[85]Source!DE100</f>
        <v>0</v>
      </c>
      <c r="I39" s="4">
        <f>[85]Source!AV101</f>
        <v>1.0669999999999999</v>
      </c>
      <c r="J39" s="20">
        <f>[85]Source!R100-J48</f>
        <v>1016.67</v>
      </c>
      <c r="K39" s="4">
        <f>IF([85]Source!BS101&lt;&gt; 0, [85]Source!BS101, 1)</f>
        <v>24.23</v>
      </c>
      <c r="L39" s="20">
        <f>[85]Source!R101-L48</f>
        <v>24633.8</v>
      </c>
    </row>
    <row r="40" spans="1:22" ht="14.25" x14ac:dyDescent="0.2">
      <c r="A40" s="14"/>
      <c r="B40" s="14"/>
      <c r="C40" s="15"/>
      <c r="D40" s="15" t="s">
        <v>87</v>
      </c>
      <c r="E40" s="16"/>
      <c r="F40" s="4"/>
      <c r="G40" s="17">
        <f>[85]Source!AL100</f>
        <v>28.07</v>
      </c>
      <c r="H40" s="18">
        <f>[85]Source!DD100</f>
        <v>0</v>
      </c>
      <c r="I40" s="4">
        <f>[85]Source!AW101</f>
        <v>1.081</v>
      </c>
      <c r="J40" s="19">
        <f>[85]Source!P100</f>
        <v>267.63</v>
      </c>
      <c r="K40" s="4">
        <f>IF([85]Source!BC101&lt;&gt; 0, [85]Source!BC101, 1)</f>
        <v>5.58</v>
      </c>
      <c r="L40" s="19">
        <f>[85]Source!P101</f>
        <v>1493.38</v>
      </c>
    </row>
    <row r="41" spans="1:22" ht="14.25" x14ac:dyDescent="0.2">
      <c r="A41" s="14"/>
      <c r="B41" s="14"/>
      <c r="C41" s="15"/>
      <c r="D41" s="15" t="s">
        <v>88</v>
      </c>
      <c r="E41" s="16" t="s">
        <v>89</v>
      </c>
      <c r="F41" s="4">
        <f>[85]Source!DN101</f>
        <v>112</v>
      </c>
      <c r="G41" s="17"/>
      <c r="H41" s="18"/>
      <c r="I41" s="4"/>
      <c r="J41" s="19">
        <f>SUM(Q36:Q40)</f>
        <v>4731.3100000000004</v>
      </c>
      <c r="K41" s="4">
        <f>[85]Source!BZ101</f>
        <v>90</v>
      </c>
      <c r="L41" s="19">
        <f>SUM(R36:R40)</f>
        <v>92121.06</v>
      </c>
    </row>
    <row r="42" spans="1:22" ht="14.25" x14ac:dyDescent="0.2">
      <c r="A42" s="14"/>
      <c r="B42" s="14"/>
      <c r="C42" s="15"/>
      <c r="D42" s="15" t="s">
        <v>90</v>
      </c>
      <c r="E42" s="16" t="s">
        <v>89</v>
      </c>
      <c r="F42" s="4">
        <f>[85]Source!DO101</f>
        <v>70</v>
      </c>
      <c r="G42" s="17"/>
      <c r="H42" s="18"/>
      <c r="I42" s="4"/>
      <c r="J42" s="19">
        <f>SUM(S36:S41)</f>
        <v>2957.07</v>
      </c>
      <c r="K42" s="4">
        <f>[85]Source!CA101</f>
        <v>43</v>
      </c>
      <c r="L42" s="19">
        <f>SUM(T36:T41)</f>
        <v>44013.39</v>
      </c>
    </row>
    <row r="43" spans="1:22" ht="14.25" x14ac:dyDescent="0.2">
      <c r="A43" s="14"/>
      <c r="B43" s="14"/>
      <c r="C43" s="15"/>
      <c r="D43" s="15" t="s">
        <v>91</v>
      </c>
      <c r="E43" s="16" t="s">
        <v>89</v>
      </c>
      <c r="F43" s="4">
        <f>175</f>
        <v>175</v>
      </c>
      <c r="G43" s="17"/>
      <c r="H43" s="18"/>
      <c r="I43" s="4"/>
      <c r="J43" s="19">
        <f>SUM(U36:U42)-J49</f>
        <v>1779.17</v>
      </c>
      <c r="K43" s="4">
        <f>157</f>
        <v>157</v>
      </c>
      <c r="L43" s="19">
        <f>SUM(V36:V42)-L49</f>
        <v>38675.07</v>
      </c>
    </row>
    <row r="44" spans="1:22" ht="14.25" x14ac:dyDescent="0.2">
      <c r="A44" s="14"/>
      <c r="B44" s="14"/>
      <c r="C44" s="15"/>
      <c r="D44" s="15" t="s">
        <v>92</v>
      </c>
      <c r="E44" s="16" t="s">
        <v>93</v>
      </c>
      <c r="F44" s="4">
        <f>[85]Source!AQ100</f>
        <v>21.8</v>
      </c>
      <c r="G44" s="17"/>
      <c r="H44" s="18">
        <f>[85]Source!DI100</f>
        <v>0</v>
      </c>
      <c r="I44" s="4">
        <f>[85]Source!AV101</f>
        <v>1.0669999999999999</v>
      </c>
      <c r="J44" s="19">
        <f>[85]Source!U100</f>
        <v>205.16</v>
      </c>
      <c r="K44" s="4"/>
      <c r="L44" s="19"/>
    </row>
    <row r="45" spans="1:22" ht="15" x14ac:dyDescent="0.25">
      <c r="I45" s="847">
        <f>J37+J38+J40+J41+J42+J43</f>
        <v>20100.669999999998</v>
      </c>
      <c r="J45" s="847"/>
      <c r="K45" s="847">
        <f>L37+L38+L40+L41+L42+L43</f>
        <v>331780.12</v>
      </c>
      <c r="L45" s="847"/>
      <c r="O45" s="21">
        <f>J37+J38+J40+J41+J42+J43</f>
        <v>20100.669999999998</v>
      </c>
      <c r="P45" s="21">
        <f>L37+L38+L40+L41+L42+L43</f>
        <v>331780.12</v>
      </c>
    </row>
    <row r="46" spans="1:22" ht="28.5" x14ac:dyDescent="0.2">
      <c r="A46" s="22"/>
      <c r="B46" s="22"/>
      <c r="C46" s="23"/>
      <c r="D46" s="23" t="s">
        <v>94</v>
      </c>
      <c r="E46" s="16"/>
      <c r="F46" s="24"/>
      <c r="G46" s="25"/>
      <c r="H46" s="16"/>
      <c r="I46" s="24"/>
      <c r="J46" s="20"/>
      <c r="K46" s="24"/>
      <c r="L46" s="20"/>
    </row>
    <row r="47" spans="1:22" ht="14.25" x14ac:dyDescent="0.2">
      <c r="A47" s="22"/>
      <c r="B47" s="22"/>
      <c r="C47" s="23"/>
      <c r="D47" s="23" t="s">
        <v>85</v>
      </c>
      <c r="E47" s="16"/>
      <c r="F47" s="24"/>
      <c r="G47" s="25">
        <f t="shared" ref="G47:L47" si="1">G48</f>
        <v>108.03</v>
      </c>
      <c r="H47" s="26" t="str">
        <f t="shared" si="1"/>
        <v>)*(1.67-1)</v>
      </c>
      <c r="I47" s="24">
        <f t="shared" si="1"/>
        <v>1.0669999999999999</v>
      </c>
      <c r="J47" s="20">
        <f t="shared" si="1"/>
        <v>681.16</v>
      </c>
      <c r="K47" s="24">
        <f t="shared" si="1"/>
        <v>24.23</v>
      </c>
      <c r="L47" s="20">
        <f t="shared" si="1"/>
        <v>16504.62</v>
      </c>
    </row>
    <row r="48" spans="1:22" ht="14.25" x14ac:dyDescent="0.2">
      <c r="A48" s="22"/>
      <c r="B48" s="22"/>
      <c r="C48" s="23"/>
      <c r="D48" s="23" t="s">
        <v>86</v>
      </c>
      <c r="E48" s="16"/>
      <c r="F48" s="24"/>
      <c r="G48" s="25">
        <f>[85]Source!AN100</f>
        <v>108.03</v>
      </c>
      <c r="H48" s="26" t="s">
        <v>95</v>
      </c>
      <c r="I48" s="24">
        <f>[85]Source!AV101</f>
        <v>1.0669999999999999</v>
      </c>
      <c r="J48" s="20">
        <f>ROUND(F36*G48*I48*(1.67-1), 2)</f>
        <v>681.16</v>
      </c>
      <c r="K48" s="24">
        <f>IF([85]Source!BS101&lt;&gt; 0, [85]Source!BS101, 1)</f>
        <v>24.23</v>
      </c>
      <c r="L48" s="20">
        <f>ROUND(F36*G48*I48*(1.67-1)*K48, 2)</f>
        <v>16504.62</v>
      </c>
    </row>
    <row r="49" spans="1:38" ht="14.25" x14ac:dyDescent="0.2">
      <c r="A49" s="22"/>
      <c r="B49" s="22"/>
      <c r="C49" s="23"/>
      <c r="D49" s="23" t="s">
        <v>91</v>
      </c>
      <c r="E49" s="16" t="s">
        <v>89</v>
      </c>
      <c r="F49" s="24">
        <f>175</f>
        <v>175</v>
      </c>
      <c r="G49" s="25"/>
      <c r="H49" s="16"/>
      <c r="I49" s="24"/>
      <c r="J49" s="20">
        <f>ROUND(J48*(F49/100), 2)</f>
        <v>1192.03</v>
      </c>
      <c r="K49" s="24">
        <f>157</f>
        <v>157</v>
      </c>
      <c r="L49" s="20">
        <f>ROUND(L48*(K49/100), 2)</f>
        <v>25912.25</v>
      </c>
    </row>
    <row r="50" spans="1:38" ht="15" x14ac:dyDescent="0.25">
      <c r="I50" s="847">
        <f>J49+J48</f>
        <v>1873.19</v>
      </c>
      <c r="J50" s="847"/>
      <c r="K50" s="847">
        <f>L49+L48</f>
        <v>42416.87</v>
      </c>
      <c r="L50" s="847"/>
      <c r="O50" s="21">
        <f>I50</f>
        <v>1873.19</v>
      </c>
      <c r="P50" s="21">
        <f>K50</f>
        <v>42416.87</v>
      </c>
    </row>
    <row r="52" spans="1:38" ht="15" x14ac:dyDescent="0.25">
      <c r="A52" s="27"/>
      <c r="B52" s="27"/>
      <c r="C52" s="28"/>
      <c r="D52" s="28" t="s">
        <v>96</v>
      </c>
      <c r="E52" s="29"/>
      <c r="F52" s="30"/>
      <c r="G52" s="31"/>
      <c r="H52" s="32"/>
      <c r="I52" s="847">
        <f>I45+I50</f>
        <v>21973.86</v>
      </c>
      <c r="J52" s="847"/>
      <c r="K52" s="847">
        <f>K45+K50</f>
        <v>374196.99</v>
      </c>
      <c r="L52" s="847"/>
    </row>
    <row r="54" spans="1:38" ht="15" x14ac:dyDescent="0.25">
      <c r="A54" s="879" t="str">
        <f>CONCATENATE("Итого по разделу: ",IF([85]Source!G279&lt;&gt;"Новый раздел", [85]Source!G279, ""))</f>
        <v>Итого по разделу: Монтажные работы</v>
      </c>
      <c r="B54" s="879"/>
      <c r="C54" s="879"/>
      <c r="D54" s="879"/>
      <c r="E54" s="879"/>
      <c r="F54" s="879"/>
      <c r="G54" s="879"/>
      <c r="H54" s="879"/>
      <c r="I54" s="880">
        <f>SUM(O17:O53)</f>
        <v>37933.94</v>
      </c>
      <c r="J54" s="881"/>
      <c r="K54" s="880">
        <f>SUM(P17:P53)</f>
        <v>645581.57999999996</v>
      </c>
      <c r="L54" s="881"/>
    </row>
    <row r="55" spans="1:38" hidden="1" x14ac:dyDescent="0.2">
      <c r="A55" s="1" t="s">
        <v>139</v>
      </c>
      <c r="J55" s="1">
        <f>SUM(W17:W54)</f>
        <v>0</v>
      </c>
      <c r="K55" s="1">
        <f>SUM(X17:X54)</f>
        <v>0</v>
      </c>
    </row>
    <row r="56" spans="1:38" hidden="1" x14ac:dyDescent="0.2">
      <c r="A56" s="1" t="s">
        <v>140</v>
      </c>
      <c r="J56" s="1">
        <f>SUM(Y17:Y55)</f>
        <v>0</v>
      </c>
      <c r="K56" s="1">
        <f>SUM(Z17:Z55)</f>
        <v>0</v>
      </c>
    </row>
    <row r="58" spans="1:38" ht="16.5" x14ac:dyDescent="0.25">
      <c r="A58" s="854" t="str">
        <f>CONCATENATE("Раздел: ",IF([85]Source!G350&lt;&gt;"Новый раздел", [85]Source!G350, ""))</f>
        <v>Раздел: Материалы, не учтенные в цене монтажа</v>
      </c>
      <c r="B58" s="854"/>
      <c r="C58" s="854"/>
      <c r="D58" s="854"/>
      <c r="E58" s="854"/>
      <c r="F58" s="854"/>
      <c r="G58" s="854"/>
      <c r="H58" s="854"/>
      <c r="I58" s="854"/>
      <c r="J58" s="854"/>
      <c r="K58" s="854"/>
      <c r="L58" s="854"/>
      <c r="AL58" s="54"/>
    </row>
    <row r="60" spans="1:38" ht="16.5" x14ac:dyDescent="0.25">
      <c r="A60" s="854" t="str">
        <f>CONCATENATE("Подраздел: ",IF([85]Source!G389&lt;&gt;"Новый подраздел", [85]Source!G389, ""))</f>
        <v>Подраздел: Кабельная продукция</v>
      </c>
      <c r="B60" s="854"/>
      <c r="C60" s="854"/>
      <c r="D60" s="854"/>
      <c r="E60" s="854"/>
      <c r="F60" s="854"/>
      <c r="G60" s="854"/>
      <c r="H60" s="854"/>
      <c r="I60" s="854"/>
      <c r="J60" s="854"/>
      <c r="K60" s="854"/>
      <c r="L60" s="854"/>
    </row>
    <row r="61" spans="1:38" s="60" customFormat="1" ht="71.25" x14ac:dyDescent="0.2">
      <c r="A61" s="906">
        <v>3</v>
      </c>
      <c r="B61" s="906" t="str">
        <f>[85]Source!E421</f>
        <v>66</v>
      </c>
      <c r="C61" s="63" t="s">
        <v>109</v>
      </c>
      <c r="D61" s="63" t="s">
        <v>302</v>
      </c>
      <c r="E61" s="56" t="s">
        <v>105</v>
      </c>
      <c r="F61" s="59">
        <v>0.63</v>
      </c>
      <c r="G61" s="57">
        <f>J61/F61</f>
        <v>401453.05</v>
      </c>
      <c r="H61" s="58"/>
      <c r="I61" s="59">
        <v>1</v>
      </c>
      <c r="J61" s="57">
        <f>L61/K61</f>
        <v>252915.42</v>
      </c>
      <c r="K61" s="59">
        <v>5.58</v>
      </c>
      <c r="L61" s="57">
        <f>2240108*F61</f>
        <v>1411268.04</v>
      </c>
      <c r="Q61" s="60">
        <f>[85]Source!X421</f>
        <v>0</v>
      </c>
      <c r="R61" s="60">
        <f>[85]Source!X422</f>
        <v>0</v>
      </c>
      <c r="S61" s="60">
        <f>[85]Source!Y421</f>
        <v>0</v>
      </c>
      <c r="T61" s="60">
        <f>[85]Source!Y422</f>
        <v>0</v>
      </c>
      <c r="U61" s="60">
        <f>ROUND((175/100)*ROUND([85]Source!R421, 2), 2)</f>
        <v>0</v>
      </c>
      <c r="V61" s="60">
        <f>ROUND((157/100)*ROUND([85]Source!R422, 2), 2)</f>
        <v>0</v>
      </c>
    </row>
    <row r="62" spans="1:38" s="60" customFormat="1" ht="57" hidden="1" x14ac:dyDescent="0.2">
      <c r="A62" s="907"/>
      <c r="B62" s="907"/>
      <c r="C62" s="72" t="s">
        <v>156</v>
      </c>
      <c r="D62" s="72" t="s">
        <v>167</v>
      </c>
      <c r="E62" s="56" t="s">
        <v>105</v>
      </c>
      <c r="F62" s="59">
        <v>0.63</v>
      </c>
      <c r="G62" s="57">
        <f>J62/F62</f>
        <v>0</v>
      </c>
      <c r="H62" s="58"/>
      <c r="I62" s="59">
        <v>1</v>
      </c>
      <c r="J62" s="57"/>
      <c r="K62" s="59"/>
      <c r="L62" s="57"/>
      <c r="M62" s="60">
        <f>0.9*0.7</f>
        <v>0.63</v>
      </c>
      <c r="N62" s="60">
        <f>M62/1.02</f>
        <v>0.61764705882352899</v>
      </c>
    </row>
    <row r="63" spans="1:38" s="60" customFormat="1" ht="15" x14ac:dyDescent="0.25">
      <c r="A63" s="61"/>
      <c r="B63" s="61"/>
      <c r="C63" s="61"/>
      <c r="D63" s="61"/>
      <c r="E63" s="61"/>
      <c r="F63" s="61"/>
      <c r="G63" s="61"/>
      <c r="H63" s="61"/>
      <c r="I63" s="905">
        <f>J61</f>
        <v>252915.42</v>
      </c>
      <c r="J63" s="905"/>
      <c r="K63" s="905">
        <f>L61</f>
        <v>1411268.04</v>
      </c>
      <c r="L63" s="905"/>
      <c r="O63" s="62">
        <f>J61</f>
        <v>252915.42</v>
      </c>
      <c r="P63" s="62">
        <f>L61</f>
        <v>1411268.04</v>
      </c>
    </row>
    <row r="64" spans="1:38" s="60" customFormat="1" ht="71.25" x14ac:dyDescent="0.2">
      <c r="A64" s="906">
        <v>4</v>
      </c>
      <c r="B64" s="906" t="str">
        <f>[85]Source!E425</f>
        <v>68</v>
      </c>
      <c r="C64" s="63" t="s">
        <v>109</v>
      </c>
      <c r="D64" s="63" t="s">
        <v>303</v>
      </c>
      <c r="E64" s="56" t="s">
        <v>105</v>
      </c>
      <c r="F64" s="59">
        <v>0.63</v>
      </c>
      <c r="G64" s="57">
        <f>J64/F64</f>
        <v>572145.6</v>
      </c>
      <c r="H64" s="58"/>
      <c r="I64" s="59">
        <v>1</v>
      </c>
      <c r="J64" s="57">
        <f>L64/K64</f>
        <v>360451.73</v>
      </c>
      <c r="K64" s="59">
        <v>5.58</v>
      </c>
      <c r="L64" s="57">
        <f>3192572.5*F64</f>
        <v>2011320.68</v>
      </c>
      <c r="Q64" s="60">
        <f>[85]Source!X425</f>
        <v>0</v>
      </c>
      <c r="R64" s="60">
        <f>[85]Source!X426</f>
        <v>0</v>
      </c>
      <c r="S64" s="60">
        <f>[85]Source!Y425</f>
        <v>0</v>
      </c>
      <c r="T64" s="60">
        <f>[85]Source!Y426</f>
        <v>0</v>
      </c>
      <c r="U64" s="60">
        <f>ROUND((175/100)*ROUND([85]Source!R425, 2), 2)</f>
        <v>0</v>
      </c>
      <c r="V64" s="60">
        <f>ROUND((157/100)*ROUND([85]Source!R426, 2), 2)</f>
        <v>0</v>
      </c>
    </row>
    <row r="65" spans="1:16" s="60" customFormat="1" ht="42.75" hidden="1" x14ac:dyDescent="0.2">
      <c r="A65" s="907"/>
      <c r="B65" s="907"/>
      <c r="C65" s="73" t="s">
        <v>155</v>
      </c>
      <c r="D65" s="72" t="s">
        <v>154</v>
      </c>
      <c r="E65" s="56" t="s">
        <v>105</v>
      </c>
      <c r="F65" s="59">
        <v>0.63</v>
      </c>
      <c r="G65" s="57">
        <f>J65/F65</f>
        <v>0</v>
      </c>
      <c r="H65" s="58"/>
      <c r="I65" s="59"/>
      <c r="J65" s="57"/>
      <c r="K65" s="59"/>
      <c r="L65" s="57"/>
    </row>
    <row r="66" spans="1:16" ht="15" x14ac:dyDescent="0.25">
      <c r="A66" s="35"/>
      <c r="B66" s="35"/>
      <c r="C66" s="35"/>
      <c r="D66" s="35"/>
      <c r="E66" s="35"/>
      <c r="F66" s="35"/>
      <c r="G66" s="35"/>
      <c r="H66" s="35"/>
      <c r="I66" s="847">
        <f>J64</f>
        <v>360451.73</v>
      </c>
      <c r="J66" s="847"/>
      <c r="K66" s="847">
        <f>L64</f>
        <v>2011320.68</v>
      </c>
      <c r="L66" s="847"/>
      <c r="O66" s="21">
        <f>J64</f>
        <v>360451.73</v>
      </c>
      <c r="P66" s="21">
        <f>L64</f>
        <v>2011320.68</v>
      </c>
    </row>
    <row r="68" spans="1:16" ht="15" x14ac:dyDescent="0.25">
      <c r="A68" s="879" t="str">
        <f>CONCATENATE("Итого по подразделу: ",IF([85]Source!G464&lt;&gt;"Новый подраздел", [85]Source!G464, ""))</f>
        <v>Итого по подразделу: Кабельная продукция</v>
      </c>
      <c r="B68" s="879"/>
      <c r="C68" s="879"/>
      <c r="D68" s="879"/>
      <c r="E68" s="879"/>
      <c r="F68" s="879"/>
      <c r="G68" s="879"/>
      <c r="H68" s="879"/>
      <c r="I68" s="880">
        <f>I63+I66</f>
        <v>613367.15</v>
      </c>
      <c r="J68" s="881"/>
      <c r="K68" s="880">
        <f>K63+K66</f>
        <v>3422588.72</v>
      </c>
      <c r="L68" s="881"/>
    </row>
    <row r="69" spans="1:16" hidden="1" x14ac:dyDescent="0.2">
      <c r="A69" s="1" t="s">
        <v>139</v>
      </c>
      <c r="J69" s="1">
        <f>SUM(W60:W68)</f>
        <v>0</v>
      </c>
      <c r="K69" s="1">
        <f>SUM(X60:X68)</f>
        <v>0</v>
      </c>
    </row>
    <row r="70" spans="1:16" hidden="1" x14ac:dyDescent="0.2">
      <c r="A70" s="1" t="s">
        <v>140</v>
      </c>
      <c r="J70" s="1">
        <f>SUM(Y60:Y69)</f>
        <v>0</v>
      </c>
      <c r="K70" s="1">
        <f>SUM(Z60:Z69)</f>
        <v>0</v>
      </c>
    </row>
    <row r="72" spans="1:16" ht="15" x14ac:dyDescent="0.25">
      <c r="A72" s="879" t="str">
        <f>CONCATENATE("Итого по разделу: ",IF([85]Source!G533&lt;&gt;"Новый раздел", [85]Source!G533, ""))</f>
        <v>Итого по разделу: Материалы, не учтенные в цене монтажа</v>
      </c>
      <c r="B72" s="879"/>
      <c r="C72" s="879"/>
      <c r="D72" s="879"/>
      <c r="E72" s="879"/>
      <c r="F72" s="879"/>
      <c r="G72" s="879"/>
      <c r="H72" s="879"/>
      <c r="I72" s="880">
        <f>I68</f>
        <v>613367.15</v>
      </c>
      <c r="J72" s="881"/>
      <c r="K72" s="880">
        <f>K68</f>
        <v>3422588.72</v>
      </c>
      <c r="L72" s="881"/>
    </row>
    <row r="73" spans="1:16" hidden="1" x14ac:dyDescent="0.2">
      <c r="A73" s="1" t="s">
        <v>139</v>
      </c>
      <c r="J73" s="1">
        <f>SUM(W58:W72)</f>
        <v>0</v>
      </c>
      <c r="K73" s="1">
        <f>SUM(X58:X72)</f>
        <v>0</v>
      </c>
    </row>
    <row r="74" spans="1:16" hidden="1" x14ac:dyDescent="0.2">
      <c r="A74" s="1" t="s">
        <v>140</v>
      </c>
      <c r="J74" s="1">
        <f>SUM(Y58:Y73)</f>
        <v>0</v>
      </c>
      <c r="K74" s="1">
        <f>SUM(Z58:Z73)</f>
        <v>0</v>
      </c>
    </row>
    <row r="76" spans="1:16" ht="15" x14ac:dyDescent="0.25">
      <c r="A76" s="900" t="s">
        <v>113</v>
      </c>
      <c r="B76" s="900"/>
      <c r="C76" s="900"/>
      <c r="D76" s="900"/>
      <c r="E76" s="900"/>
      <c r="F76" s="900"/>
      <c r="G76" s="900"/>
      <c r="H76" s="900"/>
      <c r="I76" s="36"/>
      <c r="J76" s="37">
        <f>I54+I72</f>
        <v>651301.09</v>
      </c>
      <c r="K76" s="36"/>
      <c r="L76" s="37">
        <f>K54+K72</f>
        <v>4068170.3</v>
      </c>
    </row>
    <row r="77" spans="1:16" s="38" customFormat="1" ht="15" x14ac:dyDescent="0.25">
      <c r="D77" s="74" t="s">
        <v>114</v>
      </c>
      <c r="E77" s="74"/>
      <c r="F77" s="74"/>
      <c r="G77" s="74"/>
      <c r="H77" s="74"/>
      <c r="I77" s="908">
        <f>SUMIF(D1:D68,"МР",J1:J68)+J64+J61</f>
        <v>613894.40000000002</v>
      </c>
      <c r="J77" s="909"/>
      <c r="K77" s="908">
        <f>SUMIF(D1:D68,"МР",L1:L68)+L64+L61</f>
        <v>3425530.78</v>
      </c>
      <c r="L77" s="909"/>
    </row>
    <row r="78" spans="1:16" s="38" customFormat="1" ht="14.25" x14ac:dyDescent="0.2">
      <c r="D78" s="39" t="s">
        <v>115</v>
      </c>
      <c r="E78" s="39"/>
      <c r="F78" s="39"/>
      <c r="G78" s="39"/>
      <c r="H78" s="39"/>
      <c r="I78" s="871">
        <f>SUMIF(D1:D68,"в т.ч. ЗПМ",J1:J68)</f>
        <v>2877.81</v>
      </c>
      <c r="J78" s="871"/>
      <c r="K78" s="871">
        <f>SUMIF(D1:D68,"в т.ч. ЗПМ",L1:L68)</f>
        <v>69729.34</v>
      </c>
      <c r="L78" s="871"/>
    </row>
    <row r="79" spans="1:16" s="38" customFormat="1" ht="14.25" x14ac:dyDescent="0.2">
      <c r="D79" s="39" t="s">
        <v>116</v>
      </c>
      <c r="E79" s="39"/>
      <c r="F79" s="39"/>
      <c r="G79" s="39"/>
      <c r="H79" s="39"/>
      <c r="I79" s="871">
        <f>SUMIF(D1:D68,"ЗП",J1:J68)</f>
        <v>7344.22</v>
      </c>
      <c r="J79" s="871"/>
      <c r="K79" s="871">
        <f>SUMIF(D1:D68,"ЗП",L1:L68)</f>
        <v>177950.45</v>
      </c>
      <c r="L79" s="871"/>
    </row>
    <row r="80" spans="1:16" s="38" customFormat="1" ht="14.25" x14ac:dyDescent="0.2">
      <c r="D80" s="39" t="s">
        <v>117</v>
      </c>
      <c r="E80" s="39"/>
      <c r="F80" s="39"/>
      <c r="G80" s="39"/>
      <c r="H80" s="39"/>
      <c r="I80" s="871">
        <f>SUMIF(D1:D68,"НР от ЗП",J1:J68)</f>
        <v>8225.5300000000007</v>
      </c>
      <c r="J80" s="871"/>
      <c r="K80" s="871">
        <f>SUMIF(D1:D68,"НР от ЗП",L1:L68)</f>
        <v>160155.41</v>
      </c>
      <c r="L80" s="871"/>
    </row>
    <row r="81" spans="1:12" s="38" customFormat="1" ht="14.25" x14ac:dyDescent="0.2">
      <c r="D81" s="39" t="s">
        <v>118</v>
      </c>
      <c r="E81" s="39"/>
      <c r="F81" s="39"/>
      <c r="G81" s="39"/>
      <c r="H81" s="39"/>
      <c r="I81" s="871">
        <f>SUMIF(D1:D68,"СП от ЗП",J1:J68)</f>
        <v>5140.96</v>
      </c>
      <c r="J81" s="871"/>
      <c r="K81" s="871">
        <f>SUMIF(D1:D68,"СП от ЗП",L1:L68)</f>
        <v>76518.69</v>
      </c>
      <c r="L81" s="871"/>
    </row>
    <row r="82" spans="1:12" ht="14.25" x14ac:dyDescent="0.2">
      <c r="A82" s="40"/>
      <c r="B82" s="40"/>
      <c r="C82" s="40"/>
      <c r="D82" s="40"/>
      <c r="E82" s="40"/>
      <c r="F82" s="40"/>
      <c r="G82" s="40"/>
      <c r="H82" s="40"/>
      <c r="I82" s="36"/>
      <c r="J82" s="36"/>
      <c r="K82" s="36"/>
      <c r="L82" s="36"/>
    </row>
    <row r="83" spans="1:12" ht="14.25" x14ac:dyDescent="0.2">
      <c r="A83" s="40"/>
      <c r="B83" s="40"/>
      <c r="C83" s="40"/>
      <c r="D83" s="40"/>
      <c r="E83" s="40"/>
      <c r="F83" s="40"/>
      <c r="G83" s="40"/>
      <c r="H83" s="40"/>
      <c r="I83" s="36"/>
      <c r="J83" s="36"/>
      <c r="K83" s="36"/>
      <c r="L83" s="36"/>
    </row>
    <row r="84" spans="1:12" ht="14.25" x14ac:dyDescent="0.2">
      <c r="A84" s="40"/>
      <c r="B84" s="40"/>
      <c r="C84" s="40"/>
      <c r="D84" s="874" t="s">
        <v>268</v>
      </c>
      <c r="E84" s="874"/>
      <c r="F84" s="874"/>
      <c r="G84" s="213"/>
      <c r="H84" s="213"/>
      <c r="I84" s="214"/>
      <c r="J84" s="215">
        <f>J76</f>
        <v>651301.09</v>
      </c>
      <c r="K84" s="215"/>
      <c r="L84" s="215">
        <f>L76</f>
        <v>4068170.3</v>
      </c>
    </row>
    <row r="85" spans="1:12" ht="14.25" x14ac:dyDescent="0.2">
      <c r="A85" s="40"/>
      <c r="B85" s="40"/>
      <c r="C85" s="40"/>
      <c r="D85" s="872" t="s">
        <v>3</v>
      </c>
      <c r="E85" s="872"/>
      <c r="F85" s="872"/>
      <c r="G85" s="218"/>
      <c r="H85" s="218"/>
      <c r="I85" s="219"/>
      <c r="J85" s="215">
        <f>J84</f>
        <v>651301.09</v>
      </c>
      <c r="K85"/>
      <c r="L85" s="220">
        <f>L84</f>
        <v>4068170.3</v>
      </c>
    </row>
    <row r="86" spans="1:12" ht="14.25" x14ac:dyDescent="0.2">
      <c r="A86" s="40"/>
      <c r="B86" s="40"/>
      <c r="C86" s="40"/>
      <c r="D86" s="872" t="s">
        <v>269</v>
      </c>
      <c r="E86" s="872"/>
      <c r="F86" s="872"/>
      <c r="G86" s="218"/>
      <c r="H86" s="218"/>
      <c r="I86" s="221"/>
      <c r="J86" s="222">
        <f>I79+I78</f>
        <v>10222.030000000001</v>
      </c>
      <c r="K86" s="222"/>
      <c r="L86" s="222">
        <f>K79+K78</f>
        <v>247679.79</v>
      </c>
    </row>
    <row r="87" spans="1:12" ht="14.25" x14ac:dyDescent="0.2">
      <c r="A87" s="40"/>
      <c r="B87" s="40"/>
      <c r="C87" s="40"/>
      <c r="D87" s="872" t="s">
        <v>270</v>
      </c>
      <c r="E87" s="872"/>
      <c r="F87" s="872"/>
      <c r="G87" s="218"/>
      <c r="H87" s="218"/>
      <c r="I87" s="221"/>
      <c r="J87" s="222">
        <f>I77</f>
        <v>613894.40000000002</v>
      </c>
      <c r="K87" s="222"/>
      <c r="L87" s="222">
        <f>K77</f>
        <v>3425530.78</v>
      </c>
    </row>
    <row r="88" spans="1:12" ht="14.25" x14ac:dyDescent="0.2">
      <c r="A88" s="40"/>
      <c r="B88" s="40"/>
      <c r="C88" s="40"/>
      <c r="D88" s="872" t="s">
        <v>271</v>
      </c>
      <c r="E88" s="872"/>
      <c r="F88" s="872"/>
      <c r="G88" s="218"/>
      <c r="H88" s="218"/>
      <c r="I88" s="221"/>
      <c r="J88" s="215">
        <v>0</v>
      </c>
      <c r="K88" s="223"/>
      <c r="L88" s="220">
        <v>0</v>
      </c>
    </row>
    <row r="89" spans="1:12" ht="14.25" x14ac:dyDescent="0.2">
      <c r="A89" s="40"/>
      <c r="B89" s="40"/>
      <c r="C89" s="40"/>
      <c r="D89" s="872" t="s">
        <v>272</v>
      </c>
      <c r="E89" s="872"/>
      <c r="F89" s="872"/>
      <c r="G89" s="224"/>
      <c r="H89" s="224"/>
      <c r="I89" s="225"/>
      <c r="J89" s="226">
        <f>J85*5.61%</f>
        <v>36537.99</v>
      </c>
      <c r="K89" s="223"/>
      <c r="L89" s="226">
        <f>L85*5.61%</f>
        <v>228224.35</v>
      </c>
    </row>
    <row r="90" spans="1:12" ht="15" x14ac:dyDescent="0.25">
      <c r="A90" s="40"/>
      <c r="B90" s="40"/>
      <c r="C90" s="40"/>
      <c r="D90" s="873" t="s">
        <v>273</v>
      </c>
      <c r="E90" s="873"/>
      <c r="F90" s="873"/>
      <c r="G90" s="228"/>
      <c r="H90" s="228"/>
      <c r="I90" s="229"/>
      <c r="J90" s="230">
        <f>ROUND(J85+J89,2)</f>
        <v>687839.08</v>
      </c>
      <c r="K90" s="223"/>
      <c r="L90" s="231">
        <f>ROUND(L85+L89,2)</f>
        <v>4296394.6500000004</v>
      </c>
    </row>
    <row r="91" spans="1:12" ht="14.25" x14ac:dyDescent="0.2">
      <c r="A91" s="40"/>
      <c r="B91" s="40"/>
      <c r="C91" s="40"/>
      <c r="D91" s="872" t="s">
        <v>274</v>
      </c>
      <c r="E91" s="872"/>
      <c r="F91" s="872"/>
      <c r="G91" s="224"/>
      <c r="H91" s="224"/>
      <c r="I91" s="225"/>
      <c r="J91" s="226">
        <f>J86*0.15</f>
        <v>1533.3</v>
      </c>
      <c r="K91" s="232"/>
      <c r="L91" s="232">
        <f>L86*0.15</f>
        <v>37151.97</v>
      </c>
    </row>
    <row r="92" spans="1:12" ht="15" customHeight="1" x14ac:dyDescent="0.25">
      <c r="A92" s="40"/>
      <c r="B92" s="40"/>
      <c r="C92" s="40"/>
      <c r="D92" s="873" t="s">
        <v>275</v>
      </c>
      <c r="E92" s="873"/>
      <c r="F92" s="873"/>
      <c r="G92" s="228"/>
      <c r="H92" s="228"/>
      <c r="I92" s="229"/>
      <c r="J92" s="230">
        <f>J90+J91</f>
        <v>689372.38</v>
      </c>
      <c r="K92" s="223"/>
      <c r="L92" s="231">
        <f>L90+L91</f>
        <v>4333546.62</v>
      </c>
    </row>
    <row r="93" spans="1:12" ht="14.25" x14ac:dyDescent="0.2">
      <c r="A93" s="40"/>
      <c r="B93" s="40"/>
      <c r="C93" s="40"/>
      <c r="D93" s="233"/>
      <c r="E93" s="233"/>
      <c r="F93" s="233"/>
      <c r="G93" s="234"/>
      <c r="H93" s="234"/>
      <c r="I93" s="235"/>
      <c r="J93" s="236"/>
      <c r="K93"/>
      <c r="L93" s="237"/>
    </row>
    <row r="94" spans="1:12" ht="14.25" x14ac:dyDescent="0.2">
      <c r="D94" s="874" t="s">
        <v>276</v>
      </c>
      <c r="E94" s="874"/>
      <c r="F94" s="874"/>
      <c r="G94" s="238"/>
      <c r="H94" s="238"/>
      <c r="I94" s="238"/>
      <c r="J94" s="238"/>
      <c r="K94" s="876">
        <f>L84*0.975</f>
        <v>3966466.04</v>
      </c>
      <c r="L94" s="876"/>
    </row>
    <row r="95" spans="1:12" ht="14.25" x14ac:dyDescent="0.2">
      <c r="D95" s="872" t="s">
        <v>277</v>
      </c>
      <c r="E95" s="872"/>
      <c r="F95" s="872"/>
      <c r="G95" s="224"/>
      <c r="H95" s="224"/>
      <c r="I95" s="224"/>
      <c r="J95" s="224"/>
      <c r="K95" s="869">
        <f>L85*0.975</f>
        <v>3966466.04</v>
      </c>
      <c r="L95" s="869"/>
    </row>
    <row r="96" spans="1:12" ht="14.25" x14ac:dyDescent="0.2">
      <c r="D96" s="872" t="s">
        <v>278</v>
      </c>
      <c r="E96" s="872"/>
      <c r="F96" s="872"/>
      <c r="G96" s="224"/>
      <c r="H96" s="224"/>
      <c r="I96" s="224"/>
      <c r="J96" s="224"/>
      <c r="K96" s="869">
        <f>L86*0.975</f>
        <v>241487.8</v>
      </c>
      <c r="L96" s="869"/>
    </row>
    <row r="97" spans="4:12" ht="14.25" x14ac:dyDescent="0.2">
      <c r="D97" s="872" t="s">
        <v>279</v>
      </c>
      <c r="E97" s="872"/>
      <c r="F97" s="872"/>
      <c r="G97" s="224"/>
      <c r="H97" s="224"/>
      <c r="I97" s="224"/>
      <c r="J97" s="224"/>
      <c r="K97" s="869">
        <f>L87*0.975</f>
        <v>3339892.51</v>
      </c>
      <c r="L97" s="869"/>
    </row>
    <row r="98" spans="4:12" ht="14.25" x14ac:dyDescent="0.2">
      <c r="D98" s="872" t="s">
        <v>280</v>
      </c>
      <c r="E98" s="872"/>
      <c r="F98" s="872"/>
      <c r="G98" s="224"/>
      <c r="H98" s="224"/>
      <c r="I98" s="224"/>
      <c r="J98" s="224"/>
      <c r="K98" s="869">
        <v>0</v>
      </c>
      <c r="L98" s="869"/>
    </row>
    <row r="99" spans="4:12" ht="14.25" x14ac:dyDescent="0.2">
      <c r="D99" s="872" t="s">
        <v>281</v>
      </c>
      <c r="E99" s="872"/>
      <c r="F99" s="872"/>
      <c r="G99" s="224"/>
      <c r="H99" s="224"/>
      <c r="I99" s="224"/>
      <c r="J99" s="224"/>
      <c r="K99" s="869">
        <f>K95*0.0561</f>
        <v>222518.74</v>
      </c>
      <c r="L99" s="869"/>
    </row>
    <row r="100" spans="4:12" ht="15" x14ac:dyDescent="0.25">
      <c r="D100" s="873" t="s">
        <v>282</v>
      </c>
      <c r="E100" s="873"/>
      <c r="F100" s="873"/>
      <c r="G100" s="228"/>
      <c r="H100" s="228"/>
      <c r="I100" s="228"/>
      <c r="J100" s="228"/>
      <c r="K100" s="870">
        <f>ROUND(K95+K99,2)</f>
        <v>4188984.78</v>
      </c>
      <c r="L100" s="870"/>
    </row>
    <row r="101" spans="4:12" ht="15" x14ac:dyDescent="0.25">
      <c r="D101" s="872" t="s">
        <v>283</v>
      </c>
      <c r="E101" s="872"/>
      <c r="F101" s="872"/>
      <c r="G101" s="224"/>
      <c r="H101" s="224"/>
      <c r="I101" s="224"/>
      <c r="J101" s="224"/>
      <c r="K101" s="870">
        <f>L91*0.975</f>
        <v>36223.17</v>
      </c>
      <c r="L101" s="870"/>
    </row>
    <row r="102" spans="4:12" ht="15" x14ac:dyDescent="0.25">
      <c r="D102" s="873" t="s">
        <v>275</v>
      </c>
      <c r="E102" s="873"/>
      <c r="F102" s="873"/>
      <c r="G102" s="228"/>
      <c r="H102" s="228"/>
      <c r="I102" s="228"/>
      <c r="J102" s="228"/>
      <c r="K102" s="231"/>
      <c r="L102" s="231">
        <f>K100+K101</f>
        <v>4225207.95</v>
      </c>
    </row>
    <row r="103" spans="4:12" ht="15" x14ac:dyDescent="0.25">
      <c r="D103" s="240"/>
      <c r="E103" s="241"/>
      <c r="F103" s="241"/>
      <c r="G103" s="241"/>
      <c r="H103" s="241"/>
      <c r="I103" s="242"/>
      <c r="J103" s="242"/>
      <c r="K103" s="242"/>
      <c r="L103" s="242"/>
    </row>
    <row r="104" spans="4:12" ht="14.25" x14ac:dyDescent="0.2">
      <c r="D104" s="874" t="s">
        <v>284</v>
      </c>
      <c r="E104" s="874"/>
      <c r="F104" s="874"/>
      <c r="G104" s="238"/>
      <c r="H104" s="238"/>
      <c r="I104" s="238"/>
      <c r="J104" s="238"/>
      <c r="K104" s="216"/>
      <c r="L104" s="239">
        <f>K94*0.998999999999673</f>
        <v>3962499.57</v>
      </c>
    </row>
    <row r="105" spans="4:12" ht="14.25" x14ac:dyDescent="0.2">
      <c r="D105" s="872" t="s">
        <v>285</v>
      </c>
      <c r="E105" s="872"/>
      <c r="F105" s="872"/>
      <c r="G105" s="224"/>
      <c r="H105" s="224"/>
      <c r="I105" s="224"/>
      <c r="J105" s="224"/>
      <c r="K105" s="223"/>
      <c r="L105" s="227">
        <f>K95*0.998999999999673</f>
        <v>3962499.57</v>
      </c>
    </row>
    <row r="106" spans="4:12" ht="14.25" x14ac:dyDescent="0.2">
      <c r="D106" s="872" t="s">
        <v>286</v>
      </c>
      <c r="E106" s="872"/>
      <c r="F106" s="872"/>
      <c r="G106" s="224"/>
      <c r="H106" s="224"/>
      <c r="I106" s="224"/>
      <c r="J106" s="224"/>
      <c r="K106" s="223"/>
      <c r="L106" s="227">
        <f>K96*0.998999999999673</f>
        <v>241246.31</v>
      </c>
    </row>
    <row r="107" spans="4:12" ht="14.25" x14ac:dyDescent="0.2">
      <c r="D107" s="872" t="s">
        <v>287</v>
      </c>
      <c r="E107" s="872"/>
      <c r="F107" s="872"/>
      <c r="G107" s="224"/>
      <c r="H107" s="224"/>
      <c r="I107" s="224"/>
      <c r="J107" s="224"/>
      <c r="K107" s="223"/>
      <c r="L107" s="227">
        <f>K97*0.998999999999673</f>
        <v>3336552.62</v>
      </c>
    </row>
    <row r="108" spans="4:12" ht="14.25" x14ac:dyDescent="0.2">
      <c r="D108" s="872" t="s">
        <v>288</v>
      </c>
      <c r="E108" s="872"/>
      <c r="F108" s="872"/>
      <c r="G108" s="224"/>
      <c r="H108" s="224"/>
      <c r="I108" s="224"/>
      <c r="J108" s="224"/>
      <c r="K108" s="223"/>
      <c r="L108" s="227">
        <v>0</v>
      </c>
    </row>
    <row r="109" spans="4:12" ht="14.25" x14ac:dyDescent="0.2">
      <c r="D109" s="872" t="s">
        <v>289</v>
      </c>
      <c r="E109" s="872"/>
      <c r="F109" s="872"/>
      <c r="G109" s="224"/>
      <c r="H109" s="224"/>
      <c r="I109" s="224"/>
      <c r="J109" s="224"/>
      <c r="K109" s="216"/>
      <c r="L109" s="227">
        <f>L105*0.0561</f>
        <v>222296.23</v>
      </c>
    </row>
    <row r="110" spans="4:12" ht="15" x14ac:dyDescent="0.25">
      <c r="D110" s="873" t="s">
        <v>290</v>
      </c>
      <c r="E110" s="873"/>
      <c r="F110" s="873"/>
      <c r="G110" s="228"/>
      <c r="H110" s="228"/>
      <c r="I110" s="228"/>
      <c r="J110" s="228"/>
      <c r="K110" s="223"/>
      <c r="L110" s="231">
        <f>ROUND(L105+L109,2)</f>
        <v>4184795.8</v>
      </c>
    </row>
    <row r="111" spans="4:12" ht="15" x14ac:dyDescent="0.25">
      <c r="D111" s="872" t="s">
        <v>291</v>
      </c>
      <c r="E111" s="872"/>
      <c r="F111" s="872"/>
      <c r="G111" s="224"/>
      <c r="H111" s="224"/>
      <c r="I111" s="224"/>
      <c r="J111" s="224"/>
      <c r="K111" s="223"/>
      <c r="L111" s="231">
        <f>K101*0.998999999999673</f>
        <v>36186.949999999997</v>
      </c>
    </row>
    <row r="112" spans="4:12" ht="15" x14ac:dyDescent="0.25">
      <c r="D112" s="873" t="s">
        <v>275</v>
      </c>
      <c r="E112" s="873"/>
      <c r="F112" s="873"/>
      <c r="G112" s="228"/>
      <c r="H112" s="228"/>
      <c r="I112" s="228"/>
      <c r="J112" s="228"/>
      <c r="K112" s="223"/>
      <c r="L112" s="231">
        <f>L110+L111</f>
        <v>4220982.75</v>
      </c>
    </row>
    <row r="113" spans="4:12" x14ac:dyDescent="0.2">
      <c r="D113" s="43"/>
      <c r="E113" s="43"/>
      <c r="F113" s="43"/>
      <c r="G113" s="43"/>
      <c r="H113" s="43"/>
      <c r="I113" s="43"/>
      <c r="J113" s="43"/>
      <c r="K113" s="43"/>
      <c r="L113" s="43"/>
    </row>
  </sheetData>
  <mergeCells count="94">
    <mergeCell ref="D84:F84"/>
    <mergeCell ref="D85:F85"/>
    <mergeCell ref="K81:L81"/>
    <mergeCell ref="K77:L77"/>
    <mergeCell ref="I78:J78"/>
    <mergeCell ref="K78:L78"/>
    <mergeCell ref="I79:J79"/>
    <mergeCell ref="K79:L79"/>
    <mergeCell ref="I80:J80"/>
    <mergeCell ref="K80:L80"/>
    <mergeCell ref="I77:J77"/>
    <mergeCell ref="I81:J81"/>
    <mergeCell ref="B61:B62"/>
    <mergeCell ref="A61:A62"/>
    <mergeCell ref="A64:A65"/>
    <mergeCell ref="B64:B65"/>
    <mergeCell ref="A76:H76"/>
    <mergeCell ref="A72:H72"/>
    <mergeCell ref="I52:J52"/>
    <mergeCell ref="K52:L52"/>
    <mergeCell ref="I72:J72"/>
    <mergeCell ref="K72:L72"/>
    <mergeCell ref="A54:H54"/>
    <mergeCell ref="I54:J54"/>
    <mergeCell ref="K54:L54"/>
    <mergeCell ref="A58:L58"/>
    <mergeCell ref="A60:L60"/>
    <mergeCell ref="I63:J63"/>
    <mergeCell ref="K63:L63"/>
    <mergeCell ref="I66:J66"/>
    <mergeCell ref="K66:L66"/>
    <mergeCell ref="A68:H68"/>
    <mergeCell ref="I68:J68"/>
    <mergeCell ref="K68:L68"/>
    <mergeCell ref="I35:J35"/>
    <mergeCell ref="K35:L35"/>
    <mergeCell ref="I45:J45"/>
    <mergeCell ref="K45:L45"/>
    <mergeCell ref="I50:J50"/>
    <mergeCell ref="K50:L50"/>
    <mergeCell ref="B11:B14"/>
    <mergeCell ref="I28:J28"/>
    <mergeCell ref="K28:L28"/>
    <mergeCell ref="I33:J33"/>
    <mergeCell ref="K33:L33"/>
    <mergeCell ref="E1:G1"/>
    <mergeCell ref="A17:L17"/>
    <mergeCell ref="E2:G2"/>
    <mergeCell ref="A9:L9"/>
    <mergeCell ref="A10:B10"/>
    <mergeCell ref="C10:C14"/>
    <mergeCell ref="D10:D14"/>
    <mergeCell ref="E10:E14"/>
    <mergeCell ref="F10:F14"/>
    <mergeCell ref="G10:G14"/>
    <mergeCell ref="H10:H14"/>
    <mergeCell ref="I10:I14"/>
    <mergeCell ref="J10:J14"/>
    <mergeCell ref="K10:K14"/>
    <mergeCell ref="L10:L14"/>
    <mergeCell ref="A11:A14"/>
    <mergeCell ref="D91:F91"/>
    <mergeCell ref="D92:F92"/>
    <mergeCell ref="D86:F86"/>
    <mergeCell ref="D87:F87"/>
    <mergeCell ref="D88:F88"/>
    <mergeCell ref="D89:F89"/>
    <mergeCell ref="D90:F90"/>
    <mergeCell ref="D97:F97"/>
    <mergeCell ref="D98:F98"/>
    <mergeCell ref="D99:F99"/>
    <mergeCell ref="D100:F100"/>
    <mergeCell ref="D101:F101"/>
    <mergeCell ref="D102:F102"/>
    <mergeCell ref="D104:F104"/>
    <mergeCell ref="D105:F105"/>
    <mergeCell ref="D106:F106"/>
    <mergeCell ref="D107:F107"/>
    <mergeCell ref="D108:F108"/>
    <mergeCell ref="D109:F109"/>
    <mergeCell ref="D110:F110"/>
    <mergeCell ref="D111:F111"/>
    <mergeCell ref="D112:F112"/>
    <mergeCell ref="D94:F94"/>
    <mergeCell ref="K94:L94"/>
    <mergeCell ref="D95:F95"/>
    <mergeCell ref="K95:L95"/>
    <mergeCell ref="D96:F96"/>
    <mergeCell ref="K96:L96"/>
    <mergeCell ref="K97:L97"/>
    <mergeCell ref="K98:L98"/>
    <mergeCell ref="K99:L99"/>
    <mergeCell ref="K100:L100"/>
    <mergeCell ref="K101:L101"/>
  </mergeCells>
  <pageMargins left="0.4" right="0.2" top="0.2" bottom="0.4" header="0.2" footer="0.2"/>
  <pageSetup paperSize="9" scale="63" fitToHeight="0" orientation="portrait" r:id="rId1"/>
  <headerFooter>
    <oddHeader>&amp;L&amp;8</oddHeader>
    <oddFooter>&amp;R&amp;P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V132"/>
  <sheetViews>
    <sheetView workbookViewId="0"/>
  </sheetViews>
  <sheetFormatPr defaultColWidth="9.33203125" defaultRowHeight="12.75" x14ac:dyDescent="0.2"/>
  <cols>
    <col min="1" max="2" width="6.6640625" style="79" customWidth="1"/>
    <col min="3" max="3" width="13.6640625" style="79" customWidth="1"/>
    <col min="4" max="4" width="47.5" style="79" customWidth="1"/>
    <col min="5" max="6" width="13.6640625" style="79" customWidth="1"/>
    <col min="7" max="7" width="16" style="79" customWidth="1"/>
    <col min="8" max="8" width="14.83203125" style="79" customWidth="1"/>
    <col min="9" max="9" width="13.5" style="79" customWidth="1"/>
    <col min="10" max="10" width="16.33203125" style="79" customWidth="1"/>
    <col min="11" max="11" width="14.83203125" style="79" customWidth="1"/>
    <col min="12" max="12" width="17.5" style="79" customWidth="1"/>
    <col min="13" max="14" width="9.33203125" style="79"/>
    <col min="15" max="36" width="0" style="79" hidden="1" customWidth="1"/>
    <col min="37" max="16384" width="9.33203125" style="79"/>
  </cols>
  <sheetData>
    <row r="1" spans="1:12" x14ac:dyDescent="0.2">
      <c r="A1" s="78" t="s">
        <v>304</v>
      </c>
    </row>
    <row r="2" spans="1:12" ht="15" x14ac:dyDescent="0.25">
      <c r="A2" s="80"/>
      <c r="B2" s="80"/>
      <c r="C2" s="81"/>
      <c r="D2" s="81"/>
      <c r="E2" s="81"/>
      <c r="F2" s="80"/>
      <c r="G2" s="80"/>
      <c r="H2" s="80"/>
      <c r="I2" s="933" t="s">
        <v>36</v>
      </c>
      <c r="J2" s="933"/>
      <c r="K2" s="933"/>
      <c r="L2" s="933"/>
    </row>
    <row r="3" spans="1:12" ht="14.25" x14ac:dyDescent="0.2">
      <c r="A3" s="80"/>
      <c r="B3" s="80"/>
      <c r="C3" s="80"/>
      <c r="D3" s="80"/>
      <c r="E3" s="80"/>
      <c r="F3" s="80"/>
      <c r="G3" s="80"/>
      <c r="H3" s="80"/>
      <c r="I3" s="933" t="s">
        <v>37</v>
      </c>
      <c r="J3" s="933"/>
      <c r="K3" s="933"/>
      <c r="L3" s="933"/>
    </row>
    <row r="4" spans="1:12" ht="14.25" x14ac:dyDescent="0.2">
      <c r="A4" s="80"/>
      <c r="B4" s="80"/>
      <c r="C4" s="80"/>
      <c r="D4" s="80"/>
      <c r="E4" s="80"/>
      <c r="F4" s="80"/>
      <c r="G4" s="80"/>
      <c r="H4" s="80"/>
      <c r="I4" s="933" t="s">
        <v>38</v>
      </c>
      <c r="J4" s="933"/>
      <c r="K4" s="933"/>
      <c r="L4" s="933"/>
    </row>
    <row r="5" spans="1:12" ht="14.25" x14ac:dyDescent="0.2">
      <c r="A5" s="80"/>
      <c r="B5" s="80"/>
      <c r="C5" s="80"/>
      <c r="D5" s="80"/>
      <c r="E5" s="80"/>
      <c r="F5" s="80"/>
      <c r="G5" s="80"/>
      <c r="H5" s="80"/>
      <c r="I5" s="80"/>
      <c r="J5" s="80"/>
      <c r="K5" s="80"/>
      <c r="L5" s="80"/>
    </row>
    <row r="6" spans="1:12" ht="14.25" x14ac:dyDescent="0.2">
      <c r="A6" s="80"/>
      <c r="B6" s="80"/>
      <c r="C6" s="80"/>
      <c r="D6" s="80"/>
      <c r="E6" s="80"/>
      <c r="F6" s="80"/>
      <c r="G6" s="80"/>
      <c r="H6" s="80"/>
      <c r="I6" s="80"/>
      <c r="J6" s="925" t="s">
        <v>39</v>
      </c>
      <c r="K6" s="925"/>
      <c r="L6" s="925"/>
    </row>
    <row r="7" spans="1:12" ht="14.25" x14ac:dyDescent="0.2">
      <c r="A7" s="80"/>
      <c r="B7" s="80"/>
      <c r="C7" s="80"/>
      <c r="D7" s="80"/>
      <c r="E7" s="80"/>
      <c r="F7" s="80"/>
      <c r="G7" s="80"/>
      <c r="H7" s="80"/>
      <c r="I7" s="82" t="s">
        <v>40</v>
      </c>
      <c r="J7" s="934" t="s">
        <v>41</v>
      </c>
      <c r="K7" s="934"/>
      <c r="L7" s="934"/>
    </row>
    <row r="8" spans="1:12" ht="14.25" x14ac:dyDescent="0.2">
      <c r="A8" s="80"/>
      <c r="B8" s="80"/>
      <c r="C8" s="80"/>
      <c r="D8" s="80"/>
      <c r="E8" s="80"/>
      <c r="F8" s="80"/>
      <c r="G8" s="80"/>
      <c r="H8" s="80"/>
      <c r="I8" s="80"/>
      <c r="J8" s="925" t="s">
        <v>42</v>
      </c>
      <c r="K8" s="925"/>
      <c r="L8" s="925"/>
    </row>
    <row r="9" spans="1:12" ht="14.25" x14ac:dyDescent="0.2">
      <c r="A9" s="80" t="s">
        <v>305</v>
      </c>
      <c r="B9" s="80"/>
      <c r="C9" s="916" t="s">
        <v>306</v>
      </c>
      <c r="D9" s="916"/>
      <c r="E9" s="916"/>
      <c r="F9" s="916"/>
      <c r="G9" s="916"/>
      <c r="H9" s="916"/>
      <c r="I9" s="82" t="s">
        <v>43</v>
      </c>
      <c r="J9" s="925"/>
      <c r="K9" s="925"/>
      <c r="L9" s="925"/>
    </row>
    <row r="10" spans="1:12" ht="14.25" x14ac:dyDescent="0.2">
      <c r="A10" s="80"/>
      <c r="B10" s="80"/>
      <c r="C10" s="922" t="s">
        <v>44</v>
      </c>
      <c r="D10" s="922"/>
      <c r="E10" s="922"/>
      <c r="F10" s="922"/>
      <c r="G10" s="922"/>
      <c r="H10" s="922"/>
      <c r="I10" s="80"/>
      <c r="J10" s="936">
        <v>4694376</v>
      </c>
      <c r="K10" s="937"/>
      <c r="L10" s="938"/>
    </row>
    <row r="11" spans="1:12" ht="14.25" x14ac:dyDescent="0.2">
      <c r="A11" s="80" t="s">
        <v>307</v>
      </c>
      <c r="B11" s="80"/>
      <c r="C11" s="916" t="s">
        <v>308</v>
      </c>
      <c r="D11" s="916"/>
      <c r="E11" s="916"/>
      <c r="F11" s="916"/>
      <c r="G11" s="916"/>
      <c r="H11" s="916"/>
      <c r="I11" s="82" t="s">
        <v>43</v>
      </c>
      <c r="J11" s="939"/>
      <c r="K11" s="940"/>
      <c r="L11" s="941"/>
    </row>
    <row r="12" spans="1:12" ht="14.25" x14ac:dyDescent="0.2">
      <c r="A12" s="80"/>
      <c r="B12" s="80"/>
      <c r="C12" s="922" t="s">
        <v>44</v>
      </c>
      <c r="D12" s="922"/>
      <c r="E12" s="922"/>
      <c r="F12" s="922"/>
      <c r="G12" s="922"/>
      <c r="H12" s="922"/>
      <c r="I12" s="80"/>
      <c r="J12" s="925">
        <v>29478604</v>
      </c>
      <c r="K12" s="925"/>
      <c r="L12" s="925"/>
    </row>
    <row r="13" spans="1:12" ht="14.25" x14ac:dyDescent="0.2">
      <c r="A13" s="80" t="s">
        <v>45</v>
      </c>
      <c r="B13" s="80"/>
      <c r="C13" s="916" t="s">
        <v>309</v>
      </c>
      <c r="D13" s="916"/>
      <c r="E13" s="916"/>
      <c r="F13" s="916"/>
      <c r="G13" s="916"/>
      <c r="H13" s="916"/>
      <c r="I13" s="82" t="s">
        <v>43</v>
      </c>
      <c r="J13" s="925"/>
      <c r="K13" s="925"/>
      <c r="L13" s="925"/>
    </row>
    <row r="14" spans="1:12" ht="14.25" x14ac:dyDescent="0.2">
      <c r="A14" s="80"/>
      <c r="B14" s="80"/>
      <c r="C14" s="922" t="s">
        <v>44</v>
      </c>
      <c r="D14" s="922"/>
      <c r="E14" s="922"/>
      <c r="F14" s="922"/>
      <c r="G14" s="922"/>
      <c r="H14" s="922"/>
      <c r="I14" s="80"/>
      <c r="J14" s="936">
        <v>1140469</v>
      </c>
      <c r="K14" s="937"/>
      <c r="L14" s="938"/>
    </row>
    <row r="15" spans="1:12" ht="14.25" customHeight="1" x14ac:dyDescent="0.2">
      <c r="A15" s="80" t="s">
        <v>310</v>
      </c>
      <c r="B15" s="80"/>
      <c r="C15" s="916" t="s">
        <v>311</v>
      </c>
      <c r="D15" s="916"/>
      <c r="E15" s="916"/>
      <c r="F15" s="916"/>
      <c r="G15" s="916"/>
      <c r="H15" s="916"/>
      <c r="I15" s="82" t="s">
        <v>43</v>
      </c>
      <c r="J15" s="939"/>
      <c r="K15" s="940"/>
      <c r="L15" s="941"/>
    </row>
    <row r="16" spans="1:12" ht="14.25" x14ac:dyDescent="0.2">
      <c r="A16" s="80"/>
      <c r="B16" s="80"/>
      <c r="C16" s="922" t="s">
        <v>44</v>
      </c>
      <c r="D16" s="922"/>
      <c r="E16" s="922"/>
      <c r="F16" s="922"/>
      <c r="G16" s="922"/>
      <c r="H16" s="922"/>
      <c r="I16" s="80"/>
      <c r="J16" s="83"/>
      <c r="K16" s="84"/>
      <c r="L16" s="85"/>
    </row>
    <row r="17" spans="1:12" ht="14.25" customHeight="1" x14ac:dyDescent="0.2">
      <c r="A17" s="80" t="s">
        <v>46</v>
      </c>
      <c r="B17" s="80"/>
      <c r="C17" s="935" t="s">
        <v>312</v>
      </c>
      <c r="D17" s="935"/>
      <c r="E17" s="935"/>
      <c r="F17" s="935"/>
      <c r="G17" s="935"/>
      <c r="H17" s="935"/>
      <c r="I17" s="80"/>
      <c r="J17" s="86"/>
      <c r="K17" s="87"/>
      <c r="L17" s="88"/>
    </row>
    <row r="18" spans="1:12" ht="14.25" x14ac:dyDescent="0.2">
      <c r="A18" s="80"/>
      <c r="B18" s="80"/>
      <c r="C18" s="922" t="s">
        <v>47</v>
      </c>
      <c r="D18" s="922"/>
      <c r="E18" s="922"/>
      <c r="F18" s="922"/>
      <c r="G18" s="922"/>
      <c r="H18" s="922"/>
      <c r="I18" s="80"/>
      <c r="J18" s="925" t="s">
        <v>42</v>
      </c>
      <c r="K18" s="925"/>
      <c r="L18" s="925"/>
    </row>
    <row r="19" spans="1:12" ht="14.25" x14ac:dyDescent="0.2">
      <c r="A19" s="80" t="s">
        <v>48</v>
      </c>
      <c r="B19" s="80"/>
      <c r="C19" s="935" t="s">
        <v>312</v>
      </c>
      <c r="D19" s="935"/>
      <c r="E19" s="935"/>
      <c r="F19" s="935"/>
      <c r="G19" s="935"/>
      <c r="H19" s="935"/>
      <c r="I19" s="80"/>
      <c r="J19" s="925"/>
      <c r="K19" s="925"/>
      <c r="L19" s="925"/>
    </row>
    <row r="20" spans="1:12" ht="14.25" x14ac:dyDescent="0.2">
      <c r="A20" s="80"/>
      <c r="B20" s="80"/>
      <c r="C20" s="922" t="s">
        <v>49</v>
      </c>
      <c r="D20" s="922"/>
      <c r="E20" s="922"/>
      <c r="F20" s="922"/>
      <c r="G20" s="922"/>
      <c r="H20" s="922"/>
      <c r="I20" s="80"/>
      <c r="J20" s="80"/>
      <c r="K20" s="80"/>
      <c r="L20" s="80"/>
    </row>
    <row r="21" spans="1:12" ht="14.25" x14ac:dyDescent="0.2">
      <c r="A21" s="80"/>
      <c r="B21" s="80"/>
      <c r="C21" s="80"/>
      <c r="D21" s="80"/>
      <c r="E21" s="80"/>
      <c r="F21" s="80"/>
      <c r="G21" s="923" t="s">
        <v>50</v>
      </c>
      <c r="H21" s="923"/>
      <c r="I21" s="924"/>
      <c r="J21" s="925" t="s">
        <v>42</v>
      </c>
      <c r="K21" s="925"/>
      <c r="L21" s="925"/>
    </row>
    <row r="22" spans="1:12" ht="14.25" x14ac:dyDescent="0.2">
      <c r="A22" s="80"/>
      <c r="B22" s="80"/>
      <c r="C22" s="80"/>
      <c r="D22" s="80"/>
      <c r="E22" s="80"/>
      <c r="F22" s="80"/>
      <c r="G22" s="923" t="s">
        <v>51</v>
      </c>
      <c r="H22" s="926"/>
      <c r="I22" s="89" t="s">
        <v>52</v>
      </c>
      <c r="J22" s="925" t="s">
        <v>313</v>
      </c>
      <c r="K22" s="925"/>
      <c r="L22" s="925"/>
    </row>
    <row r="23" spans="1:12" ht="14.25" x14ac:dyDescent="0.2">
      <c r="A23" s="80"/>
      <c r="B23" s="80"/>
      <c r="C23" s="80"/>
      <c r="D23" s="80"/>
      <c r="E23" s="80"/>
      <c r="F23" s="80"/>
      <c r="G23" s="80"/>
      <c r="H23" s="80"/>
      <c r="I23" s="90" t="s">
        <v>53</v>
      </c>
      <c r="J23" s="927">
        <v>43713</v>
      </c>
      <c r="K23" s="927"/>
      <c r="L23" s="927"/>
    </row>
    <row r="24" spans="1:12" ht="14.25" customHeight="1" x14ac:dyDescent="0.2">
      <c r="A24" s="80"/>
      <c r="B24" s="80"/>
      <c r="C24" s="80"/>
      <c r="D24" s="80"/>
      <c r="E24" s="80"/>
      <c r="F24" s="80"/>
      <c r="G24" s="80"/>
      <c r="H24" s="80"/>
      <c r="I24" s="82" t="s">
        <v>54</v>
      </c>
      <c r="J24" s="925" t="s">
        <v>42</v>
      </c>
      <c r="K24" s="925"/>
      <c r="L24" s="925"/>
    </row>
    <row r="25" spans="1:12" ht="14.25" x14ac:dyDescent="0.2">
      <c r="A25" s="80"/>
      <c r="B25" s="80"/>
      <c r="C25" s="80"/>
      <c r="D25" s="80"/>
      <c r="E25" s="80"/>
      <c r="F25" s="80"/>
      <c r="G25" s="80"/>
      <c r="H25" s="80"/>
      <c r="I25" s="80"/>
      <c r="J25" s="80"/>
      <c r="K25" s="80"/>
      <c r="L25" s="80"/>
    </row>
    <row r="26" spans="1:12" ht="14.25" x14ac:dyDescent="0.2">
      <c r="A26" s="80"/>
      <c r="B26" s="80"/>
      <c r="C26" s="80"/>
      <c r="D26" s="80"/>
      <c r="E26" s="80"/>
      <c r="F26" s="80"/>
      <c r="G26" s="928" t="s">
        <v>55</v>
      </c>
      <c r="H26" s="930" t="s">
        <v>56</v>
      </c>
      <c r="I26" s="930" t="s">
        <v>57</v>
      </c>
      <c r="J26" s="932"/>
      <c r="K26" s="80"/>
      <c r="L26" s="80"/>
    </row>
    <row r="27" spans="1:12" ht="14.25" x14ac:dyDescent="0.2">
      <c r="A27" s="80"/>
      <c r="B27" s="80"/>
      <c r="C27" s="80"/>
      <c r="D27" s="80"/>
      <c r="E27" s="80"/>
      <c r="F27" s="80"/>
      <c r="G27" s="929"/>
      <c r="H27" s="931"/>
      <c r="I27" s="91" t="s">
        <v>58</v>
      </c>
      <c r="J27" s="92" t="s">
        <v>59</v>
      </c>
      <c r="K27" s="80"/>
      <c r="L27" s="80"/>
    </row>
    <row r="28" spans="1:12" ht="14.25" x14ac:dyDescent="0.2">
      <c r="A28" s="80"/>
      <c r="B28" s="80"/>
      <c r="C28" s="80"/>
      <c r="D28" s="80"/>
      <c r="E28" s="80"/>
      <c r="F28" s="80"/>
      <c r="G28" s="90" t="s">
        <v>42</v>
      </c>
      <c r="H28" s="93">
        <v>44104</v>
      </c>
      <c r="I28" s="93">
        <v>44075</v>
      </c>
      <c r="J28" s="94">
        <f>H28</f>
        <v>44104</v>
      </c>
      <c r="K28" s="80"/>
      <c r="L28" s="80"/>
    </row>
    <row r="29" spans="1:12" ht="18" x14ac:dyDescent="0.25">
      <c r="A29" s="921" t="s">
        <v>60</v>
      </c>
      <c r="B29" s="921"/>
      <c r="C29" s="921"/>
      <c r="D29" s="921"/>
      <c r="E29" s="921"/>
      <c r="F29" s="921"/>
      <c r="G29" s="921"/>
      <c r="H29" s="921"/>
      <c r="I29" s="921"/>
      <c r="J29" s="921"/>
      <c r="K29" s="921"/>
      <c r="L29" s="921"/>
    </row>
    <row r="30" spans="1:12" ht="18" x14ac:dyDescent="0.25">
      <c r="A30" s="921" t="s">
        <v>61</v>
      </c>
      <c r="B30" s="921"/>
      <c r="C30" s="921"/>
      <c r="D30" s="921"/>
      <c r="E30" s="921"/>
      <c r="F30" s="921"/>
      <c r="G30" s="921"/>
      <c r="H30" s="921"/>
      <c r="I30" s="921"/>
      <c r="J30" s="921"/>
      <c r="K30" s="921"/>
      <c r="L30" s="921"/>
    </row>
    <row r="31" spans="1:12" ht="18" customHeight="1" x14ac:dyDescent="0.25">
      <c r="A31" s="95"/>
      <c r="B31" s="95"/>
      <c r="C31" s="95"/>
      <c r="D31" s="95"/>
      <c r="E31" s="855" t="s">
        <v>297</v>
      </c>
      <c r="F31" s="855"/>
      <c r="G31" s="855"/>
      <c r="H31" s="95"/>
      <c r="I31" s="95"/>
      <c r="J31" s="95"/>
      <c r="K31" s="95"/>
      <c r="L31" s="95"/>
    </row>
    <row r="32" spans="1:12" ht="18" x14ac:dyDescent="0.25">
      <c r="A32" s="95"/>
      <c r="B32" s="95"/>
      <c r="C32" s="95"/>
      <c r="D32" s="95"/>
      <c r="E32" s="915" t="s">
        <v>145</v>
      </c>
      <c r="F32" s="915"/>
      <c r="G32" s="915"/>
      <c r="H32" s="95"/>
      <c r="I32" s="95"/>
      <c r="J32" s="95"/>
      <c r="K32" s="95"/>
      <c r="L32" s="95"/>
    </row>
    <row r="33" spans="1:12" ht="18" x14ac:dyDescent="0.25">
      <c r="A33" s="95"/>
      <c r="B33" s="95"/>
      <c r="C33" s="95"/>
      <c r="D33" s="95"/>
      <c r="E33" s="95"/>
      <c r="F33" s="95"/>
      <c r="G33" s="95"/>
      <c r="H33" s="95"/>
      <c r="I33" s="95"/>
      <c r="J33" s="95"/>
      <c r="K33" s="95"/>
      <c r="L33" s="95"/>
    </row>
    <row r="34" spans="1:12" ht="14.25" customHeight="1" x14ac:dyDescent="0.25">
      <c r="A34" s="95"/>
      <c r="B34" s="95"/>
      <c r="C34" s="95"/>
      <c r="D34" s="96" t="s">
        <v>157</v>
      </c>
      <c r="E34" s="95"/>
      <c r="F34" s="95"/>
      <c r="G34" s="95"/>
      <c r="H34" s="95"/>
      <c r="I34" s="95"/>
      <c r="J34" s="95"/>
      <c r="K34" s="95"/>
      <c r="L34" s="95"/>
    </row>
    <row r="35" spans="1:12" ht="13.5" customHeight="1" x14ac:dyDescent="0.25">
      <c r="A35" s="95"/>
      <c r="B35" s="95"/>
      <c r="C35" s="95"/>
      <c r="D35" s="96" t="s">
        <v>158</v>
      </c>
      <c r="E35" s="95"/>
      <c r="F35" s="95"/>
      <c r="G35" s="95"/>
      <c r="H35" s="95"/>
      <c r="I35" s="95"/>
      <c r="J35" s="95"/>
      <c r="K35" s="95"/>
      <c r="L35" s="95"/>
    </row>
    <row r="36" spans="1:12" ht="12.75" customHeight="1" x14ac:dyDescent="0.25">
      <c r="A36" s="95"/>
      <c r="B36" s="95"/>
      <c r="C36" s="95"/>
      <c r="D36" s="96" t="s">
        <v>159</v>
      </c>
      <c r="E36" s="95"/>
      <c r="F36" s="95"/>
      <c r="G36" s="95"/>
      <c r="H36" s="95"/>
      <c r="I36" s="95"/>
      <c r="J36" s="95"/>
      <c r="K36" s="95"/>
      <c r="L36" s="95"/>
    </row>
    <row r="37" spans="1:12" ht="63" customHeight="1" x14ac:dyDescent="0.25">
      <c r="A37" s="95"/>
      <c r="B37" s="95"/>
      <c r="C37" s="95"/>
      <c r="D37" s="96" t="s">
        <v>33</v>
      </c>
      <c r="E37" s="95"/>
      <c r="F37" s="95"/>
      <c r="G37" s="95"/>
      <c r="H37" s="95"/>
      <c r="I37" s="95"/>
      <c r="J37" s="95"/>
      <c r="K37" s="95"/>
      <c r="L37" s="95"/>
    </row>
    <row r="38" spans="1:12" ht="18" x14ac:dyDescent="0.25">
      <c r="A38" s="95"/>
      <c r="B38" s="95"/>
      <c r="C38" s="95"/>
      <c r="D38" s="95"/>
      <c r="E38" s="95"/>
      <c r="F38" s="95"/>
      <c r="G38" s="95"/>
      <c r="H38" s="95"/>
      <c r="I38" s="95"/>
      <c r="J38" s="95"/>
      <c r="K38" s="95"/>
      <c r="L38" s="95"/>
    </row>
    <row r="39" spans="1:12" ht="14.25" x14ac:dyDescent="0.2">
      <c r="A39" s="916" t="s">
        <v>149</v>
      </c>
      <c r="B39" s="916"/>
      <c r="C39" s="916"/>
      <c r="D39" s="916"/>
      <c r="E39" s="916"/>
      <c r="F39" s="916"/>
      <c r="G39" s="916"/>
      <c r="H39" s="916"/>
      <c r="I39" s="916"/>
      <c r="J39" s="916"/>
      <c r="K39" s="916"/>
      <c r="L39" s="916"/>
    </row>
    <row r="40" spans="1:12" ht="14.25" x14ac:dyDescent="0.2">
      <c r="A40" s="917" t="s">
        <v>67</v>
      </c>
      <c r="B40" s="917"/>
      <c r="C40" s="917" t="s">
        <v>68</v>
      </c>
      <c r="D40" s="917" t="s">
        <v>69</v>
      </c>
      <c r="E40" s="917" t="s">
        <v>70</v>
      </c>
      <c r="F40" s="917" t="s">
        <v>71</v>
      </c>
      <c r="G40" s="917" t="s">
        <v>72</v>
      </c>
      <c r="H40" s="918" t="s">
        <v>73</v>
      </c>
      <c r="I40" s="918" t="s">
        <v>74</v>
      </c>
      <c r="J40" s="917" t="s">
        <v>75</v>
      </c>
      <c r="K40" s="917" t="s">
        <v>76</v>
      </c>
      <c r="L40" s="917" t="s">
        <v>77</v>
      </c>
    </row>
    <row r="41" spans="1:12" x14ac:dyDescent="0.2">
      <c r="A41" s="918" t="s">
        <v>78</v>
      </c>
      <c r="B41" s="918" t="s">
        <v>79</v>
      </c>
      <c r="C41" s="917"/>
      <c r="D41" s="917"/>
      <c r="E41" s="917"/>
      <c r="F41" s="917"/>
      <c r="G41" s="917"/>
      <c r="H41" s="919"/>
      <c r="I41" s="919"/>
      <c r="J41" s="917"/>
      <c r="K41" s="917"/>
      <c r="L41" s="917"/>
    </row>
    <row r="42" spans="1:12" x14ac:dyDescent="0.2">
      <c r="A42" s="919"/>
      <c r="B42" s="919"/>
      <c r="C42" s="917"/>
      <c r="D42" s="917"/>
      <c r="E42" s="917"/>
      <c r="F42" s="917"/>
      <c r="G42" s="917"/>
      <c r="H42" s="919"/>
      <c r="I42" s="919"/>
      <c r="J42" s="917"/>
      <c r="K42" s="917"/>
      <c r="L42" s="917"/>
    </row>
    <row r="43" spans="1:12" ht="20.100000000000001" customHeight="1" x14ac:dyDescent="0.2">
      <c r="A43" s="919"/>
      <c r="B43" s="919"/>
      <c r="C43" s="917"/>
      <c r="D43" s="917"/>
      <c r="E43" s="917"/>
      <c r="F43" s="917"/>
      <c r="G43" s="917"/>
      <c r="H43" s="919"/>
      <c r="I43" s="919"/>
      <c r="J43" s="917"/>
      <c r="K43" s="917"/>
      <c r="L43" s="917"/>
    </row>
    <row r="44" spans="1:12" ht="20.100000000000001" customHeight="1" x14ac:dyDescent="0.2">
      <c r="A44" s="920"/>
      <c r="B44" s="920"/>
      <c r="C44" s="917"/>
      <c r="D44" s="917"/>
      <c r="E44" s="917"/>
      <c r="F44" s="917"/>
      <c r="G44" s="917"/>
      <c r="H44" s="920"/>
      <c r="I44" s="920"/>
      <c r="J44" s="917"/>
      <c r="K44" s="917"/>
      <c r="L44" s="917"/>
    </row>
    <row r="45" spans="1:12" ht="14.25" x14ac:dyDescent="0.2">
      <c r="A45" s="97">
        <v>1</v>
      </c>
      <c r="B45" s="97">
        <v>2</v>
      </c>
      <c r="C45" s="97">
        <v>3</v>
      </c>
      <c r="D45" s="97">
        <v>4</v>
      </c>
      <c r="E45" s="97">
        <v>5</v>
      </c>
      <c r="F45" s="97">
        <v>6</v>
      </c>
      <c r="G45" s="97">
        <v>7</v>
      </c>
      <c r="H45" s="97">
        <v>8</v>
      </c>
      <c r="I45" s="97">
        <v>9</v>
      </c>
      <c r="J45" s="97">
        <v>10</v>
      </c>
      <c r="K45" s="97">
        <v>11</v>
      </c>
      <c r="L45" s="97">
        <v>12</v>
      </c>
    </row>
    <row r="47" spans="1:12" ht="16.5" x14ac:dyDescent="0.25">
      <c r="A47" s="914" t="str">
        <f>CONCATENATE("Раздел: ",IF([86]Source!G24&lt;&gt;"Новый раздел", [86]Source!G24, ""))</f>
        <v>Раздел: Монтажные работы</v>
      </c>
      <c r="B47" s="914"/>
      <c r="C47" s="914"/>
      <c r="D47" s="914"/>
      <c r="E47" s="914"/>
      <c r="F47" s="914"/>
      <c r="G47" s="914"/>
      <c r="H47" s="914"/>
      <c r="I47" s="914"/>
      <c r="J47" s="914"/>
      <c r="K47" s="914"/>
      <c r="L47" s="914"/>
    </row>
    <row r="49" spans="1:22" ht="16.5" x14ac:dyDescent="0.25">
      <c r="A49" s="914" t="str">
        <f>CONCATENATE("Подраздел: ",IF([86]Source!G68&lt;&gt;"Новый подраздел", [86]Source!G68, ""))</f>
        <v>Подраздел: Кабели и провода</v>
      </c>
      <c r="B49" s="914"/>
      <c r="C49" s="914"/>
      <c r="D49" s="914"/>
      <c r="E49" s="914"/>
      <c r="F49" s="914"/>
      <c r="G49" s="914"/>
      <c r="H49" s="914"/>
      <c r="I49" s="914"/>
      <c r="J49" s="914"/>
      <c r="K49" s="914"/>
      <c r="L49" s="914"/>
    </row>
    <row r="50" spans="1:22" ht="71.25" x14ac:dyDescent="0.2">
      <c r="A50" s="98">
        <v>1</v>
      </c>
      <c r="B50" s="98" t="str">
        <f>[86]Source!E76</f>
        <v>6</v>
      </c>
      <c r="C50" s="99" t="s">
        <v>160</v>
      </c>
      <c r="D50" s="99" t="s">
        <v>161</v>
      </c>
      <c r="E50" s="100" t="str">
        <f>[86]Source!H76</f>
        <v>100 М КАБЕЛЯ</v>
      </c>
      <c r="F50" s="82">
        <f>[86]Source!I76</f>
        <v>28.42</v>
      </c>
      <c r="G50" s="101"/>
      <c r="H50" s="102"/>
      <c r="I50" s="82"/>
      <c r="J50" s="103"/>
      <c r="K50" s="82"/>
      <c r="L50" s="103"/>
      <c r="Q50" s="79">
        <f>[86]Source!X76</f>
        <v>30211.55</v>
      </c>
      <c r="R50" s="79">
        <f>[86]Source!X77</f>
        <v>588235.1</v>
      </c>
      <c r="S50" s="79">
        <f>[86]Source!Y76</f>
        <v>18882.22</v>
      </c>
      <c r="T50" s="79">
        <f>[86]Source!Y77</f>
        <v>281045.65999999997</v>
      </c>
      <c r="U50" s="79">
        <f>ROUND((175/100)*ROUND([86]Source!R76, 2), 2)</f>
        <v>22190.14</v>
      </c>
      <c r="V50" s="79">
        <f>ROUND((157/100)*ROUND([86]Source!R77, 2), 2)</f>
        <v>482364.19</v>
      </c>
    </row>
    <row r="51" spans="1:22" ht="14.25" x14ac:dyDescent="0.2">
      <c r="A51" s="98"/>
      <c r="B51" s="98"/>
      <c r="C51" s="99"/>
      <c r="D51" s="99" t="s">
        <v>84</v>
      </c>
      <c r="E51" s="100"/>
      <c r="F51" s="82"/>
      <c r="G51" s="101">
        <f>[86]Source!AO76</f>
        <v>532.66</v>
      </c>
      <c r="H51" s="102" t="str">
        <f>[86]Source!DG76</f>
        <v>)*1,67</v>
      </c>
      <c r="I51" s="82">
        <f>[86]Source!AV77</f>
        <v>1.0669999999999999</v>
      </c>
      <c r="J51" s="103">
        <f>[86]Source!S76</f>
        <v>26974.6</v>
      </c>
      <c r="K51" s="82">
        <f>IF([86]Source!BA77&lt;&gt; 0, [86]Source!BA77, 1)</f>
        <v>24.23</v>
      </c>
      <c r="L51" s="103">
        <f>[86]Source!S77</f>
        <v>653594.56000000006</v>
      </c>
    </row>
    <row r="52" spans="1:22" ht="14.25" x14ac:dyDescent="0.2">
      <c r="A52" s="98"/>
      <c r="B52" s="98"/>
      <c r="C52" s="99"/>
      <c r="D52" s="99" t="s">
        <v>85</v>
      </c>
      <c r="E52" s="100"/>
      <c r="F52" s="82"/>
      <c r="G52" s="101">
        <f>[86]Source!AM76</f>
        <v>1436.89</v>
      </c>
      <c r="H52" s="102">
        <f>[86]Source!DE76</f>
        <v>0</v>
      </c>
      <c r="I52" s="82">
        <f>[86]Source!AV77</f>
        <v>1.0669999999999999</v>
      </c>
      <c r="J52" s="103">
        <f>[86]Source!Q76-J61</f>
        <v>43572.45</v>
      </c>
      <c r="K52" s="82">
        <f>IF([86]Source!BB77&lt;&gt; 0, [86]Source!BB77, 1)</f>
        <v>8.81</v>
      </c>
      <c r="L52" s="103">
        <f>[86]Source!Q77-L61</f>
        <v>383873.35</v>
      </c>
    </row>
    <row r="53" spans="1:22" ht="14.25" x14ac:dyDescent="0.2">
      <c r="A53" s="98"/>
      <c r="B53" s="98"/>
      <c r="C53" s="99"/>
      <c r="D53" s="99" t="s">
        <v>86</v>
      </c>
      <c r="E53" s="100"/>
      <c r="F53" s="82"/>
      <c r="G53" s="101">
        <f>[86]Source!AN76</f>
        <v>250.39</v>
      </c>
      <c r="H53" s="102">
        <f>[86]Source!DE76</f>
        <v>0</v>
      </c>
      <c r="I53" s="82">
        <f>[86]Source!AV77</f>
        <v>1.0669999999999999</v>
      </c>
      <c r="J53" s="104">
        <f>[86]Source!R76-J62</f>
        <v>7592.86</v>
      </c>
      <c r="K53" s="82">
        <f>IF([86]Source!BS77&lt;&gt; 0, [86]Source!BS77, 1)</f>
        <v>24.23</v>
      </c>
      <c r="L53" s="104">
        <f>[86]Source!R77-L62</f>
        <v>183975.07</v>
      </c>
    </row>
    <row r="54" spans="1:22" ht="14.25" x14ac:dyDescent="0.2">
      <c r="A54" s="98"/>
      <c r="B54" s="98"/>
      <c r="C54" s="99"/>
      <c r="D54" s="99" t="s">
        <v>87</v>
      </c>
      <c r="E54" s="100"/>
      <c r="F54" s="82"/>
      <c r="G54" s="101">
        <f>[86]Source!AL76</f>
        <v>31.5</v>
      </c>
      <c r="H54" s="102">
        <f>[86]Source!DD76</f>
        <v>0</v>
      </c>
      <c r="I54" s="82">
        <f>[86]Source!AW77</f>
        <v>1.081</v>
      </c>
      <c r="J54" s="103">
        <f>[86]Source!P76</f>
        <v>967.74</v>
      </c>
      <c r="K54" s="82">
        <f>IF([86]Source!BC77&lt;&gt; 0, [86]Source!BC77, 1)</f>
        <v>5.58</v>
      </c>
      <c r="L54" s="103">
        <f>[86]Source!P77</f>
        <v>5399.99</v>
      </c>
    </row>
    <row r="55" spans="1:22" ht="14.25" x14ac:dyDescent="0.2">
      <c r="A55" s="98"/>
      <c r="B55" s="98"/>
      <c r="C55" s="99"/>
      <c r="D55" s="99" t="s">
        <v>88</v>
      </c>
      <c r="E55" s="100" t="s">
        <v>89</v>
      </c>
      <c r="F55" s="82">
        <f>[86]Source!DN77</f>
        <v>112</v>
      </c>
      <c r="G55" s="101"/>
      <c r="H55" s="102"/>
      <c r="I55" s="82"/>
      <c r="J55" s="103">
        <f>SUM(Q50:Q54)</f>
        <v>30211.55</v>
      </c>
      <c r="K55" s="82">
        <f>[86]Source!BZ77</f>
        <v>90</v>
      </c>
      <c r="L55" s="103">
        <f>SUM(R50:R54)</f>
        <v>588235.1</v>
      </c>
    </row>
    <row r="56" spans="1:22" ht="14.25" x14ac:dyDescent="0.2">
      <c r="A56" s="98"/>
      <c r="B56" s="98"/>
      <c r="C56" s="99"/>
      <c r="D56" s="99" t="s">
        <v>90</v>
      </c>
      <c r="E56" s="100" t="s">
        <v>89</v>
      </c>
      <c r="F56" s="82">
        <f>[86]Source!DO77</f>
        <v>70</v>
      </c>
      <c r="G56" s="101"/>
      <c r="H56" s="102"/>
      <c r="I56" s="82"/>
      <c r="J56" s="103">
        <f>SUM(S50:S55)</f>
        <v>18882.22</v>
      </c>
      <c r="K56" s="82">
        <f>[86]Source!CA77</f>
        <v>43</v>
      </c>
      <c r="L56" s="103">
        <f>SUM(T50:T55)</f>
        <v>281045.65999999997</v>
      </c>
    </row>
    <row r="57" spans="1:22" ht="14.25" x14ac:dyDescent="0.2">
      <c r="A57" s="98"/>
      <c r="B57" s="98"/>
      <c r="C57" s="99"/>
      <c r="D57" s="99" t="s">
        <v>91</v>
      </c>
      <c r="E57" s="100" t="s">
        <v>89</v>
      </c>
      <c r="F57" s="82">
        <f>175</f>
        <v>175</v>
      </c>
      <c r="G57" s="101"/>
      <c r="H57" s="102"/>
      <c r="I57" s="82"/>
      <c r="J57" s="103">
        <f>SUM(U50:U56)-J63</f>
        <v>13287.5</v>
      </c>
      <c r="K57" s="82">
        <f>157</f>
        <v>157</v>
      </c>
      <c r="L57" s="103">
        <f>SUM(V50:V56)-L63</f>
        <v>288840.86</v>
      </c>
    </row>
    <row r="58" spans="1:22" ht="14.25" x14ac:dyDescent="0.2">
      <c r="A58" s="98"/>
      <c r="B58" s="98"/>
      <c r="C58" s="99"/>
      <c r="D58" s="99" t="s">
        <v>92</v>
      </c>
      <c r="E58" s="100" t="s">
        <v>93</v>
      </c>
      <c r="F58" s="82">
        <f>[86]Source!AQ76</f>
        <v>43.2</v>
      </c>
      <c r="G58" s="101"/>
      <c r="H58" s="102">
        <f>[86]Source!DI76</f>
        <v>0</v>
      </c>
      <c r="I58" s="82">
        <f>[86]Source!AV77</f>
        <v>1.0669999999999999</v>
      </c>
      <c r="J58" s="103">
        <f>[86]Source!U76</f>
        <v>1310</v>
      </c>
      <c r="K58" s="82"/>
      <c r="L58" s="103"/>
    </row>
    <row r="59" spans="1:22" ht="15" x14ac:dyDescent="0.25">
      <c r="I59" s="910">
        <f>J51+J52+J54+J55+J56+J57</f>
        <v>133896.06</v>
      </c>
      <c r="J59" s="910"/>
      <c r="K59" s="910">
        <f>L51+L52+L54+L55+L56+L57</f>
        <v>2200989.52</v>
      </c>
      <c r="L59" s="910"/>
      <c r="O59" s="105">
        <f>J51+J52+J54+J55+J56+J57</f>
        <v>133896.06</v>
      </c>
      <c r="P59" s="105">
        <f>L51+L52+L54+L55+L56+L57</f>
        <v>2200989.52</v>
      </c>
    </row>
    <row r="60" spans="1:22" ht="28.5" x14ac:dyDescent="0.2">
      <c r="A60" s="106"/>
      <c r="B60" s="106"/>
      <c r="C60" s="107"/>
      <c r="D60" s="107" t="s">
        <v>94</v>
      </c>
      <c r="E60" s="100"/>
      <c r="F60" s="108"/>
      <c r="G60" s="109"/>
      <c r="H60" s="100"/>
      <c r="I60" s="108"/>
      <c r="J60" s="104"/>
      <c r="K60" s="108"/>
      <c r="L60" s="104"/>
    </row>
    <row r="61" spans="1:22" ht="14.25" x14ac:dyDescent="0.2">
      <c r="A61" s="106"/>
      <c r="B61" s="106"/>
      <c r="C61" s="107"/>
      <c r="D61" s="107" t="s">
        <v>85</v>
      </c>
      <c r="E61" s="100"/>
      <c r="F61" s="108"/>
      <c r="G61" s="109">
        <f t="shared" ref="G61:L61" si="0">G62</f>
        <v>250.39</v>
      </c>
      <c r="H61" s="110" t="str">
        <f t="shared" si="0"/>
        <v>)*(1.67-1)</v>
      </c>
      <c r="I61" s="108">
        <f t="shared" si="0"/>
        <v>1.0669999999999999</v>
      </c>
      <c r="J61" s="104">
        <f t="shared" si="0"/>
        <v>5087.22</v>
      </c>
      <c r="K61" s="108">
        <f t="shared" si="0"/>
        <v>24.23</v>
      </c>
      <c r="L61" s="104">
        <f t="shared" si="0"/>
        <v>123263.27</v>
      </c>
    </row>
    <row r="62" spans="1:22" ht="14.25" x14ac:dyDescent="0.2">
      <c r="A62" s="106"/>
      <c r="B62" s="106"/>
      <c r="C62" s="107"/>
      <c r="D62" s="107" t="s">
        <v>86</v>
      </c>
      <c r="E62" s="100"/>
      <c r="F62" s="108"/>
      <c r="G62" s="109">
        <f>[86]Source!AN76</f>
        <v>250.39</v>
      </c>
      <c r="H62" s="110" t="s">
        <v>95</v>
      </c>
      <c r="I62" s="108">
        <f>[86]Source!AV77</f>
        <v>1.0669999999999999</v>
      </c>
      <c r="J62" s="104">
        <f>ROUND(F50*G62*I62*(1.67-1), 2)</f>
        <v>5087.22</v>
      </c>
      <c r="K62" s="108">
        <f>IF([86]Source!BS77&lt;&gt; 0, [86]Source!BS77, 1)</f>
        <v>24.23</v>
      </c>
      <c r="L62" s="104">
        <f>ROUND(F50*G62*I62*(1.67-1)*K62, 2)</f>
        <v>123263.27</v>
      </c>
    </row>
    <row r="63" spans="1:22" ht="14.25" x14ac:dyDescent="0.2">
      <c r="A63" s="106"/>
      <c r="B63" s="106"/>
      <c r="C63" s="107"/>
      <c r="D63" s="107" t="s">
        <v>91</v>
      </c>
      <c r="E63" s="100" t="s">
        <v>89</v>
      </c>
      <c r="F63" s="108">
        <f>175</f>
        <v>175</v>
      </c>
      <c r="G63" s="109"/>
      <c r="H63" s="100"/>
      <c r="I63" s="108"/>
      <c r="J63" s="104">
        <f>ROUND(J62*(F63/100), 2)</f>
        <v>8902.64</v>
      </c>
      <c r="K63" s="108">
        <f>157</f>
        <v>157</v>
      </c>
      <c r="L63" s="104">
        <f>ROUND(L62*(K63/100), 2)</f>
        <v>193523.33</v>
      </c>
    </row>
    <row r="64" spans="1:22" ht="15" x14ac:dyDescent="0.25">
      <c r="I64" s="910">
        <f>J63+J62</f>
        <v>13989.86</v>
      </c>
      <c r="J64" s="910"/>
      <c r="K64" s="910">
        <f>L63+L62</f>
        <v>316786.59999999998</v>
      </c>
      <c r="L64" s="910"/>
      <c r="O64" s="105">
        <f>I64</f>
        <v>13989.86</v>
      </c>
      <c r="P64" s="105">
        <f>K64</f>
        <v>316786.59999999998</v>
      </c>
    </row>
    <row r="66" spans="1:12" ht="15" x14ac:dyDescent="0.25">
      <c r="A66" s="111"/>
      <c r="B66" s="111"/>
      <c r="C66" s="112"/>
      <c r="D66" s="112" t="s">
        <v>96</v>
      </c>
      <c r="E66" s="113"/>
      <c r="F66" s="114"/>
      <c r="G66" s="115"/>
      <c r="H66" s="116"/>
      <c r="I66" s="910">
        <f>I59+I64</f>
        <v>147885.92000000001</v>
      </c>
      <c r="J66" s="910"/>
      <c r="K66" s="910">
        <f>K59+K64</f>
        <v>2517776.12</v>
      </c>
      <c r="L66" s="910"/>
    </row>
    <row r="68" spans="1:12" ht="15" x14ac:dyDescent="0.25">
      <c r="A68" s="911" t="str">
        <f>CONCATENATE("Итого по подразделу: ",IF([86]Source!G87&lt;&gt;"Новый подраздел", [86]Source!G87, ""))</f>
        <v>Итого по подразделу: Кабели и провода</v>
      </c>
      <c r="B68" s="911"/>
      <c r="C68" s="911"/>
      <c r="D68" s="911"/>
      <c r="E68" s="911"/>
      <c r="F68" s="911"/>
      <c r="G68" s="911"/>
      <c r="H68" s="911"/>
      <c r="I68" s="912">
        <f>SUM(O49:O67)</f>
        <v>147885.92000000001</v>
      </c>
      <c r="J68" s="913"/>
      <c r="K68" s="912">
        <f>SUM(P49:P67)</f>
        <v>2517776.12</v>
      </c>
      <c r="L68" s="913"/>
    </row>
    <row r="69" spans="1:12" hidden="1" x14ac:dyDescent="0.2">
      <c r="A69" s="79" t="s">
        <v>139</v>
      </c>
      <c r="J69" s="79">
        <f>SUM(W49:W68)</f>
        <v>0</v>
      </c>
      <c r="K69" s="79">
        <f>SUM(X49:X68)</f>
        <v>0</v>
      </c>
    </row>
    <row r="70" spans="1:12" hidden="1" x14ac:dyDescent="0.2">
      <c r="A70" s="79" t="s">
        <v>140</v>
      </c>
      <c r="J70" s="79">
        <f>SUM(Y49:Y69)</f>
        <v>0</v>
      </c>
      <c r="K70" s="79">
        <f>SUM(Z49:Z69)</f>
        <v>0</v>
      </c>
    </row>
    <row r="72" spans="1:12" hidden="1" x14ac:dyDescent="0.2">
      <c r="A72" s="79" t="s">
        <v>139</v>
      </c>
      <c r="J72" s="79" t="e">
        <f>SUM(#REF!)</f>
        <v>#REF!</v>
      </c>
      <c r="K72" s="79" t="e">
        <f>SUM(#REF!)</f>
        <v>#REF!</v>
      </c>
    </row>
    <row r="73" spans="1:12" hidden="1" x14ac:dyDescent="0.2">
      <c r="A73" s="79" t="s">
        <v>140</v>
      </c>
      <c r="J73" s="79">
        <f>SUM(Y72:Y72)</f>
        <v>0</v>
      </c>
      <c r="K73" s="79">
        <f>SUM(Z72:Z72)</f>
        <v>0</v>
      </c>
    </row>
    <row r="74" spans="1:12" ht="15" x14ac:dyDescent="0.25">
      <c r="A74" s="911" t="str">
        <f>CONCATENATE("Итого по разделу: ",IF([86]Source!G200&lt;&gt;"Новый раздел", [86]Source!G200, ""))</f>
        <v>Итого по разделу: Монтажные работы</v>
      </c>
      <c r="B74" s="911"/>
      <c r="C74" s="911"/>
      <c r="D74" s="911"/>
      <c r="E74" s="911"/>
      <c r="F74" s="911"/>
      <c r="G74" s="911"/>
      <c r="H74" s="911"/>
      <c r="I74" s="912">
        <f>SUM(O47:O73)</f>
        <v>147885.92000000001</v>
      </c>
      <c r="J74" s="913"/>
      <c r="K74" s="912">
        <f>SUM(P47:P73)</f>
        <v>2517776.12</v>
      </c>
      <c r="L74" s="913"/>
    </row>
    <row r="75" spans="1:12" hidden="1" x14ac:dyDescent="0.2">
      <c r="A75" s="79" t="s">
        <v>139</v>
      </c>
      <c r="J75" s="79">
        <f>SUM(W47:W74)</f>
        <v>0</v>
      </c>
      <c r="K75" s="79">
        <f>SUM(X47:X74)</f>
        <v>0</v>
      </c>
    </row>
    <row r="76" spans="1:12" hidden="1" x14ac:dyDescent="0.2">
      <c r="A76" s="79" t="s">
        <v>140</v>
      </c>
      <c r="J76" s="79">
        <f>SUM(Y47:Y75)</f>
        <v>0</v>
      </c>
      <c r="K76" s="79">
        <f>SUM(Z47:Z75)</f>
        <v>0</v>
      </c>
    </row>
    <row r="77" spans="1:12" ht="10.5" customHeight="1" x14ac:dyDescent="0.2"/>
    <row r="78" spans="1:12" ht="16.5" x14ac:dyDescent="0.25">
      <c r="A78" s="914" t="str">
        <f>CONCATENATE("Раздел: ",IF([86]Source!G265&lt;&gt;"Новый раздел", [86]Source!G265, ""))</f>
        <v>Раздел: Материалы, не учтенные в цене монтажа</v>
      </c>
      <c r="B78" s="914"/>
      <c r="C78" s="914"/>
      <c r="D78" s="914"/>
      <c r="E78" s="914"/>
      <c r="F78" s="914"/>
      <c r="G78" s="914"/>
      <c r="H78" s="914"/>
      <c r="I78" s="914"/>
      <c r="J78" s="914"/>
      <c r="K78" s="914"/>
      <c r="L78" s="914"/>
    </row>
    <row r="79" spans="1:12" ht="8.25" customHeight="1" x14ac:dyDescent="0.2"/>
    <row r="80" spans="1:12" ht="16.5" x14ac:dyDescent="0.25">
      <c r="A80" s="914" t="str">
        <f>CONCATENATE("Подраздел: ",IF([86]Source!G282&lt;&gt;"Новый подраздел", [86]Source!G282, ""))</f>
        <v>Подраздел: Кабельная продукция</v>
      </c>
      <c r="B80" s="914"/>
      <c r="C80" s="914"/>
      <c r="D80" s="914"/>
      <c r="E80" s="914"/>
      <c r="F80" s="914"/>
      <c r="G80" s="914"/>
      <c r="H80" s="914"/>
      <c r="I80" s="914"/>
      <c r="J80" s="914"/>
      <c r="K80" s="914"/>
      <c r="L80" s="914"/>
    </row>
    <row r="81" spans="1:22" ht="57" x14ac:dyDescent="0.2">
      <c r="A81" s="877">
        <v>2</v>
      </c>
      <c r="B81" s="877">
        <f>[87]Source!E322</f>
        <v>205</v>
      </c>
      <c r="C81" s="34" t="s">
        <v>314</v>
      </c>
      <c r="D81" s="34" t="s">
        <v>162</v>
      </c>
      <c r="E81" s="52" t="s">
        <v>105</v>
      </c>
      <c r="F81" s="118">
        <v>2.0299999999999998</v>
      </c>
      <c r="G81" s="17">
        <v>1161826.25</v>
      </c>
      <c r="H81" s="18"/>
      <c r="I81" s="76">
        <v>1</v>
      </c>
      <c r="J81" s="19">
        <f>F81*G81*I81</f>
        <v>2358507.29</v>
      </c>
      <c r="K81" s="76">
        <v>4.83</v>
      </c>
      <c r="L81" s="19">
        <f>J81*K81</f>
        <v>11391590.210000001</v>
      </c>
      <c r="Q81" s="79">
        <f>[86]Source!X292</f>
        <v>0</v>
      </c>
      <c r="R81" s="79">
        <f>[86]Source!X293</f>
        <v>0</v>
      </c>
      <c r="S81" s="79">
        <f>[86]Source!Y292</f>
        <v>0</v>
      </c>
      <c r="T81" s="79">
        <f>[86]Source!Y293</f>
        <v>0</v>
      </c>
      <c r="U81" s="79">
        <f>ROUND((175/100)*ROUND([86]Source!R292, 2), 2)</f>
        <v>0</v>
      </c>
      <c r="V81" s="79">
        <f>ROUND((157/100)*ROUND([86]Source!R293, 2), 2)</f>
        <v>0</v>
      </c>
    </row>
    <row r="82" spans="1:22" ht="71.25" hidden="1" x14ac:dyDescent="0.2">
      <c r="A82" s="877"/>
      <c r="B82" s="877"/>
      <c r="C82" s="15" t="s">
        <v>163</v>
      </c>
      <c r="D82" s="15" t="s">
        <v>168</v>
      </c>
      <c r="E82" s="16" t="str">
        <f>[87]Source!H323</f>
        <v>Основная ЗП рабочих по ТСН-2001.16</v>
      </c>
      <c r="F82" s="76">
        <v>0.78</v>
      </c>
      <c r="G82" s="57">
        <f>J82/F82</f>
        <v>762734.24</v>
      </c>
      <c r="H82" s="58"/>
      <c r="I82" s="59">
        <v>1</v>
      </c>
      <c r="J82" s="57">
        <f>L82/K82</f>
        <v>594932.71</v>
      </c>
      <c r="K82" s="59">
        <v>5.58</v>
      </c>
      <c r="L82" s="57">
        <f>4256057.1*F82</f>
        <v>3319724.54</v>
      </c>
    </row>
    <row r="83" spans="1:22" ht="57" hidden="1" x14ac:dyDescent="0.2">
      <c r="A83" s="877"/>
      <c r="B83" s="877"/>
      <c r="C83" s="15" t="s">
        <v>164</v>
      </c>
      <c r="D83" s="15" t="s">
        <v>169</v>
      </c>
      <c r="E83" s="16" t="str">
        <f>[87]Source!H324</f>
        <v>Строительные работы с НР и СП</v>
      </c>
      <c r="F83" s="76">
        <v>0.13</v>
      </c>
      <c r="G83" s="57">
        <f>J83/F83</f>
        <v>762734.23</v>
      </c>
      <c r="H83" s="58"/>
      <c r="I83" s="59">
        <v>1</v>
      </c>
      <c r="J83" s="57">
        <f>L83/K83</f>
        <v>99155.45</v>
      </c>
      <c r="K83" s="59">
        <v>5.58</v>
      </c>
      <c r="L83" s="57">
        <f>4256057.12*F83</f>
        <v>553287.43000000005</v>
      </c>
    </row>
    <row r="84" spans="1:22" ht="57" hidden="1" x14ac:dyDescent="0.2">
      <c r="A84" s="877"/>
      <c r="B84" s="877"/>
      <c r="C84" s="64" t="s">
        <v>165</v>
      </c>
      <c r="D84" s="15" t="s">
        <v>168</v>
      </c>
      <c r="E84" s="16" t="str">
        <f>[87]Source!H325</f>
        <v>Монтажные работы с НР и СП</v>
      </c>
      <c r="F84" s="76">
        <v>0.37</v>
      </c>
      <c r="G84" s="57">
        <f>J84/F84</f>
        <v>762734.24</v>
      </c>
      <c r="H84" s="58"/>
      <c r="I84" s="59">
        <v>1</v>
      </c>
      <c r="J84" s="57">
        <f>L84/K84</f>
        <v>282211.67</v>
      </c>
      <c r="K84" s="59">
        <v>5.58</v>
      </c>
      <c r="L84" s="57">
        <f>4256057.1*F84</f>
        <v>1574741.13</v>
      </c>
    </row>
    <row r="85" spans="1:22" ht="42.75" hidden="1" x14ac:dyDescent="0.2">
      <c r="A85" s="878"/>
      <c r="B85" s="878"/>
      <c r="C85" s="15" t="s">
        <v>166</v>
      </c>
      <c r="D85" s="15" t="s">
        <v>170</v>
      </c>
      <c r="E85" s="16" t="str">
        <f>[87]Source!H326</f>
        <v>Прочие работы с НР и СП</v>
      </c>
      <c r="F85" s="76">
        <v>0.75</v>
      </c>
      <c r="G85" s="57">
        <f>J85/F85</f>
        <v>762734.25</v>
      </c>
      <c r="H85" s="58"/>
      <c r="I85" s="59">
        <v>1</v>
      </c>
      <c r="J85" s="57">
        <f>L85/K85</f>
        <v>572050.68999999994</v>
      </c>
      <c r="K85" s="59">
        <v>5.58</v>
      </c>
      <c r="L85" s="57">
        <f>4256057.11*F85</f>
        <v>3192042.83</v>
      </c>
    </row>
    <row r="86" spans="1:22" ht="15" x14ac:dyDescent="0.25">
      <c r="A86" s="117"/>
      <c r="B86" s="117"/>
      <c r="C86" s="117"/>
      <c r="D86" s="117"/>
      <c r="E86" s="117"/>
      <c r="F86" s="117"/>
      <c r="G86" s="117"/>
      <c r="H86" s="117"/>
      <c r="I86" s="910">
        <f>J81</f>
        <v>2358507.29</v>
      </c>
      <c r="J86" s="910"/>
      <c r="K86" s="910">
        <f>L81</f>
        <v>11391590.210000001</v>
      </c>
      <c r="L86" s="910"/>
      <c r="O86" s="105">
        <f>J81</f>
        <v>2358507.29</v>
      </c>
      <c r="P86" s="105">
        <f>L81</f>
        <v>11391590.210000001</v>
      </c>
    </row>
    <row r="88" spans="1:22" ht="15" x14ac:dyDescent="0.25">
      <c r="A88" s="911" t="str">
        <f>CONCATENATE("Итого по подразделу: ",IF([86]Source!G307&lt;&gt;"Новый подраздел", [86]Source!G307, ""))</f>
        <v>Итого по подразделу: Кабельная продукция</v>
      </c>
      <c r="B88" s="911"/>
      <c r="C88" s="911"/>
      <c r="D88" s="911"/>
      <c r="E88" s="911"/>
      <c r="F88" s="911"/>
      <c r="G88" s="911"/>
      <c r="H88" s="911"/>
      <c r="I88" s="912">
        <f>I86</f>
        <v>2358507.29</v>
      </c>
      <c r="J88" s="913"/>
      <c r="K88" s="912">
        <f>K86</f>
        <v>11391590.210000001</v>
      </c>
      <c r="L88" s="913"/>
    </row>
    <row r="89" spans="1:22" hidden="1" x14ac:dyDescent="0.2">
      <c r="A89" s="79" t="s">
        <v>139</v>
      </c>
      <c r="J89" s="79">
        <f>SUM(W80:W88)</f>
        <v>0</v>
      </c>
      <c r="K89" s="79">
        <f>SUM(X80:X88)</f>
        <v>0</v>
      </c>
    </row>
    <row r="90" spans="1:22" hidden="1" x14ac:dyDescent="0.2">
      <c r="A90" s="79" t="s">
        <v>140</v>
      </c>
      <c r="J90" s="79">
        <f>SUM(Y80:Y89)</f>
        <v>0</v>
      </c>
      <c r="K90" s="79">
        <f>SUM(Z80:Z89)</f>
        <v>0</v>
      </c>
    </row>
    <row r="92" spans="1:22" ht="15" x14ac:dyDescent="0.25">
      <c r="A92" s="911" t="str">
        <f>CONCATENATE("Итого по разделу: ",IF([86]Source!G380&lt;&gt;"Новый раздел", [86]Source!G380, ""))</f>
        <v>Итого по разделу: Материалы, не учтенные в цене монтажа</v>
      </c>
      <c r="B92" s="911"/>
      <c r="C92" s="911"/>
      <c r="D92" s="911"/>
      <c r="E92" s="911"/>
      <c r="F92" s="911"/>
      <c r="G92" s="911"/>
      <c r="H92" s="911"/>
      <c r="I92" s="912">
        <f>I88</f>
        <v>2358507.29</v>
      </c>
      <c r="J92" s="913"/>
      <c r="K92" s="912">
        <f>K88</f>
        <v>11391590.210000001</v>
      </c>
      <c r="L92" s="913"/>
    </row>
    <row r="93" spans="1:22" hidden="1" x14ac:dyDescent="0.2">
      <c r="A93" s="79" t="s">
        <v>139</v>
      </c>
      <c r="J93" s="79">
        <f>SUM(W78:W92)</f>
        <v>0</v>
      </c>
      <c r="K93" s="79">
        <f>SUM(X78:X92)</f>
        <v>0</v>
      </c>
    </row>
    <row r="94" spans="1:22" hidden="1" x14ac:dyDescent="0.2">
      <c r="A94" s="79" t="s">
        <v>140</v>
      </c>
      <c r="J94" s="79">
        <f>SUM(Y78:Y93)</f>
        <v>0</v>
      </c>
      <c r="K94" s="79">
        <f>SUM(Z78:Z93)</f>
        <v>0</v>
      </c>
    </row>
    <row r="96" spans="1:22" ht="15" x14ac:dyDescent="0.25">
      <c r="A96" s="900" t="s">
        <v>113</v>
      </c>
      <c r="B96" s="900"/>
      <c r="C96" s="900"/>
      <c r="D96" s="900"/>
      <c r="E96" s="900"/>
      <c r="F96" s="900"/>
      <c r="G96" s="900"/>
      <c r="H96" s="900"/>
      <c r="I96" s="36"/>
      <c r="J96" s="37">
        <f>I74+I92</f>
        <v>2506393.21</v>
      </c>
      <c r="K96" s="36"/>
      <c r="L96" s="37">
        <f>K74+K92</f>
        <v>13909366.33</v>
      </c>
    </row>
    <row r="97" spans="1:12" s="38" customFormat="1" ht="14.25" x14ac:dyDescent="0.2">
      <c r="D97" s="39" t="s">
        <v>114</v>
      </c>
      <c r="E97" s="39"/>
      <c r="F97" s="39"/>
      <c r="G97" s="39"/>
      <c r="H97" s="39"/>
      <c r="I97" s="902">
        <f>SUMIF(D35:D88,"МР",J35:J88)+I86</f>
        <v>2359475.0299999998</v>
      </c>
      <c r="J97" s="903"/>
      <c r="K97" s="902">
        <f>SUMIF(D35:D88,"МР",L35:L88)+K86</f>
        <v>11396990.199999999</v>
      </c>
      <c r="L97" s="903"/>
    </row>
    <row r="98" spans="1:12" s="38" customFormat="1" ht="14.25" x14ac:dyDescent="0.2">
      <c r="D98" s="39" t="s">
        <v>115</v>
      </c>
      <c r="E98" s="39"/>
      <c r="F98" s="39"/>
      <c r="G98" s="39"/>
      <c r="H98" s="39"/>
      <c r="I98" s="871">
        <f>SUMIF(D35:D88,"в т.ч. ЗПМ",J35:J88)</f>
        <v>12680.08</v>
      </c>
      <c r="J98" s="871"/>
      <c r="K98" s="871">
        <f>SUMIF(D35:D88,"в т.ч. ЗПМ",L35:L88)</f>
        <v>307238.34000000003</v>
      </c>
      <c r="L98" s="871"/>
    </row>
    <row r="99" spans="1:12" s="38" customFormat="1" ht="14.25" x14ac:dyDescent="0.2">
      <c r="D99" s="39" t="s">
        <v>116</v>
      </c>
      <c r="E99" s="39"/>
      <c r="F99" s="39"/>
      <c r="G99" s="39"/>
      <c r="H99" s="39"/>
      <c r="I99" s="871">
        <f>SUMIF(D35:D88,"ЗП",J35:J88)</f>
        <v>26974.6</v>
      </c>
      <c r="J99" s="871"/>
      <c r="K99" s="871">
        <f>SUMIF(D35:D88,"ЗП",L35:L88)</f>
        <v>653594.56000000006</v>
      </c>
      <c r="L99" s="871"/>
    </row>
    <row r="100" spans="1:12" s="38" customFormat="1" ht="14.25" x14ac:dyDescent="0.2">
      <c r="D100" s="39" t="s">
        <v>117</v>
      </c>
      <c r="E100" s="39"/>
      <c r="F100" s="39"/>
      <c r="G100" s="39"/>
      <c r="H100" s="39"/>
      <c r="I100" s="871">
        <f>SUMIF(D35:D88,"НР от ЗП",J35:J88)</f>
        <v>30211.55</v>
      </c>
      <c r="J100" s="871"/>
      <c r="K100" s="871">
        <f>SUMIF(D35:D88,"НР от ЗП",L35:L88)</f>
        <v>588235.1</v>
      </c>
      <c r="L100" s="871"/>
    </row>
    <row r="101" spans="1:12" s="38" customFormat="1" ht="14.25" x14ac:dyDescent="0.2">
      <c r="D101" s="39" t="s">
        <v>118</v>
      </c>
      <c r="E101" s="39"/>
      <c r="F101" s="39"/>
      <c r="G101" s="39"/>
      <c r="H101" s="39"/>
      <c r="I101" s="871">
        <f>SUMIF(D35:D88,"СП от ЗП",J35:J88)</f>
        <v>18882.22</v>
      </c>
      <c r="J101" s="871"/>
      <c r="K101" s="871">
        <f>SUMIF(D35:D88,"СП от ЗП",L35:L88)</f>
        <v>281045.65999999997</v>
      </c>
      <c r="L101" s="871"/>
    </row>
    <row r="102" spans="1:12" ht="14.25" x14ac:dyDescent="0.2">
      <c r="A102" s="40"/>
      <c r="B102" s="40"/>
      <c r="C102" s="40"/>
      <c r="D102" s="40"/>
      <c r="E102" s="40"/>
      <c r="F102" s="40"/>
      <c r="G102" s="40"/>
      <c r="H102" s="40"/>
      <c r="I102" s="36"/>
      <c r="J102" s="36"/>
      <c r="K102" s="36"/>
      <c r="L102" s="36"/>
    </row>
    <row r="103" spans="1:12" ht="14.25" x14ac:dyDescent="0.2">
      <c r="A103" s="40"/>
      <c r="B103" s="40"/>
      <c r="C103" s="40"/>
      <c r="D103" s="40"/>
      <c r="E103" s="40"/>
      <c r="F103" s="40"/>
      <c r="G103" s="40"/>
      <c r="H103" s="40"/>
      <c r="I103" s="36"/>
      <c r="J103" s="36"/>
      <c r="K103" s="36"/>
      <c r="L103" s="36"/>
    </row>
    <row r="104" spans="1:12" ht="14.25" x14ac:dyDescent="0.2">
      <c r="A104" s="40"/>
      <c r="B104" s="40"/>
      <c r="C104" s="40"/>
      <c r="D104" s="874" t="s">
        <v>268</v>
      </c>
      <c r="E104" s="874"/>
      <c r="F104" s="874"/>
      <c r="G104" s="213"/>
      <c r="H104" s="213"/>
      <c r="I104" s="214"/>
      <c r="J104" s="215">
        <f>J96</f>
        <v>2506393.21</v>
      </c>
      <c r="K104" s="215"/>
      <c r="L104" s="215">
        <f>L96</f>
        <v>13909366.33</v>
      </c>
    </row>
    <row r="105" spans="1:12" ht="14.25" x14ac:dyDescent="0.2">
      <c r="A105" s="40"/>
      <c r="B105" s="40"/>
      <c r="C105" s="40"/>
      <c r="D105" s="872" t="s">
        <v>3</v>
      </c>
      <c r="E105" s="872"/>
      <c r="F105" s="872"/>
      <c r="G105" s="218"/>
      <c r="H105" s="218"/>
      <c r="I105" s="219"/>
      <c r="J105" s="215">
        <f>J104</f>
        <v>2506393.21</v>
      </c>
      <c r="K105"/>
      <c r="L105" s="220">
        <f>L104</f>
        <v>13909366.33</v>
      </c>
    </row>
    <row r="106" spans="1:12" ht="14.25" x14ac:dyDescent="0.2">
      <c r="A106" s="40"/>
      <c r="B106" s="40"/>
      <c r="C106" s="40"/>
      <c r="D106" s="872" t="s">
        <v>269</v>
      </c>
      <c r="E106" s="872"/>
      <c r="F106" s="872"/>
      <c r="G106" s="218"/>
      <c r="H106" s="218"/>
      <c r="I106" s="221"/>
      <c r="J106" s="222">
        <f>I99+I98</f>
        <v>39654.68</v>
      </c>
      <c r="K106" s="222"/>
      <c r="L106" s="222">
        <f>K99+K98</f>
        <v>960832.9</v>
      </c>
    </row>
    <row r="107" spans="1:12" ht="14.25" x14ac:dyDescent="0.2">
      <c r="A107" s="40"/>
      <c r="B107" s="40"/>
      <c r="C107" s="40"/>
      <c r="D107" s="872" t="s">
        <v>270</v>
      </c>
      <c r="E107" s="872"/>
      <c r="F107" s="872"/>
      <c r="G107" s="218"/>
      <c r="H107" s="218"/>
      <c r="I107" s="221"/>
      <c r="J107" s="222">
        <f>I97</f>
        <v>2359475.0299999998</v>
      </c>
      <c r="K107" s="222"/>
      <c r="L107" s="222">
        <f>K97</f>
        <v>11396990.199999999</v>
      </c>
    </row>
    <row r="108" spans="1:12" ht="14.25" x14ac:dyDescent="0.2">
      <c r="A108" s="40"/>
      <c r="B108" s="40"/>
      <c r="C108" s="40"/>
      <c r="D108" s="872" t="s">
        <v>271</v>
      </c>
      <c r="E108" s="872"/>
      <c r="F108" s="872"/>
      <c r="G108" s="218"/>
      <c r="H108" s="218"/>
      <c r="I108" s="221"/>
      <c r="J108" s="215">
        <v>0</v>
      </c>
      <c r="K108" s="223"/>
      <c r="L108" s="220">
        <v>0</v>
      </c>
    </row>
    <row r="109" spans="1:12" ht="14.25" x14ac:dyDescent="0.2">
      <c r="A109" s="40"/>
      <c r="B109" s="40"/>
      <c r="C109" s="40"/>
      <c r="D109" s="872" t="s">
        <v>272</v>
      </c>
      <c r="E109" s="872"/>
      <c r="F109" s="872"/>
      <c r="G109" s="224"/>
      <c r="H109" s="224"/>
      <c r="I109" s="225"/>
      <c r="J109" s="226">
        <f>J105*5.61%</f>
        <v>140608.66</v>
      </c>
      <c r="K109" s="223"/>
      <c r="L109" s="226">
        <f>L105*5.61%</f>
        <v>780315.45</v>
      </c>
    </row>
    <row r="110" spans="1:12" ht="15" x14ac:dyDescent="0.25">
      <c r="A110" s="40"/>
      <c r="B110" s="40"/>
      <c r="C110" s="40"/>
      <c r="D110" s="873" t="s">
        <v>273</v>
      </c>
      <c r="E110" s="873"/>
      <c r="F110" s="873"/>
      <c r="G110" s="228"/>
      <c r="H110" s="228"/>
      <c r="I110" s="229"/>
      <c r="J110" s="230">
        <f>ROUND(J105+J109,2)</f>
        <v>2647001.87</v>
      </c>
      <c r="K110" s="223"/>
      <c r="L110" s="231">
        <f>ROUND(L105+L109,2)</f>
        <v>14689681.779999999</v>
      </c>
    </row>
    <row r="111" spans="1:12" ht="14.25" x14ac:dyDescent="0.2">
      <c r="A111" s="40"/>
      <c r="B111" s="40"/>
      <c r="C111" s="40"/>
      <c r="D111" s="872" t="s">
        <v>274</v>
      </c>
      <c r="E111" s="872"/>
      <c r="F111" s="872"/>
      <c r="G111" s="224"/>
      <c r="H111" s="224"/>
      <c r="I111" s="225"/>
      <c r="J111" s="226">
        <f>J106*0.15</f>
        <v>5948.2</v>
      </c>
      <c r="K111" s="232"/>
      <c r="L111" s="232">
        <f>L106*0.15</f>
        <v>144124.94</v>
      </c>
    </row>
    <row r="112" spans="1:12" ht="15" x14ac:dyDescent="0.25">
      <c r="A112" s="40"/>
      <c r="B112" s="40"/>
      <c r="C112" s="40"/>
      <c r="D112" s="873" t="s">
        <v>275</v>
      </c>
      <c r="E112" s="873"/>
      <c r="F112" s="873"/>
      <c r="G112" s="228"/>
      <c r="H112" s="228"/>
      <c r="I112" s="229"/>
      <c r="J112" s="230">
        <f>J110+J111</f>
        <v>2652950.0699999998</v>
      </c>
      <c r="K112" s="223"/>
      <c r="L112" s="231">
        <f>L110+L111</f>
        <v>14833806.720000001</v>
      </c>
    </row>
    <row r="113" spans="1:12" ht="14.25" x14ac:dyDescent="0.2">
      <c r="A113" s="40"/>
      <c r="B113" s="40"/>
      <c r="C113" s="40"/>
      <c r="D113" s="233"/>
      <c r="E113" s="233"/>
      <c r="F113" s="233"/>
      <c r="G113" s="234"/>
      <c r="H113" s="234"/>
      <c r="I113" s="235"/>
      <c r="J113" s="236"/>
      <c r="K113"/>
      <c r="L113" s="237"/>
    </row>
    <row r="114" spans="1:12" ht="14.25" x14ac:dyDescent="0.2">
      <c r="D114" s="874" t="s">
        <v>276</v>
      </c>
      <c r="E114" s="874"/>
      <c r="F114" s="874"/>
      <c r="G114" s="238"/>
      <c r="H114" s="238"/>
      <c r="I114" s="238"/>
      <c r="J114" s="238"/>
      <c r="K114" s="876">
        <f>L104*0.975</f>
        <v>13561632.17</v>
      </c>
      <c r="L114" s="876"/>
    </row>
    <row r="115" spans="1:12" ht="14.25" x14ac:dyDescent="0.2">
      <c r="D115" s="872" t="s">
        <v>277</v>
      </c>
      <c r="E115" s="872"/>
      <c r="F115" s="872"/>
      <c r="G115" s="224"/>
      <c r="H115" s="224"/>
      <c r="I115" s="224"/>
      <c r="J115" s="224"/>
      <c r="K115" s="869">
        <f>L105*0.975</f>
        <v>13561632.17</v>
      </c>
      <c r="L115" s="869"/>
    </row>
    <row r="116" spans="1:12" ht="14.25" x14ac:dyDescent="0.2">
      <c r="D116" s="872" t="s">
        <v>278</v>
      </c>
      <c r="E116" s="872"/>
      <c r="F116" s="872"/>
      <c r="G116" s="224"/>
      <c r="H116" s="224"/>
      <c r="I116" s="224"/>
      <c r="J116" s="224"/>
      <c r="K116" s="869">
        <f>L106*0.975</f>
        <v>936812.08</v>
      </c>
      <c r="L116" s="869"/>
    </row>
    <row r="117" spans="1:12" ht="14.25" x14ac:dyDescent="0.2">
      <c r="D117" s="872" t="s">
        <v>279</v>
      </c>
      <c r="E117" s="872"/>
      <c r="F117" s="872"/>
      <c r="G117" s="224"/>
      <c r="H117" s="224"/>
      <c r="I117" s="224"/>
      <c r="J117" s="224"/>
      <c r="K117" s="869">
        <f>L107*0.975</f>
        <v>11112065.449999999</v>
      </c>
      <c r="L117" s="869"/>
    </row>
    <row r="118" spans="1:12" ht="14.25" x14ac:dyDescent="0.2">
      <c r="D118" s="872" t="s">
        <v>280</v>
      </c>
      <c r="E118" s="872"/>
      <c r="F118" s="872"/>
      <c r="G118" s="224"/>
      <c r="H118" s="224"/>
      <c r="I118" s="224"/>
      <c r="J118" s="224"/>
      <c r="K118" s="869">
        <v>0</v>
      </c>
      <c r="L118" s="869"/>
    </row>
    <row r="119" spans="1:12" ht="14.25" x14ac:dyDescent="0.2">
      <c r="D119" s="872" t="s">
        <v>281</v>
      </c>
      <c r="E119" s="872"/>
      <c r="F119" s="872"/>
      <c r="G119" s="224"/>
      <c r="H119" s="224"/>
      <c r="I119" s="224"/>
      <c r="J119" s="224"/>
      <c r="K119" s="869">
        <f>K115*0.0561</f>
        <v>760807.56</v>
      </c>
      <c r="L119" s="869"/>
    </row>
    <row r="120" spans="1:12" ht="15" x14ac:dyDescent="0.25">
      <c r="D120" s="873" t="s">
        <v>282</v>
      </c>
      <c r="E120" s="873"/>
      <c r="F120" s="873"/>
      <c r="G120" s="228"/>
      <c r="H120" s="228"/>
      <c r="I120" s="228"/>
      <c r="J120" s="228"/>
      <c r="K120" s="870">
        <f>ROUND(K115+K119,2)</f>
        <v>14322439.73</v>
      </c>
      <c r="L120" s="870"/>
    </row>
    <row r="121" spans="1:12" ht="15" x14ac:dyDescent="0.25">
      <c r="D121" s="872" t="s">
        <v>283</v>
      </c>
      <c r="E121" s="872"/>
      <c r="F121" s="872"/>
      <c r="G121" s="224"/>
      <c r="H121" s="224"/>
      <c r="I121" s="224"/>
      <c r="J121" s="224"/>
      <c r="K121" s="870">
        <f>L111*0.975</f>
        <v>140521.82</v>
      </c>
      <c r="L121" s="870"/>
    </row>
    <row r="122" spans="1:12" ht="15" x14ac:dyDescent="0.25">
      <c r="D122" s="873" t="s">
        <v>275</v>
      </c>
      <c r="E122" s="873"/>
      <c r="F122" s="873"/>
      <c r="G122" s="228"/>
      <c r="H122" s="228"/>
      <c r="I122" s="228"/>
      <c r="J122" s="228"/>
      <c r="K122" s="231"/>
      <c r="L122" s="231">
        <f>K120+K121</f>
        <v>14462961.550000001</v>
      </c>
    </row>
    <row r="123" spans="1:12" ht="15" x14ac:dyDescent="0.25">
      <c r="D123" s="240"/>
      <c r="E123" s="241"/>
      <c r="F123" s="241"/>
      <c r="G123" s="241"/>
      <c r="H123" s="241"/>
      <c r="I123" s="242"/>
      <c r="J123" s="242"/>
      <c r="K123" s="242"/>
      <c r="L123" s="242"/>
    </row>
    <row r="124" spans="1:12" ht="14.25" x14ac:dyDescent="0.2">
      <c r="D124" s="874" t="s">
        <v>284</v>
      </c>
      <c r="E124" s="874"/>
      <c r="F124" s="874"/>
      <c r="G124" s="238"/>
      <c r="H124" s="238"/>
      <c r="I124" s="238"/>
      <c r="J124" s="238"/>
      <c r="K124" s="216"/>
      <c r="L124" s="239">
        <f>K114*0.998999999999673</f>
        <v>13548070.539999999</v>
      </c>
    </row>
    <row r="125" spans="1:12" ht="14.25" x14ac:dyDescent="0.2">
      <c r="D125" s="872" t="s">
        <v>285</v>
      </c>
      <c r="E125" s="872"/>
      <c r="F125" s="872"/>
      <c r="G125" s="224"/>
      <c r="H125" s="224"/>
      <c r="I125" s="224"/>
      <c r="J125" s="224"/>
      <c r="K125" s="223"/>
      <c r="L125" s="227">
        <f>K115*0.998999999999673</f>
        <v>13548070.539999999</v>
      </c>
    </row>
    <row r="126" spans="1:12" ht="14.25" x14ac:dyDescent="0.2">
      <c r="D126" s="872" t="s">
        <v>286</v>
      </c>
      <c r="E126" s="872"/>
      <c r="F126" s="872"/>
      <c r="G126" s="224"/>
      <c r="H126" s="224"/>
      <c r="I126" s="224"/>
      <c r="J126" s="224"/>
      <c r="K126" s="223"/>
      <c r="L126" s="227">
        <f>K116*0.998999999999673</f>
        <v>935875.27</v>
      </c>
    </row>
    <row r="127" spans="1:12" ht="14.25" x14ac:dyDescent="0.2">
      <c r="D127" s="872" t="s">
        <v>287</v>
      </c>
      <c r="E127" s="872"/>
      <c r="F127" s="872"/>
      <c r="G127" s="224"/>
      <c r="H127" s="224"/>
      <c r="I127" s="224"/>
      <c r="J127" s="224"/>
      <c r="K127" s="223"/>
      <c r="L127" s="227">
        <f>K117*0.998999999999673</f>
        <v>11100953.380000001</v>
      </c>
    </row>
    <row r="128" spans="1:12" ht="14.25" x14ac:dyDescent="0.2">
      <c r="D128" s="872" t="s">
        <v>288</v>
      </c>
      <c r="E128" s="872"/>
      <c r="F128" s="872"/>
      <c r="G128" s="224"/>
      <c r="H128" s="224"/>
      <c r="I128" s="224"/>
      <c r="J128" s="224"/>
      <c r="K128" s="223"/>
      <c r="L128" s="227">
        <v>0</v>
      </c>
    </row>
    <row r="129" spans="4:12" ht="14.25" x14ac:dyDescent="0.2">
      <c r="D129" s="872" t="s">
        <v>289</v>
      </c>
      <c r="E129" s="872"/>
      <c r="F129" s="872"/>
      <c r="G129" s="224"/>
      <c r="H129" s="224"/>
      <c r="I129" s="224"/>
      <c r="J129" s="224"/>
      <c r="K129" s="216"/>
      <c r="L129" s="227">
        <f>L125*0.0561</f>
        <v>760046.76</v>
      </c>
    </row>
    <row r="130" spans="4:12" ht="15" x14ac:dyDescent="0.25">
      <c r="D130" s="873" t="s">
        <v>290</v>
      </c>
      <c r="E130" s="873"/>
      <c r="F130" s="873"/>
      <c r="G130" s="228"/>
      <c r="H130" s="228"/>
      <c r="I130" s="228"/>
      <c r="J130" s="228"/>
      <c r="K130" s="223"/>
      <c r="L130" s="231">
        <f>ROUND(L125+L129,2)</f>
        <v>14308117.300000001</v>
      </c>
    </row>
    <row r="131" spans="4:12" ht="15" x14ac:dyDescent="0.25">
      <c r="D131" s="872" t="s">
        <v>291</v>
      </c>
      <c r="E131" s="872"/>
      <c r="F131" s="872"/>
      <c r="G131" s="224"/>
      <c r="H131" s="224"/>
      <c r="I131" s="224"/>
      <c r="J131" s="224"/>
      <c r="K131" s="223"/>
      <c r="L131" s="231">
        <f>K121*0.998999999999673</f>
        <v>140381.29999999999</v>
      </c>
    </row>
    <row r="132" spans="4:12" ht="15" x14ac:dyDescent="0.25">
      <c r="D132" s="873" t="s">
        <v>275</v>
      </c>
      <c r="E132" s="873"/>
      <c r="F132" s="873"/>
      <c r="G132" s="228"/>
      <c r="H132" s="228"/>
      <c r="I132" s="228"/>
      <c r="J132" s="228"/>
      <c r="K132" s="223"/>
      <c r="L132" s="231">
        <f>L130+L131</f>
        <v>14448498.6</v>
      </c>
    </row>
  </sheetData>
  <mergeCells count="121">
    <mergeCell ref="I2:L2"/>
    <mergeCell ref="I3:L3"/>
    <mergeCell ref="I4:L4"/>
    <mergeCell ref="J6:L6"/>
    <mergeCell ref="J7:L7"/>
    <mergeCell ref="C18:H18"/>
    <mergeCell ref="J18:L19"/>
    <mergeCell ref="C19:H19"/>
    <mergeCell ref="C9:H9"/>
    <mergeCell ref="C10:H10"/>
    <mergeCell ref="J10:L11"/>
    <mergeCell ref="C11:H11"/>
    <mergeCell ref="C12:H12"/>
    <mergeCell ref="J12:L13"/>
    <mergeCell ref="C13:H13"/>
    <mergeCell ref="J8:L9"/>
    <mergeCell ref="C14:H14"/>
    <mergeCell ref="J14:L15"/>
    <mergeCell ref="C15:H15"/>
    <mergeCell ref="C16:H16"/>
    <mergeCell ref="C17:H17"/>
    <mergeCell ref="A30:L30"/>
    <mergeCell ref="C20:H20"/>
    <mergeCell ref="G21:I21"/>
    <mergeCell ref="J21:L21"/>
    <mergeCell ref="G22:H22"/>
    <mergeCell ref="J22:L22"/>
    <mergeCell ref="J23:L23"/>
    <mergeCell ref="J24:L24"/>
    <mergeCell ref="G26:G27"/>
    <mergeCell ref="H26:H27"/>
    <mergeCell ref="I26:J26"/>
    <mergeCell ref="A29:L29"/>
    <mergeCell ref="I66:J66"/>
    <mergeCell ref="K66:L66"/>
    <mergeCell ref="A47:L47"/>
    <mergeCell ref="E32:G32"/>
    <mergeCell ref="A39:L39"/>
    <mergeCell ref="A40:B40"/>
    <mergeCell ref="C40:C44"/>
    <mergeCell ref="D40:D44"/>
    <mergeCell ref="E40:E44"/>
    <mergeCell ref="F40:F44"/>
    <mergeCell ref="G40:G44"/>
    <mergeCell ref="H40:H44"/>
    <mergeCell ref="I40:I44"/>
    <mergeCell ref="J40:J44"/>
    <mergeCell ref="K40:K44"/>
    <mergeCell ref="L40:L44"/>
    <mergeCell ref="A41:A44"/>
    <mergeCell ref="B41:B44"/>
    <mergeCell ref="D107:F107"/>
    <mergeCell ref="K92:L92"/>
    <mergeCell ref="A96:H96"/>
    <mergeCell ref="K97:L97"/>
    <mergeCell ref="I98:J98"/>
    <mergeCell ref="K98:L98"/>
    <mergeCell ref="I99:J99"/>
    <mergeCell ref="K99:L99"/>
    <mergeCell ref="I100:J100"/>
    <mergeCell ref="K100:L100"/>
    <mergeCell ref="I101:J101"/>
    <mergeCell ref="K101:L101"/>
    <mergeCell ref="D104:F104"/>
    <mergeCell ref="D105:F105"/>
    <mergeCell ref="D106:F106"/>
    <mergeCell ref="E31:G31"/>
    <mergeCell ref="A81:A85"/>
    <mergeCell ref="B81:B85"/>
    <mergeCell ref="I86:J86"/>
    <mergeCell ref="I97:J97"/>
    <mergeCell ref="A92:H92"/>
    <mergeCell ref="I92:J92"/>
    <mergeCell ref="A78:L78"/>
    <mergeCell ref="A80:L80"/>
    <mergeCell ref="K86:L86"/>
    <mergeCell ref="A88:H88"/>
    <mergeCell ref="I88:J88"/>
    <mergeCell ref="K88:L88"/>
    <mergeCell ref="A68:H68"/>
    <mergeCell ref="I68:J68"/>
    <mergeCell ref="K68:L68"/>
    <mergeCell ref="A74:H74"/>
    <mergeCell ref="I74:J74"/>
    <mergeCell ref="K74:L74"/>
    <mergeCell ref="A49:L49"/>
    <mergeCell ref="I59:J59"/>
    <mergeCell ref="K59:L59"/>
    <mergeCell ref="I64:J64"/>
    <mergeCell ref="K64:L64"/>
    <mergeCell ref="D108:F108"/>
    <mergeCell ref="D109:F109"/>
    <mergeCell ref="D110:F110"/>
    <mergeCell ref="D111:F111"/>
    <mergeCell ref="D112:F112"/>
    <mergeCell ref="D130:F130"/>
    <mergeCell ref="D131:F131"/>
    <mergeCell ref="D132:F132"/>
    <mergeCell ref="D125:F125"/>
    <mergeCell ref="D126:F126"/>
    <mergeCell ref="D127:F127"/>
    <mergeCell ref="D128:F128"/>
    <mergeCell ref="D129:F129"/>
    <mergeCell ref="D119:F119"/>
    <mergeCell ref="D120:F120"/>
    <mergeCell ref="D121:F121"/>
    <mergeCell ref="D122:F122"/>
    <mergeCell ref="D124:F124"/>
    <mergeCell ref="D117:F117"/>
    <mergeCell ref="K120:L120"/>
    <mergeCell ref="K121:L121"/>
    <mergeCell ref="D114:F114"/>
    <mergeCell ref="K114:L114"/>
    <mergeCell ref="D115:F115"/>
    <mergeCell ref="K115:L115"/>
    <mergeCell ref="D116:F116"/>
    <mergeCell ref="K116:L116"/>
    <mergeCell ref="K117:L117"/>
    <mergeCell ref="K118:L118"/>
    <mergeCell ref="K119:L119"/>
    <mergeCell ref="D118:F118"/>
  </mergeCells>
  <pageMargins left="0.4" right="0.2" top="0.2" bottom="0.4" header="0.2" footer="0.2"/>
  <pageSetup paperSize="9" scale="63" fitToHeight="0" orientation="portrait" r:id="rId1"/>
  <headerFooter>
    <oddHeader>&amp;L&amp;8</oddHeader>
    <oddFooter>&amp;R&amp;P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AM228"/>
  <sheetViews>
    <sheetView workbookViewId="0"/>
  </sheetViews>
  <sheetFormatPr defaultColWidth="9.33203125" defaultRowHeight="12.75" x14ac:dyDescent="0.2"/>
  <cols>
    <col min="1" max="2" width="6.6640625" style="79" customWidth="1"/>
    <col min="3" max="3" width="13.6640625" style="79" customWidth="1"/>
    <col min="4" max="4" width="47.5" style="79" customWidth="1"/>
    <col min="5" max="7" width="13.6640625" style="79" customWidth="1"/>
    <col min="8" max="8" width="14.83203125" style="79" customWidth="1"/>
    <col min="9" max="9" width="14.33203125" style="79" customWidth="1"/>
    <col min="10" max="12" width="14.83203125" style="79" customWidth="1"/>
    <col min="13" max="14" width="9.33203125" style="79"/>
    <col min="15" max="30" width="0" style="79" hidden="1" customWidth="1"/>
    <col min="31" max="31" width="181.6640625" style="79" hidden="1" customWidth="1"/>
    <col min="32" max="32" width="128" style="79" hidden="1" customWidth="1"/>
    <col min="33" max="36" width="0" style="79" hidden="1" customWidth="1"/>
    <col min="37" max="16384" width="9.33203125" style="79"/>
  </cols>
  <sheetData>
    <row r="1" spans="1:12" x14ac:dyDescent="0.2">
      <c r="A1" s="78" t="s">
        <v>304</v>
      </c>
    </row>
    <row r="2" spans="1:12" ht="15" x14ac:dyDescent="0.25">
      <c r="A2" s="80"/>
      <c r="B2" s="80"/>
      <c r="C2" s="81"/>
      <c r="D2" s="81"/>
      <c r="E2" s="81"/>
      <c r="F2" s="80"/>
      <c r="G2" s="80"/>
      <c r="H2" s="80"/>
      <c r="I2" s="933" t="s">
        <v>36</v>
      </c>
      <c r="J2" s="933"/>
      <c r="K2" s="933"/>
      <c r="L2" s="933"/>
    </row>
    <row r="3" spans="1:12" ht="14.25" x14ac:dyDescent="0.2">
      <c r="A3" s="80"/>
      <c r="B3" s="80"/>
      <c r="C3" s="80"/>
      <c r="D3" s="80"/>
      <c r="E3" s="80"/>
      <c r="F3" s="80"/>
      <c r="G3" s="80"/>
      <c r="H3" s="80"/>
      <c r="I3" s="933" t="s">
        <v>37</v>
      </c>
      <c r="J3" s="933"/>
      <c r="K3" s="933"/>
      <c r="L3" s="933"/>
    </row>
    <row r="4" spans="1:12" ht="14.25" x14ac:dyDescent="0.2">
      <c r="A4" s="80"/>
      <c r="B4" s="80"/>
      <c r="C4" s="80"/>
      <c r="D4" s="80"/>
      <c r="E4" s="80"/>
      <c r="F4" s="80"/>
      <c r="G4" s="80"/>
      <c r="H4" s="80"/>
      <c r="I4" s="933" t="s">
        <v>38</v>
      </c>
      <c r="J4" s="933"/>
      <c r="K4" s="933"/>
      <c r="L4" s="933"/>
    </row>
    <row r="5" spans="1:12" ht="14.25" x14ac:dyDescent="0.2">
      <c r="A5" s="80"/>
      <c r="B5" s="80"/>
      <c r="C5" s="80"/>
      <c r="D5" s="80"/>
      <c r="E5" s="80"/>
      <c r="F5" s="80"/>
      <c r="G5" s="80"/>
      <c r="H5" s="80"/>
      <c r="I5" s="80"/>
      <c r="J5" s="80"/>
      <c r="K5" s="80"/>
      <c r="L5" s="80"/>
    </row>
    <row r="6" spans="1:12" ht="14.25" x14ac:dyDescent="0.2">
      <c r="A6" s="80"/>
      <c r="B6" s="80"/>
      <c r="C6" s="80"/>
      <c r="D6" s="80"/>
      <c r="E6" s="80"/>
      <c r="F6" s="80"/>
      <c r="G6" s="80"/>
      <c r="H6" s="80"/>
      <c r="I6" s="80"/>
      <c r="J6" s="925" t="s">
        <v>39</v>
      </c>
      <c r="K6" s="925"/>
      <c r="L6" s="925"/>
    </row>
    <row r="7" spans="1:12" ht="14.25" x14ac:dyDescent="0.2">
      <c r="A7" s="80"/>
      <c r="B7" s="80"/>
      <c r="C7" s="80"/>
      <c r="D7" s="80"/>
      <c r="E7" s="80"/>
      <c r="F7" s="80"/>
      <c r="G7" s="80"/>
      <c r="H7" s="80"/>
      <c r="I7" s="82" t="s">
        <v>40</v>
      </c>
      <c r="J7" s="934" t="s">
        <v>41</v>
      </c>
      <c r="K7" s="934"/>
      <c r="L7" s="934"/>
    </row>
    <row r="8" spans="1:12" ht="14.25" x14ac:dyDescent="0.2">
      <c r="A8" s="80"/>
      <c r="B8" s="80"/>
      <c r="C8" s="80"/>
      <c r="D8" s="80"/>
      <c r="E8" s="80"/>
      <c r="F8" s="80"/>
      <c r="G8" s="80"/>
      <c r="H8" s="80"/>
      <c r="I8" s="80"/>
      <c r="J8" s="925" t="s">
        <v>42</v>
      </c>
      <c r="K8" s="925"/>
      <c r="L8" s="925"/>
    </row>
    <row r="9" spans="1:12" ht="14.25" x14ac:dyDescent="0.2">
      <c r="A9" s="80" t="s">
        <v>305</v>
      </c>
      <c r="B9" s="80"/>
      <c r="C9" s="916" t="s">
        <v>306</v>
      </c>
      <c r="D9" s="916"/>
      <c r="E9" s="916"/>
      <c r="F9" s="916"/>
      <c r="G9" s="916"/>
      <c r="H9" s="916"/>
      <c r="I9" s="82" t="s">
        <v>43</v>
      </c>
      <c r="J9" s="925"/>
      <c r="K9" s="925"/>
      <c r="L9" s="925"/>
    </row>
    <row r="10" spans="1:12" ht="14.25" x14ac:dyDescent="0.2">
      <c r="A10" s="80"/>
      <c r="B10" s="80"/>
      <c r="C10" s="922" t="s">
        <v>44</v>
      </c>
      <c r="D10" s="922"/>
      <c r="E10" s="922"/>
      <c r="F10" s="922"/>
      <c r="G10" s="922"/>
      <c r="H10" s="922"/>
      <c r="I10" s="80"/>
      <c r="J10" s="936">
        <v>4694376</v>
      </c>
      <c r="K10" s="937"/>
      <c r="L10" s="938"/>
    </row>
    <row r="11" spans="1:12" ht="14.25" x14ac:dyDescent="0.2">
      <c r="A11" s="80" t="s">
        <v>307</v>
      </c>
      <c r="B11" s="80"/>
      <c r="C11" s="916" t="s">
        <v>308</v>
      </c>
      <c r="D11" s="916"/>
      <c r="E11" s="916"/>
      <c r="F11" s="916"/>
      <c r="G11" s="916"/>
      <c r="H11" s="916"/>
      <c r="I11" s="82" t="s">
        <v>43</v>
      </c>
      <c r="J11" s="939"/>
      <c r="K11" s="940"/>
      <c r="L11" s="941"/>
    </row>
    <row r="12" spans="1:12" ht="14.25" x14ac:dyDescent="0.2">
      <c r="A12" s="80"/>
      <c r="B12" s="80"/>
      <c r="C12" s="922" t="s">
        <v>44</v>
      </c>
      <c r="D12" s="922"/>
      <c r="E12" s="922"/>
      <c r="F12" s="922"/>
      <c r="G12" s="922"/>
      <c r="H12" s="922"/>
      <c r="I12" s="80"/>
      <c r="J12" s="925">
        <v>29478604</v>
      </c>
      <c r="K12" s="925"/>
      <c r="L12" s="925"/>
    </row>
    <row r="13" spans="1:12" ht="14.25" x14ac:dyDescent="0.2">
      <c r="A13" s="80" t="s">
        <v>45</v>
      </c>
      <c r="B13" s="80"/>
      <c r="C13" s="916" t="s">
        <v>309</v>
      </c>
      <c r="D13" s="916"/>
      <c r="E13" s="916"/>
      <c r="F13" s="916"/>
      <c r="G13" s="916"/>
      <c r="H13" s="916"/>
      <c r="I13" s="82" t="s">
        <v>43</v>
      </c>
      <c r="J13" s="925"/>
      <c r="K13" s="925"/>
      <c r="L13" s="925"/>
    </row>
    <row r="14" spans="1:12" ht="14.25" x14ac:dyDescent="0.2">
      <c r="A14" s="80"/>
      <c r="B14" s="80"/>
      <c r="C14" s="922" t="s">
        <v>44</v>
      </c>
      <c r="D14" s="922"/>
      <c r="E14" s="922"/>
      <c r="F14" s="922"/>
      <c r="G14" s="922"/>
      <c r="H14" s="922"/>
      <c r="I14" s="80"/>
      <c r="J14" s="936">
        <v>1140469</v>
      </c>
      <c r="K14" s="937"/>
      <c r="L14" s="938"/>
    </row>
    <row r="15" spans="1:12" ht="14.25" customHeight="1" x14ac:dyDescent="0.2">
      <c r="A15" s="80" t="s">
        <v>310</v>
      </c>
      <c r="B15" s="80"/>
      <c r="C15" s="916" t="s">
        <v>311</v>
      </c>
      <c r="D15" s="916"/>
      <c r="E15" s="916"/>
      <c r="F15" s="916"/>
      <c r="G15" s="916"/>
      <c r="H15" s="916"/>
      <c r="I15" s="82" t="s">
        <v>43</v>
      </c>
      <c r="J15" s="939"/>
      <c r="K15" s="940"/>
      <c r="L15" s="941"/>
    </row>
    <row r="16" spans="1:12" ht="14.25" x14ac:dyDescent="0.2">
      <c r="A16" s="80"/>
      <c r="B16" s="80"/>
      <c r="C16" s="922" t="s">
        <v>44</v>
      </c>
      <c r="D16" s="922"/>
      <c r="E16" s="922"/>
      <c r="F16" s="922"/>
      <c r="G16" s="922"/>
      <c r="H16" s="922"/>
      <c r="I16" s="80"/>
      <c r="J16" s="83"/>
      <c r="K16" s="84"/>
      <c r="L16" s="85"/>
    </row>
    <row r="17" spans="1:12" ht="14.25" customHeight="1" x14ac:dyDescent="0.2">
      <c r="A17" s="80" t="s">
        <v>46</v>
      </c>
      <c r="B17" s="80"/>
      <c r="C17" s="935" t="s">
        <v>312</v>
      </c>
      <c r="D17" s="935"/>
      <c r="E17" s="935"/>
      <c r="F17" s="935"/>
      <c r="G17" s="935"/>
      <c r="H17" s="935"/>
      <c r="I17" s="80"/>
      <c r="J17" s="86"/>
      <c r="K17" s="87"/>
      <c r="L17" s="88"/>
    </row>
    <row r="18" spans="1:12" ht="14.25" x14ac:dyDescent="0.2">
      <c r="A18" s="80"/>
      <c r="B18" s="80"/>
      <c r="C18" s="922" t="s">
        <v>47</v>
      </c>
      <c r="D18" s="922"/>
      <c r="E18" s="922"/>
      <c r="F18" s="922"/>
      <c r="G18" s="922"/>
      <c r="H18" s="922"/>
      <c r="I18" s="80"/>
      <c r="J18" s="925" t="s">
        <v>42</v>
      </c>
      <c r="K18" s="925"/>
      <c r="L18" s="925"/>
    </row>
    <row r="19" spans="1:12" ht="14.25" x14ac:dyDescent="0.2">
      <c r="A19" s="80" t="s">
        <v>48</v>
      </c>
      <c r="B19" s="80"/>
      <c r="C19" s="935" t="s">
        <v>312</v>
      </c>
      <c r="D19" s="935"/>
      <c r="E19" s="935"/>
      <c r="F19" s="935"/>
      <c r="G19" s="935"/>
      <c r="H19" s="935"/>
      <c r="I19" s="80"/>
      <c r="J19" s="925"/>
      <c r="K19" s="925"/>
      <c r="L19" s="925"/>
    </row>
    <row r="20" spans="1:12" ht="14.25" x14ac:dyDescent="0.2">
      <c r="A20" s="80"/>
      <c r="B20" s="80"/>
      <c r="C20" s="922" t="s">
        <v>49</v>
      </c>
      <c r="D20" s="922"/>
      <c r="E20" s="922"/>
      <c r="F20" s="922"/>
      <c r="G20" s="922"/>
      <c r="H20" s="922"/>
      <c r="I20" s="80"/>
      <c r="J20" s="80"/>
      <c r="K20" s="80"/>
      <c r="L20" s="80"/>
    </row>
    <row r="21" spans="1:12" ht="14.25" x14ac:dyDescent="0.2">
      <c r="A21" s="80"/>
      <c r="B21" s="80"/>
      <c r="C21" s="80"/>
      <c r="D21" s="80"/>
      <c r="E21" s="80"/>
      <c r="F21" s="80"/>
      <c r="G21" s="923" t="s">
        <v>50</v>
      </c>
      <c r="H21" s="923"/>
      <c r="I21" s="924"/>
      <c r="J21" s="925" t="s">
        <v>42</v>
      </c>
      <c r="K21" s="925"/>
      <c r="L21" s="925"/>
    </row>
    <row r="22" spans="1:12" ht="14.25" x14ac:dyDescent="0.2">
      <c r="A22" s="80"/>
      <c r="B22" s="80"/>
      <c r="C22" s="80"/>
      <c r="D22" s="80"/>
      <c r="E22" s="80"/>
      <c r="F22" s="80"/>
      <c r="G22" s="923" t="s">
        <v>51</v>
      </c>
      <c r="H22" s="926"/>
      <c r="I22" s="89" t="s">
        <v>52</v>
      </c>
      <c r="J22" s="925" t="s">
        <v>313</v>
      </c>
      <c r="K22" s="925"/>
      <c r="L22" s="925"/>
    </row>
    <row r="23" spans="1:12" ht="14.25" x14ac:dyDescent="0.2">
      <c r="A23" s="80"/>
      <c r="B23" s="80"/>
      <c r="C23" s="80"/>
      <c r="D23" s="80"/>
      <c r="E23" s="80"/>
      <c r="F23" s="80"/>
      <c r="G23" s="80"/>
      <c r="H23" s="80"/>
      <c r="I23" s="90" t="s">
        <v>53</v>
      </c>
      <c r="J23" s="927">
        <v>43713</v>
      </c>
      <c r="K23" s="927"/>
      <c r="L23" s="927"/>
    </row>
    <row r="24" spans="1:12" ht="14.25" customHeight="1" x14ac:dyDescent="0.2">
      <c r="A24" s="80"/>
      <c r="B24" s="80"/>
      <c r="C24" s="80"/>
      <c r="D24" s="80"/>
      <c r="E24" s="80"/>
      <c r="F24" s="80"/>
      <c r="G24" s="80"/>
      <c r="H24" s="80"/>
      <c r="I24" s="82" t="s">
        <v>54</v>
      </c>
      <c r="J24" s="925" t="s">
        <v>42</v>
      </c>
      <c r="K24" s="925"/>
      <c r="L24" s="925"/>
    </row>
    <row r="25" spans="1:12" ht="14.25" x14ac:dyDescent="0.2">
      <c r="A25" s="80"/>
      <c r="B25" s="80"/>
      <c r="C25" s="80"/>
      <c r="D25" s="80"/>
      <c r="E25" s="80"/>
      <c r="F25" s="80"/>
      <c r="G25" s="80"/>
      <c r="H25" s="80"/>
      <c r="I25" s="80"/>
      <c r="J25" s="80"/>
      <c r="K25" s="80"/>
      <c r="L25" s="80"/>
    </row>
    <row r="26" spans="1:12" ht="14.25" x14ac:dyDescent="0.2">
      <c r="A26" s="80"/>
      <c r="B26" s="80"/>
      <c r="C26" s="80"/>
      <c r="D26" s="80"/>
      <c r="E26" s="80"/>
      <c r="F26" s="80"/>
      <c r="G26" s="928" t="s">
        <v>55</v>
      </c>
      <c r="H26" s="930" t="s">
        <v>56</v>
      </c>
      <c r="I26" s="930" t="s">
        <v>57</v>
      </c>
      <c r="J26" s="932"/>
      <c r="K26" s="80"/>
      <c r="L26" s="80"/>
    </row>
    <row r="27" spans="1:12" ht="14.25" x14ac:dyDescent="0.2">
      <c r="A27" s="80"/>
      <c r="B27" s="80"/>
      <c r="C27" s="80"/>
      <c r="D27" s="80"/>
      <c r="E27" s="80"/>
      <c r="F27" s="80"/>
      <c r="G27" s="929"/>
      <c r="H27" s="931"/>
      <c r="I27" s="91" t="s">
        <v>58</v>
      </c>
      <c r="J27" s="92" t="s">
        <v>59</v>
      </c>
      <c r="K27" s="80"/>
      <c r="L27" s="80"/>
    </row>
    <row r="28" spans="1:12" ht="14.25" x14ac:dyDescent="0.2">
      <c r="A28" s="80"/>
      <c r="B28" s="80"/>
      <c r="C28" s="80"/>
      <c r="D28" s="80"/>
      <c r="E28" s="80"/>
      <c r="F28" s="80"/>
      <c r="G28" s="90" t="s">
        <v>42</v>
      </c>
      <c r="H28" s="93">
        <v>44104</v>
      </c>
      <c r="I28" s="93">
        <v>44075</v>
      </c>
      <c r="J28" s="94">
        <f>H28</f>
        <v>44104</v>
      </c>
      <c r="K28" s="80"/>
      <c r="L28" s="80"/>
    </row>
    <row r="29" spans="1:12" ht="18" x14ac:dyDescent="0.25">
      <c r="A29" s="921" t="s">
        <v>60</v>
      </c>
      <c r="B29" s="921"/>
      <c r="C29" s="921"/>
      <c r="D29" s="921"/>
      <c r="E29" s="921"/>
      <c r="F29" s="921"/>
      <c r="G29" s="921"/>
      <c r="H29" s="921"/>
      <c r="I29" s="921"/>
      <c r="J29" s="921"/>
      <c r="K29" s="921"/>
      <c r="L29" s="921"/>
    </row>
    <row r="30" spans="1:12" ht="18" x14ac:dyDescent="0.25">
      <c r="A30" s="921" t="s">
        <v>61</v>
      </c>
      <c r="B30" s="921"/>
      <c r="C30" s="921"/>
      <c r="D30" s="921"/>
      <c r="E30" s="921"/>
      <c r="F30" s="921"/>
      <c r="G30" s="921"/>
      <c r="H30" s="921"/>
      <c r="I30" s="921"/>
      <c r="J30" s="921"/>
      <c r="K30" s="921"/>
      <c r="L30" s="921"/>
    </row>
    <row r="31" spans="1:12" ht="18" x14ac:dyDescent="0.25">
      <c r="A31" s="95"/>
      <c r="B31" s="95"/>
      <c r="C31" s="95"/>
      <c r="D31" s="95"/>
      <c r="E31" s="855" t="s">
        <v>298</v>
      </c>
      <c r="F31" s="855"/>
      <c r="G31" s="855"/>
      <c r="H31" s="95"/>
      <c r="I31" s="95"/>
      <c r="J31" s="95"/>
      <c r="K31" s="95"/>
      <c r="L31" s="95"/>
    </row>
    <row r="32" spans="1:12" ht="18" x14ac:dyDescent="0.25">
      <c r="A32" s="95"/>
      <c r="B32" s="95"/>
      <c r="C32" s="95"/>
      <c r="D32" s="95"/>
      <c r="E32" s="915" t="s">
        <v>145</v>
      </c>
      <c r="F32" s="915"/>
      <c r="G32" s="915"/>
      <c r="H32" s="95"/>
      <c r="I32" s="95"/>
      <c r="J32" s="95"/>
      <c r="K32" s="95"/>
      <c r="L32" s="95"/>
    </row>
    <row r="33" spans="1:31" ht="9.75" customHeight="1" x14ac:dyDescent="0.25">
      <c r="A33" s="95"/>
      <c r="B33" s="95"/>
      <c r="C33" s="95"/>
      <c r="D33" s="95"/>
      <c r="E33" s="95"/>
      <c r="F33" s="95"/>
      <c r="G33" s="95"/>
      <c r="H33" s="95"/>
      <c r="I33" s="95"/>
      <c r="J33" s="95"/>
      <c r="K33" s="95"/>
      <c r="L33" s="95"/>
    </row>
    <row r="34" spans="1:31" ht="14.25" customHeight="1" x14ac:dyDescent="0.25">
      <c r="A34" s="95"/>
      <c r="B34" s="95"/>
      <c r="C34" s="95"/>
      <c r="D34" s="96" t="s">
        <v>171</v>
      </c>
      <c r="E34" s="95"/>
      <c r="F34" s="95"/>
      <c r="G34" s="95"/>
      <c r="H34" s="95"/>
      <c r="I34" s="95"/>
      <c r="J34" s="95"/>
      <c r="K34" s="95"/>
      <c r="L34" s="95"/>
    </row>
    <row r="35" spans="1:31" ht="13.5" customHeight="1" x14ac:dyDescent="0.25">
      <c r="A35" s="95"/>
      <c r="B35" s="95"/>
      <c r="C35" s="95"/>
      <c r="D35" s="96" t="s">
        <v>172</v>
      </c>
      <c r="E35" s="95"/>
      <c r="F35" s="95"/>
      <c r="G35" s="95"/>
      <c r="H35" s="95"/>
      <c r="I35" s="95"/>
      <c r="J35" s="95"/>
      <c r="K35" s="95"/>
      <c r="L35" s="95"/>
    </row>
    <row r="36" spans="1:31" ht="52.5" customHeight="1" x14ac:dyDescent="0.25">
      <c r="A36" s="95"/>
      <c r="B36" s="95"/>
      <c r="C36" s="95"/>
      <c r="D36" s="96" t="s">
        <v>24</v>
      </c>
      <c r="E36" s="95"/>
      <c r="F36" s="95"/>
      <c r="G36" s="95"/>
      <c r="H36" s="95"/>
      <c r="I36" s="95"/>
      <c r="J36" s="95"/>
      <c r="K36" s="95"/>
      <c r="L36" s="95"/>
    </row>
    <row r="37" spans="1:31" ht="18" x14ac:dyDescent="0.25">
      <c r="A37" s="95"/>
      <c r="B37" s="95"/>
      <c r="C37" s="95"/>
      <c r="D37" s="95"/>
      <c r="E37" s="95"/>
      <c r="F37" s="95"/>
      <c r="G37" s="95"/>
      <c r="H37" s="95"/>
      <c r="I37" s="95"/>
      <c r="J37" s="95"/>
      <c r="K37" s="95"/>
      <c r="L37" s="95"/>
    </row>
    <row r="38" spans="1:31" ht="14.25" x14ac:dyDescent="0.2">
      <c r="A38" s="916" t="s">
        <v>149</v>
      </c>
      <c r="B38" s="916"/>
      <c r="C38" s="916"/>
      <c r="D38" s="916"/>
      <c r="E38" s="916"/>
      <c r="F38" s="916"/>
      <c r="G38" s="916"/>
      <c r="H38" s="916"/>
      <c r="I38" s="916"/>
      <c r="J38" s="916"/>
      <c r="K38" s="916"/>
      <c r="L38" s="916"/>
    </row>
    <row r="39" spans="1:31" ht="14.25" x14ac:dyDescent="0.2">
      <c r="A39" s="917" t="s">
        <v>67</v>
      </c>
      <c r="B39" s="917"/>
      <c r="C39" s="917" t="s">
        <v>68</v>
      </c>
      <c r="D39" s="917" t="s">
        <v>69</v>
      </c>
      <c r="E39" s="917" t="s">
        <v>70</v>
      </c>
      <c r="F39" s="917" t="s">
        <v>71</v>
      </c>
      <c r="G39" s="917" t="s">
        <v>72</v>
      </c>
      <c r="H39" s="918" t="s">
        <v>73</v>
      </c>
      <c r="I39" s="918" t="s">
        <v>74</v>
      </c>
      <c r="J39" s="917" t="s">
        <v>75</v>
      </c>
      <c r="K39" s="917" t="s">
        <v>76</v>
      </c>
      <c r="L39" s="917" t="s">
        <v>77</v>
      </c>
    </row>
    <row r="40" spans="1:31" x14ac:dyDescent="0.2">
      <c r="A40" s="918" t="s">
        <v>78</v>
      </c>
      <c r="B40" s="918" t="s">
        <v>79</v>
      </c>
      <c r="C40" s="917"/>
      <c r="D40" s="917"/>
      <c r="E40" s="917"/>
      <c r="F40" s="917"/>
      <c r="G40" s="917"/>
      <c r="H40" s="919"/>
      <c r="I40" s="919"/>
      <c r="J40" s="917"/>
      <c r="K40" s="917"/>
      <c r="L40" s="917"/>
    </row>
    <row r="41" spans="1:31" x14ac:dyDescent="0.2">
      <c r="A41" s="919"/>
      <c r="B41" s="919"/>
      <c r="C41" s="917"/>
      <c r="D41" s="917"/>
      <c r="E41" s="917"/>
      <c r="F41" s="917"/>
      <c r="G41" s="917"/>
      <c r="H41" s="919"/>
      <c r="I41" s="919"/>
      <c r="J41" s="917"/>
      <c r="K41" s="917"/>
      <c r="L41" s="917"/>
    </row>
    <row r="42" spans="1:31" ht="20.100000000000001" customHeight="1" x14ac:dyDescent="0.2">
      <c r="A42" s="919"/>
      <c r="B42" s="919"/>
      <c r="C42" s="917"/>
      <c r="D42" s="917"/>
      <c r="E42" s="917"/>
      <c r="F42" s="917"/>
      <c r="G42" s="917"/>
      <c r="H42" s="919"/>
      <c r="I42" s="919"/>
      <c r="J42" s="917"/>
      <c r="K42" s="917"/>
      <c r="L42" s="917"/>
    </row>
    <row r="43" spans="1:31" ht="20.100000000000001" customHeight="1" x14ac:dyDescent="0.2">
      <c r="A43" s="920"/>
      <c r="B43" s="920"/>
      <c r="C43" s="917"/>
      <c r="D43" s="917"/>
      <c r="E43" s="917"/>
      <c r="F43" s="917"/>
      <c r="G43" s="917"/>
      <c r="H43" s="920"/>
      <c r="I43" s="920"/>
      <c r="J43" s="917"/>
      <c r="K43" s="917"/>
      <c r="L43" s="917"/>
    </row>
    <row r="44" spans="1:31" ht="14.25" x14ac:dyDescent="0.2">
      <c r="A44" s="97">
        <v>1</v>
      </c>
      <c r="B44" s="97">
        <v>2</v>
      </c>
      <c r="C44" s="97">
        <v>3</v>
      </c>
      <c r="D44" s="97">
        <v>4</v>
      </c>
      <c r="E44" s="97">
        <v>5</v>
      </c>
      <c r="F44" s="97">
        <v>6</v>
      </c>
      <c r="G44" s="97">
        <v>7</v>
      </c>
      <c r="H44" s="97">
        <v>8</v>
      </c>
      <c r="I44" s="97">
        <v>9</v>
      </c>
      <c r="J44" s="97">
        <v>10</v>
      </c>
      <c r="K44" s="97">
        <v>11</v>
      </c>
      <c r="L44" s="97">
        <v>12</v>
      </c>
    </row>
    <row r="46" spans="1:31" ht="33" x14ac:dyDescent="0.25">
      <c r="A46" s="914" t="str">
        <f>CONCATENATE("Локальная смета: ",IF([88]Source!G20&lt;&gt;"Новая локальная смета", [88]Source!G20, ""))</f>
        <v>Локальная смета: Станционный комплекс "Аминьевское шоссе". Вестибюль №2, камера съездов, ТПП. Внутренние инженерные системы (не включая ТПП). Электрооборудование. Розеточные сети.</v>
      </c>
      <c r="B46" s="914"/>
      <c r="C46" s="914"/>
      <c r="D46" s="914"/>
      <c r="E46" s="914"/>
      <c r="F46" s="914"/>
      <c r="G46" s="914"/>
      <c r="H46" s="914"/>
      <c r="I46" s="914"/>
      <c r="J46" s="914"/>
      <c r="K46" s="914"/>
      <c r="L46" s="914"/>
      <c r="AE46" s="119" t="str">
        <f>CONCATENATE("Локальная смета: ",IF([88]Source!G20&lt;&gt;"Новая локальная смета", [88]Source!G20, ""))</f>
        <v>Локальная смета: Станционный комплекс "Аминьевское шоссе". Вестибюль №2, камера съездов, ТПП. Внутренние инженерные системы (не включая ТПП). Электрооборудование. Розеточные сети.</v>
      </c>
    </row>
    <row r="48" spans="1:31" ht="16.5" x14ac:dyDescent="0.25">
      <c r="A48" s="914" t="str">
        <f>CONCATENATE("Раздел: ",IF([88]Source!G24&lt;&gt;"Новый раздел", [88]Source!G24, ""))</f>
        <v>Раздел: Монтажные работы</v>
      </c>
      <c r="B48" s="914"/>
      <c r="C48" s="914"/>
      <c r="D48" s="914"/>
      <c r="E48" s="914"/>
      <c r="F48" s="914"/>
      <c r="G48" s="914"/>
      <c r="H48" s="914"/>
      <c r="I48" s="914"/>
      <c r="J48" s="914"/>
      <c r="K48" s="914"/>
      <c r="L48" s="914"/>
    </row>
    <row r="50" spans="1:22" ht="16.5" x14ac:dyDescent="0.25">
      <c r="A50" s="914" t="str">
        <f>CONCATENATE("Подраздел: ",IF([88]Source!G28&lt;&gt;"Новый подраздел", [88]Source!G28, ""))</f>
        <v>Подраздел: Низковольтное оборудование.</v>
      </c>
      <c r="B50" s="914"/>
      <c r="C50" s="914"/>
      <c r="D50" s="914"/>
      <c r="E50" s="914"/>
      <c r="F50" s="914"/>
      <c r="G50" s="914"/>
      <c r="H50" s="914"/>
      <c r="I50" s="914"/>
      <c r="J50" s="914"/>
      <c r="K50" s="914"/>
      <c r="L50" s="914"/>
    </row>
    <row r="51" spans="1:22" ht="78" x14ac:dyDescent="0.2">
      <c r="A51" s="98">
        <v>1</v>
      </c>
      <c r="B51" s="98" t="str">
        <f>[88]Source!E38</f>
        <v>4</v>
      </c>
      <c r="C51" s="99" t="s">
        <v>173</v>
      </c>
      <c r="D51" s="99" t="s">
        <v>174</v>
      </c>
      <c r="E51" s="100" t="str">
        <f>[88]Source!H38</f>
        <v>100 м</v>
      </c>
      <c r="F51" s="82">
        <f>[88]Source!I38</f>
        <v>1.2</v>
      </c>
      <c r="G51" s="101"/>
      <c r="H51" s="102"/>
      <c r="I51" s="82"/>
      <c r="J51" s="103"/>
      <c r="K51" s="82"/>
      <c r="L51" s="103"/>
      <c r="Q51" s="79">
        <f>[88]Source!X38</f>
        <v>1154.6500000000001</v>
      </c>
      <c r="R51" s="79">
        <f>[88]Source!X39</f>
        <v>22481.71</v>
      </c>
      <c r="S51" s="79">
        <f>[88]Source!Y38</f>
        <v>721.66</v>
      </c>
      <c r="T51" s="79">
        <f>[88]Source!Y39</f>
        <v>10741.26</v>
      </c>
      <c r="U51" s="79">
        <f>ROUND((175/100)*ROUND([88]Source!R38, 2), 2)</f>
        <v>14.47</v>
      </c>
      <c r="V51" s="79">
        <f>ROUND((157/100)*ROUND([88]Source!R39, 2), 2)</f>
        <v>314.60000000000002</v>
      </c>
    </row>
    <row r="52" spans="1:22" ht="14.25" x14ac:dyDescent="0.2">
      <c r="A52" s="98"/>
      <c r="B52" s="98"/>
      <c r="C52" s="99"/>
      <c r="D52" s="99" t="s">
        <v>84</v>
      </c>
      <c r="E52" s="100"/>
      <c r="F52" s="82"/>
      <c r="G52" s="101">
        <f>[88]Source!AO38</f>
        <v>491.35</v>
      </c>
      <c r="H52" s="102" t="str">
        <f>[88]Source!DG38</f>
        <v>)*1,67</v>
      </c>
      <c r="I52" s="82">
        <f>[88]Source!AV39</f>
        <v>1.0469999999999999</v>
      </c>
      <c r="J52" s="103">
        <f>[88]Source!S38</f>
        <v>1030.94</v>
      </c>
      <c r="K52" s="82">
        <f>IF([88]Source!BA39&lt;&gt; 0, [88]Source!BA39, 1)</f>
        <v>24.23</v>
      </c>
      <c r="L52" s="103">
        <f>[88]Source!S39</f>
        <v>24979.68</v>
      </c>
    </row>
    <row r="53" spans="1:22" ht="14.25" x14ac:dyDescent="0.2">
      <c r="A53" s="98"/>
      <c r="B53" s="98"/>
      <c r="C53" s="99"/>
      <c r="D53" s="99" t="s">
        <v>85</v>
      </c>
      <c r="E53" s="100"/>
      <c r="F53" s="82"/>
      <c r="G53" s="101">
        <f>[88]Source!AM38</f>
        <v>29.47</v>
      </c>
      <c r="H53" s="102">
        <f>[88]Source!DE38</f>
        <v>0</v>
      </c>
      <c r="I53" s="82">
        <f>[88]Source!AV39</f>
        <v>1.0469999999999999</v>
      </c>
      <c r="J53" s="103">
        <f>[88]Source!Q38-J63</f>
        <v>37.03</v>
      </c>
      <c r="K53" s="82">
        <f>IF([88]Source!BB39&lt;&gt; 0, [88]Source!BB39, 1)</f>
        <v>8.06</v>
      </c>
      <c r="L53" s="103">
        <f>[88]Source!Q39-L63</f>
        <v>298.54000000000002</v>
      </c>
    </row>
    <row r="54" spans="1:22" ht="14.25" x14ac:dyDescent="0.2">
      <c r="A54" s="98"/>
      <c r="B54" s="98"/>
      <c r="C54" s="99"/>
      <c r="D54" s="99" t="s">
        <v>86</v>
      </c>
      <c r="E54" s="100"/>
      <c r="F54" s="82"/>
      <c r="G54" s="101">
        <f>[88]Source!AN38</f>
        <v>3.94</v>
      </c>
      <c r="H54" s="102">
        <f>[88]Source!DE38</f>
        <v>0</v>
      </c>
      <c r="I54" s="82">
        <f>[88]Source!AV39</f>
        <v>1.0469999999999999</v>
      </c>
      <c r="J54" s="104">
        <f>[88]Source!R38-J64</f>
        <v>4.95</v>
      </c>
      <c r="K54" s="82">
        <f>IF([88]Source!BS39&lt;&gt; 0, [88]Source!BS39, 1)</f>
        <v>24.23</v>
      </c>
      <c r="L54" s="104">
        <f>[88]Source!R39-L64</f>
        <v>120.02</v>
      </c>
    </row>
    <row r="55" spans="1:22" ht="14.25" x14ac:dyDescent="0.2">
      <c r="A55" s="98"/>
      <c r="B55" s="98"/>
      <c r="C55" s="99"/>
      <c r="D55" s="99" t="s">
        <v>87</v>
      </c>
      <c r="E55" s="100"/>
      <c r="F55" s="82"/>
      <c r="G55" s="101">
        <f>[88]Source!AL38</f>
        <v>1844.59</v>
      </c>
      <c r="H55" s="102">
        <f>[88]Source!DD38</f>
        <v>0</v>
      </c>
      <c r="I55" s="82">
        <f>[88]Source!AW39</f>
        <v>1</v>
      </c>
      <c r="J55" s="103">
        <f>[88]Source!P38</f>
        <v>2213.5100000000002</v>
      </c>
      <c r="K55" s="82">
        <f>IF([88]Source!BC39&lt;&gt; 0, [88]Source!BC39, 1)</f>
        <v>5.58</v>
      </c>
      <c r="L55" s="103">
        <f>[88]Source!P39</f>
        <v>12351.39</v>
      </c>
    </row>
    <row r="56" spans="1:22" ht="28.5" x14ac:dyDescent="0.2">
      <c r="A56" s="98">
        <v>2</v>
      </c>
      <c r="B56" s="98" t="str">
        <f>[88]Source!E40</f>
        <v>4,1</v>
      </c>
      <c r="C56" s="99" t="str">
        <f>[88]Source!F40</f>
        <v>1.1-1-2829</v>
      </c>
      <c r="D56" s="99" t="s">
        <v>175</v>
      </c>
      <c r="E56" s="100" t="str">
        <f>[88]Source!H40</f>
        <v>м</v>
      </c>
      <c r="F56" s="82">
        <f>[88]Source!I40</f>
        <v>120</v>
      </c>
      <c r="G56" s="101">
        <f>[88]Source!AK40</f>
        <v>99.66</v>
      </c>
      <c r="H56" s="120" t="s">
        <v>42</v>
      </c>
      <c r="I56" s="82">
        <f>[88]Source!AW41</f>
        <v>1</v>
      </c>
      <c r="J56" s="103">
        <f>[88]Source!O40</f>
        <v>11959.2</v>
      </c>
      <c r="K56" s="82">
        <f>IF([88]Source!BC41&lt;&gt; 0, [88]Source!BC41, 1)</f>
        <v>5.46</v>
      </c>
      <c r="L56" s="103">
        <f>[88]Source!O41</f>
        <v>65297.23</v>
      </c>
      <c r="Q56" s="79">
        <f>[88]Source!X40</f>
        <v>0</v>
      </c>
      <c r="R56" s="79">
        <f>[88]Source!X41</f>
        <v>0</v>
      </c>
      <c r="S56" s="79">
        <f>[88]Source!Y40</f>
        <v>0</v>
      </c>
      <c r="T56" s="79">
        <f>[88]Source!Y41</f>
        <v>0</v>
      </c>
      <c r="U56" s="79">
        <f>ROUND((175/100)*ROUND([88]Source!R40, 2), 2)</f>
        <v>0</v>
      </c>
      <c r="V56" s="79">
        <f>ROUND((157/100)*ROUND([88]Source!R41, 2), 2)</f>
        <v>0</v>
      </c>
    </row>
    <row r="57" spans="1:22" ht="14.25" x14ac:dyDescent="0.2">
      <c r="A57" s="98"/>
      <c r="B57" s="98"/>
      <c r="C57" s="99"/>
      <c r="D57" s="99" t="s">
        <v>88</v>
      </c>
      <c r="E57" s="100" t="s">
        <v>89</v>
      </c>
      <c r="F57" s="82">
        <f>[88]Source!DN39</f>
        <v>112</v>
      </c>
      <c r="G57" s="101"/>
      <c r="H57" s="102"/>
      <c r="I57" s="82"/>
      <c r="J57" s="103">
        <f>SUM(Q51:Q56)</f>
        <v>1154.6500000000001</v>
      </c>
      <c r="K57" s="82">
        <f>[88]Source!BZ39</f>
        <v>90</v>
      </c>
      <c r="L57" s="103">
        <f>SUM(R51:R56)</f>
        <v>22481.71</v>
      </c>
    </row>
    <row r="58" spans="1:22" ht="14.25" x14ac:dyDescent="0.2">
      <c r="A58" s="98"/>
      <c r="B58" s="98"/>
      <c r="C58" s="99"/>
      <c r="D58" s="99" t="s">
        <v>90</v>
      </c>
      <c r="E58" s="100" t="s">
        <v>89</v>
      </c>
      <c r="F58" s="82">
        <f>[88]Source!DO39</f>
        <v>70</v>
      </c>
      <c r="G58" s="101"/>
      <c r="H58" s="102"/>
      <c r="I58" s="82"/>
      <c r="J58" s="103">
        <f>SUM(S51:S57)</f>
        <v>721.66</v>
      </c>
      <c r="K58" s="82">
        <f>[88]Source!CA39</f>
        <v>43</v>
      </c>
      <c r="L58" s="103">
        <f>SUM(T51:T57)</f>
        <v>10741.26</v>
      </c>
    </row>
    <row r="59" spans="1:22" ht="14.25" x14ac:dyDescent="0.2">
      <c r="A59" s="98"/>
      <c r="B59" s="98"/>
      <c r="C59" s="99"/>
      <c r="D59" s="99" t="s">
        <v>91</v>
      </c>
      <c r="E59" s="100" t="s">
        <v>89</v>
      </c>
      <c r="F59" s="82">
        <f>175</f>
        <v>175</v>
      </c>
      <c r="G59" s="101"/>
      <c r="H59" s="102"/>
      <c r="I59" s="82"/>
      <c r="J59" s="103">
        <f>SUM(U51:U58)-J65</f>
        <v>8.66</v>
      </c>
      <c r="K59" s="82">
        <f>157</f>
        <v>157</v>
      </c>
      <c r="L59" s="103">
        <f>SUM(V51:V58)-L65</f>
        <v>188.43</v>
      </c>
    </row>
    <row r="60" spans="1:22" ht="14.25" x14ac:dyDescent="0.2">
      <c r="A60" s="98"/>
      <c r="B60" s="98"/>
      <c r="C60" s="99"/>
      <c r="D60" s="99" t="s">
        <v>92</v>
      </c>
      <c r="E60" s="100" t="s">
        <v>93</v>
      </c>
      <c r="F60" s="82">
        <f>[88]Source!AQ38</f>
        <v>40.67</v>
      </c>
      <c r="G60" s="101"/>
      <c r="H60" s="102">
        <f>[88]Source!DI38</f>
        <v>0</v>
      </c>
      <c r="I60" s="82">
        <f>[88]Source!AV39</f>
        <v>1.0469999999999999</v>
      </c>
      <c r="J60" s="103">
        <f>[88]Source!U38</f>
        <v>51.1</v>
      </c>
      <c r="K60" s="82"/>
      <c r="L60" s="103"/>
    </row>
    <row r="61" spans="1:22" ht="15" x14ac:dyDescent="0.25">
      <c r="I61" s="910">
        <f>J52+J53+J55+J57+J58+J59+SUM(J56:J56)</f>
        <v>17125.650000000001</v>
      </c>
      <c r="J61" s="910"/>
      <c r="K61" s="910">
        <f>L52+L53+L55+L57+L58+L59+SUM(L56:L56)</f>
        <v>136338.23999999999</v>
      </c>
      <c r="L61" s="910"/>
      <c r="O61" s="105">
        <f>J52+J53+J55+J57+J58+J59+SUM(J56:J56)</f>
        <v>17125.650000000001</v>
      </c>
      <c r="P61" s="105">
        <f>L52+L53+L55+L57+L58+L59+SUM(L56:L56)</f>
        <v>136338.23999999999</v>
      </c>
    </row>
    <row r="62" spans="1:22" ht="28.5" x14ac:dyDescent="0.2">
      <c r="A62" s="106"/>
      <c r="B62" s="106"/>
      <c r="C62" s="107"/>
      <c r="D62" s="107" t="s">
        <v>94</v>
      </c>
      <c r="E62" s="100"/>
      <c r="F62" s="108"/>
      <c r="G62" s="109"/>
      <c r="H62" s="100"/>
      <c r="I62" s="108"/>
      <c r="J62" s="104"/>
      <c r="K62" s="108"/>
      <c r="L62" s="104"/>
    </row>
    <row r="63" spans="1:22" ht="14.25" x14ac:dyDescent="0.2">
      <c r="A63" s="106"/>
      <c r="B63" s="106"/>
      <c r="C63" s="107"/>
      <c r="D63" s="107" t="s">
        <v>85</v>
      </c>
      <c r="E63" s="100"/>
      <c r="F63" s="108"/>
      <c r="G63" s="109">
        <f t="shared" ref="G63:L63" si="0">G64</f>
        <v>3.94</v>
      </c>
      <c r="H63" s="110" t="str">
        <f t="shared" si="0"/>
        <v>)*(1.67-1)</v>
      </c>
      <c r="I63" s="108">
        <f t="shared" si="0"/>
        <v>1.0469999999999999</v>
      </c>
      <c r="J63" s="104">
        <f t="shared" si="0"/>
        <v>3.32</v>
      </c>
      <c r="K63" s="108">
        <f t="shared" si="0"/>
        <v>24.23</v>
      </c>
      <c r="L63" s="104">
        <f t="shared" si="0"/>
        <v>80.36</v>
      </c>
    </row>
    <row r="64" spans="1:22" ht="14.25" x14ac:dyDescent="0.2">
      <c r="A64" s="106"/>
      <c r="B64" s="106"/>
      <c r="C64" s="107"/>
      <c r="D64" s="107" t="s">
        <v>86</v>
      </c>
      <c r="E64" s="100"/>
      <c r="F64" s="108"/>
      <c r="G64" s="109">
        <f>[88]Source!AN38</f>
        <v>3.94</v>
      </c>
      <c r="H64" s="110" t="s">
        <v>95</v>
      </c>
      <c r="I64" s="108">
        <f>[88]Source!AV39</f>
        <v>1.0469999999999999</v>
      </c>
      <c r="J64" s="104">
        <f>ROUND(F51*G64*I64*(1.67-1), 2)</f>
        <v>3.32</v>
      </c>
      <c r="K64" s="108">
        <f>IF([88]Source!BS39&lt;&gt; 0, [88]Source!BS39, 1)</f>
        <v>24.23</v>
      </c>
      <c r="L64" s="104">
        <f>ROUND(F51*G64*I64*(1.67-1)*K64, 2)</f>
        <v>80.36</v>
      </c>
    </row>
    <row r="65" spans="1:22" ht="14.25" x14ac:dyDescent="0.2">
      <c r="A65" s="106"/>
      <c r="B65" s="106"/>
      <c r="C65" s="107"/>
      <c r="D65" s="107" t="s">
        <v>91</v>
      </c>
      <c r="E65" s="100" t="s">
        <v>89</v>
      </c>
      <c r="F65" s="108">
        <f>175</f>
        <v>175</v>
      </c>
      <c r="G65" s="109"/>
      <c r="H65" s="100"/>
      <c r="I65" s="108"/>
      <c r="J65" s="104">
        <f>ROUND(J64*(F65/100), 2)</f>
        <v>5.81</v>
      </c>
      <c r="K65" s="108">
        <f>157</f>
        <v>157</v>
      </c>
      <c r="L65" s="104">
        <f>ROUND(L64*(K65/100), 2)</f>
        <v>126.17</v>
      </c>
    </row>
    <row r="66" spans="1:22" ht="15" x14ac:dyDescent="0.25">
      <c r="I66" s="910">
        <f>J65+J64</f>
        <v>9.1300000000000008</v>
      </c>
      <c r="J66" s="910"/>
      <c r="K66" s="910">
        <f>L65+L64</f>
        <v>206.53</v>
      </c>
      <c r="L66" s="910"/>
      <c r="O66" s="105">
        <f>I66</f>
        <v>9.1300000000000008</v>
      </c>
      <c r="P66" s="105">
        <f>K66</f>
        <v>206.53</v>
      </c>
    </row>
    <row r="68" spans="1:22" ht="15" x14ac:dyDescent="0.25">
      <c r="A68" s="111"/>
      <c r="B68" s="111"/>
      <c r="C68" s="112"/>
      <c r="D68" s="112" t="s">
        <v>96</v>
      </c>
      <c r="E68" s="113"/>
      <c r="F68" s="114"/>
      <c r="G68" s="115"/>
      <c r="H68" s="116"/>
      <c r="I68" s="910">
        <f>I61+I66</f>
        <v>17134.78</v>
      </c>
      <c r="J68" s="910"/>
      <c r="K68" s="910">
        <f>K61+K66</f>
        <v>136544.76999999999</v>
      </c>
      <c r="L68" s="910"/>
    </row>
    <row r="70" spans="1:22" ht="15" x14ac:dyDescent="0.25">
      <c r="A70" s="911" t="str">
        <f>CONCATENATE("Итого по подразделу: ",IF([88]Source!G57&lt;&gt;"Новый подраздел", [88]Source!G57, ""))</f>
        <v>Итого по подразделу: Низковольтное оборудование.</v>
      </c>
      <c r="B70" s="911"/>
      <c r="C70" s="911"/>
      <c r="D70" s="911"/>
      <c r="E70" s="911"/>
      <c r="F70" s="911"/>
      <c r="G70" s="911"/>
      <c r="H70" s="911"/>
      <c r="I70" s="912">
        <f>SUM(O50:O69)</f>
        <v>17134.78</v>
      </c>
      <c r="J70" s="913"/>
      <c r="K70" s="912">
        <f>SUM(P50:P69)</f>
        <v>136544.76999999999</v>
      </c>
      <c r="L70" s="913"/>
    </row>
    <row r="71" spans="1:22" hidden="1" x14ac:dyDescent="0.2">
      <c r="A71" s="79" t="s">
        <v>139</v>
      </c>
      <c r="J71" s="79">
        <f>SUM(W50:W70)</f>
        <v>0</v>
      </c>
      <c r="K71" s="79">
        <f>SUM(X50:X70)</f>
        <v>0</v>
      </c>
    </row>
    <row r="72" spans="1:22" hidden="1" x14ac:dyDescent="0.2">
      <c r="A72" s="79" t="s">
        <v>140</v>
      </c>
      <c r="J72" s="79">
        <f>SUM(Y50:Y71)</f>
        <v>0</v>
      </c>
      <c r="K72" s="79">
        <f>SUM(Z50:Z71)</f>
        <v>0</v>
      </c>
    </row>
    <row r="74" spans="1:22" ht="16.5" x14ac:dyDescent="0.25">
      <c r="A74" s="914" t="str">
        <f>CONCATENATE("Подраздел: ",IF([88]Source!G86&lt;&gt;"Новый подраздел", [88]Source!G86, ""))</f>
        <v>Подраздел: Кабель и провода</v>
      </c>
      <c r="B74" s="914"/>
      <c r="C74" s="914"/>
      <c r="D74" s="914"/>
      <c r="E74" s="914"/>
      <c r="F74" s="914"/>
      <c r="G74" s="914"/>
      <c r="H74" s="914"/>
      <c r="I74" s="914"/>
      <c r="J74" s="914"/>
      <c r="K74" s="914"/>
      <c r="L74" s="914"/>
    </row>
    <row r="75" spans="1:22" ht="78" x14ac:dyDescent="0.2">
      <c r="A75" s="98">
        <v>3</v>
      </c>
      <c r="B75" s="98" t="str">
        <f>[88]Source!E90</f>
        <v>7</v>
      </c>
      <c r="C75" s="99" t="s">
        <v>176</v>
      </c>
      <c r="D75" s="99" t="s">
        <v>177</v>
      </c>
      <c r="E75" s="100" t="str">
        <f>[88]Source!H90</f>
        <v>100 М КАБЕЛЯ</v>
      </c>
      <c r="F75" s="82">
        <f>[88]Source!I90</f>
        <v>4.2385000000000002</v>
      </c>
      <c r="G75" s="101"/>
      <c r="H75" s="102"/>
      <c r="I75" s="82"/>
      <c r="J75" s="103"/>
      <c r="K75" s="82"/>
      <c r="L75" s="103"/>
      <c r="Q75" s="79">
        <f>[88]Source!X90</f>
        <v>1042.98</v>
      </c>
      <c r="R75" s="79">
        <f>[88]Source!X91</f>
        <v>20307.330000000002</v>
      </c>
      <c r="S75" s="79">
        <f>[88]Source!Y90</f>
        <v>651.86</v>
      </c>
      <c r="T75" s="79">
        <f>[88]Source!Y91</f>
        <v>9702.39</v>
      </c>
      <c r="U75" s="79">
        <f>ROUND((175/100)*ROUND([88]Source!R90, 2), 2)</f>
        <v>584.99</v>
      </c>
      <c r="V75" s="79">
        <f>ROUND((157/100)*ROUND([88]Source!R91, 2), 2)</f>
        <v>12716.37</v>
      </c>
    </row>
    <row r="76" spans="1:22" ht="14.25" x14ac:dyDescent="0.2">
      <c r="A76" s="98"/>
      <c r="B76" s="98"/>
      <c r="C76" s="99"/>
      <c r="D76" s="99" t="s">
        <v>84</v>
      </c>
      <c r="E76" s="100"/>
      <c r="F76" s="82"/>
      <c r="G76" s="101">
        <f>[88]Source!AO90</f>
        <v>123.3</v>
      </c>
      <c r="H76" s="102" t="str">
        <f>[88]Source!DG90</f>
        <v>)*1,67</v>
      </c>
      <c r="I76" s="82">
        <f>[88]Source!AV91</f>
        <v>1.0669999999999999</v>
      </c>
      <c r="J76" s="103">
        <f>[88]Source!S90</f>
        <v>931.23</v>
      </c>
      <c r="K76" s="82">
        <f>IF([88]Source!BA91&lt;&gt; 0, [88]Source!BA91, 1)</f>
        <v>24.23</v>
      </c>
      <c r="L76" s="103">
        <f>[88]Source!S91</f>
        <v>22563.7</v>
      </c>
    </row>
    <row r="77" spans="1:22" ht="14.25" x14ac:dyDescent="0.2">
      <c r="A77" s="98"/>
      <c r="B77" s="98"/>
      <c r="C77" s="99"/>
      <c r="D77" s="99" t="s">
        <v>85</v>
      </c>
      <c r="E77" s="100"/>
      <c r="F77" s="82"/>
      <c r="G77" s="101">
        <f>[88]Source!AM90</f>
        <v>278.87</v>
      </c>
      <c r="H77" s="102">
        <f>[88]Source!DE90</f>
        <v>0</v>
      </c>
      <c r="I77" s="82">
        <f>[88]Source!AV91</f>
        <v>1.0669999999999999</v>
      </c>
      <c r="J77" s="103">
        <f>[88]Source!Q90-J86</f>
        <v>1261.18</v>
      </c>
      <c r="K77" s="82">
        <f>IF([88]Source!BB91&lt;&gt; 0, [88]Source!BB91, 1)</f>
        <v>8.52</v>
      </c>
      <c r="L77" s="103">
        <f>[88]Source!Q91-L86</f>
        <v>10745.24</v>
      </c>
    </row>
    <row r="78" spans="1:22" ht="14.25" x14ac:dyDescent="0.2">
      <c r="A78" s="98"/>
      <c r="B78" s="98"/>
      <c r="C78" s="99"/>
      <c r="D78" s="99" t="s">
        <v>86</v>
      </c>
      <c r="E78" s="100"/>
      <c r="F78" s="82"/>
      <c r="G78" s="101">
        <f>[88]Source!AN90</f>
        <v>44.26</v>
      </c>
      <c r="H78" s="102">
        <f>[88]Source!DE90</f>
        <v>0</v>
      </c>
      <c r="I78" s="82">
        <f>[88]Source!AV91</f>
        <v>1.0669999999999999</v>
      </c>
      <c r="J78" s="104">
        <f>[88]Source!R90-J87</f>
        <v>200.17</v>
      </c>
      <c r="K78" s="82">
        <f>IF([88]Source!BS91&lt;&gt; 0, [88]Source!BS91, 1)</f>
        <v>24.23</v>
      </c>
      <c r="L78" s="104">
        <f>[88]Source!R91-L87</f>
        <v>4850.1000000000004</v>
      </c>
    </row>
    <row r="79" spans="1:22" ht="14.25" x14ac:dyDescent="0.2">
      <c r="A79" s="98"/>
      <c r="B79" s="98"/>
      <c r="C79" s="99"/>
      <c r="D79" s="99" t="s">
        <v>87</v>
      </c>
      <c r="E79" s="100"/>
      <c r="F79" s="82"/>
      <c r="G79" s="101">
        <f>[88]Source!AL90</f>
        <v>26.95</v>
      </c>
      <c r="H79" s="102">
        <f>[88]Source!DD90</f>
        <v>0</v>
      </c>
      <c r="I79" s="82">
        <f>[88]Source!AW91</f>
        <v>1.081</v>
      </c>
      <c r="J79" s="103">
        <f>[88]Source!P90</f>
        <v>123.48</v>
      </c>
      <c r="K79" s="82">
        <f>IF([88]Source!BC91&lt;&gt; 0, [88]Source!BC91, 1)</f>
        <v>5.58</v>
      </c>
      <c r="L79" s="103">
        <f>[88]Source!P91</f>
        <v>689.02</v>
      </c>
    </row>
    <row r="80" spans="1:22" ht="14.25" x14ac:dyDescent="0.2">
      <c r="A80" s="98"/>
      <c r="B80" s="98"/>
      <c r="C80" s="99"/>
      <c r="D80" s="99" t="s">
        <v>88</v>
      </c>
      <c r="E80" s="100" t="s">
        <v>89</v>
      </c>
      <c r="F80" s="82">
        <f>[88]Source!DN91</f>
        <v>112</v>
      </c>
      <c r="G80" s="101"/>
      <c r="H80" s="102"/>
      <c r="I80" s="82"/>
      <c r="J80" s="103">
        <f>SUM(Q75:Q79)</f>
        <v>1042.98</v>
      </c>
      <c r="K80" s="82">
        <f>[88]Source!BZ91</f>
        <v>90</v>
      </c>
      <c r="L80" s="103">
        <f>SUM(R75:R79)</f>
        <v>20307.330000000002</v>
      </c>
    </row>
    <row r="81" spans="1:22" ht="14.25" x14ac:dyDescent="0.2">
      <c r="A81" s="98"/>
      <c r="B81" s="98"/>
      <c r="C81" s="99"/>
      <c r="D81" s="99" t="s">
        <v>90</v>
      </c>
      <c r="E81" s="100" t="s">
        <v>89</v>
      </c>
      <c r="F81" s="82">
        <f>[88]Source!DO91</f>
        <v>70</v>
      </c>
      <c r="G81" s="101"/>
      <c r="H81" s="102"/>
      <c r="I81" s="82"/>
      <c r="J81" s="103">
        <f>SUM(S75:S80)</f>
        <v>651.86</v>
      </c>
      <c r="K81" s="82">
        <f>[88]Source!CA91</f>
        <v>43</v>
      </c>
      <c r="L81" s="103">
        <f>SUM(T75:T80)</f>
        <v>9702.39</v>
      </c>
    </row>
    <row r="82" spans="1:22" ht="14.25" x14ac:dyDescent="0.2">
      <c r="A82" s="98"/>
      <c r="B82" s="98"/>
      <c r="C82" s="99"/>
      <c r="D82" s="99" t="s">
        <v>91</v>
      </c>
      <c r="E82" s="100" t="s">
        <v>89</v>
      </c>
      <c r="F82" s="82">
        <f>175</f>
        <v>175</v>
      </c>
      <c r="G82" s="101"/>
      <c r="H82" s="102"/>
      <c r="I82" s="82"/>
      <c r="J82" s="103">
        <f>SUM(U75:U81)-J88</f>
        <v>350.3</v>
      </c>
      <c r="K82" s="82">
        <f>157</f>
        <v>157</v>
      </c>
      <c r="L82" s="103">
        <f>SUM(V75:V81)-L88</f>
        <v>7614.65</v>
      </c>
    </row>
    <row r="83" spans="1:22" ht="14.25" x14ac:dyDescent="0.2">
      <c r="A83" s="98"/>
      <c r="B83" s="98"/>
      <c r="C83" s="99"/>
      <c r="D83" s="99" t="s">
        <v>92</v>
      </c>
      <c r="E83" s="100" t="s">
        <v>93</v>
      </c>
      <c r="F83" s="82">
        <f>[88]Source!AQ90</f>
        <v>10</v>
      </c>
      <c r="G83" s="101"/>
      <c r="H83" s="102">
        <f>[88]Source!DI90</f>
        <v>0</v>
      </c>
      <c r="I83" s="82">
        <f>[88]Source!AV91</f>
        <v>1.0669999999999999</v>
      </c>
      <c r="J83" s="103">
        <f>[88]Source!U90</f>
        <v>45.22</v>
      </c>
      <c r="K83" s="82"/>
      <c r="L83" s="103"/>
    </row>
    <row r="84" spans="1:22" ht="15" x14ac:dyDescent="0.25">
      <c r="I84" s="910">
        <f>J76+J77+J79+J80+J81+J82</f>
        <v>4361.03</v>
      </c>
      <c r="J84" s="910"/>
      <c r="K84" s="910">
        <f>L76+L77+L79+L80+L81+L82</f>
        <v>71622.33</v>
      </c>
      <c r="L84" s="910"/>
      <c r="O84" s="105">
        <f>J76+J77+J79+J80+J81+J82</f>
        <v>4361.03</v>
      </c>
      <c r="P84" s="105">
        <f>L76+L77+L79+L80+L81+L82</f>
        <v>71622.33</v>
      </c>
    </row>
    <row r="85" spans="1:22" ht="28.5" x14ac:dyDescent="0.2">
      <c r="A85" s="106"/>
      <c r="B85" s="106"/>
      <c r="C85" s="107"/>
      <c r="D85" s="107" t="s">
        <v>94</v>
      </c>
      <c r="E85" s="100"/>
      <c r="F85" s="108"/>
      <c r="G85" s="109"/>
      <c r="H85" s="100"/>
      <c r="I85" s="108"/>
      <c r="J85" s="104"/>
      <c r="K85" s="108"/>
      <c r="L85" s="104"/>
    </row>
    <row r="86" spans="1:22" ht="14.25" x14ac:dyDescent="0.2">
      <c r="A86" s="106"/>
      <c r="B86" s="106"/>
      <c r="C86" s="107"/>
      <c r="D86" s="107" t="s">
        <v>85</v>
      </c>
      <c r="E86" s="100"/>
      <c r="F86" s="108"/>
      <c r="G86" s="109">
        <f t="shared" ref="G86:L86" si="1">G87</f>
        <v>44.26</v>
      </c>
      <c r="H86" s="110" t="str">
        <f t="shared" si="1"/>
        <v>)*(1.67-1)</v>
      </c>
      <c r="I86" s="108">
        <f t="shared" si="1"/>
        <v>1.0669999999999999</v>
      </c>
      <c r="J86" s="104">
        <f t="shared" si="1"/>
        <v>134.11000000000001</v>
      </c>
      <c r="K86" s="108">
        <f t="shared" si="1"/>
        <v>24.23</v>
      </c>
      <c r="L86" s="104">
        <f t="shared" si="1"/>
        <v>3249.5</v>
      </c>
    </row>
    <row r="87" spans="1:22" ht="14.25" x14ac:dyDescent="0.2">
      <c r="A87" s="106"/>
      <c r="B87" s="106"/>
      <c r="C87" s="107"/>
      <c r="D87" s="107" t="s">
        <v>86</v>
      </c>
      <c r="E87" s="100"/>
      <c r="F87" s="108"/>
      <c r="G87" s="109">
        <f>[88]Source!AN90</f>
        <v>44.26</v>
      </c>
      <c r="H87" s="110" t="s">
        <v>95</v>
      </c>
      <c r="I87" s="108">
        <f>[88]Source!AV91</f>
        <v>1.0669999999999999</v>
      </c>
      <c r="J87" s="104">
        <f>ROUND(F75*G87*I87*(1.67-1), 2)</f>
        <v>134.11000000000001</v>
      </c>
      <c r="K87" s="108">
        <f>IF([88]Source!BS91&lt;&gt; 0, [88]Source!BS91, 1)</f>
        <v>24.23</v>
      </c>
      <c r="L87" s="104">
        <f>ROUND(F75*G87*I87*(1.67-1)*K87, 2)</f>
        <v>3249.5</v>
      </c>
    </row>
    <row r="88" spans="1:22" ht="14.25" x14ac:dyDescent="0.2">
      <c r="A88" s="106"/>
      <c r="B88" s="106"/>
      <c r="C88" s="107"/>
      <c r="D88" s="107" t="s">
        <v>91</v>
      </c>
      <c r="E88" s="100" t="s">
        <v>89</v>
      </c>
      <c r="F88" s="108">
        <f>175</f>
        <v>175</v>
      </c>
      <c r="G88" s="109"/>
      <c r="H88" s="100"/>
      <c r="I88" s="108"/>
      <c r="J88" s="104">
        <f>ROUND(J87*(F88/100), 2)</f>
        <v>234.69</v>
      </c>
      <c r="K88" s="108">
        <f>157</f>
        <v>157</v>
      </c>
      <c r="L88" s="104">
        <f>ROUND(L87*(K88/100), 2)</f>
        <v>5101.72</v>
      </c>
    </row>
    <row r="89" spans="1:22" ht="15" x14ac:dyDescent="0.25">
      <c r="I89" s="910">
        <f>J88+J87</f>
        <v>368.8</v>
      </c>
      <c r="J89" s="910"/>
      <c r="K89" s="910">
        <f>L88+L87</f>
        <v>8351.2199999999993</v>
      </c>
      <c r="L89" s="910"/>
      <c r="O89" s="105">
        <f>I89</f>
        <v>368.8</v>
      </c>
      <c r="P89" s="105">
        <f>K89</f>
        <v>8351.2199999999993</v>
      </c>
    </row>
    <row r="91" spans="1:22" ht="15" x14ac:dyDescent="0.25">
      <c r="A91" s="111"/>
      <c r="B91" s="111"/>
      <c r="C91" s="112"/>
      <c r="D91" s="112" t="s">
        <v>96</v>
      </c>
      <c r="E91" s="113"/>
      <c r="F91" s="114"/>
      <c r="G91" s="115"/>
      <c r="H91" s="116"/>
      <c r="I91" s="910">
        <f>I84+I89</f>
        <v>4729.83</v>
      </c>
      <c r="J91" s="910"/>
      <c r="K91" s="910">
        <f>K84+K89</f>
        <v>79973.55</v>
      </c>
      <c r="L91" s="910"/>
    </row>
    <row r="92" spans="1:22" ht="78" x14ac:dyDescent="0.2">
      <c r="A92" s="98">
        <v>4</v>
      </c>
      <c r="B92" s="98" t="str">
        <f>[88]Source!E92</f>
        <v>8</v>
      </c>
      <c r="C92" s="99" t="s">
        <v>178</v>
      </c>
      <c r="D92" s="99" t="s">
        <v>179</v>
      </c>
      <c r="E92" s="100" t="str">
        <f>[88]Source!H92</f>
        <v>100 М КАБЕЛЯ</v>
      </c>
      <c r="F92" s="82">
        <f>[88]Source!I92</f>
        <v>0.46550000000000002</v>
      </c>
      <c r="G92" s="101"/>
      <c r="H92" s="102"/>
      <c r="I92" s="82"/>
      <c r="J92" s="103"/>
      <c r="K92" s="82"/>
      <c r="L92" s="103"/>
      <c r="Q92" s="79">
        <f>[88]Source!X92</f>
        <v>174.12</v>
      </c>
      <c r="R92" s="79">
        <f>[88]Source!X93</f>
        <v>3390.12</v>
      </c>
      <c r="S92" s="79">
        <f>[88]Source!Y92</f>
        <v>108.82</v>
      </c>
      <c r="T92" s="79">
        <f>[88]Source!Y93</f>
        <v>1619.72</v>
      </c>
      <c r="U92" s="79">
        <f>ROUND((175/100)*ROUND([88]Source!R92, 2), 2)</f>
        <v>95.92</v>
      </c>
      <c r="V92" s="79">
        <f>ROUND((157/100)*ROUND([88]Source!R93, 2), 2)</f>
        <v>2085.04</v>
      </c>
    </row>
    <row r="93" spans="1:22" ht="14.25" x14ac:dyDescent="0.2">
      <c r="A93" s="98"/>
      <c r="B93" s="98"/>
      <c r="C93" s="99"/>
      <c r="D93" s="99" t="s">
        <v>84</v>
      </c>
      <c r="E93" s="100"/>
      <c r="F93" s="82"/>
      <c r="G93" s="101">
        <f>[88]Source!AO92</f>
        <v>187.42</v>
      </c>
      <c r="H93" s="102" t="str">
        <f>[88]Source!DG92</f>
        <v>)*1,67</v>
      </c>
      <c r="I93" s="82">
        <f>[88]Source!AV93</f>
        <v>1.0669999999999999</v>
      </c>
      <c r="J93" s="103">
        <f>[88]Source!S92</f>
        <v>155.46</v>
      </c>
      <c r="K93" s="82">
        <f>IF([88]Source!BA93&lt;&gt; 0, [88]Source!BA93, 1)</f>
        <v>24.23</v>
      </c>
      <c r="L93" s="103">
        <f>[88]Source!S93</f>
        <v>3766.8</v>
      </c>
    </row>
    <row r="94" spans="1:22" ht="14.25" x14ac:dyDescent="0.2">
      <c r="A94" s="98"/>
      <c r="B94" s="98"/>
      <c r="C94" s="99"/>
      <c r="D94" s="99" t="s">
        <v>85</v>
      </c>
      <c r="E94" s="100"/>
      <c r="F94" s="82"/>
      <c r="G94" s="101">
        <f>[88]Source!AM92</f>
        <v>418.64</v>
      </c>
      <c r="H94" s="102">
        <f>[88]Source!DE92</f>
        <v>0</v>
      </c>
      <c r="I94" s="82">
        <f>[88]Source!AV93</f>
        <v>1.0669999999999999</v>
      </c>
      <c r="J94" s="103">
        <f>[88]Source!Q92-J103</f>
        <v>207.93</v>
      </c>
      <c r="K94" s="82">
        <f>IF([88]Source!BB93&lt;&gt; 0, [88]Source!BB93, 1)</f>
        <v>8.51</v>
      </c>
      <c r="L94" s="103">
        <f>[88]Source!Q93-L103</f>
        <v>1769.48</v>
      </c>
    </row>
    <row r="95" spans="1:22" ht="14.25" x14ac:dyDescent="0.2">
      <c r="A95" s="98"/>
      <c r="B95" s="98"/>
      <c r="C95" s="99"/>
      <c r="D95" s="99" t="s">
        <v>86</v>
      </c>
      <c r="E95" s="100"/>
      <c r="F95" s="82"/>
      <c r="G95" s="101">
        <f>[88]Source!AN92</f>
        <v>66.08</v>
      </c>
      <c r="H95" s="102">
        <f>[88]Source!DE92</f>
        <v>0</v>
      </c>
      <c r="I95" s="82">
        <f>[88]Source!AV93</f>
        <v>1.0669999999999999</v>
      </c>
      <c r="J95" s="104">
        <f>[88]Source!R92-J104</f>
        <v>32.82</v>
      </c>
      <c r="K95" s="82">
        <f>IF([88]Source!BS93&lt;&gt; 0, [88]Source!BS93, 1)</f>
        <v>24.23</v>
      </c>
      <c r="L95" s="104">
        <f>[88]Source!R93-L104</f>
        <v>795.23</v>
      </c>
    </row>
    <row r="96" spans="1:22" ht="14.25" x14ac:dyDescent="0.2">
      <c r="A96" s="98"/>
      <c r="B96" s="98"/>
      <c r="C96" s="99"/>
      <c r="D96" s="99" t="s">
        <v>87</v>
      </c>
      <c r="E96" s="100"/>
      <c r="F96" s="82"/>
      <c r="G96" s="101">
        <f>[88]Source!AL92</f>
        <v>37.659999999999997</v>
      </c>
      <c r="H96" s="102">
        <f>[88]Source!DD92</f>
        <v>0</v>
      </c>
      <c r="I96" s="82">
        <f>[88]Source!AW93</f>
        <v>1.081</v>
      </c>
      <c r="J96" s="103">
        <f>[88]Source!P92</f>
        <v>18.95</v>
      </c>
      <c r="K96" s="82">
        <f>IF([88]Source!BC93&lt;&gt; 0, [88]Source!BC93, 1)</f>
        <v>5.58</v>
      </c>
      <c r="L96" s="103">
        <f>[88]Source!P93</f>
        <v>105.74</v>
      </c>
    </row>
    <row r="97" spans="1:22" ht="14.25" x14ac:dyDescent="0.2">
      <c r="A97" s="98"/>
      <c r="B97" s="98"/>
      <c r="C97" s="99"/>
      <c r="D97" s="99" t="s">
        <v>88</v>
      </c>
      <c r="E97" s="100" t="s">
        <v>89</v>
      </c>
      <c r="F97" s="82">
        <f>[88]Source!DN93</f>
        <v>112</v>
      </c>
      <c r="G97" s="101"/>
      <c r="H97" s="102"/>
      <c r="I97" s="82"/>
      <c r="J97" s="103">
        <f>SUM(Q92:Q96)</f>
        <v>174.12</v>
      </c>
      <c r="K97" s="82">
        <f>[88]Source!BZ93</f>
        <v>90</v>
      </c>
      <c r="L97" s="103">
        <f>SUM(R92:R96)</f>
        <v>3390.12</v>
      </c>
    </row>
    <row r="98" spans="1:22" ht="14.25" x14ac:dyDescent="0.2">
      <c r="A98" s="98"/>
      <c r="B98" s="98"/>
      <c r="C98" s="99"/>
      <c r="D98" s="99" t="s">
        <v>90</v>
      </c>
      <c r="E98" s="100" t="s">
        <v>89</v>
      </c>
      <c r="F98" s="82">
        <f>[88]Source!DO93</f>
        <v>70</v>
      </c>
      <c r="G98" s="101"/>
      <c r="H98" s="102"/>
      <c r="I98" s="82"/>
      <c r="J98" s="103">
        <f>SUM(S92:S97)</f>
        <v>108.82</v>
      </c>
      <c r="K98" s="82">
        <f>[88]Source!CA93</f>
        <v>43</v>
      </c>
      <c r="L98" s="103">
        <f>SUM(T92:T97)</f>
        <v>1619.72</v>
      </c>
    </row>
    <row r="99" spans="1:22" ht="14.25" x14ac:dyDescent="0.2">
      <c r="A99" s="98"/>
      <c r="B99" s="98"/>
      <c r="C99" s="99"/>
      <c r="D99" s="99" t="s">
        <v>91</v>
      </c>
      <c r="E99" s="100" t="s">
        <v>89</v>
      </c>
      <c r="F99" s="82">
        <f>175</f>
        <v>175</v>
      </c>
      <c r="G99" s="101"/>
      <c r="H99" s="102"/>
      <c r="I99" s="82"/>
      <c r="J99" s="103">
        <f>SUM(U92:U98)-J105</f>
        <v>57.44</v>
      </c>
      <c r="K99" s="82">
        <f>157</f>
        <v>157</v>
      </c>
      <c r="L99" s="103">
        <f>SUM(V92:V98)-L105</f>
        <v>1248.51</v>
      </c>
    </row>
    <row r="100" spans="1:22" ht="14.25" x14ac:dyDescent="0.2">
      <c r="A100" s="98"/>
      <c r="B100" s="98"/>
      <c r="C100" s="99"/>
      <c r="D100" s="99" t="s">
        <v>92</v>
      </c>
      <c r="E100" s="100" t="s">
        <v>93</v>
      </c>
      <c r="F100" s="82">
        <f>[88]Source!AQ92</f>
        <v>15.2</v>
      </c>
      <c r="G100" s="101"/>
      <c r="H100" s="102">
        <f>[88]Source!DI92</f>
        <v>0</v>
      </c>
      <c r="I100" s="82">
        <f>[88]Source!AV93</f>
        <v>1.0669999999999999</v>
      </c>
      <c r="J100" s="103">
        <f>[88]Source!U92</f>
        <v>7.55</v>
      </c>
      <c r="K100" s="82"/>
      <c r="L100" s="103"/>
    </row>
    <row r="101" spans="1:22" ht="15" x14ac:dyDescent="0.25">
      <c r="I101" s="910">
        <f>J93+J94+J96+J97+J98+J99</f>
        <v>722.72</v>
      </c>
      <c r="J101" s="910"/>
      <c r="K101" s="910">
        <f>L93+L94+L96+L97+L98+L99</f>
        <v>11900.37</v>
      </c>
      <c r="L101" s="910"/>
      <c r="O101" s="105">
        <f>J93+J94+J96+J97+J98+J99</f>
        <v>722.72</v>
      </c>
      <c r="P101" s="105">
        <f>L93+L94+L96+L97+L98+L99</f>
        <v>11900.37</v>
      </c>
    </row>
    <row r="102" spans="1:22" ht="28.5" x14ac:dyDescent="0.2">
      <c r="A102" s="106"/>
      <c r="B102" s="106"/>
      <c r="C102" s="107"/>
      <c r="D102" s="107" t="s">
        <v>94</v>
      </c>
      <c r="E102" s="100"/>
      <c r="F102" s="108"/>
      <c r="G102" s="109"/>
      <c r="H102" s="100"/>
      <c r="I102" s="108"/>
      <c r="J102" s="104"/>
      <c r="K102" s="108"/>
      <c r="L102" s="104"/>
    </row>
    <row r="103" spans="1:22" ht="14.25" x14ac:dyDescent="0.2">
      <c r="A103" s="106"/>
      <c r="B103" s="106"/>
      <c r="C103" s="107"/>
      <c r="D103" s="107" t="s">
        <v>85</v>
      </c>
      <c r="E103" s="100"/>
      <c r="F103" s="108"/>
      <c r="G103" s="109">
        <f t="shared" ref="G103:L103" si="2">G104</f>
        <v>66.08</v>
      </c>
      <c r="H103" s="110" t="str">
        <f t="shared" si="2"/>
        <v>)*(1.67-1)</v>
      </c>
      <c r="I103" s="108">
        <f t="shared" si="2"/>
        <v>1.0669999999999999</v>
      </c>
      <c r="J103" s="104">
        <f t="shared" si="2"/>
        <v>21.99</v>
      </c>
      <c r="K103" s="108">
        <f t="shared" si="2"/>
        <v>24.23</v>
      </c>
      <c r="L103" s="104">
        <f t="shared" si="2"/>
        <v>532.82000000000005</v>
      </c>
    </row>
    <row r="104" spans="1:22" ht="14.25" x14ac:dyDescent="0.2">
      <c r="A104" s="106"/>
      <c r="B104" s="106"/>
      <c r="C104" s="107"/>
      <c r="D104" s="107" t="s">
        <v>86</v>
      </c>
      <c r="E104" s="100"/>
      <c r="F104" s="108"/>
      <c r="G104" s="109">
        <f>[88]Source!AN92</f>
        <v>66.08</v>
      </c>
      <c r="H104" s="110" t="s">
        <v>95</v>
      </c>
      <c r="I104" s="108">
        <f>[88]Source!AV93</f>
        <v>1.0669999999999999</v>
      </c>
      <c r="J104" s="104">
        <f>ROUND(F92*G104*I104*(1.67-1), 2)</f>
        <v>21.99</v>
      </c>
      <c r="K104" s="108">
        <f>IF([88]Source!BS93&lt;&gt; 0, [88]Source!BS93, 1)</f>
        <v>24.23</v>
      </c>
      <c r="L104" s="104">
        <f>ROUND(F92*G104*I104*(1.67-1)*K104, 2)</f>
        <v>532.82000000000005</v>
      </c>
    </row>
    <row r="105" spans="1:22" ht="14.25" x14ac:dyDescent="0.2">
      <c r="A105" s="106"/>
      <c r="B105" s="106"/>
      <c r="C105" s="107"/>
      <c r="D105" s="107" t="s">
        <v>91</v>
      </c>
      <c r="E105" s="100" t="s">
        <v>89</v>
      </c>
      <c r="F105" s="108">
        <f>175</f>
        <v>175</v>
      </c>
      <c r="G105" s="109"/>
      <c r="H105" s="100"/>
      <c r="I105" s="108"/>
      <c r="J105" s="104">
        <f>ROUND(J104*(F105/100), 2)</f>
        <v>38.479999999999997</v>
      </c>
      <c r="K105" s="108">
        <f>157</f>
        <v>157</v>
      </c>
      <c r="L105" s="104">
        <f>ROUND(L104*(K105/100), 2)</f>
        <v>836.53</v>
      </c>
    </row>
    <row r="106" spans="1:22" ht="15" x14ac:dyDescent="0.25">
      <c r="I106" s="910">
        <f>J105+J104</f>
        <v>60.47</v>
      </c>
      <c r="J106" s="910"/>
      <c r="K106" s="910">
        <f>L105+L104</f>
        <v>1369.35</v>
      </c>
      <c r="L106" s="910"/>
      <c r="O106" s="105">
        <f>I106</f>
        <v>60.47</v>
      </c>
      <c r="P106" s="105">
        <f>K106</f>
        <v>1369.35</v>
      </c>
    </row>
    <row r="108" spans="1:22" ht="15" x14ac:dyDescent="0.25">
      <c r="A108" s="111"/>
      <c r="B108" s="111"/>
      <c r="C108" s="112"/>
      <c r="D108" s="112" t="s">
        <v>96</v>
      </c>
      <c r="E108" s="113"/>
      <c r="F108" s="114"/>
      <c r="G108" s="115"/>
      <c r="H108" s="116"/>
      <c r="I108" s="910">
        <f>I101+I106</f>
        <v>783.19</v>
      </c>
      <c r="J108" s="910"/>
      <c r="K108" s="910">
        <f>K101+K106</f>
        <v>13269.72</v>
      </c>
      <c r="L108" s="910"/>
    </row>
    <row r="109" spans="1:22" ht="78" x14ac:dyDescent="0.2">
      <c r="A109" s="98">
        <v>5</v>
      </c>
      <c r="B109" s="98" t="str">
        <f>[88]Source!E94</f>
        <v>9</v>
      </c>
      <c r="C109" s="99" t="s">
        <v>178</v>
      </c>
      <c r="D109" s="99" t="s">
        <v>179</v>
      </c>
      <c r="E109" s="100" t="str">
        <f>[88]Source!H94</f>
        <v>100 М КАБЕЛЯ</v>
      </c>
      <c r="F109" s="82">
        <f>[88]Source!I94</f>
        <v>0.2205</v>
      </c>
      <c r="G109" s="101"/>
      <c r="H109" s="102"/>
      <c r="I109" s="82"/>
      <c r="J109" s="103"/>
      <c r="K109" s="82"/>
      <c r="L109" s="103"/>
      <c r="Q109" s="79">
        <f>[88]Source!X94</f>
        <v>82.48</v>
      </c>
      <c r="R109" s="79">
        <f>[88]Source!X95</f>
        <v>1605.87</v>
      </c>
      <c r="S109" s="79">
        <f>[88]Source!Y94</f>
        <v>51.55</v>
      </c>
      <c r="T109" s="79">
        <f>[88]Source!Y95</f>
        <v>767.25</v>
      </c>
      <c r="U109" s="79">
        <f>ROUND((175/100)*ROUND([88]Source!R94, 2), 2)</f>
        <v>45.43</v>
      </c>
      <c r="V109" s="79">
        <f>ROUND((157/100)*ROUND([88]Source!R95, 2), 2)</f>
        <v>987.55</v>
      </c>
    </row>
    <row r="110" spans="1:22" ht="14.25" x14ac:dyDescent="0.2">
      <c r="A110" s="98"/>
      <c r="B110" s="98"/>
      <c r="C110" s="99"/>
      <c r="D110" s="99" t="s">
        <v>84</v>
      </c>
      <c r="E110" s="100"/>
      <c r="F110" s="82"/>
      <c r="G110" s="101">
        <f>[88]Source!AO94</f>
        <v>187.42</v>
      </c>
      <c r="H110" s="102" t="str">
        <f>[88]Source!DG94</f>
        <v>)*1,67</v>
      </c>
      <c r="I110" s="82">
        <f>[88]Source!AV95</f>
        <v>1.0669999999999999</v>
      </c>
      <c r="J110" s="103">
        <f>[88]Source!S94</f>
        <v>73.64</v>
      </c>
      <c r="K110" s="82">
        <f>IF([88]Source!BA95&lt;&gt; 0, [88]Source!BA95, 1)</f>
        <v>24.23</v>
      </c>
      <c r="L110" s="103">
        <f>[88]Source!S95</f>
        <v>1784.3</v>
      </c>
    </row>
    <row r="111" spans="1:22" ht="14.25" x14ac:dyDescent="0.2">
      <c r="A111" s="98"/>
      <c r="B111" s="98"/>
      <c r="C111" s="99"/>
      <c r="D111" s="99" t="s">
        <v>85</v>
      </c>
      <c r="E111" s="100"/>
      <c r="F111" s="82"/>
      <c r="G111" s="101">
        <f>[88]Source!AM94</f>
        <v>418.64</v>
      </c>
      <c r="H111" s="102">
        <f>[88]Source!DE94</f>
        <v>0</v>
      </c>
      <c r="I111" s="82">
        <f>[88]Source!AV95</f>
        <v>1.0669999999999999</v>
      </c>
      <c r="J111" s="103">
        <f>[88]Source!Q94-J120</f>
        <v>98.49</v>
      </c>
      <c r="K111" s="82">
        <f>IF([88]Source!BB95&lt;&gt; 0, [88]Source!BB95, 1)</f>
        <v>8.51</v>
      </c>
      <c r="L111" s="103">
        <f>[88]Source!Q95-L120</f>
        <v>838.24</v>
      </c>
    </row>
    <row r="112" spans="1:22" ht="14.25" x14ac:dyDescent="0.2">
      <c r="A112" s="98"/>
      <c r="B112" s="98"/>
      <c r="C112" s="99"/>
      <c r="D112" s="99" t="s">
        <v>86</v>
      </c>
      <c r="E112" s="100"/>
      <c r="F112" s="82"/>
      <c r="G112" s="101">
        <f>[88]Source!AN94</f>
        <v>66.08</v>
      </c>
      <c r="H112" s="102">
        <f>[88]Source!DE94</f>
        <v>0</v>
      </c>
      <c r="I112" s="82">
        <f>[88]Source!AV95</f>
        <v>1.0669999999999999</v>
      </c>
      <c r="J112" s="104">
        <f>[88]Source!R94-J121</f>
        <v>15.54</v>
      </c>
      <c r="K112" s="82">
        <f>IF([88]Source!BS95&lt;&gt; 0, [88]Source!BS95, 1)</f>
        <v>24.23</v>
      </c>
      <c r="L112" s="104">
        <f>[88]Source!R95-L121</f>
        <v>376.62</v>
      </c>
    </row>
    <row r="113" spans="1:22" ht="14.25" x14ac:dyDescent="0.2">
      <c r="A113" s="98"/>
      <c r="B113" s="98"/>
      <c r="C113" s="99"/>
      <c r="D113" s="99" t="s">
        <v>87</v>
      </c>
      <c r="E113" s="100"/>
      <c r="F113" s="82"/>
      <c r="G113" s="101">
        <f>[88]Source!AL94</f>
        <v>37.659999999999997</v>
      </c>
      <c r="H113" s="102">
        <f>[88]Source!DD94</f>
        <v>0</v>
      </c>
      <c r="I113" s="82">
        <f>[88]Source!AW95</f>
        <v>1.081</v>
      </c>
      <c r="J113" s="103">
        <f>[88]Source!P94</f>
        <v>8.98</v>
      </c>
      <c r="K113" s="82">
        <f>IF([88]Source!BC95&lt;&gt; 0, [88]Source!BC95, 1)</f>
        <v>5.58</v>
      </c>
      <c r="L113" s="103">
        <f>[88]Source!P95</f>
        <v>50.11</v>
      </c>
    </row>
    <row r="114" spans="1:22" ht="14.25" x14ac:dyDescent="0.2">
      <c r="A114" s="98"/>
      <c r="B114" s="98"/>
      <c r="C114" s="99"/>
      <c r="D114" s="99" t="s">
        <v>88</v>
      </c>
      <c r="E114" s="100" t="s">
        <v>89</v>
      </c>
      <c r="F114" s="82">
        <f>[88]Source!DN95</f>
        <v>112</v>
      </c>
      <c r="G114" s="101"/>
      <c r="H114" s="102"/>
      <c r="I114" s="82"/>
      <c r="J114" s="103">
        <f>SUM(Q109:Q113)</f>
        <v>82.48</v>
      </c>
      <c r="K114" s="82">
        <f>[88]Source!BZ95</f>
        <v>90</v>
      </c>
      <c r="L114" s="103">
        <f>SUM(R109:R113)</f>
        <v>1605.87</v>
      </c>
    </row>
    <row r="115" spans="1:22" ht="14.25" x14ac:dyDescent="0.2">
      <c r="A115" s="98"/>
      <c r="B115" s="98"/>
      <c r="C115" s="99"/>
      <c r="D115" s="99" t="s">
        <v>90</v>
      </c>
      <c r="E115" s="100" t="s">
        <v>89</v>
      </c>
      <c r="F115" s="82">
        <f>[88]Source!DO95</f>
        <v>70</v>
      </c>
      <c r="G115" s="101"/>
      <c r="H115" s="102"/>
      <c r="I115" s="82"/>
      <c r="J115" s="103">
        <f>SUM(S109:S114)</f>
        <v>51.55</v>
      </c>
      <c r="K115" s="82">
        <f>[88]Source!CA95</f>
        <v>43</v>
      </c>
      <c r="L115" s="103">
        <f>SUM(T109:T114)</f>
        <v>767.25</v>
      </c>
    </row>
    <row r="116" spans="1:22" ht="14.25" x14ac:dyDescent="0.2">
      <c r="A116" s="98"/>
      <c r="B116" s="98"/>
      <c r="C116" s="99"/>
      <c r="D116" s="99" t="s">
        <v>91</v>
      </c>
      <c r="E116" s="100" t="s">
        <v>89</v>
      </c>
      <c r="F116" s="82">
        <f>175</f>
        <v>175</v>
      </c>
      <c r="G116" s="101"/>
      <c r="H116" s="102"/>
      <c r="I116" s="82"/>
      <c r="J116" s="103">
        <f>SUM(U109:U115)-J122</f>
        <v>27.19</v>
      </c>
      <c r="K116" s="82">
        <f>157</f>
        <v>157</v>
      </c>
      <c r="L116" s="103">
        <f>SUM(V109:V115)-L122</f>
        <v>591.29999999999995</v>
      </c>
    </row>
    <row r="117" spans="1:22" ht="14.25" x14ac:dyDescent="0.2">
      <c r="A117" s="98"/>
      <c r="B117" s="98"/>
      <c r="C117" s="99"/>
      <c r="D117" s="99" t="s">
        <v>92</v>
      </c>
      <c r="E117" s="100" t="s">
        <v>93</v>
      </c>
      <c r="F117" s="82">
        <f>[88]Source!AQ94</f>
        <v>15.2</v>
      </c>
      <c r="G117" s="101"/>
      <c r="H117" s="102">
        <f>[88]Source!DI94</f>
        <v>0</v>
      </c>
      <c r="I117" s="82">
        <f>[88]Source!AV95</f>
        <v>1.0669999999999999</v>
      </c>
      <c r="J117" s="103">
        <f>[88]Source!U94</f>
        <v>3.58</v>
      </c>
      <c r="K117" s="82"/>
      <c r="L117" s="103"/>
    </row>
    <row r="118" spans="1:22" ht="15" x14ac:dyDescent="0.25">
      <c r="I118" s="910">
        <f>J110+J111+J113+J114+J115+J116</f>
        <v>342.33</v>
      </c>
      <c r="J118" s="910"/>
      <c r="K118" s="910">
        <f>L110+L111+L113+L114+L115+L116</f>
        <v>5637.07</v>
      </c>
      <c r="L118" s="910"/>
      <c r="O118" s="105">
        <f>J110+J111+J113+J114+J115+J116</f>
        <v>342.33</v>
      </c>
      <c r="P118" s="105">
        <f>L110+L111+L113+L114+L115+L116</f>
        <v>5637.07</v>
      </c>
    </row>
    <row r="119" spans="1:22" ht="28.5" x14ac:dyDescent="0.2">
      <c r="A119" s="106"/>
      <c r="B119" s="106"/>
      <c r="C119" s="107"/>
      <c r="D119" s="107" t="s">
        <v>94</v>
      </c>
      <c r="E119" s="100"/>
      <c r="F119" s="108"/>
      <c r="G119" s="109"/>
      <c r="H119" s="100"/>
      <c r="I119" s="108"/>
      <c r="J119" s="104"/>
      <c r="K119" s="108"/>
      <c r="L119" s="104"/>
    </row>
    <row r="120" spans="1:22" ht="14.25" x14ac:dyDescent="0.2">
      <c r="A120" s="106"/>
      <c r="B120" s="106"/>
      <c r="C120" s="107"/>
      <c r="D120" s="107" t="s">
        <v>85</v>
      </c>
      <c r="E120" s="100"/>
      <c r="F120" s="108"/>
      <c r="G120" s="109">
        <f t="shared" ref="G120:L120" si="3">G121</f>
        <v>66.08</v>
      </c>
      <c r="H120" s="110" t="str">
        <f t="shared" si="3"/>
        <v>)*(1.67-1)</v>
      </c>
      <c r="I120" s="108">
        <f t="shared" si="3"/>
        <v>1.0669999999999999</v>
      </c>
      <c r="J120" s="104">
        <f t="shared" si="3"/>
        <v>10.42</v>
      </c>
      <c r="K120" s="108">
        <f t="shared" si="3"/>
        <v>24.23</v>
      </c>
      <c r="L120" s="104">
        <f t="shared" si="3"/>
        <v>252.39</v>
      </c>
    </row>
    <row r="121" spans="1:22" ht="14.25" x14ac:dyDescent="0.2">
      <c r="A121" s="106"/>
      <c r="B121" s="106"/>
      <c r="C121" s="107"/>
      <c r="D121" s="107" t="s">
        <v>86</v>
      </c>
      <c r="E121" s="100"/>
      <c r="F121" s="108"/>
      <c r="G121" s="109">
        <f>[88]Source!AN94</f>
        <v>66.08</v>
      </c>
      <c r="H121" s="110" t="s">
        <v>95</v>
      </c>
      <c r="I121" s="108">
        <f>[88]Source!AV95</f>
        <v>1.0669999999999999</v>
      </c>
      <c r="J121" s="104">
        <f>ROUND(F109*G121*I121*(1.67-1), 2)</f>
        <v>10.42</v>
      </c>
      <c r="K121" s="108">
        <f>IF([88]Source!BS95&lt;&gt; 0, [88]Source!BS95, 1)</f>
        <v>24.23</v>
      </c>
      <c r="L121" s="104">
        <f>ROUND(F109*G121*I121*(1.67-1)*K121, 2)</f>
        <v>252.39</v>
      </c>
    </row>
    <row r="122" spans="1:22" ht="14.25" x14ac:dyDescent="0.2">
      <c r="A122" s="106"/>
      <c r="B122" s="106"/>
      <c r="C122" s="107"/>
      <c r="D122" s="107" t="s">
        <v>91</v>
      </c>
      <c r="E122" s="100" t="s">
        <v>89</v>
      </c>
      <c r="F122" s="108">
        <f>175</f>
        <v>175</v>
      </c>
      <c r="G122" s="109"/>
      <c r="H122" s="100"/>
      <c r="I122" s="108"/>
      <c r="J122" s="104">
        <f>ROUND(J121*(F122/100), 2)</f>
        <v>18.239999999999998</v>
      </c>
      <c r="K122" s="108">
        <f>157</f>
        <v>157</v>
      </c>
      <c r="L122" s="104">
        <f>ROUND(L121*(K122/100), 2)</f>
        <v>396.25</v>
      </c>
    </row>
    <row r="123" spans="1:22" ht="15" x14ac:dyDescent="0.25">
      <c r="I123" s="910">
        <f>J122+J121</f>
        <v>28.66</v>
      </c>
      <c r="J123" s="910"/>
      <c r="K123" s="910">
        <f>L122+L121</f>
        <v>648.64</v>
      </c>
      <c r="L123" s="910"/>
      <c r="O123" s="105">
        <f>I123</f>
        <v>28.66</v>
      </c>
      <c r="P123" s="105">
        <f>K123</f>
        <v>648.64</v>
      </c>
    </row>
    <row r="125" spans="1:22" ht="15" x14ac:dyDescent="0.25">
      <c r="A125" s="111"/>
      <c r="B125" s="111"/>
      <c r="C125" s="112"/>
      <c r="D125" s="112" t="s">
        <v>96</v>
      </c>
      <c r="E125" s="113"/>
      <c r="F125" s="114"/>
      <c r="G125" s="115"/>
      <c r="H125" s="116"/>
      <c r="I125" s="910">
        <f>I118+I123</f>
        <v>370.99</v>
      </c>
      <c r="J125" s="910"/>
      <c r="K125" s="910">
        <f>K118+K123</f>
        <v>6285.71</v>
      </c>
      <c r="L125" s="910"/>
    </row>
    <row r="126" spans="1:22" ht="71.25" x14ac:dyDescent="0.2">
      <c r="A126" s="98">
        <v>6</v>
      </c>
      <c r="B126" s="98" t="str">
        <f>[88]Source!E96</f>
        <v>10</v>
      </c>
      <c r="C126" s="99" t="s">
        <v>180</v>
      </c>
      <c r="D126" s="99" t="s">
        <v>181</v>
      </c>
      <c r="E126" s="100" t="str">
        <f>[88]Source!H96</f>
        <v>100 м</v>
      </c>
      <c r="F126" s="121">
        <f>[88]Source!I96</f>
        <v>0.1421</v>
      </c>
      <c r="G126" s="101"/>
      <c r="H126" s="102"/>
      <c r="I126" s="82"/>
      <c r="J126" s="103"/>
      <c r="K126" s="82"/>
      <c r="L126" s="103"/>
      <c r="Q126" s="79">
        <f>[88]Source!X96</f>
        <v>24.74</v>
      </c>
      <c r="R126" s="79">
        <f>[88]Source!X97</f>
        <v>481.72</v>
      </c>
      <c r="S126" s="79">
        <f>[88]Source!Y96</f>
        <v>15.46</v>
      </c>
      <c r="T126" s="79">
        <f>[88]Source!Y97</f>
        <v>230.15</v>
      </c>
      <c r="U126" s="79">
        <f>ROUND((175/100)*ROUND([88]Source!R96, 2), 2)</f>
        <v>0.35</v>
      </c>
      <c r="V126" s="79">
        <f>ROUND((157/100)*ROUND([88]Source!R97, 2), 2)</f>
        <v>7.61</v>
      </c>
    </row>
    <row r="127" spans="1:22" ht="14.25" x14ac:dyDescent="0.2">
      <c r="A127" s="98"/>
      <c r="B127" s="98"/>
      <c r="C127" s="99"/>
      <c r="D127" s="99" t="s">
        <v>84</v>
      </c>
      <c r="E127" s="100"/>
      <c r="F127" s="82"/>
      <c r="G127" s="101">
        <f>[88]Source!AO96</f>
        <v>88.9</v>
      </c>
      <c r="H127" s="102" t="str">
        <f>[88]Source!DG96</f>
        <v>)*1,67</v>
      </c>
      <c r="I127" s="82">
        <f>[88]Source!AV97</f>
        <v>1.0469999999999999</v>
      </c>
      <c r="J127" s="103">
        <f>[88]Source!S96</f>
        <v>22.09</v>
      </c>
      <c r="K127" s="82">
        <f>IF([88]Source!BA97&lt;&gt; 0, [88]Source!BA97, 1)</f>
        <v>24.23</v>
      </c>
      <c r="L127" s="103">
        <f>[88]Source!S97</f>
        <v>535.24</v>
      </c>
    </row>
    <row r="128" spans="1:22" ht="14.25" x14ac:dyDescent="0.2">
      <c r="A128" s="98"/>
      <c r="B128" s="98"/>
      <c r="C128" s="99"/>
      <c r="D128" s="99" t="s">
        <v>85</v>
      </c>
      <c r="E128" s="100"/>
      <c r="F128" s="82"/>
      <c r="G128" s="101">
        <f>[88]Source!AM96</f>
        <v>3.39</v>
      </c>
      <c r="H128" s="102">
        <f>[88]Source!DE96</f>
        <v>0</v>
      </c>
      <c r="I128" s="82">
        <f>[88]Source!AV97</f>
        <v>1.0469999999999999</v>
      </c>
      <c r="J128" s="103">
        <f>[88]Source!Q96-J137</f>
        <v>0.5</v>
      </c>
      <c r="K128" s="82">
        <f>IF([88]Source!BB97&lt;&gt; 0, [88]Source!BB97, 1)</f>
        <v>9.91</v>
      </c>
      <c r="L128" s="103">
        <f>[88]Source!Q97-L137</f>
        <v>4.99</v>
      </c>
    </row>
    <row r="129" spans="1:16" ht="14.25" x14ac:dyDescent="0.2">
      <c r="A129" s="98"/>
      <c r="B129" s="98"/>
      <c r="C129" s="99"/>
      <c r="D129" s="99" t="s">
        <v>86</v>
      </c>
      <c r="E129" s="100"/>
      <c r="F129" s="82"/>
      <c r="G129" s="101">
        <f>[88]Source!AN96</f>
        <v>0.79</v>
      </c>
      <c r="H129" s="102">
        <f>[88]Source!DE96</f>
        <v>0</v>
      </c>
      <c r="I129" s="82">
        <f>[88]Source!AV97</f>
        <v>1.0469999999999999</v>
      </c>
      <c r="J129" s="104">
        <f>[88]Source!R96-J138</f>
        <v>0.12</v>
      </c>
      <c r="K129" s="82">
        <f>IF([88]Source!BS97&lt;&gt; 0, [88]Source!BS97, 1)</f>
        <v>24.23</v>
      </c>
      <c r="L129" s="104">
        <f>[88]Source!R97-L138</f>
        <v>2.94</v>
      </c>
    </row>
    <row r="130" spans="1:16" ht="14.25" x14ac:dyDescent="0.2">
      <c r="A130" s="98"/>
      <c r="B130" s="98"/>
      <c r="C130" s="99"/>
      <c r="D130" s="99" t="s">
        <v>87</v>
      </c>
      <c r="E130" s="100"/>
      <c r="F130" s="82"/>
      <c r="G130" s="101">
        <f>[88]Source!AL96</f>
        <v>15.19</v>
      </c>
      <c r="H130" s="102">
        <f>[88]Source!DD96</f>
        <v>0</v>
      </c>
      <c r="I130" s="82">
        <f>[88]Source!AW97</f>
        <v>1</v>
      </c>
      <c r="J130" s="103">
        <f>[88]Source!P96</f>
        <v>2.16</v>
      </c>
      <c r="K130" s="82">
        <f>IF([88]Source!BC97&lt;&gt; 0, [88]Source!BC97, 1)</f>
        <v>5.58</v>
      </c>
      <c r="L130" s="103">
        <f>[88]Source!P97</f>
        <v>12.05</v>
      </c>
    </row>
    <row r="131" spans="1:16" ht="14.25" x14ac:dyDescent="0.2">
      <c r="A131" s="98"/>
      <c r="B131" s="98"/>
      <c r="C131" s="99"/>
      <c r="D131" s="99" t="s">
        <v>88</v>
      </c>
      <c r="E131" s="100" t="s">
        <v>89</v>
      </c>
      <c r="F131" s="82">
        <f>[88]Source!DN97</f>
        <v>112</v>
      </c>
      <c r="G131" s="101"/>
      <c r="H131" s="102"/>
      <c r="I131" s="82"/>
      <c r="J131" s="103">
        <f>SUM(Q126:Q130)</f>
        <v>24.74</v>
      </c>
      <c r="K131" s="82">
        <f>[88]Source!BZ97</f>
        <v>90</v>
      </c>
      <c r="L131" s="103">
        <f>SUM(R126:R130)</f>
        <v>481.72</v>
      </c>
    </row>
    <row r="132" spans="1:16" ht="14.25" x14ac:dyDescent="0.2">
      <c r="A132" s="98"/>
      <c r="B132" s="98"/>
      <c r="C132" s="99"/>
      <c r="D132" s="99" t="s">
        <v>90</v>
      </c>
      <c r="E132" s="100" t="s">
        <v>89</v>
      </c>
      <c r="F132" s="82">
        <f>[88]Source!DO97</f>
        <v>70</v>
      </c>
      <c r="G132" s="101"/>
      <c r="H132" s="102"/>
      <c r="I132" s="82"/>
      <c r="J132" s="103">
        <f>SUM(S126:S131)</f>
        <v>15.46</v>
      </c>
      <c r="K132" s="82">
        <f>[88]Source!CA97</f>
        <v>43</v>
      </c>
      <c r="L132" s="103">
        <f>SUM(T126:T131)</f>
        <v>230.15</v>
      </c>
    </row>
    <row r="133" spans="1:16" ht="14.25" x14ac:dyDescent="0.2">
      <c r="A133" s="98"/>
      <c r="B133" s="98"/>
      <c r="C133" s="99"/>
      <c r="D133" s="99" t="s">
        <v>91</v>
      </c>
      <c r="E133" s="100" t="s">
        <v>89</v>
      </c>
      <c r="F133" s="82">
        <f>175</f>
        <v>175</v>
      </c>
      <c r="G133" s="101"/>
      <c r="H133" s="102"/>
      <c r="I133" s="82"/>
      <c r="J133" s="103">
        <f>SUM(U126:U132)-J139</f>
        <v>0.21</v>
      </c>
      <c r="K133" s="82">
        <f>157</f>
        <v>157</v>
      </c>
      <c r="L133" s="103">
        <f>SUM(V126:V132)-L139</f>
        <v>4.6100000000000003</v>
      </c>
    </row>
    <row r="134" spans="1:16" ht="14.25" x14ac:dyDescent="0.2">
      <c r="A134" s="98"/>
      <c r="B134" s="98"/>
      <c r="C134" s="99"/>
      <c r="D134" s="99" t="s">
        <v>92</v>
      </c>
      <c r="E134" s="100" t="s">
        <v>93</v>
      </c>
      <c r="F134" s="82">
        <f>[88]Source!AQ96</f>
        <v>7.21</v>
      </c>
      <c r="G134" s="101"/>
      <c r="H134" s="102">
        <f>[88]Source!DI96</f>
        <v>0</v>
      </c>
      <c r="I134" s="82">
        <f>[88]Source!AV97</f>
        <v>1.0469999999999999</v>
      </c>
      <c r="J134" s="103">
        <f>[88]Source!U96</f>
        <v>1.07</v>
      </c>
      <c r="K134" s="82"/>
      <c r="L134" s="103"/>
    </row>
    <row r="135" spans="1:16" ht="15" x14ac:dyDescent="0.25">
      <c r="I135" s="910">
        <f>J127+J128+J130+J131+J132+J133</f>
        <v>65.16</v>
      </c>
      <c r="J135" s="910"/>
      <c r="K135" s="910">
        <f>L127+L128+L130+L131+L132+L133</f>
        <v>1268.76</v>
      </c>
      <c r="L135" s="910"/>
      <c r="O135" s="105">
        <f>J127+J128+J130+J131+J132+J133</f>
        <v>65.16</v>
      </c>
      <c r="P135" s="105">
        <f>L127+L128+L130+L131+L132+L133</f>
        <v>1268.76</v>
      </c>
    </row>
    <row r="136" spans="1:16" ht="28.5" x14ac:dyDescent="0.2">
      <c r="A136" s="106"/>
      <c r="B136" s="106"/>
      <c r="C136" s="107"/>
      <c r="D136" s="107" t="s">
        <v>94</v>
      </c>
      <c r="E136" s="100"/>
      <c r="F136" s="108"/>
      <c r="G136" s="109"/>
      <c r="H136" s="100"/>
      <c r="I136" s="108"/>
      <c r="J136" s="104"/>
      <c r="K136" s="108"/>
      <c r="L136" s="104"/>
    </row>
    <row r="137" spans="1:16" ht="14.25" x14ac:dyDescent="0.2">
      <c r="A137" s="106"/>
      <c r="B137" s="106"/>
      <c r="C137" s="107"/>
      <c r="D137" s="107" t="s">
        <v>85</v>
      </c>
      <c r="E137" s="100"/>
      <c r="F137" s="108"/>
      <c r="G137" s="109">
        <f t="shared" ref="G137:L137" si="4">G138</f>
        <v>0.79</v>
      </c>
      <c r="H137" s="110" t="str">
        <f t="shared" si="4"/>
        <v>)*(1.67-1)</v>
      </c>
      <c r="I137" s="108">
        <f t="shared" si="4"/>
        <v>1.0469999999999999</v>
      </c>
      <c r="J137" s="104">
        <f t="shared" si="4"/>
        <v>0.08</v>
      </c>
      <c r="K137" s="108">
        <f t="shared" si="4"/>
        <v>24.23</v>
      </c>
      <c r="L137" s="104">
        <f t="shared" si="4"/>
        <v>1.91</v>
      </c>
    </row>
    <row r="138" spans="1:16" ht="14.25" x14ac:dyDescent="0.2">
      <c r="A138" s="106"/>
      <c r="B138" s="106"/>
      <c r="C138" s="107"/>
      <c r="D138" s="107" t="s">
        <v>86</v>
      </c>
      <c r="E138" s="100"/>
      <c r="F138" s="108"/>
      <c r="G138" s="109">
        <f>[88]Source!AN96</f>
        <v>0.79</v>
      </c>
      <c r="H138" s="110" t="s">
        <v>95</v>
      </c>
      <c r="I138" s="108">
        <f>[88]Source!AV97</f>
        <v>1.0469999999999999</v>
      </c>
      <c r="J138" s="104">
        <f>ROUND(F126*G138*I138*(1.67-1), 2)</f>
        <v>0.08</v>
      </c>
      <c r="K138" s="108">
        <f>IF([88]Source!BS97&lt;&gt; 0, [88]Source!BS97, 1)</f>
        <v>24.23</v>
      </c>
      <c r="L138" s="104">
        <f>ROUND(F126*G138*I138*(1.67-1)*K138, 2)</f>
        <v>1.91</v>
      </c>
    </row>
    <row r="139" spans="1:16" ht="14.25" x14ac:dyDescent="0.2">
      <c r="A139" s="106"/>
      <c r="B139" s="106"/>
      <c r="C139" s="107"/>
      <c r="D139" s="107" t="s">
        <v>91</v>
      </c>
      <c r="E139" s="100" t="s">
        <v>89</v>
      </c>
      <c r="F139" s="108">
        <f>175</f>
        <v>175</v>
      </c>
      <c r="G139" s="109"/>
      <c r="H139" s="100"/>
      <c r="I139" s="108"/>
      <c r="J139" s="104">
        <f>ROUND(J138*(F139/100), 2)</f>
        <v>0.14000000000000001</v>
      </c>
      <c r="K139" s="108">
        <f>157</f>
        <v>157</v>
      </c>
      <c r="L139" s="104">
        <f>ROUND(L138*(K139/100), 2)</f>
        <v>3</v>
      </c>
    </row>
    <row r="140" spans="1:16" ht="15" x14ac:dyDescent="0.25">
      <c r="I140" s="910">
        <f>J139+J138</f>
        <v>0.22</v>
      </c>
      <c r="J140" s="910"/>
      <c r="K140" s="910">
        <f>L139+L138</f>
        <v>4.91</v>
      </c>
      <c r="L140" s="910"/>
      <c r="O140" s="105">
        <f>I140</f>
        <v>0.22</v>
      </c>
      <c r="P140" s="105">
        <f>K140</f>
        <v>4.91</v>
      </c>
    </row>
    <row r="142" spans="1:16" ht="15" x14ac:dyDescent="0.25">
      <c r="A142" s="111"/>
      <c r="B142" s="111"/>
      <c r="C142" s="112"/>
      <c r="D142" s="112" t="s">
        <v>96</v>
      </c>
      <c r="E142" s="113"/>
      <c r="F142" s="114"/>
      <c r="G142" s="115"/>
      <c r="H142" s="116"/>
      <c r="I142" s="910">
        <f>I135+I140</f>
        <v>65.38</v>
      </c>
      <c r="J142" s="910"/>
      <c r="K142" s="910">
        <f>K135+K140</f>
        <v>1273.67</v>
      </c>
      <c r="L142" s="910"/>
    </row>
    <row r="144" spans="1:16" ht="15" x14ac:dyDescent="0.25">
      <c r="A144" s="911" t="str">
        <f>CONCATENATE("Итого по подразделу: ",IF([88]Source!G99&lt;&gt;"Новый подраздел", [88]Source!G99, ""))</f>
        <v>Итого по подразделу: Кабель и провода</v>
      </c>
      <c r="B144" s="911"/>
      <c r="C144" s="911"/>
      <c r="D144" s="911"/>
      <c r="E144" s="911"/>
      <c r="F144" s="911"/>
      <c r="G144" s="911"/>
      <c r="H144" s="911"/>
      <c r="I144" s="912">
        <f>SUM(O74:O143)</f>
        <v>5949.39</v>
      </c>
      <c r="J144" s="913"/>
      <c r="K144" s="912">
        <f>SUM(P74:P143)</f>
        <v>100802.65</v>
      </c>
      <c r="L144" s="913"/>
    </row>
    <row r="145" spans="1:22" hidden="1" x14ac:dyDescent="0.2">
      <c r="A145" s="79" t="s">
        <v>139</v>
      </c>
      <c r="J145" s="79">
        <f>SUM(W74:W144)</f>
        <v>0</v>
      </c>
      <c r="K145" s="79">
        <f>SUM(X74:X144)</f>
        <v>0</v>
      </c>
    </row>
    <row r="146" spans="1:22" hidden="1" x14ac:dyDescent="0.2">
      <c r="A146" s="79" t="s">
        <v>140</v>
      </c>
      <c r="J146" s="79">
        <f>SUM(Y74:Y145)</f>
        <v>0</v>
      </c>
      <c r="K146" s="79">
        <f>SUM(Z74:Z145)</f>
        <v>0</v>
      </c>
    </row>
    <row r="148" spans="1:22" ht="71.25" x14ac:dyDescent="0.2">
      <c r="A148" s="98">
        <v>7</v>
      </c>
      <c r="B148" s="98" t="str">
        <f>[88]Source!E132</f>
        <v>10</v>
      </c>
      <c r="C148" s="99" t="s">
        <v>182</v>
      </c>
      <c r="D148" s="99" t="s">
        <v>183</v>
      </c>
      <c r="E148" s="100" t="str">
        <f>[88]Source!H132</f>
        <v>100 м</v>
      </c>
      <c r="F148" s="121">
        <f>[88]Source!I132</f>
        <v>0.32340000000000002</v>
      </c>
      <c r="G148" s="101"/>
      <c r="H148" s="102"/>
      <c r="I148" s="82"/>
      <c r="J148" s="103"/>
      <c r="K148" s="82"/>
      <c r="L148" s="103"/>
      <c r="Q148" s="79">
        <f>[88]Source!X132</f>
        <v>80.430000000000007</v>
      </c>
      <c r="R148" s="79">
        <f>[88]Source!X133</f>
        <v>1565.96</v>
      </c>
      <c r="S148" s="79">
        <f>[88]Source!Y132</f>
        <v>50.27</v>
      </c>
      <c r="T148" s="79">
        <f>[88]Source!Y133</f>
        <v>748.18</v>
      </c>
      <c r="U148" s="79">
        <f>ROUND((175/100)*ROUND([88]Source!R132, 2), 2)</f>
        <v>1.37</v>
      </c>
      <c r="V148" s="79">
        <f>ROUND((157/100)*ROUND([88]Source!R133, 2), 2)</f>
        <v>29.67</v>
      </c>
    </row>
    <row r="149" spans="1:22" ht="14.25" x14ac:dyDescent="0.2">
      <c r="A149" s="98"/>
      <c r="B149" s="98"/>
      <c r="C149" s="99"/>
      <c r="D149" s="99" t="s">
        <v>84</v>
      </c>
      <c r="E149" s="100"/>
      <c r="F149" s="82"/>
      <c r="G149" s="101">
        <f>[88]Source!AO132</f>
        <v>127</v>
      </c>
      <c r="H149" s="102" t="str">
        <f>[88]Source!DG132</f>
        <v>)*1,67</v>
      </c>
      <c r="I149" s="82">
        <f>[88]Source!AV133</f>
        <v>1.0469999999999999</v>
      </c>
      <c r="J149" s="103">
        <f>[88]Source!S132</f>
        <v>71.81</v>
      </c>
      <c r="K149" s="82">
        <f>IF([88]Source!BA133&lt;&gt; 0, [88]Source!BA133, 1)</f>
        <v>24.23</v>
      </c>
      <c r="L149" s="103">
        <f>[88]Source!S133</f>
        <v>1739.96</v>
      </c>
    </row>
    <row r="150" spans="1:22" ht="14.25" x14ac:dyDescent="0.2">
      <c r="A150" s="98"/>
      <c r="B150" s="98"/>
      <c r="C150" s="99"/>
      <c r="D150" s="99" t="s">
        <v>85</v>
      </c>
      <c r="E150" s="100"/>
      <c r="F150" s="82"/>
      <c r="G150" s="101">
        <f>[88]Source!AM132</f>
        <v>5.93</v>
      </c>
      <c r="H150" s="102">
        <f>[88]Source!DE132</f>
        <v>0</v>
      </c>
      <c r="I150" s="82">
        <f>[88]Source!AV133</f>
        <v>1.0469999999999999</v>
      </c>
      <c r="J150" s="103">
        <f>[88]Source!Q132-J159</f>
        <v>2.0099999999999998</v>
      </c>
      <c r="K150" s="82">
        <f>IF([88]Source!BB133&lt;&gt; 0, [88]Source!BB133, 1)</f>
        <v>9.91</v>
      </c>
      <c r="L150" s="103">
        <f>[88]Source!Q133-L159</f>
        <v>19.84</v>
      </c>
    </row>
    <row r="151" spans="1:22" ht="14.25" x14ac:dyDescent="0.2">
      <c r="A151" s="98"/>
      <c r="B151" s="98"/>
      <c r="C151" s="99"/>
      <c r="D151" s="99" t="s">
        <v>86</v>
      </c>
      <c r="E151" s="100"/>
      <c r="F151" s="82"/>
      <c r="G151" s="101">
        <f>[88]Source!AN132</f>
        <v>1.38</v>
      </c>
      <c r="H151" s="102">
        <f>[88]Source!DE132</f>
        <v>0</v>
      </c>
      <c r="I151" s="82">
        <f>[88]Source!AV133</f>
        <v>1.0469999999999999</v>
      </c>
      <c r="J151" s="104">
        <f>[88]Source!R132-J160</f>
        <v>0.47</v>
      </c>
      <c r="K151" s="82">
        <f>IF([88]Source!BS133&lt;&gt; 0, [88]Source!BS133, 1)</f>
        <v>24.23</v>
      </c>
      <c r="L151" s="104">
        <f>[88]Source!R133-L160</f>
        <v>11.31</v>
      </c>
    </row>
    <row r="152" spans="1:22" ht="14.25" x14ac:dyDescent="0.2">
      <c r="A152" s="98"/>
      <c r="B152" s="98"/>
      <c r="C152" s="99"/>
      <c r="D152" s="99" t="s">
        <v>87</v>
      </c>
      <c r="E152" s="100"/>
      <c r="F152" s="82"/>
      <c r="G152" s="101">
        <f>[88]Source!AL132</f>
        <v>16.100000000000001</v>
      </c>
      <c r="H152" s="102">
        <f>[88]Source!DD132</f>
        <v>0</v>
      </c>
      <c r="I152" s="82">
        <f>[88]Source!AW133</f>
        <v>1</v>
      </c>
      <c r="J152" s="103">
        <f>[88]Source!P132</f>
        <v>5.21</v>
      </c>
      <c r="K152" s="82">
        <f>IF([88]Source!BC133&lt;&gt; 0, [88]Source!BC133, 1)</f>
        <v>5.58</v>
      </c>
      <c r="L152" s="103">
        <f>[88]Source!P133</f>
        <v>29.07</v>
      </c>
    </row>
    <row r="153" spans="1:22" ht="14.25" x14ac:dyDescent="0.2">
      <c r="A153" s="98"/>
      <c r="B153" s="98"/>
      <c r="C153" s="99"/>
      <c r="D153" s="99" t="s">
        <v>88</v>
      </c>
      <c r="E153" s="100" t="s">
        <v>89</v>
      </c>
      <c r="F153" s="82">
        <f>[88]Source!DN133</f>
        <v>112</v>
      </c>
      <c r="G153" s="101"/>
      <c r="H153" s="102"/>
      <c r="I153" s="82"/>
      <c r="J153" s="103">
        <f>SUM(Q148:Q152)</f>
        <v>80.430000000000007</v>
      </c>
      <c r="K153" s="82">
        <f>[88]Source!BZ133</f>
        <v>90</v>
      </c>
      <c r="L153" s="103">
        <f>SUM(R148:R152)</f>
        <v>1565.96</v>
      </c>
    </row>
    <row r="154" spans="1:22" ht="14.25" x14ac:dyDescent="0.2">
      <c r="A154" s="98"/>
      <c r="B154" s="98"/>
      <c r="C154" s="99"/>
      <c r="D154" s="99" t="s">
        <v>90</v>
      </c>
      <c r="E154" s="100" t="s">
        <v>89</v>
      </c>
      <c r="F154" s="82">
        <f>[88]Source!DO133</f>
        <v>70</v>
      </c>
      <c r="G154" s="101"/>
      <c r="H154" s="102"/>
      <c r="I154" s="82"/>
      <c r="J154" s="103">
        <f>SUM(S148:S153)</f>
        <v>50.27</v>
      </c>
      <c r="K154" s="82">
        <f>[88]Source!CA133</f>
        <v>43</v>
      </c>
      <c r="L154" s="103">
        <f>SUM(T148:T153)</f>
        <v>748.18</v>
      </c>
    </row>
    <row r="155" spans="1:22" ht="14.25" x14ac:dyDescent="0.2">
      <c r="A155" s="98"/>
      <c r="B155" s="98"/>
      <c r="C155" s="99"/>
      <c r="D155" s="99" t="s">
        <v>91</v>
      </c>
      <c r="E155" s="100" t="s">
        <v>89</v>
      </c>
      <c r="F155" s="82">
        <f>175</f>
        <v>175</v>
      </c>
      <c r="G155" s="101"/>
      <c r="H155" s="102"/>
      <c r="I155" s="82"/>
      <c r="J155" s="103">
        <f>SUM(U148:U154)-J161</f>
        <v>0.83</v>
      </c>
      <c r="K155" s="82">
        <f>157</f>
        <v>157</v>
      </c>
      <c r="L155" s="103">
        <f>SUM(V148:V154)-L161</f>
        <v>17.75</v>
      </c>
    </row>
    <row r="156" spans="1:22" ht="14.25" x14ac:dyDescent="0.2">
      <c r="A156" s="98"/>
      <c r="B156" s="98"/>
      <c r="C156" s="99"/>
      <c r="D156" s="99" t="s">
        <v>92</v>
      </c>
      <c r="E156" s="100" t="s">
        <v>93</v>
      </c>
      <c r="F156" s="82">
        <f>[88]Source!AQ132</f>
        <v>10.3</v>
      </c>
      <c r="G156" s="101"/>
      <c r="H156" s="102">
        <f>[88]Source!DI132</f>
        <v>0</v>
      </c>
      <c r="I156" s="82">
        <f>[88]Source!AV133</f>
        <v>1.0469999999999999</v>
      </c>
      <c r="J156" s="103">
        <f>[88]Source!U132</f>
        <v>3.49</v>
      </c>
      <c r="K156" s="82"/>
      <c r="L156" s="103"/>
    </row>
    <row r="157" spans="1:22" ht="15" x14ac:dyDescent="0.25">
      <c r="I157" s="910">
        <f>J149+J150+J152+J153+J154+J155</f>
        <v>210.56</v>
      </c>
      <c r="J157" s="910"/>
      <c r="K157" s="910">
        <f>L149+L150+L152+L153+L154+L155</f>
        <v>4120.76</v>
      </c>
      <c r="L157" s="910"/>
      <c r="O157" s="105">
        <f>J149+J150+J152+J153+J154+J155</f>
        <v>210.56</v>
      </c>
      <c r="P157" s="105">
        <f>L149+L150+L152+L153+L154+L155</f>
        <v>4120.76</v>
      </c>
    </row>
    <row r="158" spans="1:22" ht="28.5" x14ac:dyDescent="0.2">
      <c r="A158" s="106"/>
      <c r="B158" s="106"/>
      <c r="C158" s="107"/>
      <c r="D158" s="107" t="s">
        <v>94</v>
      </c>
      <c r="E158" s="100"/>
      <c r="F158" s="108"/>
      <c r="G158" s="109"/>
      <c r="H158" s="100"/>
      <c r="I158" s="108"/>
      <c r="J158" s="104"/>
      <c r="K158" s="108"/>
      <c r="L158" s="104"/>
    </row>
    <row r="159" spans="1:22" ht="14.25" x14ac:dyDescent="0.2">
      <c r="A159" s="106"/>
      <c r="B159" s="106"/>
      <c r="C159" s="107"/>
      <c r="D159" s="107" t="s">
        <v>85</v>
      </c>
      <c r="E159" s="100"/>
      <c r="F159" s="108"/>
      <c r="G159" s="109">
        <f t="shared" ref="G159:L159" si="5">G160</f>
        <v>1.38</v>
      </c>
      <c r="H159" s="110" t="str">
        <f t="shared" si="5"/>
        <v>)*(1.67-1)</v>
      </c>
      <c r="I159" s="108">
        <f t="shared" si="5"/>
        <v>1.0469999999999999</v>
      </c>
      <c r="J159" s="104">
        <f t="shared" si="5"/>
        <v>0.31</v>
      </c>
      <c r="K159" s="108">
        <f t="shared" si="5"/>
        <v>24.23</v>
      </c>
      <c r="L159" s="104">
        <f t="shared" si="5"/>
        <v>7.59</v>
      </c>
    </row>
    <row r="160" spans="1:22" ht="14.25" x14ac:dyDescent="0.2">
      <c r="A160" s="106"/>
      <c r="B160" s="106"/>
      <c r="C160" s="107"/>
      <c r="D160" s="107" t="s">
        <v>86</v>
      </c>
      <c r="E160" s="100"/>
      <c r="F160" s="108"/>
      <c r="G160" s="109">
        <f>[88]Source!AN132</f>
        <v>1.38</v>
      </c>
      <c r="H160" s="110" t="s">
        <v>95</v>
      </c>
      <c r="I160" s="108">
        <f>[88]Source!AV133</f>
        <v>1.0469999999999999</v>
      </c>
      <c r="J160" s="104">
        <f>ROUND(F148*G160*I160*(1.67-1), 2)</f>
        <v>0.31</v>
      </c>
      <c r="K160" s="108">
        <f>IF([88]Source!BS133&lt;&gt; 0, [88]Source!BS133, 1)</f>
        <v>24.23</v>
      </c>
      <c r="L160" s="104">
        <f>ROUND(F148*G160*I160*(1.67-1)*K160, 2)</f>
        <v>7.59</v>
      </c>
    </row>
    <row r="161" spans="1:22" ht="14.25" x14ac:dyDescent="0.2">
      <c r="A161" s="106"/>
      <c r="B161" s="106"/>
      <c r="C161" s="107"/>
      <c r="D161" s="107" t="s">
        <v>91</v>
      </c>
      <c r="E161" s="100" t="s">
        <v>89</v>
      </c>
      <c r="F161" s="108">
        <f>175</f>
        <v>175</v>
      </c>
      <c r="G161" s="109"/>
      <c r="H161" s="100"/>
      <c r="I161" s="108"/>
      <c r="J161" s="104">
        <f>ROUND(J160*(F161/100), 2)</f>
        <v>0.54</v>
      </c>
      <c r="K161" s="108">
        <f>157</f>
        <v>157</v>
      </c>
      <c r="L161" s="104">
        <f>ROUND(L160*(K161/100), 2)</f>
        <v>11.92</v>
      </c>
    </row>
    <row r="162" spans="1:22" ht="15" x14ac:dyDescent="0.25">
      <c r="I162" s="910">
        <f>J161+J160</f>
        <v>0.85</v>
      </c>
      <c r="J162" s="910"/>
      <c r="K162" s="910">
        <f>L161+L160</f>
        <v>19.510000000000002</v>
      </c>
      <c r="L162" s="910"/>
      <c r="O162" s="105">
        <f>I162</f>
        <v>0.85</v>
      </c>
      <c r="P162" s="105">
        <f>K162</f>
        <v>19.510000000000002</v>
      </c>
    </row>
    <row r="164" spans="1:22" ht="15" x14ac:dyDescent="0.25">
      <c r="A164" s="111"/>
      <c r="B164" s="111"/>
      <c r="C164" s="112"/>
      <c r="D164" s="112" t="s">
        <v>96</v>
      </c>
      <c r="E164" s="113"/>
      <c r="F164" s="114"/>
      <c r="G164" s="115"/>
      <c r="H164" s="116"/>
      <c r="I164" s="910">
        <f>I157+I162</f>
        <v>211.41</v>
      </c>
      <c r="J164" s="910"/>
      <c r="K164" s="910">
        <f>K157+K162</f>
        <v>4140.2700000000004</v>
      </c>
      <c r="L164" s="910"/>
    </row>
    <row r="166" spans="1:22" ht="15" x14ac:dyDescent="0.25">
      <c r="A166" s="911" t="str">
        <f>CONCATENATE("Итого по разделу: ",IF([88]Source!G228&lt;&gt;"Новый раздел", [88]Source!G228, ""))</f>
        <v>Итого по разделу: Монтажные работы</v>
      </c>
      <c r="B166" s="911"/>
      <c r="C166" s="911"/>
      <c r="D166" s="911"/>
      <c r="E166" s="911"/>
      <c r="F166" s="911"/>
      <c r="G166" s="911"/>
      <c r="H166" s="911"/>
      <c r="I166" s="912">
        <f>SUM(O48:O165)</f>
        <v>23295.58</v>
      </c>
      <c r="J166" s="913"/>
      <c r="K166" s="912">
        <f>SUM(P48:P165)</f>
        <v>241487.69</v>
      </c>
      <c r="L166" s="913"/>
    </row>
    <row r="167" spans="1:22" hidden="1" x14ac:dyDescent="0.2">
      <c r="A167" s="79" t="s">
        <v>139</v>
      </c>
      <c r="J167" s="79">
        <f>SUM(W48:W166)</f>
        <v>0</v>
      </c>
      <c r="K167" s="79">
        <f>SUM(X48:X166)</f>
        <v>0</v>
      </c>
    </row>
    <row r="168" spans="1:22" hidden="1" x14ac:dyDescent="0.2">
      <c r="A168" s="79" t="s">
        <v>140</v>
      </c>
      <c r="J168" s="79">
        <f>SUM(Y48:Y167)</f>
        <v>0</v>
      </c>
      <c r="K168" s="79">
        <f>SUM(Z48:Z167)</f>
        <v>0</v>
      </c>
    </row>
    <row r="170" spans="1:22" hidden="1" x14ac:dyDescent="0.2">
      <c r="A170" s="79" t="s">
        <v>139</v>
      </c>
      <c r="J170" s="79" t="e">
        <f>SUM(#REF!)</f>
        <v>#REF!</v>
      </c>
      <c r="K170" s="79" t="e">
        <f>SUM(#REF!)</f>
        <v>#REF!</v>
      </c>
    </row>
    <row r="171" spans="1:22" hidden="1" x14ac:dyDescent="0.2">
      <c r="A171" s="79" t="s">
        <v>140</v>
      </c>
      <c r="J171" s="79">
        <f>SUM(Y170:Y170)</f>
        <v>0</v>
      </c>
      <c r="K171" s="79">
        <f>SUM(Z170:Z170)</f>
        <v>0</v>
      </c>
    </row>
    <row r="172" spans="1:22" ht="16.5" x14ac:dyDescent="0.25">
      <c r="A172" s="914" t="str">
        <f>CONCATENATE("Раздел: ",IF([88]Source!G299&lt;&gt;"Новый раздел", [88]Source!G299, ""))</f>
        <v>Раздел: Материалы, не учтённые в цене монтажа</v>
      </c>
      <c r="B172" s="914"/>
      <c r="C172" s="914"/>
      <c r="D172" s="914"/>
      <c r="E172" s="914"/>
      <c r="F172" s="914"/>
      <c r="G172" s="914"/>
      <c r="H172" s="914"/>
      <c r="I172" s="914"/>
      <c r="J172" s="914"/>
      <c r="K172" s="914"/>
      <c r="L172" s="914"/>
    </row>
    <row r="174" spans="1:22" ht="16.5" x14ac:dyDescent="0.25">
      <c r="A174" s="914" t="str">
        <f>CONCATENATE("Подраздел: ",IF([88]Source!G389&lt;&gt;"Новый подраздел", [88]Source!G389, ""))</f>
        <v>Подраздел: Кабели и провода. Кабельные изделия.</v>
      </c>
      <c r="B174" s="914"/>
      <c r="C174" s="914"/>
      <c r="D174" s="914"/>
      <c r="E174" s="914"/>
      <c r="F174" s="914"/>
      <c r="G174" s="914"/>
      <c r="H174" s="914"/>
      <c r="I174" s="914"/>
      <c r="J174" s="914"/>
      <c r="K174" s="914"/>
      <c r="L174" s="914"/>
    </row>
    <row r="175" spans="1:22" ht="42.75" x14ac:dyDescent="0.2">
      <c r="A175" s="877">
        <v>8</v>
      </c>
      <c r="B175" s="877">
        <v>43</v>
      </c>
      <c r="C175" s="34" t="s">
        <v>315</v>
      </c>
      <c r="D175" s="34" t="s">
        <v>184</v>
      </c>
      <c r="E175" s="16" t="s">
        <v>105</v>
      </c>
      <c r="F175" s="59">
        <v>5.2499999999999998E-2</v>
      </c>
      <c r="G175" s="17">
        <v>23128.81</v>
      </c>
      <c r="H175" s="18"/>
      <c r="I175" s="76">
        <v>1</v>
      </c>
      <c r="J175" s="19">
        <f>F175*G175</f>
        <v>1214.26</v>
      </c>
      <c r="K175" s="76">
        <v>5</v>
      </c>
      <c r="L175" s="19">
        <f>J175*K175</f>
        <v>6071.3</v>
      </c>
      <c r="Q175" s="79">
        <f>[88]Source!X393</f>
        <v>0</v>
      </c>
      <c r="R175" s="79">
        <f>[88]Source!X394</f>
        <v>0</v>
      </c>
      <c r="S175" s="79">
        <f>[88]Source!Y393</f>
        <v>0</v>
      </c>
      <c r="T175" s="79">
        <f>[88]Source!Y394</f>
        <v>0</v>
      </c>
      <c r="U175" s="79">
        <f>ROUND((175/100)*ROUND([88]Source!R393, 2), 2)</f>
        <v>0</v>
      </c>
      <c r="V175" s="79">
        <f>ROUND((157/100)*ROUND([88]Source!R394, 2), 2)</f>
        <v>0</v>
      </c>
    </row>
    <row r="176" spans="1:22" ht="42.75" hidden="1" x14ac:dyDescent="0.2">
      <c r="A176" s="878"/>
      <c r="B176" s="878"/>
      <c r="C176" s="15" t="s">
        <v>185</v>
      </c>
      <c r="D176" s="15" t="s">
        <v>188</v>
      </c>
      <c r="E176" s="16" t="s">
        <v>105</v>
      </c>
      <c r="F176" s="59">
        <v>5.2499999999999998E-2</v>
      </c>
      <c r="G176" s="19">
        <f>J176/F176</f>
        <v>14981.9</v>
      </c>
      <c r="H176" s="18"/>
      <c r="I176" s="76">
        <v>1</v>
      </c>
      <c r="J176" s="19">
        <f>L176/K176</f>
        <v>786.55</v>
      </c>
      <c r="K176" s="76">
        <v>5.58</v>
      </c>
      <c r="L176" s="19">
        <f>83599.33*F176</f>
        <v>4388.96</v>
      </c>
      <c r="O176" s="105">
        <f>J175</f>
        <v>1214.26</v>
      </c>
      <c r="P176" s="105">
        <f>L175</f>
        <v>6071.3</v>
      </c>
    </row>
    <row r="177" spans="1:39" ht="15" x14ac:dyDescent="0.25">
      <c r="A177" s="35"/>
      <c r="B177" s="35"/>
      <c r="C177" s="35"/>
      <c r="D177" s="35"/>
      <c r="E177" s="35"/>
      <c r="F177" s="61"/>
      <c r="G177" s="35"/>
      <c r="H177" s="35"/>
      <c r="I177" s="847">
        <f>J175</f>
        <v>1214.26</v>
      </c>
      <c r="J177" s="847"/>
      <c r="K177" s="847">
        <f>L175</f>
        <v>6071.3</v>
      </c>
      <c r="L177" s="847"/>
      <c r="Q177" s="79">
        <f>[88]Source!X403</f>
        <v>0</v>
      </c>
      <c r="R177" s="79">
        <f>[88]Source!X404</f>
        <v>0</v>
      </c>
      <c r="S177" s="79">
        <f>[88]Source!Y403</f>
        <v>0</v>
      </c>
      <c r="T177" s="79">
        <f>[88]Source!Y404</f>
        <v>0</v>
      </c>
      <c r="U177" s="79">
        <f>ROUND((175/100)*ROUND([88]Source!R403, 2), 2)</f>
        <v>0</v>
      </c>
      <c r="V177" s="79">
        <f>ROUND((157/100)*ROUND([88]Source!R404, 2), 2)</f>
        <v>0</v>
      </c>
    </row>
    <row r="178" spans="1:39" ht="42.75" x14ac:dyDescent="0.2">
      <c r="A178" s="877">
        <v>9</v>
      </c>
      <c r="B178" s="877">
        <v>48</v>
      </c>
      <c r="C178" s="34" t="s">
        <v>316</v>
      </c>
      <c r="D178" s="34" t="s">
        <v>186</v>
      </c>
      <c r="E178" s="16" t="s">
        <v>105</v>
      </c>
      <c r="F178" s="59">
        <v>0.10150000000000001</v>
      </c>
      <c r="G178" s="17">
        <v>18683</v>
      </c>
      <c r="H178" s="18"/>
      <c r="I178" s="76">
        <v>1</v>
      </c>
      <c r="J178" s="19">
        <f>F178*G178</f>
        <v>1896.32</v>
      </c>
      <c r="K178" s="76">
        <v>4.87</v>
      </c>
      <c r="L178" s="19">
        <f>J178*K178</f>
        <v>9235.08</v>
      </c>
      <c r="O178" s="105">
        <f>J177</f>
        <v>0</v>
      </c>
      <c r="P178" s="105">
        <f>L177</f>
        <v>0</v>
      </c>
    </row>
    <row r="179" spans="1:39" ht="42.75" hidden="1" x14ac:dyDescent="0.2">
      <c r="A179" s="878"/>
      <c r="B179" s="878"/>
      <c r="C179" s="15" t="s">
        <v>185</v>
      </c>
      <c r="D179" s="15" t="s">
        <v>190</v>
      </c>
      <c r="E179" s="16" t="s">
        <v>105</v>
      </c>
      <c r="F179" s="59">
        <v>0.10150000000000001</v>
      </c>
      <c r="G179" s="19">
        <f>J179/F179</f>
        <v>12809.26</v>
      </c>
      <c r="H179" s="18"/>
      <c r="I179" s="76">
        <v>1</v>
      </c>
      <c r="J179" s="19">
        <f>L179/K179</f>
        <v>1300.1400000000001</v>
      </c>
      <c r="K179" s="76">
        <v>5.58</v>
      </c>
      <c r="L179" s="19">
        <f>71475.5*F179</f>
        <v>7254.76</v>
      </c>
      <c r="Q179" s="79">
        <f>[88]Source!X405</f>
        <v>0</v>
      </c>
      <c r="R179" s="79">
        <f>[88]Source!X406</f>
        <v>0</v>
      </c>
      <c r="S179" s="79">
        <f>[88]Source!Y405</f>
        <v>0</v>
      </c>
      <c r="T179" s="79">
        <f>[88]Source!Y406</f>
        <v>0</v>
      </c>
      <c r="U179" s="79">
        <f>ROUND((175/100)*ROUND([88]Source!R405, 2), 2)</f>
        <v>0</v>
      </c>
      <c r="V179" s="79">
        <f>ROUND((157/100)*ROUND([88]Source!R406, 2), 2)</f>
        <v>0</v>
      </c>
      <c r="AM179" s="123"/>
    </row>
    <row r="180" spans="1:39" ht="15" x14ac:dyDescent="0.25">
      <c r="A180" s="35"/>
      <c r="B180" s="35"/>
      <c r="C180" s="35"/>
      <c r="D180" s="35"/>
      <c r="E180" s="35"/>
      <c r="F180" s="61"/>
      <c r="G180" s="35"/>
      <c r="H180" s="35"/>
      <c r="I180" s="847">
        <f>J178</f>
        <v>1896.32</v>
      </c>
      <c r="J180" s="847"/>
      <c r="K180" s="847">
        <f>L178</f>
        <v>9235.08</v>
      </c>
      <c r="L180" s="847"/>
    </row>
    <row r="181" spans="1:39" ht="42.75" x14ac:dyDescent="0.2">
      <c r="A181" s="877">
        <v>10</v>
      </c>
      <c r="B181" s="877">
        <v>49</v>
      </c>
      <c r="C181" s="34" t="s">
        <v>317</v>
      </c>
      <c r="D181" s="34" t="s">
        <v>187</v>
      </c>
      <c r="E181" s="16" t="s">
        <v>105</v>
      </c>
      <c r="F181" s="59">
        <v>0.23100000000000001</v>
      </c>
      <c r="G181" s="17">
        <v>24612.33</v>
      </c>
      <c r="H181" s="18"/>
      <c r="I181" s="76"/>
      <c r="J181" s="19">
        <f>F181*G181</f>
        <v>5685.45</v>
      </c>
      <c r="K181" s="76">
        <v>5.08</v>
      </c>
      <c r="L181" s="19">
        <f>J181*K181</f>
        <v>28882.09</v>
      </c>
    </row>
    <row r="182" spans="1:39" ht="42.75" hidden="1" x14ac:dyDescent="0.2">
      <c r="A182" s="878"/>
      <c r="B182" s="878"/>
      <c r="C182" s="15" t="s">
        <v>185</v>
      </c>
      <c r="D182" s="15" t="s">
        <v>189</v>
      </c>
      <c r="E182" s="16" t="s">
        <v>105</v>
      </c>
      <c r="F182" s="59">
        <v>0.23100000000000001</v>
      </c>
      <c r="G182" s="19">
        <f>J182/F182</f>
        <v>16838.61</v>
      </c>
      <c r="H182" s="18"/>
      <c r="I182" s="76">
        <v>1</v>
      </c>
      <c r="J182" s="19">
        <f>L182/K182</f>
        <v>3889.72</v>
      </c>
      <c r="K182" s="76">
        <v>5.58</v>
      </c>
      <c r="L182" s="19">
        <f>93959.41*F182</f>
        <v>21704.62</v>
      </c>
    </row>
    <row r="183" spans="1:39" ht="15" x14ac:dyDescent="0.25">
      <c r="A183" s="35"/>
      <c r="B183" s="35"/>
      <c r="C183" s="35"/>
      <c r="D183" s="35"/>
      <c r="E183" s="35"/>
      <c r="F183" s="35"/>
      <c r="G183" s="35"/>
      <c r="H183" s="35"/>
      <c r="I183" s="847">
        <f>J181</f>
        <v>5685.45</v>
      </c>
      <c r="J183" s="847"/>
      <c r="K183" s="847">
        <f>L181</f>
        <v>28882.09</v>
      </c>
      <c r="L183" s="847"/>
    </row>
    <row r="185" spans="1:39" ht="15" x14ac:dyDescent="0.25">
      <c r="A185" s="911" t="str">
        <f>CONCATENATE("Итого по подразделу: ",IF([88]Source!G424&lt;&gt;"Новый подраздел", [88]Source!G424, ""))</f>
        <v>Итого по подразделу: Кабели и провода. Кабельные изделия.</v>
      </c>
      <c r="B185" s="911"/>
      <c r="C185" s="911"/>
      <c r="D185" s="911"/>
      <c r="E185" s="911"/>
      <c r="F185" s="911"/>
      <c r="G185" s="911"/>
      <c r="H185" s="911"/>
      <c r="I185" s="912">
        <f>I183+I180+I177</f>
        <v>8796.0300000000007</v>
      </c>
      <c r="J185" s="913"/>
      <c r="K185" s="912">
        <f>K183+K180+K177</f>
        <v>44188.47</v>
      </c>
      <c r="L185" s="913"/>
    </row>
    <row r="186" spans="1:39" hidden="1" x14ac:dyDescent="0.2">
      <c r="A186" s="79" t="s">
        <v>139</v>
      </c>
      <c r="J186" s="79">
        <f>SUM(W174:W185)</f>
        <v>0</v>
      </c>
      <c r="K186" s="79">
        <f>SUM(X174:X185)</f>
        <v>0</v>
      </c>
    </row>
    <row r="187" spans="1:39" hidden="1" x14ac:dyDescent="0.2">
      <c r="A187" s="79" t="s">
        <v>140</v>
      </c>
      <c r="J187" s="79">
        <f>SUM(Y174:Y186)</f>
        <v>0</v>
      </c>
      <c r="K187" s="79">
        <f>SUM(Z174:Z186)</f>
        <v>0</v>
      </c>
    </row>
    <row r="189" spans="1:39" ht="15" x14ac:dyDescent="0.25">
      <c r="A189" s="911" t="str">
        <f>CONCATENATE("Итого по разделу: ",IF([88]Source!G505&lt;&gt;"Новый раздел", [88]Source!G505, ""))</f>
        <v>Итого по разделу: Материалы, не учтённые в цене монтажа</v>
      </c>
      <c r="B189" s="911"/>
      <c r="C189" s="911"/>
      <c r="D189" s="911"/>
      <c r="E189" s="911"/>
      <c r="F189" s="911"/>
      <c r="G189" s="911"/>
      <c r="H189" s="911"/>
      <c r="I189" s="912">
        <f>I185</f>
        <v>8796.0300000000007</v>
      </c>
      <c r="J189" s="913"/>
      <c r="K189" s="912">
        <f>K185</f>
        <v>44188.47</v>
      </c>
      <c r="L189" s="913"/>
    </row>
    <row r="190" spans="1:39" hidden="1" x14ac:dyDescent="0.2">
      <c r="A190" s="79" t="s">
        <v>139</v>
      </c>
      <c r="J190" s="79">
        <f>SUM(W172:W189)</f>
        <v>0</v>
      </c>
      <c r="K190" s="79">
        <f>SUM(X172:X189)</f>
        <v>0</v>
      </c>
    </row>
    <row r="191" spans="1:39" hidden="1" x14ac:dyDescent="0.2">
      <c r="A191" s="79" t="s">
        <v>140</v>
      </c>
      <c r="J191" s="79">
        <f>SUM(Y172:Y190)</f>
        <v>0</v>
      </c>
      <c r="K191" s="79">
        <f>SUM(Z172:Z190)</f>
        <v>0</v>
      </c>
    </row>
    <row r="193" spans="1:32" ht="16.5" customHeight="1" x14ac:dyDescent="0.25">
      <c r="A193" s="900" t="s">
        <v>113</v>
      </c>
      <c r="B193" s="900"/>
      <c r="C193" s="900"/>
      <c r="D193" s="900"/>
      <c r="E193" s="900"/>
      <c r="F193" s="900"/>
      <c r="G193" s="900"/>
      <c r="H193" s="900"/>
      <c r="I193" s="36"/>
      <c r="J193" s="37">
        <f>I166+I189</f>
        <v>32091.61</v>
      </c>
      <c r="K193" s="36"/>
      <c r="L193" s="37">
        <f>K166+K189</f>
        <v>285676.15999999997</v>
      </c>
      <c r="AF193" s="122" t="str">
        <f>CONCATENATE("Итого по локальной смете: ",IF([88]Source!G534&lt;&gt;"Новая локальная смета", [88]Source!G534, ""))</f>
        <v>Итого по локальной смете: Станционный комплекс "Аминьевское шоссе". Вестибюль №2, камера съездов, ТПП. Внутренние инженерные системы (не включая ТПП). Электрооборудование. Розеточные сети.</v>
      </c>
    </row>
    <row r="194" spans="1:32" s="38" customFormat="1" ht="14.25" x14ac:dyDescent="0.2">
      <c r="D194" s="39" t="s">
        <v>114</v>
      </c>
      <c r="E194" s="39"/>
      <c r="F194" s="39"/>
      <c r="G194" s="39"/>
      <c r="H194" s="39"/>
      <c r="I194" s="902">
        <f>SUMIF(B33:B185,"МР",J33:J185)+I185</f>
        <v>8796.0300000000007</v>
      </c>
      <c r="J194" s="903"/>
      <c r="K194" s="902">
        <f>SUMIF(D33:D185,"МР",L33:L185)+K185</f>
        <v>57425.85</v>
      </c>
      <c r="L194" s="903"/>
    </row>
    <row r="195" spans="1:32" s="38" customFormat="1" ht="14.25" x14ac:dyDescent="0.2">
      <c r="D195" s="39" t="s">
        <v>115</v>
      </c>
      <c r="E195" s="39"/>
      <c r="F195" s="39"/>
      <c r="G195" s="39"/>
      <c r="H195" s="39"/>
      <c r="I195" s="871">
        <f>SUMIF(D103:D185,"в т.ч. ЗПМ",J103:J185)</f>
        <v>48.93</v>
      </c>
      <c r="J195" s="871"/>
      <c r="K195" s="871">
        <f>SUMIF(D103:D185,"в т.ч. ЗПМ",L103:L185)</f>
        <v>1185.58</v>
      </c>
      <c r="L195" s="871"/>
    </row>
    <row r="196" spans="1:32" s="38" customFormat="1" ht="14.25" x14ac:dyDescent="0.2">
      <c r="D196" s="39" t="s">
        <v>116</v>
      </c>
      <c r="E196" s="39"/>
      <c r="F196" s="39"/>
      <c r="G196" s="39"/>
      <c r="H196" s="39"/>
      <c r="I196" s="871">
        <f>SUMIF(D103:D185,"ЗП",J103:J185)</f>
        <v>167.54</v>
      </c>
      <c r="J196" s="871"/>
      <c r="K196" s="871">
        <f>SUMIF(D103:D185,"ЗП",L103:L185)</f>
        <v>4059.5</v>
      </c>
      <c r="L196" s="871"/>
    </row>
    <row r="197" spans="1:32" s="38" customFormat="1" ht="14.25" x14ac:dyDescent="0.2">
      <c r="D197" s="39" t="s">
        <v>117</v>
      </c>
      <c r="E197" s="39"/>
      <c r="F197" s="39"/>
      <c r="G197" s="39"/>
      <c r="H197" s="39"/>
      <c r="I197" s="871">
        <f>SUMIF(D103:D185,"НР от ЗП",J103:J185)</f>
        <v>187.65</v>
      </c>
      <c r="J197" s="871"/>
      <c r="K197" s="871">
        <f>SUMIF(D103:D185,"НР от ЗП",L103:L185)</f>
        <v>3653.55</v>
      </c>
      <c r="L197" s="871"/>
    </row>
    <row r="198" spans="1:32" s="38" customFormat="1" ht="14.25" x14ac:dyDescent="0.2">
      <c r="D198" s="39" t="s">
        <v>118</v>
      </c>
      <c r="E198" s="39"/>
      <c r="F198" s="39"/>
      <c r="G198" s="39"/>
      <c r="H198" s="39"/>
      <c r="I198" s="871">
        <f>SUMIF(D103:D185,"СП от ЗП",J103:J185)</f>
        <v>117.28</v>
      </c>
      <c r="J198" s="871"/>
      <c r="K198" s="871">
        <f>SUMIF(D103:D185,"СП от ЗП",L103:L185)</f>
        <v>1745.58</v>
      </c>
      <c r="L198" s="871"/>
    </row>
    <row r="199" spans="1:32" ht="14.25" x14ac:dyDescent="0.2">
      <c r="A199" s="40"/>
      <c r="B199" s="40"/>
      <c r="C199" s="40"/>
      <c r="D199" s="40"/>
      <c r="E199" s="40"/>
      <c r="F199" s="40"/>
      <c r="G199" s="40"/>
      <c r="H199" s="40"/>
      <c r="I199" s="36"/>
      <c r="J199" s="36"/>
      <c r="K199" s="36"/>
      <c r="L199" s="36"/>
    </row>
    <row r="200" spans="1:32" ht="14.25" x14ac:dyDescent="0.2">
      <c r="A200" s="40"/>
      <c r="B200" s="40"/>
      <c r="C200" s="40"/>
      <c r="D200" s="874" t="s">
        <v>268</v>
      </c>
      <c r="E200" s="874"/>
      <c r="F200" s="874"/>
      <c r="G200" s="213"/>
      <c r="H200" s="213"/>
      <c r="I200" s="214"/>
      <c r="J200" s="215">
        <f>J193</f>
        <v>32091.61</v>
      </c>
      <c r="K200" s="215"/>
      <c r="L200" s="215">
        <f>L193</f>
        <v>285676.15999999997</v>
      </c>
    </row>
    <row r="201" spans="1:32" ht="14.25" x14ac:dyDescent="0.2">
      <c r="A201" s="40"/>
      <c r="B201" s="40"/>
      <c r="C201" s="40"/>
      <c r="D201" s="872" t="s">
        <v>3</v>
      </c>
      <c r="E201" s="872"/>
      <c r="F201" s="872"/>
      <c r="G201" s="218"/>
      <c r="H201" s="218"/>
      <c r="I201" s="219"/>
      <c r="J201" s="215">
        <f>J200</f>
        <v>32091.61</v>
      </c>
      <c r="K201"/>
      <c r="L201" s="215">
        <f>L200</f>
        <v>285676.15999999997</v>
      </c>
    </row>
    <row r="202" spans="1:32" ht="14.25" x14ac:dyDescent="0.2">
      <c r="A202" s="40"/>
      <c r="B202" s="40"/>
      <c r="C202" s="40"/>
      <c r="D202" s="872" t="s">
        <v>269</v>
      </c>
      <c r="E202" s="872"/>
      <c r="F202" s="872"/>
      <c r="G202" s="218"/>
      <c r="H202" s="218"/>
      <c r="I202" s="221"/>
      <c r="J202" s="222">
        <f>I196+I195</f>
        <v>216.47</v>
      </c>
      <c r="K202" s="222"/>
      <c r="L202" s="222">
        <f>K196+K195</f>
        <v>5245.08</v>
      </c>
    </row>
    <row r="203" spans="1:32" ht="14.25" x14ac:dyDescent="0.2">
      <c r="A203" s="40"/>
      <c r="B203" s="40"/>
      <c r="C203" s="40"/>
      <c r="D203" s="872" t="s">
        <v>270</v>
      </c>
      <c r="E203" s="872"/>
      <c r="F203" s="872"/>
      <c r="G203" s="218"/>
      <c r="H203" s="218"/>
      <c r="I203" s="221"/>
      <c r="J203" s="222">
        <f>I194</f>
        <v>8796.0300000000007</v>
      </c>
      <c r="K203" s="222"/>
      <c r="L203" s="222">
        <f>K194</f>
        <v>57425.85</v>
      </c>
    </row>
    <row r="204" spans="1:32" ht="14.25" x14ac:dyDescent="0.2">
      <c r="A204" s="40"/>
      <c r="B204" s="40"/>
      <c r="C204" s="40"/>
      <c r="D204" s="872" t="s">
        <v>271</v>
      </c>
      <c r="E204" s="872"/>
      <c r="F204" s="872"/>
      <c r="G204" s="218"/>
      <c r="H204" s="218"/>
      <c r="I204" s="221"/>
      <c r="J204" s="215">
        <v>0</v>
      </c>
      <c r="K204" s="223"/>
      <c r="L204" s="215">
        <v>0</v>
      </c>
    </row>
    <row r="205" spans="1:32" ht="14.25" x14ac:dyDescent="0.2">
      <c r="A205" s="40"/>
      <c r="B205" s="40"/>
      <c r="C205" s="40"/>
      <c r="D205" s="872" t="s">
        <v>272</v>
      </c>
      <c r="E205" s="872"/>
      <c r="F205" s="872"/>
      <c r="G205" s="224"/>
      <c r="H205" s="224"/>
      <c r="I205" s="225"/>
      <c r="J205" s="226">
        <f>J201*5.61%</f>
        <v>1800.34</v>
      </c>
      <c r="K205" s="223"/>
      <c r="L205" s="226">
        <f>L201*5.61%</f>
        <v>16026.43</v>
      </c>
    </row>
    <row r="206" spans="1:32" ht="15" x14ac:dyDescent="0.25">
      <c r="A206" s="40"/>
      <c r="B206" s="40"/>
      <c r="C206" s="40"/>
      <c r="D206" s="873" t="s">
        <v>273</v>
      </c>
      <c r="E206" s="873"/>
      <c r="F206" s="873"/>
      <c r="G206" s="228"/>
      <c r="H206" s="228"/>
      <c r="I206" s="229"/>
      <c r="J206" s="230">
        <f>ROUND(J201+J205,2)</f>
        <v>33891.949999999997</v>
      </c>
      <c r="K206" s="223"/>
      <c r="L206" s="230">
        <f>ROUND(L201+L205,2)</f>
        <v>301702.59000000003</v>
      </c>
    </row>
    <row r="207" spans="1:32" ht="14.25" x14ac:dyDescent="0.2">
      <c r="A207" s="40"/>
      <c r="B207" s="40"/>
      <c r="C207" s="40"/>
      <c r="D207" s="872" t="s">
        <v>274</v>
      </c>
      <c r="E207" s="872"/>
      <c r="F207" s="872"/>
      <c r="G207" s="224"/>
      <c r="H207" s="224"/>
      <c r="I207" s="225"/>
      <c r="J207" s="226">
        <f>J202*0.15</f>
        <v>32.47</v>
      </c>
      <c r="K207" s="232"/>
      <c r="L207" s="226">
        <f>L202*0.15</f>
        <v>786.76</v>
      </c>
    </row>
    <row r="208" spans="1:32" ht="15" x14ac:dyDescent="0.25">
      <c r="A208" s="40"/>
      <c r="B208" s="40"/>
      <c r="C208" s="40"/>
      <c r="D208" s="873" t="s">
        <v>275</v>
      </c>
      <c r="E208" s="873"/>
      <c r="F208" s="873"/>
      <c r="G208" s="228"/>
      <c r="H208" s="228"/>
      <c r="I208" s="229"/>
      <c r="J208" s="230">
        <f>J206+J207</f>
        <v>33924.42</v>
      </c>
      <c r="K208" s="223"/>
      <c r="L208" s="230">
        <f>L206+L207</f>
        <v>302489.34999999998</v>
      </c>
    </row>
    <row r="209" spans="1:12" ht="14.25" x14ac:dyDescent="0.2">
      <c r="A209" s="40"/>
      <c r="B209" s="40"/>
      <c r="C209" s="40"/>
      <c r="D209" s="233"/>
      <c r="E209" s="233"/>
      <c r="F209" s="233"/>
      <c r="G209" s="234"/>
      <c r="H209" s="234"/>
      <c r="I209" s="235"/>
      <c r="J209" s="236"/>
      <c r="K209"/>
      <c r="L209" s="237"/>
    </row>
    <row r="210" spans="1:12" ht="14.25" x14ac:dyDescent="0.2">
      <c r="D210" s="874" t="s">
        <v>276</v>
      </c>
      <c r="E210" s="874"/>
      <c r="F210" s="874"/>
      <c r="G210" s="238"/>
      <c r="H210" s="238"/>
      <c r="I210" s="238"/>
      <c r="J210" s="238"/>
      <c r="K210" s="876">
        <f>L200*0.975</f>
        <v>278534.26</v>
      </c>
      <c r="L210" s="876"/>
    </row>
    <row r="211" spans="1:12" ht="14.25" x14ac:dyDescent="0.2">
      <c r="D211" s="872" t="s">
        <v>277</v>
      </c>
      <c r="E211" s="872"/>
      <c r="F211" s="872"/>
      <c r="G211" s="224"/>
      <c r="H211" s="224"/>
      <c r="I211" s="224"/>
      <c r="J211" s="224"/>
      <c r="K211" s="869">
        <f>L201*0.975</f>
        <v>278534.26</v>
      </c>
      <c r="L211" s="869"/>
    </row>
    <row r="212" spans="1:12" ht="14.25" x14ac:dyDescent="0.2">
      <c r="D212" s="872" t="s">
        <v>278</v>
      </c>
      <c r="E212" s="872"/>
      <c r="F212" s="872"/>
      <c r="G212" s="224"/>
      <c r="H212" s="224"/>
      <c r="I212" s="224"/>
      <c r="J212" s="224"/>
      <c r="K212" s="869">
        <f>L202*0.975</f>
        <v>5113.95</v>
      </c>
      <c r="L212" s="869"/>
    </row>
    <row r="213" spans="1:12" ht="14.25" x14ac:dyDescent="0.2">
      <c r="D213" s="872" t="s">
        <v>279</v>
      </c>
      <c r="E213" s="872"/>
      <c r="F213" s="872"/>
      <c r="G213" s="224"/>
      <c r="H213" s="224"/>
      <c r="I213" s="224"/>
      <c r="J213" s="224"/>
      <c r="K213" s="869">
        <f>L203*0.975</f>
        <v>55990.2</v>
      </c>
      <c r="L213" s="869"/>
    </row>
    <row r="214" spans="1:12" ht="14.25" x14ac:dyDescent="0.2">
      <c r="D214" s="872" t="s">
        <v>280</v>
      </c>
      <c r="E214" s="872"/>
      <c r="F214" s="872"/>
      <c r="G214" s="224"/>
      <c r="H214" s="224"/>
      <c r="I214" s="224"/>
      <c r="J214" s="224"/>
      <c r="K214" s="869">
        <v>0</v>
      </c>
      <c r="L214" s="869"/>
    </row>
    <row r="215" spans="1:12" ht="14.25" x14ac:dyDescent="0.2">
      <c r="D215" s="872" t="s">
        <v>281</v>
      </c>
      <c r="E215" s="872"/>
      <c r="F215" s="872"/>
      <c r="G215" s="224"/>
      <c r="H215" s="224"/>
      <c r="I215" s="224"/>
      <c r="J215" s="224"/>
      <c r="K215" s="869">
        <f>K211*0.0561</f>
        <v>15625.77</v>
      </c>
      <c r="L215" s="869"/>
    </row>
    <row r="216" spans="1:12" ht="15" x14ac:dyDescent="0.25">
      <c r="D216" s="873" t="s">
        <v>282</v>
      </c>
      <c r="E216" s="873"/>
      <c r="F216" s="873"/>
      <c r="G216" s="228"/>
      <c r="H216" s="228"/>
      <c r="I216" s="228"/>
      <c r="J216" s="228"/>
      <c r="K216" s="870">
        <f>ROUND(K211+K215,2)</f>
        <v>294160.03000000003</v>
      </c>
      <c r="L216" s="870"/>
    </row>
    <row r="217" spans="1:12" ht="15" x14ac:dyDescent="0.25">
      <c r="D217" s="872" t="s">
        <v>283</v>
      </c>
      <c r="E217" s="872"/>
      <c r="F217" s="872"/>
      <c r="G217" s="224"/>
      <c r="H217" s="224"/>
      <c r="I217" s="224"/>
      <c r="J217" s="224"/>
      <c r="K217" s="870">
        <f>L207*0.975</f>
        <v>767.09</v>
      </c>
      <c r="L217" s="870"/>
    </row>
    <row r="218" spans="1:12" ht="15" x14ac:dyDescent="0.25">
      <c r="D218" s="873" t="s">
        <v>275</v>
      </c>
      <c r="E218" s="873"/>
      <c r="F218" s="873"/>
      <c r="G218" s="228"/>
      <c r="H218" s="228"/>
      <c r="I218" s="228"/>
      <c r="J218" s="228"/>
      <c r="K218" s="231"/>
      <c r="L218" s="231">
        <f>K216+K217</f>
        <v>294927.12</v>
      </c>
    </row>
    <row r="219" spans="1:12" ht="15" x14ac:dyDescent="0.25">
      <c r="D219" s="240"/>
      <c r="E219" s="241"/>
      <c r="F219" s="241"/>
      <c r="G219" s="241"/>
      <c r="H219" s="241"/>
      <c r="I219" s="242"/>
      <c r="J219" s="242"/>
      <c r="K219" s="242"/>
      <c r="L219" s="242"/>
    </row>
    <row r="220" spans="1:12" ht="14.25" x14ac:dyDescent="0.2">
      <c r="D220" s="874" t="s">
        <v>284</v>
      </c>
      <c r="E220" s="874"/>
      <c r="F220" s="874"/>
      <c r="G220" s="238"/>
      <c r="H220" s="238"/>
      <c r="I220" s="238"/>
      <c r="J220" s="238"/>
      <c r="K220" s="216"/>
      <c r="L220" s="239">
        <f>K210*0.998999999999673</f>
        <v>278255.73</v>
      </c>
    </row>
    <row r="221" spans="1:12" ht="14.25" x14ac:dyDescent="0.2">
      <c r="D221" s="872" t="s">
        <v>285</v>
      </c>
      <c r="E221" s="872"/>
      <c r="F221" s="872"/>
      <c r="G221" s="224"/>
      <c r="H221" s="224"/>
      <c r="I221" s="224"/>
      <c r="J221" s="224"/>
      <c r="K221" s="223"/>
      <c r="L221" s="227">
        <f>K211*0.998999999999673</f>
        <v>278255.73</v>
      </c>
    </row>
    <row r="222" spans="1:12" ht="14.25" x14ac:dyDescent="0.2">
      <c r="D222" s="872" t="s">
        <v>286</v>
      </c>
      <c r="E222" s="872"/>
      <c r="F222" s="872"/>
      <c r="G222" s="224"/>
      <c r="H222" s="224"/>
      <c r="I222" s="224"/>
      <c r="J222" s="224"/>
      <c r="K222" s="223"/>
      <c r="L222" s="227">
        <f>K212*0.998999999999673</f>
        <v>5108.84</v>
      </c>
    </row>
    <row r="223" spans="1:12" ht="14.25" x14ac:dyDescent="0.2">
      <c r="D223" s="872" t="s">
        <v>287</v>
      </c>
      <c r="E223" s="872"/>
      <c r="F223" s="872"/>
      <c r="G223" s="224"/>
      <c r="H223" s="224"/>
      <c r="I223" s="224"/>
      <c r="J223" s="224"/>
      <c r="K223" s="223"/>
      <c r="L223" s="227">
        <f>K213*0.998999999999673</f>
        <v>55934.21</v>
      </c>
    </row>
    <row r="224" spans="1:12" ht="14.25" x14ac:dyDescent="0.2">
      <c r="D224" s="872" t="s">
        <v>288</v>
      </c>
      <c r="E224" s="872"/>
      <c r="F224" s="872"/>
      <c r="G224" s="224"/>
      <c r="H224" s="224"/>
      <c r="I224" s="224"/>
      <c r="J224" s="224"/>
      <c r="K224" s="223"/>
      <c r="L224" s="227">
        <v>0</v>
      </c>
    </row>
    <row r="225" spans="4:12" ht="14.25" x14ac:dyDescent="0.2">
      <c r="D225" s="872" t="s">
        <v>289</v>
      </c>
      <c r="E225" s="872"/>
      <c r="F225" s="872"/>
      <c r="G225" s="224"/>
      <c r="H225" s="224"/>
      <c r="I225" s="224"/>
      <c r="J225" s="224"/>
      <c r="K225" s="216"/>
      <c r="L225" s="227">
        <f>L221*0.0561</f>
        <v>15610.15</v>
      </c>
    </row>
    <row r="226" spans="4:12" ht="15" x14ac:dyDescent="0.25">
      <c r="D226" s="873" t="s">
        <v>290</v>
      </c>
      <c r="E226" s="873"/>
      <c r="F226" s="873"/>
      <c r="G226" s="228"/>
      <c r="H226" s="228"/>
      <c r="I226" s="228"/>
      <c r="J226" s="228"/>
      <c r="K226" s="223"/>
      <c r="L226" s="231">
        <f>ROUND(L221+L225,2)</f>
        <v>293865.88</v>
      </c>
    </row>
    <row r="227" spans="4:12" ht="15" x14ac:dyDescent="0.25">
      <c r="D227" s="872" t="s">
        <v>291</v>
      </c>
      <c r="E227" s="872"/>
      <c r="F227" s="872"/>
      <c r="G227" s="224"/>
      <c r="H227" s="224"/>
      <c r="I227" s="224"/>
      <c r="J227" s="224"/>
      <c r="K227" s="223"/>
      <c r="L227" s="231">
        <f>K217*0.998999999999673</f>
        <v>766.32</v>
      </c>
    </row>
    <row r="228" spans="4:12" ht="15" x14ac:dyDescent="0.25">
      <c r="D228" s="873" t="s">
        <v>275</v>
      </c>
      <c r="E228" s="873"/>
      <c r="F228" s="873"/>
      <c r="G228" s="228"/>
      <c r="H228" s="228"/>
      <c r="I228" s="228"/>
      <c r="J228" s="228"/>
      <c r="K228" s="223"/>
      <c r="L228" s="231">
        <f>L226+L227</f>
        <v>294632.2</v>
      </c>
    </row>
  </sheetData>
  <mergeCells count="164">
    <mergeCell ref="I2:L2"/>
    <mergeCell ref="I3:L3"/>
    <mergeCell ref="I4:L4"/>
    <mergeCell ref="J6:L6"/>
    <mergeCell ref="J7:L7"/>
    <mergeCell ref="J8:L9"/>
    <mergeCell ref="C14:H14"/>
    <mergeCell ref="J14:L15"/>
    <mergeCell ref="C15:H15"/>
    <mergeCell ref="C16:H16"/>
    <mergeCell ref="C17:H17"/>
    <mergeCell ref="C18:H18"/>
    <mergeCell ref="J18:L19"/>
    <mergeCell ref="C19:H19"/>
    <mergeCell ref="C9:H9"/>
    <mergeCell ref="C10:H10"/>
    <mergeCell ref="J10:L11"/>
    <mergeCell ref="C11:H11"/>
    <mergeCell ref="C12:H12"/>
    <mergeCell ref="J12:L13"/>
    <mergeCell ref="C13:H13"/>
    <mergeCell ref="J24:L24"/>
    <mergeCell ref="G26:G27"/>
    <mergeCell ref="H26:H27"/>
    <mergeCell ref="I26:J26"/>
    <mergeCell ref="A29:L29"/>
    <mergeCell ref="A30:L30"/>
    <mergeCell ref="C20:H20"/>
    <mergeCell ref="G21:I21"/>
    <mergeCell ref="J21:L21"/>
    <mergeCell ref="G22:H22"/>
    <mergeCell ref="J22:L22"/>
    <mergeCell ref="J23:L23"/>
    <mergeCell ref="E32:G32"/>
    <mergeCell ref="A38:L38"/>
    <mergeCell ref="A39:B39"/>
    <mergeCell ref="C39:C43"/>
    <mergeCell ref="D39:D43"/>
    <mergeCell ref="E39:E43"/>
    <mergeCell ref="F39:F43"/>
    <mergeCell ref="G39:G43"/>
    <mergeCell ref="H39:H43"/>
    <mergeCell ref="I39:I43"/>
    <mergeCell ref="A48:L48"/>
    <mergeCell ref="A50:L50"/>
    <mergeCell ref="I61:J61"/>
    <mergeCell ref="K61:L61"/>
    <mergeCell ref="I66:J66"/>
    <mergeCell ref="K66:L66"/>
    <mergeCell ref="J39:J43"/>
    <mergeCell ref="K39:K43"/>
    <mergeCell ref="L39:L43"/>
    <mergeCell ref="A40:A43"/>
    <mergeCell ref="B40:B43"/>
    <mergeCell ref="A46:L46"/>
    <mergeCell ref="I84:J84"/>
    <mergeCell ref="K84:L84"/>
    <mergeCell ref="I89:J89"/>
    <mergeCell ref="K89:L89"/>
    <mergeCell ref="I91:J91"/>
    <mergeCell ref="K91:L91"/>
    <mergeCell ref="I68:J68"/>
    <mergeCell ref="K68:L68"/>
    <mergeCell ref="A70:H70"/>
    <mergeCell ref="I70:J70"/>
    <mergeCell ref="K70:L70"/>
    <mergeCell ref="A74:L74"/>
    <mergeCell ref="I118:J118"/>
    <mergeCell ref="K118:L118"/>
    <mergeCell ref="I123:J123"/>
    <mergeCell ref="K123:L123"/>
    <mergeCell ref="I125:J125"/>
    <mergeCell ref="K125:L125"/>
    <mergeCell ref="I101:J101"/>
    <mergeCell ref="K101:L101"/>
    <mergeCell ref="I106:J106"/>
    <mergeCell ref="K106:L106"/>
    <mergeCell ref="I108:J108"/>
    <mergeCell ref="K108:L108"/>
    <mergeCell ref="I157:J157"/>
    <mergeCell ref="K157:L157"/>
    <mergeCell ref="I162:J162"/>
    <mergeCell ref="K162:L162"/>
    <mergeCell ref="I135:J135"/>
    <mergeCell ref="K135:L135"/>
    <mergeCell ref="I140:J140"/>
    <mergeCell ref="K140:L140"/>
    <mergeCell ref="I142:J142"/>
    <mergeCell ref="K142:L142"/>
    <mergeCell ref="A175:A176"/>
    <mergeCell ref="B175:B176"/>
    <mergeCell ref="I177:J177"/>
    <mergeCell ref="K177:L177"/>
    <mergeCell ref="A178:A179"/>
    <mergeCell ref="B178:B179"/>
    <mergeCell ref="I180:J180"/>
    <mergeCell ref="K180:L180"/>
    <mergeCell ref="A193:H193"/>
    <mergeCell ref="A185:H185"/>
    <mergeCell ref="I185:J185"/>
    <mergeCell ref="K185:L185"/>
    <mergeCell ref="A189:H189"/>
    <mergeCell ref="I189:J189"/>
    <mergeCell ref="K189:L189"/>
    <mergeCell ref="A181:A182"/>
    <mergeCell ref="I196:J196"/>
    <mergeCell ref="K196:L196"/>
    <mergeCell ref="I197:J197"/>
    <mergeCell ref="K197:L197"/>
    <mergeCell ref="I198:J198"/>
    <mergeCell ref="K198:L198"/>
    <mergeCell ref="K183:L183"/>
    <mergeCell ref="E31:G31"/>
    <mergeCell ref="I194:J194"/>
    <mergeCell ref="K194:L194"/>
    <mergeCell ref="I195:J195"/>
    <mergeCell ref="K195:L195"/>
    <mergeCell ref="A174:L174"/>
    <mergeCell ref="B181:B182"/>
    <mergeCell ref="I183:J183"/>
    <mergeCell ref="I164:J164"/>
    <mergeCell ref="K164:L164"/>
    <mergeCell ref="A166:H166"/>
    <mergeCell ref="I166:J166"/>
    <mergeCell ref="K166:L166"/>
    <mergeCell ref="A172:L172"/>
    <mergeCell ref="A144:H144"/>
    <mergeCell ref="I144:J144"/>
    <mergeCell ref="K144:L144"/>
    <mergeCell ref="D200:F200"/>
    <mergeCell ref="D201:F201"/>
    <mergeCell ref="D202:F202"/>
    <mergeCell ref="D203:F203"/>
    <mergeCell ref="D204:F204"/>
    <mergeCell ref="D205:F205"/>
    <mergeCell ref="D206:F206"/>
    <mergeCell ref="D207:F207"/>
    <mergeCell ref="D208:F208"/>
    <mergeCell ref="D221:F221"/>
    <mergeCell ref="D222:F222"/>
    <mergeCell ref="D223:F223"/>
    <mergeCell ref="D224:F224"/>
    <mergeCell ref="D225:F225"/>
    <mergeCell ref="D226:F226"/>
    <mergeCell ref="D227:F227"/>
    <mergeCell ref="D228:F228"/>
    <mergeCell ref="D210:F210"/>
    <mergeCell ref="D211:F211"/>
    <mergeCell ref="D212:F212"/>
    <mergeCell ref="D213:F213"/>
    <mergeCell ref="D214:F214"/>
    <mergeCell ref="D215:F215"/>
    <mergeCell ref="D216:F216"/>
    <mergeCell ref="D217:F217"/>
    <mergeCell ref="D218:F218"/>
    <mergeCell ref="K210:L210"/>
    <mergeCell ref="K211:L211"/>
    <mergeCell ref="K212:L212"/>
    <mergeCell ref="K213:L213"/>
    <mergeCell ref="K214:L214"/>
    <mergeCell ref="K215:L215"/>
    <mergeCell ref="K216:L216"/>
    <mergeCell ref="K217:L217"/>
    <mergeCell ref="D220:F220"/>
  </mergeCells>
  <pageMargins left="0.4" right="0.2" top="0.2" bottom="0.4" header="0.2" footer="0.2"/>
  <pageSetup paperSize="9" scale="65" fitToHeight="0" orientation="portrait" r:id="rId1"/>
  <headerFooter>
    <oddHeader>&amp;L&amp;8</oddHeader>
    <oddFooter>&amp;R&amp;P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AK90"/>
  <sheetViews>
    <sheetView workbookViewId="0"/>
  </sheetViews>
  <sheetFormatPr defaultColWidth="9.33203125" defaultRowHeight="12.75" x14ac:dyDescent="0.2"/>
  <cols>
    <col min="1" max="2" width="6.6640625" style="1" customWidth="1"/>
    <col min="3" max="3" width="20.33203125" style="1" customWidth="1"/>
    <col min="4" max="4" width="47.5" style="1" customWidth="1"/>
    <col min="5" max="7" width="13.6640625" style="1" customWidth="1"/>
    <col min="8" max="8" width="14.83203125" style="1" customWidth="1"/>
    <col min="9" max="9" width="14.5" style="1" customWidth="1"/>
    <col min="10" max="12" width="14.83203125" style="1" customWidth="1"/>
    <col min="13" max="14" width="9.33203125" style="1"/>
    <col min="15" max="30" width="0" style="1" hidden="1" customWidth="1"/>
    <col min="31" max="31" width="181.6640625" style="1" hidden="1" customWidth="1"/>
    <col min="32" max="32" width="128" style="1" hidden="1" customWidth="1"/>
    <col min="33" max="36" width="0" style="1" hidden="1" customWidth="1"/>
    <col min="37" max="16384" width="9.33203125" style="1"/>
  </cols>
  <sheetData>
    <row r="1" spans="1:31" ht="18" x14ac:dyDescent="0.25">
      <c r="A1" s="11"/>
      <c r="B1" s="11"/>
      <c r="C1" s="11"/>
      <c r="D1" s="11"/>
      <c r="E1" s="855" t="s">
        <v>299</v>
      </c>
      <c r="F1" s="855"/>
      <c r="G1" s="855"/>
      <c r="H1" s="11"/>
      <c r="I1" s="11"/>
      <c r="J1" s="11"/>
      <c r="K1" s="11"/>
      <c r="L1" s="11"/>
    </row>
    <row r="2" spans="1:31" ht="18" x14ac:dyDescent="0.25">
      <c r="A2" s="11"/>
      <c r="B2" s="11"/>
      <c r="C2" s="11"/>
      <c r="D2" s="11"/>
      <c r="E2" s="848" t="s">
        <v>145</v>
      </c>
      <c r="F2" s="848"/>
      <c r="G2" s="848"/>
      <c r="H2" s="11"/>
      <c r="I2" s="11"/>
      <c r="J2" s="11"/>
      <c r="K2" s="11"/>
      <c r="L2" s="11"/>
    </row>
    <row r="3" spans="1:31" ht="18" x14ac:dyDescent="0.25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</row>
    <row r="4" spans="1:31" ht="18" x14ac:dyDescent="0.25">
      <c r="A4" s="11"/>
      <c r="B4" s="11"/>
      <c r="C4" s="11"/>
      <c r="D4" s="44" t="s">
        <v>191</v>
      </c>
      <c r="E4" s="11"/>
      <c r="F4" s="11"/>
      <c r="G4" s="11"/>
      <c r="H4" s="11"/>
      <c r="I4" s="11"/>
      <c r="J4" s="11"/>
      <c r="K4" s="11"/>
      <c r="L4" s="11"/>
    </row>
    <row r="5" spans="1:31" ht="18" x14ac:dyDescent="0.25">
      <c r="A5" s="11"/>
      <c r="B5" s="11"/>
      <c r="C5" s="11"/>
      <c r="D5" s="44" t="s">
        <v>192</v>
      </c>
      <c r="E5" s="11"/>
      <c r="F5" s="11"/>
      <c r="G5" s="11"/>
      <c r="H5" s="11"/>
      <c r="I5" s="11"/>
      <c r="J5" s="11"/>
      <c r="K5" s="11"/>
      <c r="L5" s="11"/>
    </row>
    <row r="6" spans="1:31" ht="105" x14ac:dyDescent="0.25">
      <c r="A6" s="11"/>
      <c r="B6" s="11"/>
      <c r="C6" s="11"/>
      <c r="D6" s="44" t="s">
        <v>27</v>
      </c>
      <c r="E6" s="11"/>
      <c r="F6" s="11"/>
      <c r="G6" s="11"/>
      <c r="H6" s="11"/>
      <c r="I6" s="11"/>
      <c r="J6" s="11"/>
      <c r="K6" s="11"/>
      <c r="L6" s="11"/>
    </row>
    <row r="7" spans="1:31" ht="18" x14ac:dyDescent="0.25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</row>
    <row r="8" spans="1:31" ht="14.25" x14ac:dyDescent="0.2">
      <c r="A8" s="849" t="s">
        <v>149</v>
      </c>
      <c r="B8" s="849"/>
      <c r="C8" s="849"/>
      <c r="D8" s="849"/>
      <c r="E8" s="849"/>
      <c r="F8" s="849"/>
      <c r="G8" s="849"/>
      <c r="H8" s="849"/>
      <c r="I8" s="849"/>
      <c r="J8" s="849"/>
      <c r="K8" s="849"/>
      <c r="L8" s="849"/>
    </row>
    <row r="9" spans="1:31" ht="14.25" x14ac:dyDescent="0.2">
      <c r="A9" s="850" t="s">
        <v>67</v>
      </c>
      <c r="B9" s="850"/>
      <c r="C9" s="850" t="s">
        <v>68</v>
      </c>
      <c r="D9" s="850" t="s">
        <v>69</v>
      </c>
      <c r="E9" s="850" t="s">
        <v>70</v>
      </c>
      <c r="F9" s="850" t="s">
        <v>71</v>
      </c>
      <c r="G9" s="850" t="s">
        <v>72</v>
      </c>
      <c r="H9" s="851" t="s">
        <v>73</v>
      </c>
      <c r="I9" s="851" t="s">
        <v>74</v>
      </c>
      <c r="J9" s="850" t="s">
        <v>75</v>
      </c>
      <c r="K9" s="850" t="s">
        <v>76</v>
      </c>
      <c r="L9" s="850" t="s">
        <v>77</v>
      </c>
    </row>
    <row r="10" spans="1:31" x14ac:dyDescent="0.2">
      <c r="A10" s="851" t="s">
        <v>78</v>
      </c>
      <c r="B10" s="851" t="s">
        <v>79</v>
      </c>
      <c r="C10" s="850"/>
      <c r="D10" s="850"/>
      <c r="E10" s="850"/>
      <c r="F10" s="850"/>
      <c r="G10" s="850"/>
      <c r="H10" s="852"/>
      <c r="I10" s="852"/>
      <c r="J10" s="850"/>
      <c r="K10" s="850"/>
      <c r="L10" s="850"/>
    </row>
    <row r="11" spans="1:31" x14ac:dyDescent="0.2">
      <c r="A11" s="852"/>
      <c r="B11" s="852"/>
      <c r="C11" s="850"/>
      <c r="D11" s="850"/>
      <c r="E11" s="850"/>
      <c r="F11" s="850"/>
      <c r="G11" s="850"/>
      <c r="H11" s="852"/>
      <c r="I11" s="852"/>
      <c r="J11" s="850"/>
      <c r="K11" s="850"/>
      <c r="L11" s="850"/>
    </row>
    <row r="12" spans="1:31" ht="20.100000000000001" customHeight="1" x14ac:dyDescent="0.2">
      <c r="A12" s="852"/>
      <c r="B12" s="852"/>
      <c r="C12" s="850"/>
      <c r="D12" s="850"/>
      <c r="E12" s="850"/>
      <c r="F12" s="850"/>
      <c r="G12" s="850"/>
      <c r="H12" s="852"/>
      <c r="I12" s="852"/>
      <c r="J12" s="850"/>
      <c r="K12" s="850"/>
      <c r="L12" s="850"/>
    </row>
    <row r="13" spans="1:31" ht="20.100000000000001" customHeight="1" x14ac:dyDescent="0.2">
      <c r="A13" s="853"/>
      <c r="B13" s="853"/>
      <c r="C13" s="850"/>
      <c r="D13" s="850"/>
      <c r="E13" s="850"/>
      <c r="F13" s="850"/>
      <c r="G13" s="850"/>
      <c r="H13" s="853"/>
      <c r="I13" s="853"/>
      <c r="J13" s="850"/>
      <c r="K13" s="850"/>
      <c r="L13" s="850"/>
    </row>
    <row r="14" spans="1:31" ht="14.25" x14ac:dyDescent="0.2">
      <c r="A14" s="13">
        <v>1</v>
      </c>
      <c r="B14" s="13">
        <v>2</v>
      </c>
      <c r="C14" s="13">
        <v>3</v>
      </c>
      <c r="D14" s="13">
        <v>4</v>
      </c>
      <c r="E14" s="13">
        <v>5</v>
      </c>
      <c r="F14" s="13">
        <v>6</v>
      </c>
      <c r="G14" s="13">
        <v>7</v>
      </c>
      <c r="H14" s="13">
        <v>8</v>
      </c>
      <c r="I14" s="13">
        <v>9</v>
      </c>
      <c r="J14" s="13">
        <v>10</v>
      </c>
      <c r="K14" s="13">
        <v>11</v>
      </c>
      <c r="L14" s="13">
        <v>12</v>
      </c>
    </row>
    <row r="16" spans="1:31" ht="33" x14ac:dyDescent="0.25">
      <c r="A16" s="854" t="str">
        <f>CONCATENATE("Локальная смета: ",IF([89]Source!G20&lt;&gt;"Новая локальная смета", [89]Source!G20, ""))</f>
        <v>Локальная смета: Станционный комплекс "Аминьевское шоссе". Вестибюль №2, камера съездов, ТПП. Внутренние инженерные системы (не включая ТПП). Электрооборудование. Электрообогрев</v>
      </c>
      <c r="B16" s="854"/>
      <c r="C16" s="854"/>
      <c r="D16" s="854"/>
      <c r="E16" s="854"/>
      <c r="F16" s="854"/>
      <c r="G16" s="854"/>
      <c r="H16" s="854"/>
      <c r="I16" s="854"/>
      <c r="J16" s="854"/>
      <c r="K16" s="854"/>
      <c r="L16" s="854"/>
      <c r="AE16" s="46" t="str">
        <f>CONCATENATE("Локальная смета: ",IF([89]Source!G20&lt;&gt;"Новая локальная смета", [89]Source!G20, ""))</f>
        <v>Локальная смета: Станционный комплекс "Аминьевское шоссе". Вестибюль №2, камера съездов, ТПП. Внутренние инженерные системы (не включая ТПП). Электрооборудование. Электрообогрев</v>
      </c>
    </row>
    <row r="18" spans="1:22" ht="16.5" x14ac:dyDescent="0.25">
      <c r="A18" s="854" t="str">
        <f>CONCATENATE("Раздел: ",IF([89]Source!G24&lt;&gt;"Новый раздел", [89]Source!G24, ""))</f>
        <v>Раздел: Монтажные работы</v>
      </c>
      <c r="B18" s="854"/>
      <c r="C18" s="854"/>
      <c r="D18" s="854"/>
      <c r="E18" s="854"/>
      <c r="F18" s="854"/>
      <c r="G18" s="854"/>
      <c r="H18" s="854"/>
      <c r="I18" s="854"/>
      <c r="J18" s="854"/>
      <c r="K18" s="854"/>
      <c r="L18" s="854"/>
    </row>
    <row r="20" spans="1:22" ht="16.5" x14ac:dyDescent="0.25">
      <c r="A20" s="854" t="str">
        <f>CONCATENATE("Подраздел: ",IF([89]Source!G28&lt;&gt;"Новый подраздел", [89]Source!G28, ""))</f>
        <v>Подраздел: Низковольтное оборудование</v>
      </c>
      <c r="B20" s="854"/>
      <c r="C20" s="854"/>
      <c r="D20" s="854"/>
      <c r="E20" s="854"/>
      <c r="F20" s="854"/>
      <c r="G20" s="854"/>
      <c r="H20" s="854"/>
      <c r="I20" s="854"/>
      <c r="J20" s="854"/>
      <c r="K20" s="854"/>
      <c r="L20" s="854"/>
    </row>
    <row r="21" spans="1:22" ht="99.75" x14ac:dyDescent="0.2">
      <c r="A21" s="14">
        <v>1</v>
      </c>
      <c r="B21" s="14" t="str">
        <f>[89]Source!E32</f>
        <v>1</v>
      </c>
      <c r="C21" s="15" t="s">
        <v>193</v>
      </c>
      <c r="D21" s="15" t="s">
        <v>194</v>
      </c>
      <c r="E21" s="16" t="str">
        <f>[89]Source!H32</f>
        <v>1  ШТ.</v>
      </c>
      <c r="F21" s="244">
        <f>[89]Source!I32</f>
        <v>4</v>
      </c>
      <c r="G21" s="17"/>
      <c r="H21" s="18"/>
      <c r="I21" s="4"/>
      <c r="J21" s="19"/>
      <c r="K21" s="4"/>
      <c r="L21" s="19"/>
      <c r="M21" s="1">
        <f>6*0.7</f>
        <v>4.2</v>
      </c>
      <c r="Q21" s="1">
        <f>[89]Source!X32</f>
        <v>209.78</v>
      </c>
      <c r="R21" s="1">
        <f>[89]Source!X33</f>
        <v>4084.45</v>
      </c>
      <c r="S21" s="1">
        <f>[89]Source!Y32</f>
        <v>131.11000000000001</v>
      </c>
      <c r="T21" s="1">
        <f>[89]Source!Y33</f>
        <v>1951.46</v>
      </c>
      <c r="U21" s="1">
        <f>ROUND((175/100)*ROUND([89]Source!R32, 2), 2)</f>
        <v>43.33</v>
      </c>
      <c r="V21" s="1">
        <f>ROUND((157/100)*ROUND([89]Source!R33, 2), 2)</f>
        <v>941.89</v>
      </c>
    </row>
    <row r="22" spans="1:22" ht="14.25" x14ac:dyDescent="0.2">
      <c r="A22" s="14"/>
      <c r="B22" s="14"/>
      <c r="C22" s="15"/>
      <c r="D22" s="15" t="s">
        <v>84</v>
      </c>
      <c r="E22" s="16"/>
      <c r="F22" s="4"/>
      <c r="G22" s="17">
        <f>[89]Source!AO32</f>
        <v>26.78</v>
      </c>
      <c r="H22" s="18" t="str">
        <f>[89]Source!DG32</f>
        <v>)*1,67</v>
      </c>
      <c r="I22" s="4">
        <f>[89]Source!AV33</f>
        <v>1.0469999999999999</v>
      </c>
      <c r="J22" s="19">
        <f>[89]Source!S32</f>
        <v>187.3</v>
      </c>
      <c r="K22" s="4">
        <f>IF([89]Source!BA33&lt;&gt; 0, [89]Source!BA33, 1)</f>
        <v>24.23</v>
      </c>
      <c r="L22" s="19">
        <f>[89]Source!S33</f>
        <v>4538.28</v>
      </c>
    </row>
    <row r="23" spans="1:22" ht="14.25" x14ac:dyDescent="0.2">
      <c r="A23" s="14"/>
      <c r="B23" s="14"/>
      <c r="C23" s="15"/>
      <c r="D23" s="15" t="s">
        <v>85</v>
      </c>
      <c r="E23" s="16"/>
      <c r="F23" s="4"/>
      <c r="G23" s="17">
        <f>[89]Source!AM32</f>
        <v>36.26</v>
      </c>
      <c r="H23" s="18">
        <f>[89]Source!DE32</f>
        <v>0</v>
      </c>
      <c r="I23" s="4">
        <f>[89]Source!AV33</f>
        <v>1.0469999999999999</v>
      </c>
      <c r="J23" s="19">
        <f>[89]Source!Q32-J32</f>
        <v>151.86000000000001</v>
      </c>
      <c r="K23" s="4">
        <f>IF([89]Source!BB33&lt;&gt; 0, [89]Source!BB33, 1)</f>
        <v>7.38</v>
      </c>
      <c r="L23" s="19">
        <f>[89]Source!Q33-L32</f>
        <v>1120.6500000000001</v>
      </c>
    </row>
    <row r="24" spans="1:22" ht="14.25" x14ac:dyDescent="0.2">
      <c r="A24" s="14"/>
      <c r="B24" s="14"/>
      <c r="C24" s="15"/>
      <c r="D24" s="15" t="s">
        <v>86</v>
      </c>
      <c r="E24" s="16"/>
      <c r="F24" s="4"/>
      <c r="G24" s="17">
        <f>[89]Source!AN32</f>
        <v>3.54</v>
      </c>
      <c r="H24" s="18">
        <f>[89]Source!DE32</f>
        <v>0</v>
      </c>
      <c r="I24" s="4">
        <f>[89]Source!AV33</f>
        <v>1.0469999999999999</v>
      </c>
      <c r="J24" s="20">
        <f>[89]Source!R32-J33</f>
        <v>14.83</v>
      </c>
      <c r="K24" s="4">
        <f>IF([89]Source!BS33&lt;&gt; 0, [89]Source!BS33, 1)</f>
        <v>24.23</v>
      </c>
      <c r="L24" s="20">
        <f>[89]Source!R33-L33</f>
        <v>359.25</v>
      </c>
    </row>
    <row r="25" spans="1:22" ht="14.25" x14ac:dyDescent="0.2">
      <c r="A25" s="14"/>
      <c r="B25" s="14"/>
      <c r="C25" s="15"/>
      <c r="D25" s="15" t="s">
        <v>87</v>
      </c>
      <c r="E25" s="16"/>
      <c r="F25" s="4"/>
      <c r="G25" s="17">
        <f>[89]Source!AL32</f>
        <v>54.18</v>
      </c>
      <c r="H25" s="18">
        <f>[89]Source!DD32</f>
        <v>0</v>
      </c>
      <c r="I25" s="4">
        <f>[89]Source!AW33</f>
        <v>1</v>
      </c>
      <c r="J25" s="19">
        <f>[89]Source!P32</f>
        <v>216.72</v>
      </c>
      <c r="K25" s="4">
        <f>IF([89]Source!BC33&lt;&gt; 0, [89]Source!BC33, 1)</f>
        <v>5.58</v>
      </c>
      <c r="L25" s="19">
        <f>[89]Source!P33</f>
        <v>1209.3</v>
      </c>
    </row>
    <row r="26" spans="1:22" ht="14.25" x14ac:dyDescent="0.2">
      <c r="A26" s="14"/>
      <c r="B26" s="14"/>
      <c r="C26" s="15"/>
      <c r="D26" s="15" t="s">
        <v>88</v>
      </c>
      <c r="E26" s="16" t="s">
        <v>89</v>
      </c>
      <c r="F26" s="4">
        <f>[89]Source!DN33</f>
        <v>112</v>
      </c>
      <c r="G26" s="17"/>
      <c r="H26" s="18"/>
      <c r="I26" s="4"/>
      <c r="J26" s="19">
        <f>SUM(Q21:Q25)</f>
        <v>209.78</v>
      </c>
      <c r="K26" s="4">
        <f>[89]Source!BZ33</f>
        <v>90</v>
      </c>
      <c r="L26" s="19">
        <f>SUM(R21:R25)</f>
        <v>4084.45</v>
      </c>
    </row>
    <row r="27" spans="1:22" ht="14.25" x14ac:dyDescent="0.2">
      <c r="A27" s="14"/>
      <c r="B27" s="14"/>
      <c r="C27" s="15"/>
      <c r="D27" s="15" t="s">
        <v>90</v>
      </c>
      <c r="E27" s="16" t="s">
        <v>89</v>
      </c>
      <c r="F27" s="4">
        <f>[89]Source!DO33</f>
        <v>70</v>
      </c>
      <c r="G27" s="17"/>
      <c r="H27" s="18"/>
      <c r="I27" s="4"/>
      <c r="J27" s="19">
        <f>SUM(S21:S26)</f>
        <v>131.11000000000001</v>
      </c>
      <c r="K27" s="4">
        <f>[89]Source!CA33</f>
        <v>43</v>
      </c>
      <c r="L27" s="19">
        <f>SUM(T21:T26)</f>
        <v>1951.46</v>
      </c>
    </row>
    <row r="28" spans="1:22" ht="14.25" x14ac:dyDescent="0.2">
      <c r="A28" s="14"/>
      <c r="B28" s="14"/>
      <c r="C28" s="15"/>
      <c r="D28" s="15" t="s">
        <v>91</v>
      </c>
      <c r="E28" s="16" t="s">
        <v>89</v>
      </c>
      <c r="F28" s="4">
        <f>175</f>
        <v>175</v>
      </c>
      <c r="G28" s="17"/>
      <c r="H28" s="18"/>
      <c r="I28" s="4"/>
      <c r="J28" s="19">
        <f>SUM(U21:U27)-J34</f>
        <v>25.95</v>
      </c>
      <c r="K28" s="4">
        <f>157</f>
        <v>157</v>
      </c>
      <c r="L28" s="19">
        <f>SUM(V21:V27)-L34</f>
        <v>564.02</v>
      </c>
    </row>
    <row r="29" spans="1:22" ht="14.25" x14ac:dyDescent="0.2">
      <c r="A29" s="14"/>
      <c r="B29" s="14"/>
      <c r="C29" s="15"/>
      <c r="D29" s="15" t="s">
        <v>92</v>
      </c>
      <c r="E29" s="16" t="s">
        <v>93</v>
      </c>
      <c r="F29" s="4">
        <f>[89]Source!AQ32</f>
        <v>2.06</v>
      </c>
      <c r="G29" s="17"/>
      <c r="H29" s="18">
        <f>[89]Source!DI32</f>
        <v>0</v>
      </c>
      <c r="I29" s="4">
        <f>[89]Source!AV33</f>
        <v>1.0469999999999999</v>
      </c>
      <c r="J29" s="19">
        <f>[89]Source!U32</f>
        <v>8.6300000000000008</v>
      </c>
      <c r="K29" s="4"/>
      <c r="L29" s="19"/>
    </row>
    <row r="30" spans="1:22" ht="15" x14ac:dyDescent="0.25">
      <c r="I30" s="847">
        <f>J22+J23+J25+J26+J27+J28</f>
        <v>922.72</v>
      </c>
      <c r="J30" s="847"/>
      <c r="K30" s="847">
        <f>L22+L23+L25+L26+L27+L28</f>
        <v>13468.16</v>
      </c>
      <c r="L30" s="847"/>
      <c r="O30" s="21">
        <f>J22+J23+J25+J26+J27+J28</f>
        <v>922.72</v>
      </c>
      <c r="P30" s="21">
        <f>L22+L23+L25+L26+L27+L28</f>
        <v>13468.16</v>
      </c>
    </row>
    <row r="31" spans="1:22" ht="28.5" x14ac:dyDescent="0.2">
      <c r="A31" s="22"/>
      <c r="B31" s="22"/>
      <c r="C31" s="23"/>
      <c r="D31" s="23" t="s">
        <v>94</v>
      </c>
      <c r="E31" s="16"/>
      <c r="F31" s="24"/>
      <c r="G31" s="25"/>
      <c r="H31" s="16"/>
      <c r="I31" s="24"/>
      <c r="J31" s="20"/>
      <c r="K31" s="24"/>
      <c r="L31" s="20"/>
    </row>
    <row r="32" spans="1:22" ht="14.25" x14ac:dyDescent="0.2">
      <c r="A32" s="22"/>
      <c r="B32" s="22"/>
      <c r="C32" s="23"/>
      <c r="D32" s="23" t="s">
        <v>85</v>
      </c>
      <c r="E32" s="16"/>
      <c r="F32" s="24"/>
      <c r="G32" s="25">
        <f t="shared" ref="G32:L32" si="0">G33</f>
        <v>3.54</v>
      </c>
      <c r="H32" s="26" t="str">
        <f t="shared" si="0"/>
        <v>)*(1.67-1)</v>
      </c>
      <c r="I32" s="24">
        <f t="shared" si="0"/>
        <v>1.0469999999999999</v>
      </c>
      <c r="J32" s="20">
        <f t="shared" si="0"/>
        <v>9.93</v>
      </c>
      <c r="K32" s="24">
        <f t="shared" si="0"/>
        <v>24.23</v>
      </c>
      <c r="L32" s="20">
        <f t="shared" si="0"/>
        <v>240.68</v>
      </c>
    </row>
    <row r="33" spans="1:37" ht="14.25" x14ac:dyDescent="0.2">
      <c r="A33" s="22"/>
      <c r="B33" s="22"/>
      <c r="C33" s="23"/>
      <c r="D33" s="23" t="s">
        <v>86</v>
      </c>
      <c r="E33" s="16"/>
      <c r="F33" s="24"/>
      <c r="G33" s="25">
        <f>[89]Source!AN32</f>
        <v>3.54</v>
      </c>
      <c r="H33" s="26" t="s">
        <v>95</v>
      </c>
      <c r="I33" s="24">
        <f>[89]Source!AV33</f>
        <v>1.0469999999999999</v>
      </c>
      <c r="J33" s="20">
        <f>ROUND(F21*G33*I33*(1.67-1), 2)</f>
        <v>9.93</v>
      </c>
      <c r="K33" s="24">
        <f>IF([89]Source!BS33&lt;&gt; 0, [89]Source!BS33, 1)</f>
        <v>24.23</v>
      </c>
      <c r="L33" s="20">
        <f>ROUND(F21*G33*I33*(1.67-1)*K33, 2)</f>
        <v>240.68</v>
      </c>
    </row>
    <row r="34" spans="1:37" ht="14.25" x14ac:dyDescent="0.2">
      <c r="A34" s="22"/>
      <c r="B34" s="22"/>
      <c r="C34" s="23"/>
      <c r="D34" s="23" t="s">
        <v>91</v>
      </c>
      <c r="E34" s="16" t="s">
        <v>89</v>
      </c>
      <c r="F34" s="24">
        <f>175</f>
        <v>175</v>
      </c>
      <c r="G34" s="25"/>
      <c r="H34" s="16"/>
      <c r="I34" s="24"/>
      <c r="J34" s="20">
        <f>ROUND(J33*(F34/100), 2)</f>
        <v>17.38</v>
      </c>
      <c r="K34" s="24">
        <f>157</f>
        <v>157</v>
      </c>
      <c r="L34" s="20">
        <f>ROUND(L33*(K34/100), 2)</f>
        <v>377.87</v>
      </c>
    </row>
    <row r="35" spans="1:37" ht="15" x14ac:dyDescent="0.25">
      <c r="I35" s="847">
        <f>J34+J33</f>
        <v>27.31</v>
      </c>
      <c r="J35" s="847"/>
      <c r="K35" s="847">
        <f>L34+L33</f>
        <v>618.54999999999995</v>
      </c>
      <c r="L35" s="847"/>
      <c r="O35" s="21">
        <f>I35</f>
        <v>27.31</v>
      </c>
      <c r="P35" s="21">
        <f>K35</f>
        <v>618.54999999999995</v>
      </c>
    </row>
    <row r="37" spans="1:37" ht="15" x14ac:dyDescent="0.25">
      <c r="A37" s="27"/>
      <c r="B37" s="27"/>
      <c r="C37" s="28"/>
      <c r="D37" s="28" t="s">
        <v>96</v>
      </c>
      <c r="E37" s="29"/>
      <c r="F37" s="30"/>
      <c r="G37" s="31"/>
      <c r="H37" s="32"/>
      <c r="I37" s="847">
        <f>I30+I35</f>
        <v>950.03</v>
      </c>
      <c r="J37" s="847"/>
      <c r="K37" s="847">
        <f>K30+K35</f>
        <v>14086.71</v>
      </c>
      <c r="L37" s="847"/>
    </row>
    <row r="39" spans="1:37" ht="15" x14ac:dyDescent="0.25">
      <c r="A39" s="879" t="str">
        <f>CONCATENATE("Итого по подразделу: ",IF([89]Source!G47&lt;&gt;"Новый подраздел", [89]Source!G47, ""))</f>
        <v>Итого по подразделу: Низковольтное оборудование</v>
      </c>
      <c r="B39" s="879"/>
      <c r="C39" s="879"/>
      <c r="D39" s="879"/>
      <c r="E39" s="879"/>
      <c r="F39" s="879"/>
      <c r="G39" s="879"/>
      <c r="H39" s="879"/>
      <c r="I39" s="880">
        <f>SUM(O20:O38)</f>
        <v>950.03</v>
      </c>
      <c r="J39" s="881"/>
      <c r="K39" s="880">
        <f>SUM(P20:P38)</f>
        <v>14086.71</v>
      </c>
      <c r="L39" s="881"/>
    </row>
    <row r="40" spans="1:37" ht="16.5" x14ac:dyDescent="0.25">
      <c r="A40" s="854" t="str">
        <f>CONCATENATE("Раздел: ",IF([89]Source!G249&lt;&gt;"Новый раздел", [89]Source!G249, ""))</f>
        <v>Раздел: Низковольтное оборудование</v>
      </c>
      <c r="B40" s="854"/>
      <c r="C40" s="854"/>
      <c r="D40" s="854"/>
      <c r="E40" s="854"/>
      <c r="F40" s="854"/>
      <c r="G40" s="854"/>
      <c r="H40" s="854"/>
      <c r="I40" s="854"/>
      <c r="J40" s="854"/>
      <c r="K40" s="854"/>
      <c r="L40" s="854"/>
    </row>
    <row r="41" spans="1:37" ht="242.25" x14ac:dyDescent="0.2">
      <c r="A41" s="877">
        <v>2</v>
      </c>
      <c r="B41" s="877" t="str">
        <f>[89]Source!E253</f>
        <v>25</v>
      </c>
      <c r="C41" s="63" t="s">
        <v>199</v>
      </c>
      <c r="D41" s="34" t="s">
        <v>195</v>
      </c>
      <c r="E41" s="16" t="s">
        <v>197</v>
      </c>
      <c r="F41" s="246">
        <v>1</v>
      </c>
      <c r="G41" s="19">
        <f>J41/F41</f>
        <v>10308</v>
      </c>
      <c r="H41" s="18"/>
      <c r="I41" s="4"/>
      <c r="J41" s="19">
        <f>L41/K41</f>
        <v>10308</v>
      </c>
      <c r="K41" s="4">
        <v>4.5599999999999996</v>
      </c>
      <c r="L41" s="19">
        <f>45094.27*1.03*F41*1.012</f>
        <v>47004.46</v>
      </c>
      <c r="Q41" s="1">
        <f>[89]Source!X253</f>
        <v>0</v>
      </c>
      <c r="R41" s="1">
        <f>[89]Source!X254</f>
        <v>0</v>
      </c>
      <c r="S41" s="1">
        <f>[89]Source!Y253</f>
        <v>0</v>
      </c>
      <c r="T41" s="1">
        <f>[89]Source!Y254</f>
        <v>0</v>
      </c>
      <c r="U41" s="1">
        <f>ROUND((175/100)*ROUND([89]Source!R253, 2), 2)</f>
        <v>0</v>
      </c>
      <c r="V41" s="1">
        <f>ROUND((157/100)*ROUND([89]Source!R254, 2), 2)</f>
        <v>0</v>
      </c>
    </row>
    <row r="42" spans="1:37" ht="28.5" hidden="1" x14ac:dyDescent="0.2">
      <c r="A42" s="878"/>
      <c r="B42" s="878"/>
      <c r="C42" s="55" t="s">
        <v>198</v>
      </c>
      <c r="D42" s="15" t="s">
        <v>218</v>
      </c>
      <c r="E42" s="16" t="s">
        <v>197</v>
      </c>
      <c r="F42" s="4">
        <v>1</v>
      </c>
      <c r="G42" s="19">
        <f>J42/F42</f>
        <v>5235.55</v>
      </c>
      <c r="H42" s="18"/>
      <c r="I42" s="4">
        <v>1</v>
      </c>
      <c r="J42" s="19">
        <f>L42/K42</f>
        <v>5235.55</v>
      </c>
      <c r="K42" s="4">
        <v>4.5599999999999996</v>
      </c>
      <c r="L42" s="19">
        <f>23874.12*F42</f>
        <v>23874.12</v>
      </c>
      <c r="M42" s="1">
        <f>2*0.7</f>
        <v>1.4</v>
      </c>
      <c r="N42" s="1">
        <f>M42/1.02</f>
        <v>1.37254901960784</v>
      </c>
    </row>
    <row r="43" spans="1:37" ht="15" x14ac:dyDescent="0.25">
      <c r="A43" s="35"/>
      <c r="B43" s="35"/>
      <c r="C43" s="61"/>
      <c r="D43" s="35"/>
      <c r="E43" s="35"/>
      <c r="F43" s="35"/>
      <c r="G43" s="35"/>
      <c r="H43" s="35"/>
      <c r="I43" s="847">
        <f>J41</f>
        <v>10308</v>
      </c>
      <c r="J43" s="847"/>
      <c r="K43" s="847">
        <f>L41</f>
        <v>47004.46</v>
      </c>
      <c r="L43" s="847"/>
      <c r="O43" s="21">
        <f>J41</f>
        <v>10308</v>
      </c>
      <c r="P43" s="21">
        <f>L41</f>
        <v>47004.46</v>
      </c>
    </row>
    <row r="44" spans="1:37" ht="228" x14ac:dyDescent="0.2">
      <c r="A44" s="877">
        <v>3</v>
      </c>
      <c r="B44" s="877" t="str">
        <f>[89]Source!E255</f>
        <v>26</v>
      </c>
      <c r="C44" s="63" t="s">
        <v>199</v>
      </c>
      <c r="D44" s="34" t="s">
        <v>196</v>
      </c>
      <c r="E44" s="52" t="str">
        <f>[89]Source!H255</f>
        <v>шт.</v>
      </c>
      <c r="F44" s="53">
        <f>[89]Source!I255</f>
        <v>3</v>
      </c>
      <c r="G44" s="19">
        <f>J44/F44</f>
        <v>8188.38</v>
      </c>
      <c r="H44" s="18"/>
      <c r="I44" s="4">
        <v>1</v>
      </c>
      <c r="J44" s="19">
        <f>L44/K44</f>
        <v>24565.14</v>
      </c>
      <c r="K44" s="4">
        <v>4.5599999999999996</v>
      </c>
      <c r="L44" s="19">
        <f>35821.61*1.03*1.012*F44</f>
        <v>112017.04</v>
      </c>
      <c r="M44" s="1">
        <v>11</v>
      </c>
      <c r="N44" s="1">
        <v>12</v>
      </c>
      <c r="Q44" s="1">
        <f>[89]Source!X255</f>
        <v>0</v>
      </c>
      <c r="R44" s="1">
        <f>[89]Source!X256</f>
        <v>0</v>
      </c>
      <c r="S44" s="1">
        <f>[89]Source!Y255</f>
        <v>0</v>
      </c>
      <c r="T44" s="1">
        <f>[89]Source!Y256</f>
        <v>0</v>
      </c>
      <c r="U44" s="1">
        <f>ROUND((175/100)*ROUND([89]Source!R255, 2), 2)</f>
        <v>0</v>
      </c>
      <c r="V44" s="1">
        <f>ROUND((157/100)*ROUND([89]Source!R256, 2), 2)</f>
        <v>0</v>
      </c>
      <c r="AK44" s="1">
        <v>13</v>
      </c>
    </row>
    <row r="45" spans="1:37" ht="28.5" hidden="1" x14ac:dyDescent="0.2">
      <c r="A45" s="877"/>
      <c r="B45" s="877"/>
      <c r="C45" s="55" t="s">
        <v>198</v>
      </c>
      <c r="D45" s="15" t="s">
        <v>219</v>
      </c>
      <c r="E45" s="16" t="s">
        <v>197</v>
      </c>
      <c r="F45" s="4">
        <v>1</v>
      </c>
      <c r="G45" s="19">
        <f>J45/F45</f>
        <v>5755.03</v>
      </c>
      <c r="H45" s="18"/>
      <c r="I45" s="4">
        <v>1</v>
      </c>
      <c r="J45" s="19">
        <f>L45/K45</f>
        <v>5755.03</v>
      </c>
      <c r="K45" s="4">
        <v>4.5599999999999996</v>
      </c>
      <c r="L45" s="19">
        <f>26242.92*F45</f>
        <v>26242.92</v>
      </c>
    </row>
    <row r="46" spans="1:37" ht="28.5" hidden="1" x14ac:dyDescent="0.2">
      <c r="A46" s="877"/>
      <c r="B46" s="877"/>
      <c r="C46" s="55" t="s">
        <v>198</v>
      </c>
      <c r="D46" s="15" t="s">
        <v>220</v>
      </c>
      <c r="E46" s="16" t="s">
        <v>197</v>
      </c>
      <c r="F46" s="4">
        <v>1</v>
      </c>
      <c r="G46" s="19">
        <f>J46/F46</f>
        <v>6721.62</v>
      </c>
      <c r="H46" s="18"/>
      <c r="I46" s="4">
        <v>1</v>
      </c>
      <c r="J46" s="19">
        <f>L46/K46</f>
        <v>6721.62</v>
      </c>
      <c r="K46" s="4">
        <v>4.5599999999999996</v>
      </c>
      <c r="L46" s="19">
        <f>30650.58*F46</f>
        <v>30650.58</v>
      </c>
    </row>
    <row r="47" spans="1:37" ht="28.5" hidden="1" x14ac:dyDescent="0.2">
      <c r="A47" s="878"/>
      <c r="B47" s="878"/>
      <c r="C47" s="55" t="s">
        <v>198</v>
      </c>
      <c r="D47" s="15" t="s">
        <v>221</v>
      </c>
      <c r="E47" s="16" t="s">
        <v>197</v>
      </c>
      <c r="F47" s="4">
        <v>1</v>
      </c>
      <c r="G47" s="19">
        <f>J47/F47</f>
        <v>5422.01</v>
      </c>
      <c r="H47" s="18"/>
      <c r="I47" s="4">
        <v>1</v>
      </c>
      <c r="J47" s="19">
        <f>L47/K47</f>
        <v>5422.01</v>
      </c>
      <c r="K47" s="4">
        <v>4.5599999999999996</v>
      </c>
      <c r="L47" s="19">
        <f>24724.35*F47</f>
        <v>24724.35</v>
      </c>
    </row>
    <row r="48" spans="1:37" ht="15" x14ac:dyDescent="0.25">
      <c r="A48" s="35"/>
      <c r="B48" s="35"/>
      <c r="C48" s="35"/>
      <c r="D48" s="35"/>
      <c r="E48" s="35"/>
      <c r="F48" s="35"/>
      <c r="G48" s="35"/>
      <c r="H48" s="35"/>
      <c r="I48" s="847">
        <f>J44</f>
        <v>24565.14</v>
      </c>
      <c r="J48" s="847"/>
      <c r="K48" s="847">
        <f>L44</f>
        <v>112017.04</v>
      </c>
      <c r="L48" s="847"/>
      <c r="O48" s="21">
        <f>J44</f>
        <v>24565.14</v>
      </c>
      <c r="P48" s="21">
        <f>L44</f>
        <v>112017.04</v>
      </c>
    </row>
    <row r="50" spans="1:32" ht="15" x14ac:dyDescent="0.25">
      <c r="A50" s="879" t="str">
        <f>CONCATENATE("Итого по разделу: ",IF([89]Source!G264&lt;&gt;"Новый раздел", [89]Source!G264, ""))</f>
        <v>Итого по разделу: Низковольтное оборудование</v>
      </c>
      <c r="B50" s="879"/>
      <c r="C50" s="879"/>
      <c r="D50" s="879"/>
      <c r="E50" s="879"/>
      <c r="F50" s="879"/>
      <c r="G50" s="879"/>
      <c r="H50" s="879"/>
      <c r="I50" s="880">
        <f>I48+I43</f>
        <v>34873.14</v>
      </c>
      <c r="J50" s="881"/>
      <c r="K50" s="880">
        <f>K48+K43</f>
        <v>159021.5</v>
      </c>
      <c r="L50" s="881"/>
    </row>
    <row r="51" spans="1:32" hidden="1" x14ac:dyDescent="0.2">
      <c r="A51" s="1" t="s">
        <v>139</v>
      </c>
      <c r="J51" s="1">
        <f>SUM(W40:W50)</f>
        <v>0</v>
      </c>
      <c r="K51" s="1">
        <f>SUM(X40:X50)</f>
        <v>0</v>
      </c>
    </row>
    <row r="52" spans="1:32" hidden="1" x14ac:dyDescent="0.2">
      <c r="A52" s="1" t="s">
        <v>140</v>
      </c>
      <c r="J52" s="1">
        <f>SUM(Y40:Y51)</f>
        <v>0</v>
      </c>
      <c r="K52" s="1">
        <f>SUM(Z40:Z51)</f>
        <v>0</v>
      </c>
    </row>
    <row r="54" spans="1:32" ht="21" customHeight="1" x14ac:dyDescent="0.25">
      <c r="A54" s="900" t="s">
        <v>113</v>
      </c>
      <c r="B54" s="900"/>
      <c r="C54" s="900"/>
      <c r="D54" s="900"/>
      <c r="E54" s="900"/>
      <c r="F54" s="900"/>
      <c r="G54" s="900"/>
      <c r="H54" s="900"/>
      <c r="I54" s="36"/>
      <c r="J54" s="37">
        <f>I50+I39</f>
        <v>35823.17</v>
      </c>
      <c r="K54" s="36"/>
      <c r="L54" s="37">
        <f>K50+K39</f>
        <v>173108.21</v>
      </c>
      <c r="AF54" s="48" t="str">
        <f>CONCATENATE("Итого по локальной смете: ",IF([89]Source!G518&lt;&gt;"Новая локальная смета", [89]Source!G518, ""))</f>
        <v>Итого по локальной смете: Станционный комплекс "Аминьевское шоссе". Вестибюль №2, камера съездов, ТПП. Внутренние инженерные системы (не включая ТПП). Электрооборудование. Электрообогрев</v>
      </c>
    </row>
    <row r="55" spans="1:32" s="38" customFormat="1" ht="14.25" x14ac:dyDescent="0.2">
      <c r="D55" s="39" t="s">
        <v>114</v>
      </c>
      <c r="E55" s="39"/>
      <c r="F55" s="39"/>
      <c r="G55" s="39"/>
      <c r="H55" s="39"/>
      <c r="I55" s="902">
        <f>SUMIF(B1:B46,"МР",J1:J46)+I50</f>
        <v>34873.14</v>
      </c>
      <c r="J55" s="903"/>
      <c r="K55" s="902">
        <f>SUMIF(D1:D46,"МР",L1:L46)+K50</f>
        <v>160230.79999999999</v>
      </c>
      <c r="L55" s="903"/>
    </row>
    <row r="56" spans="1:32" s="38" customFormat="1" ht="14.25" x14ac:dyDescent="0.2">
      <c r="D56" s="39" t="s">
        <v>115</v>
      </c>
      <c r="E56" s="39"/>
      <c r="F56" s="39"/>
      <c r="G56" s="39"/>
      <c r="H56" s="39"/>
      <c r="I56" s="871">
        <f>SUMIF(D1:D46,"в т.ч. ЗПМ",J1:J46)</f>
        <v>24.76</v>
      </c>
      <c r="J56" s="871"/>
      <c r="K56" s="871">
        <f>SUMIF(D1:D46,"в т.ч. ЗПМ",L1:L46)</f>
        <v>599.92999999999995</v>
      </c>
      <c r="L56" s="871"/>
    </row>
    <row r="57" spans="1:32" s="38" customFormat="1" ht="14.25" x14ac:dyDescent="0.2">
      <c r="D57" s="39" t="s">
        <v>116</v>
      </c>
      <c r="E57" s="39"/>
      <c r="F57" s="39"/>
      <c r="G57" s="39"/>
      <c r="H57" s="39"/>
      <c r="I57" s="871">
        <f>SUMIF(D1:D46,"ЗП",J1:J46)</f>
        <v>187.3</v>
      </c>
      <c r="J57" s="871"/>
      <c r="K57" s="871">
        <f>SUMIF(D1:D46,"ЗП",L1:L46)</f>
        <v>4538.28</v>
      </c>
      <c r="L57" s="871"/>
    </row>
    <row r="58" spans="1:32" s="38" customFormat="1" ht="14.25" x14ac:dyDescent="0.2">
      <c r="D58" s="39" t="s">
        <v>117</v>
      </c>
      <c r="E58" s="39"/>
      <c r="F58" s="39"/>
      <c r="G58" s="39"/>
      <c r="H58" s="39"/>
      <c r="I58" s="871">
        <f>SUMIF(D1:D46,"НР от ЗП",J1:J46)</f>
        <v>209.78</v>
      </c>
      <c r="J58" s="871"/>
      <c r="K58" s="871">
        <f>SUMIF(D1:D46,"НР от ЗП",L1:L46)</f>
        <v>4084.45</v>
      </c>
      <c r="L58" s="871"/>
    </row>
    <row r="59" spans="1:32" s="38" customFormat="1" ht="14.25" x14ac:dyDescent="0.2">
      <c r="D59" s="39" t="s">
        <v>118</v>
      </c>
      <c r="E59" s="39"/>
      <c r="F59" s="39"/>
      <c r="G59" s="39"/>
      <c r="H59" s="39"/>
      <c r="I59" s="871">
        <f>SUMIF(D1:D46,"СП от ЗП",J1:J46)</f>
        <v>131.11000000000001</v>
      </c>
      <c r="J59" s="871"/>
      <c r="K59" s="871">
        <f>SUMIF(D1:D46,"СП от ЗП",L1:L46)</f>
        <v>1951.46</v>
      </c>
      <c r="L59" s="871"/>
    </row>
    <row r="60" spans="1:32" ht="14.25" x14ac:dyDescent="0.2">
      <c r="A60" s="40"/>
      <c r="B60" s="40"/>
      <c r="C60" s="40"/>
      <c r="D60" s="40"/>
      <c r="E60" s="40"/>
      <c r="F60" s="40"/>
      <c r="G60" s="40"/>
      <c r="H60" s="40"/>
      <c r="I60" s="36"/>
      <c r="J60" s="36"/>
      <c r="K60" s="36"/>
      <c r="L60" s="36"/>
    </row>
    <row r="61" spans="1:32" ht="14.25" x14ac:dyDescent="0.2">
      <c r="A61" s="40"/>
      <c r="B61" s="40"/>
      <c r="C61" s="40"/>
      <c r="D61" s="874" t="s">
        <v>268</v>
      </c>
      <c r="E61" s="874"/>
      <c r="F61" s="874"/>
      <c r="G61" s="213"/>
      <c r="H61" s="213"/>
      <c r="I61" s="214"/>
      <c r="J61" s="215">
        <f>J54</f>
        <v>35823.17</v>
      </c>
      <c r="K61" s="215"/>
      <c r="L61" s="215">
        <f>L54</f>
        <v>173108.21</v>
      </c>
    </row>
    <row r="62" spans="1:32" ht="14.25" x14ac:dyDescent="0.2">
      <c r="A62" s="40"/>
      <c r="B62" s="40"/>
      <c r="C62" s="40"/>
      <c r="D62" s="872" t="s">
        <v>3</v>
      </c>
      <c r="E62" s="872"/>
      <c r="F62" s="872"/>
      <c r="G62" s="218"/>
      <c r="H62" s="218"/>
      <c r="I62" s="219"/>
      <c r="J62" s="215">
        <f>J61</f>
        <v>35823.17</v>
      </c>
      <c r="K62"/>
      <c r="L62" s="215">
        <f>L61</f>
        <v>173108.21</v>
      </c>
    </row>
    <row r="63" spans="1:32" ht="15" customHeight="1" x14ac:dyDescent="0.2">
      <c r="A63" s="40"/>
      <c r="B63" s="40"/>
      <c r="C63" s="40"/>
      <c r="D63" s="872" t="s">
        <v>269</v>
      </c>
      <c r="E63" s="872"/>
      <c r="F63" s="872"/>
      <c r="G63" s="218"/>
      <c r="H63" s="218"/>
      <c r="I63" s="221"/>
      <c r="J63" s="222">
        <f>I57+I56</f>
        <v>212.06</v>
      </c>
      <c r="K63" s="222"/>
      <c r="L63" s="222">
        <f>K57+K56</f>
        <v>5138.21</v>
      </c>
    </row>
    <row r="64" spans="1:32" ht="12.75" customHeight="1" x14ac:dyDescent="0.2">
      <c r="A64" s="40"/>
      <c r="B64" s="40"/>
      <c r="C64" s="40"/>
      <c r="D64" s="872" t="s">
        <v>270</v>
      </c>
      <c r="E64" s="872"/>
      <c r="F64" s="872"/>
      <c r="G64" s="218"/>
      <c r="H64" s="218"/>
      <c r="I64" s="221"/>
      <c r="J64" s="222">
        <f>I55</f>
        <v>34873.14</v>
      </c>
      <c r="K64" s="222"/>
      <c r="L64" s="222">
        <f>K55</f>
        <v>160230.79999999999</v>
      </c>
    </row>
    <row r="65" spans="1:12" ht="12.75" customHeight="1" x14ac:dyDescent="0.2">
      <c r="A65" s="40"/>
      <c r="B65" s="40"/>
      <c r="C65" s="40"/>
      <c r="D65" s="872" t="s">
        <v>271</v>
      </c>
      <c r="E65" s="872"/>
      <c r="F65" s="872"/>
      <c r="G65" s="218"/>
      <c r="H65" s="218"/>
      <c r="I65" s="221"/>
      <c r="J65" s="215">
        <v>0</v>
      </c>
      <c r="K65" s="223"/>
      <c r="L65" s="215">
        <v>0</v>
      </c>
    </row>
    <row r="66" spans="1:12" ht="14.25" x14ac:dyDescent="0.2">
      <c r="A66" s="40"/>
      <c r="B66" s="40"/>
      <c r="C66" s="40"/>
      <c r="D66" s="872" t="s">
        <v>272</v>
      </c>
      <c r="E66" s="872"/>
      <c r="F66" s="872"/>
      <c r="G66" s="224"/>
      <c r="H66" s="224"/>
      <c r="I66" s="225"/>
      <c r="J66" s="226">
        <f>J62*5.61%</f>
        <v>2009.68</v>
      </c>
      <c r="K66" s="223"/>
      <c r="L66" s="226">
        <f>L62*5.61%</f>
        <v>9711.3700000000008</v>
      </c>
    </row>
    <row r="67" spans="1:12" ht="15" x14ac:dyDescent="0.25">
      <c r="A67" s="40"/>
      <c r="B67" s="40"/>
      <c r="C67" s="40"/>
      <c r="D67" s="873" t="s">
        <v>273</v>
      </c>
      <c r="E67" s="873"/>
      <c r="F67" s="873"/>
      <c r="G67" s="228"/>
      <c r="H67" s="228"/>
      <c r="I67" s="229"/>
      <c r="J67" s="230">
        <f>ROUND(J62+J66,2)</f>
        <v>37832.85</v>
      </c>
      <c r="K67" s="223"/>
      <c r="L67" s="230">
        <f>ROUND(L62+L66,2)</f>
        <v>182819.58</v>
      </c>
    </row>
    <row r="68" spans="1:12" ht="14.25" x14ac:dyDescent="0.2">
      <c r="A68" s="40"/>
      <c r="B68" s="40"/>
      <c r="C68" s="40"/>
      <c r="D68" s="872" t="s">
        <v>274</v>
      </c>
      <c r="E68" s="872"/>
      <c r="F68" s="872"/>
      <c r="G68" s="224"/>
      <c r="H68" s="224"/>
      <c r="I68" s="225"/>
      <c r="J68" s="226">
        <f>J63*0.15</f>
        <v>31.81</v>
      </c>
      <c r="K68" s="232"/>
      <c r="L68" s="226">
        <f>L63*0.15</f>
        <v>770.73</v>
      </c>
    </row>
    <row r="69" spans="1:12" ht="15" x14ac:dyDescent="0.25">
      <c r="A69" s="40"/>
      <c r="B69" s="40"/>
      <c r="C69" s="40"/>
      <c r="D69" s="873" t="s">
        <v>275</v>
      </c>
      <c r="E69" s="873"/>
      <c r="F69" s="873"/>
      <c r="G69" s="228"/>
      <c r="H69" s="228"/>
      <c r="I69" s="229"/>
      <c r="J69" s="230">
        <f>J67+J68</f>
        <v>37864.660000000003</v>
      </c>
      <c r="K69" s="223"/>
      <c r="L69" s="230">
        <f>L67+L68</f>
        <v>183590.31</v>
      </c>
    </row>
    <row r="70" spans="1:12" ht="14.25" x14ac:dyDescent="0.2">
      <c r="A70" s="40"/>
      <c r="B70" s="40"/>
      <c r="C70" s="40"/>
      <c r="D70" s="233"/>
      <c r="E70" s="233"/>
      <c r="F70" s="233"/>
      <c r="G70" s="234"/>
      <c r="H70" s="234"/>
      <c r="I70" s="235"/>
      <c r="J70" s="236"/>
      <c r="K70"/>
      <c r="L70" s="237"/>
    </row>
    <row r="71" spans="1:12" ht="14.25" x14ac:dyDescent="0.2">
      <c r="D71" s="874" t="s">
        <v>276</v>
      </c>
      <c r="E71" s="874"/>
      <c r="F71" s="874"/>
      <c r="G71" s="238"/>
      <c r="H71" s="238"/>
      <c r="I71" s="238"/>
      <c r="J71" s="238"/>
      <c r="K71" s="876">
        <f>L61*0.975</f>
        <v>168780.5</v>
      </c>
      <c r="L71" s="876"/>
    </row>
    <row r="72" spans="1:12" ht="14.25" x14ac:dyDescent="0.2">
      <c r="D72" s="872" t="s">
        <v>277</v>
      </c>
      <c r="E72" s="872"/>
      <c r="F72" s="872"/>
      <c r="G72" s="224"/>
      <c r="H72" s="224"/>
      <c r="I72" s="224"/>
      <c r="J72" s="224"/>
      <c r="K72" s="869">
        <f>L62*0.975</f>
        <v>168780.5</v>
      </c>
      <c r="L72" s="869"/>
    </row>
    <row r="73" spans="1:12" ht="14.25" x14ac:dyDescent="0.2">
      <c r="D73" s="872" t="s">
        <v>278</v>
      </c>
      <c r="E73" s="872"/>
      <c r="F73" s="872"/>
      <c r="G73" s="224"/>
      <c r="H73" s="224"/>
      <c r="I73" s="224"/>
      <c r="J73" s="224"/>
      <c r="K73" s="869">
        <f>L63*0.975</f>
        <v>5009.75</v>
      </c>
      <c r="L73" s="869"/>
    </row>
    <row r="74" spans="1:12" ht="14.25" x14ac:dyDescent="0.2">
      <c r="D74" s="872" t="s">
        <v>279</v>
      </c>
      <c r="E74" s="872"/>
      <c r="F74" s="872"/>
      <c r="G74" s="224"/>
      <c r="H74" s="224"/>
      <c r="I74" s="224"/>
      <c r="J74" s="224"/>
      <c r="K74" s="869">
        <f>L64*0.975</f>
        <v>156225.03</v>
      </c>
      <c r="L74" s="869"/>
    </row>
    <row r="75" spans="1:12" ht="14.25" x14ac:dyDescent="0.2">
      <c r="D75" s="872" t="s">
        <v>280</v>
      </c>
      <c r="E75" s="872"/>
      <c r="F75" s="872"/>
      <c r="G75" s="224"/>
      <c r="H75" s="224"/>
      <c r="I75" s="224"/>
      <c r="J75" s="224"/>
      <c r="K75" s="869">
        <v>0</v>
      </c>
      <c r="L75" s="869"/>
    </row>
    <row r="76" spans="1:12" ht="14.25" x14ac:dyDescent="0.2">
      <c r="D76" s="872" t="s">
        <v>281</v>
      </c>
      <c r="E76" s="872"/>
      <c r="F76" s="872"/>
      <c r="G76" s="224"/>
      <c r="H76" s="224"/>
      <c r="I76" s="224"/>
      <c r="J76" s="224"/>
      <c r="K76" s="869">
        <f>K72*0.0561</f>
        <v>9468.59</v>
      </c>
      <c r="L76" s="869"/>
    </row>
    <row r="77" spans="1:12" ht="15" x14ac:dyDescent="0.25">
      <c r="D77" s="873" t="s">
        <v>282</v>
      </c>
      <c r="E77" s="873"/>
      <c r="F77" s="873"/>
      <c r="G77" s="228"/>
      <c r="H77" s="228"/>
      <c r="I77" s="228"/>
      <c r="J77" s="228"/>
      <c r="K77" s="870">
        <f>ROUND(K72+K76,2)</f>
        <v>178249.09</v>
      </c>
      <c r="L77" s="870"/>
    </row>
    <row r="78" spans="1:12" ht="15" x14ac:dyDescent="0.25">
      <c r="D78" s="872" t="s">
        <v>283</v>
      </c>
      <c r="E78" s="872"/>
      <c r="F78" s="872"/>
      <c r="G78" s="224"/>
      <c r="H78" s="224"/>
      <c r="I78" s="224"/>
      <c r="J78" s="224"/>
      <c r="K78" s="870">
        <f>L68*0.975</f>
        <v>751.46</v>
      </c>
      <c r="L78" s="870"/>
    </row>
    <row r="79" spans="1:12" ht="15" x14ac:dyDescent="0.25">
      <c r="D79" s="873" t="s">
        <v>275</v>
      </c>
      <c r="E79" s="873"/>
      <c r="F79" s="873"/>
      <c r="G79" s="228"/>
      <c r="H79" s="228"/>
      <c r="I79" s="228"/>
      <c r="J79" s="228"/>
      <c r="K79" s="231"/>
      <c r="L79" s="231">
        <f>K77+K78</f>
        <v>179000.55</v>
      </c>
    </row>
    <row r="80" spans="1:12" ht="15" x14ac:dyDescent="0.25">
      <c r="D80" s="240"/>
      <c r="E80" s="241"/>
      <c r="F80" s="241"/>
      <c r="G80" s="241"/>
      <c r="H80" s="241"/>
      <c r="I80" s="242"/>
      <c r="J80" s="242"/>
      <c r="K80" s="242"/>
      <c r="L80" s="242"/>
    </row>
    <row r="81" spans="4:12" ht="14.25" x14ac:dyDescent="0.2">
      <c r="D81" s="874" t="s">
        <v>284</v>
      </c>
      <c r="E81" s="874"/>
      <c r="F81" s="874"/>
      <c r="G81" s="238"/>
      <c r="H81" s="238"/>
      <c r="I81" s="238"/>
      <c r="J81" s="238"/>
      <c r="K81" s="216"/>
      <c r="L81" s="239">
        <f>K71*0.998999999999673</f>
        <v>168611.72</v>
      </c>
    </row>
    <row r="82" spans="4:12" ht="14.25" x14ac:dyDescent="0.2">
      <c r="D82" s="872" t="s">
        <v>285</v>
      </c>
      <c r="E82" s="872"/>
      <c r="F82" s="872"/>
      <c r="G82" s="224"/>
      <c r="H82" s="224"/>
      <c r="I82" s="224"/>
      <c r="J82" s="224"/>
      <c r="K82" s="223"/>
      <c r="L82" s="227">
        <f>K72*0.998999999999673</f>
        <v>168611.72</v>
      </c>
    </row>
    <row r="83" spans="4:12" ht="14.25" x14ac:dyDescent="0.2">
      <c r="D83" s="872" t="s">
        <v>286</v>
      </c>
      <c r="E83" s="872"/>
      <c r="F83" s="872"/>
      <c r="G83" s="224"/>
      <c r="H83" s="224"/>
      <c r="I83" s="224"/>
      <c r="J83" s="224"/>
      <c r="K83" s="223"/>
      <c r="L83" s="227">
        <f>K73*0.998999999999673</f>
        <v>5004.74</v>
      </c>
    </row>
    <row r="84" spans="4:12" ht="14.25" x14ac:dyDescent="0.2">
      <c r="D84" s="872" t="s">
        <v>287</v>
      </c>
      <c r="E84" s="872"/>
      <c r="F84" s="872"/>
      <c r="G84" s="224"/>
      <c r="H84" s="224"/>
      <c r="I84" s="224"/>
      <c r="J84" s="224"/>
      <c r="K84" s="223"/>
      <c r="L84" s="227">
        <f>K74*0.998999999999673</f>
        <v>156068.79999999999</v>
      </c>
    </row>
    <row r="85" spans="4:12" ht="14.25" x14ac:dyDescent="0.2">
      <c r="D85" s="872" t="s">
        <v>288</v>
      </c>
      <c r="E85" s="872"/>
      <c r="F85" s="872"/>
      <c r="G85" s="224"/>
      <c r="H85" s="224"/>
      <c r="I85" s="224"/>
      <c r="J85" s="224"/>
      <c r="K85" s="223"/>
      <c r="L85" s="227">
        <v>0</v>
      </c>
    </row>
    <row r="86" spans="4:12" ht="14.25" x14ac:dyDescent="0.2">
      <c r="D86" s="872" t="s">
        <v>289</v>
      </c>
      <c r="E86" s="872"/>
      <c r="F86" s="872"/>
      <c r="G86" s="224"/>
      <c r="H86" s="224"/>
      <c r="I86" s="224"/>
      <c r="J86" s="224"/>
      <c r="K86" s="216"/>
      <c r="L86" s="227">
        <f>L82*0.0561</f>
        <v>9459.1200000000008</v>
      </c>
    </row>
    <row r="87" spans="4:12" ht="15" x14ac:dyDescent="0.25">
      <c r="D87" s="873" t="s">
        <v>290</v>
      </c>
      <c r="E87" s="873"/>
      <c r="F87" s="873"/>
      <c r="G87" s="228"/>
      <c r="H87" s="228"/>
      <c r="I87" s="228"/>
      <c r="J87" s="228"/>
      <c r="K87" s="223"/>
      <c r="L87" s="231">
        <f>ROUND(L82+L86,2)</f>
        <v>178070.84</v>
      </c>
    </row>
    <row r="88" spans="4:12" ht="15" x14ac:dyDescent="0.25">
      <c r="D88" s="872" t="s">
        <v>291</v>
      </c>
      <c r="E88" s="872"/>
      <c r="F88" s="872"/>
      <c r="G88" s="224"/>
      <c r="H88" s="224"/>
      <c r="I88" s="224"/>
      <c r="J88" s="224"/>
      <c r="K88" s="223"/>
      <c r="L88" s="231">
        <f>K78*0.998999999999673</f>
        <v>750.71</v>
      </c>
    </row>
    <row r="89" spans="4:12" ht="15" x14ac:dyDescent="0.25">
      <c r="D89" s="873" t="s">
        <v>275</v>
      </c>
      <c r="E89" s="873"/>
      <c r="F89" s="873"/>
      <c r="G89" s="228"/>
      <c r="H89" s="228"/>
      <c r="I89" s="228"/>
      <c r="J89" s="228"/>
      <c r="K89" s="223"/>
      <c r="L89" s="231">
        <f>L87+L88</f>
        <v>178821.55</v>
      </c>
    </row>
    <row r="90" spans="4:12" x14ac:dyDescent="0.2">
      <c r="D90" s="79"/>
      <c r="E90" s="79"/>
      <c r="F90" s="79"/>
      <c r="G90" s="79"/>
      <c r="H90" s="79"/>
      <c r="I90" s="79"/>
      <c r="J90" s="79"/>
      <c r="K90" s="79"/>
      <c r="L90" s="79"/>
    </row>
  </sheetData>
  <mergeCells count="86">
    <mergeCell ref="D66:F66"/>
    <mergeCell ref="D67:F67"/>
    <mergeCell ref="D68:F68"/>
    <mergeCell ref="B41:B42"/>
    <mergeCell ref="A41:A42"/>
    <mergeCell ref="A54:H54"/>
    <mergeCell ref="D61:F61"/>
    <mergeCell ref="D62:F62"/>
    <mergeCell ref="D63:F63"/>
    <mergeCell ref="D64:F64"/>
    <mergeCell ref="D65:F65"/>
    <mergeCell ref="A44:A47"/>
    <mergeCell ref="B44:B47"/>
    <mergeCell ref="I59:J59"/>
    <mergeCell ref="I50:J50"/>
    <mergeCell ref="I48:J48"/>
    <mergeCell ref="K48:L48"/>
    <mergeCell ref="A50:H50"/>
    <mergeCell ref="K50:L50"/>
    <mergeCell ref="K59:L59"/>
    <mergeCell ref="I55:J55"/>
    <mergeCell ref="K55:L55"/>
    <mergeCell ref="I57:J57"/>
    <mergeCell ref="K57:L57"/>
    <mergeCell ref="I58:J58"/>
    <mergeCell ref="K58:L58"/>
    <mergeCell ref="I56:J56"/>
    <mergeCell ref="K56:L56"/>
    <mergeCell ref="A40:L40"/>
    <mergeCell ref="I43:J43"/>
    <mergeCell ref="K43:L43"/>
    <mergeCell ref="I30:J30"/>
    <mergeCell ref="K30:L30"/>
    <mergeCell ref="I35:J35"/>
    <mergeCell ref="K35:L35"/>
    <mergeCell ref="I37:J37"/>
    <mergeCell ref="K37:L37"/>
    <mergeCell ref="A39:H39"/>
    <mergeCell ref="I39:J39"/>
    <mergeCell ref="K39:L39"/>
    <mergeCell ref="L9:L13"/>
    <mergeCell ref="A10:A13"/>
    <mergeCell ref="B10:B13"/>
    <mergeCell ref="A18:L18"/>
    <mergeCell ref="A20:L20"/>
    <mergeCell ref="D79:F79"/>
    <mergeCell ref="D69:F69"/>
    <mergeCell ref="E1:G1"/>
    <mergeCell ref="A16:L16"/>
    <mergeCell ref="E2:G2"/>
    <mergeCell ref="A8:L8"/>
    <mergeCell ref="A9:B9"/>
    <mergeCell ref="C9:C13"/>
    <mergeCell ref="D9:D13"/>
    <mergeCell ref="E9:E13"/>
    <mergeCell ref="F9:F13"/>
    <mergeCell ref="G9:G13"/>
    <mergeCell ref="H9:H13"/>
    <mergeCell ref="I9:I13"/>
    <mergeCell ref="J9:J13"/>
    <mergeCell ref="K9:K13"/>
    <mergeCell ref="D86:F86"/>
    <mergeCell ref="D87:F87"/>
    <mergeCell ref="D88:F88"/>
    <mergeCell ref="D89:F89"/>
    <mergeCell ref="D81:F81"/>
    <mergeCell ref="D82:F82"/>
    <mergeCell ref="D83:F83"/>
    <mergeCell ref="D84:F84"/>
    <mergeCell ref="D85:F85"/>
    <mergeCell ref="D71:F71"/>
    <mergeCell ref="K71:L71"/>
    <mergeCell ref="D72:F72"/>
    <mergeCell ref="K72:L72"/>
    <mergeCell ref="D73:F73"/>
    <mergeCell ref="K73:L73"/>
    <mergeCell ref="K78:L78"/>
    <mergeCell ref="D74:F74"/>
    <mergeCell ref="K74:L74"/>
    <mergeCell ref="K75:L75"/>
    <mergeCell ref="K76:L76"/>
    <mergeCell ref="K77:L77"/>
    <mergeCell ref="D75:F75"/>
    <mergeCell ref="D76:F76"/>
    <mergeCell ref="D77:F77"/>
    <mergeCell ref="D78:F78"/>
  </mergeCells>
  <pageMargins left="0.4" right="0.2" top="0.2" bottom="0.4" header="0.2" footer="0.2"/>
  <pageSetup paperSize="9" scale="63" fitToHeight="0" orientation="portrait" r:id="rId1"/>
  <headerFooter>
    <oddHeader>&amp;L&amp;8</oddHeader>
    <oddFooter>&amp;R&amp;P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25</vt:i4>
      </vt:variant>
      <vt:variant>
        <vt:lpstr>Именованные диапазоны</vt:lpstr>
      </vt:variant>
      <vt:variant>
        <vt:i4>35</vt:i4>
      </vt:variant>
    </vt:vector>
  </HeadingPairs>
  <TitlesOfParts>
    <vt:vector size="60" baseType="lpstr">
      <vt:lpstr>КС-3№15</vt:lpstr>
      <vt:lpstr>15.1</vt:lpstr>
      <vt:lpstr>15.2</vt:lpstr>
      <vt:lpstr>15.3</vt:lpstr>
      <vt:lpstr>15.4</vt:lpstr>
      <vt:lpstr>15.5</vt:lpstr>
      <vt:lpstr>15.6 </vt:lpstr>
      <vt:lpstr>15.7 </vt:lpstr>
      <vt:lpstr>15.8</vt:lpstr>
      <vt:lpstr> 15.9 </vt:lpstr>
      <vt:lpstr>15.10</vt:lpstr>
      <vt:lpstr>КС-3</vt:lpstr>
      <vt:lpstr>Реестр декабрь</vt:lpstr>
      <vt:lpstr>Реестр</vt:lpstr>
      <vt:lpstr>1_16.1</vt:lpstr>
      <vt:lpstr>2_16.2</vt:lpstr>
      <vt:lpstr>3_16.3</vt:lpstr>
      <vt:lpstr>4_16.4</vt:lpstr>
      <vt:lpstr>5_16.5</vt:lpstr>
      <vt:lpstr>6_16.6</vt:lpstr>
      <vt:lpstr>7_16.7</vt:lpstr>
      <vt:lpstr>8_16.8</vt:lpstr>
      <vt:lpstr>9_16.9</vt:lpstr>
      <vt:lpstr>10_16.10</vt:lpstr>
      <vt:lpstr>11_17.52</vt:lpstr>
      <vt:lpstr>' 15.9 '!Заголовки_для_печати</vt:lpstr>
      <vt:lpstr>'15.1'!Заголовки_для_печати</vt:lpstr>
      <vt:lpstr>'15.10'!Заголовки_для_печати</vt:lpstr>
      <vt:lpstr>'15.2'!Заголовки_для_печати</vt:lpstr>
      <vt:lpstr>'15.3'!Заголовки_для_печати</vt:lpstr>
      <vt:lpstr>'15.4'!Заголовки_для_печати</vt:lpstr>
      <vt:lpstr>'15.5'!Заголовки_для_печати</vt:lpstr>
      <vt:lpstr>'15.6 '!Заголовки_для_печати</vt:lpstr>
      <vt:lpstr>'15.7 '!Заголовки_для_печати</vt:lpstr>
      <vt:lpstr>'15.8'!Заголовки_для_печати</vt:lpstr>
      <vt:lpstr>'Реестр декабрь'!Заголовки_для_печати</vt:lpstr>
      <vt:lpstr>' 15.9 '!Область_печати</vt:lpstr>
      <vt:lpstr>'1_16.1'!Область_печати</vt:lpstr>
      <vt:lpstr>'10_16.10'!Область_печати</vt:lpstr>
      <vt:lpstr>'11_17.52'!Область_печати</vt:lpstr>
      <vt:lpstr>'15.1'!Область_печати</vt:lpstr>
      <vt:lpstr>'15.10'!Область_печати</vt:lpstr>
      <vt:lpstr>'15.2'!Область_печати</vt:lpstr>
      <vt:lpstr>'15.3'!Область_печати</vt:lpstr>
      <vt:lpstr>'15.4'!Область_печати</vt:lpstr>
      <vt:lpstr>'15.5'!Область_печати</vt:lpstr>
      <vt:lpstr>'15.6 '!Область_печати</vt:lpstr>
      <vt:lpstr>'15.7 '!Область_печати</vt:lpstr>
      <vt:lpstr>'15.8'!Область_печати</vt:lpstr>
      <vt:lpstr>'2_16.2'!Область_печати</vt:lpstr>
      <vt:lpstr>'3_16.3'!Область_печати</vt:lpstr>
      <vt:lpstr>'4_16.4'!Область_печати</vt:lpstr>
      <vt:lpstr>'5_16.5'!Область_печати</vt:lpstr>
      <vt:lpstr>'6_16.6'!Область_печати</vt:lpstr>
      <vt:lpstr>'7_16.7'!Область_печати</vt:lpstr>
      <vt:lpstr>'8_16.8'!Область_печати</vt:lpstr>
      <vt:lpstr>'9_16.9'!Область_печати</vt:lpstr>
      <vt:lpstr>'КС-3'!Область_печати</vt:lpstr>
      <vt:lpstr>Реестр!Область_печати</vt:lpstr>
      <vt:lpstr>'Реестр декабрь'!Область_печати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Татьяна</dc:creator>
  <cp:lastModifiedBy>Огнивов Александр Викторович</cp:lastModifiedBy>
  <cp:lastPrinted>2020-12-30T09:17:07Z</cp:lastPrinted>
  <dcterms:created xsi:type="dcterms:W3CDTF">2014-11-20T12:04:08Z</dcterms:created>
  <dcterms:modified xsi:type="dcterms:W3CDTF">2021-02-16T15:15:43Z</dcterms:modified>
</cp:coreProperties>
</file>